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S:\Customer\04 - Customer Contracts and Supplier Liaison\07 - Charging\01 - DUoS\13 - April 2022\SoLR Changes\Plan A - Normal Process\Revised Balanced Models - No iterations\"/>
    </mc:Choice>
  </mc:AlternateContent>
  <xr:revisionPtr revIDLastSave="0" documentId="10_ncr:100000_{12992A69-A2E1-4A2E-B4BC-FE9E695FFD77}" xr6:coauthVersionLast="31" xr6:coauthVersionMax="31" xr10:uidLastSave="{00000000-0000-0000-0000-000000000000}"/>
  <workbookProtection lockStructure="1"/>
  <bookViews>
    <workbookView xWindow="-4056" yWindow="-17388" windowWidth="30936" windowHeight="16896" tabRatio="933"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89" l="1"/>
  <c r="S21" i="86" l="1"/>
  <c r="N21" i="86"/>
  <c r="L21" i="86"/>
  <c r="Q21" i="86" l="1"/>
  <c r="R21" i="86"/>
  <c r="AM200" i="87" l="1"/>
  <c r="AM199" i="87"/>
  <c r="AO201" i="87"/>
  <c r="AO200" i="87"/>
  <c r="AO199" i="87"/>
  <c r="AO198" i="87"/>
  <c r="AM198" i="87"/>
  <c r="AK200" i="87"/>
  <c r="AK199" i="87"/>
  <c r="AK198" i="87"/>
  <c r="AC204" i="87"/>
  <c r="AD204" i="87" s="1"/>
  <c r="AE204" i="87" s="1"/>
  <c r="AF204" i="87" s="1"/>
  <c r="AC203" i="87"/>
  <c r="AD203" i="87" s="1"/>
  <c r="AE203" i="87" s="1"/>
  <c r="AF203" i="87" s="1"/>
  <c r="AC202" i="87"/>
  <c r="AD202" i="87" s="1"/>
  <c r="AE202" i="87" s="1"/>
  <c r="AF202" i="87" s="1"/>
  <c r="AC201" i="87"/>
  <c r="AD201" i="87" s="1"/>
  <c r="AE201" i="87" s="1"/>
  <c r="AF201" i="87" s="1"/>
  <c r="AC200" i="87"/>
  <c r="AD200" i="87" s="1"/>
  <c r="AE200" i="87" s="1"/>
  <c r="AF200" i="87" s="1"/>
  <c r="AC199" i="87"/>
  <c r="AD199" i="87" s="1"/>
  <c r="AE199" i="87" s="1"/>
  <c r="AF199" i="87" s="1"/>
  <c r="AC198" i="87"/>
  <c r="AD198" i="87" s="1"/>
  <c r="AE198" i="87" s="1"/>
  <c r="AF198" i="87" s="1"/>
  <c r="X204" i="87"/>
  <c r="Y204" i="87" s="1"/>
  <c r="Z204" i="87" s="1"/>
  <c r="AA204" i="87" s="1"/>
  <c r="X203" i="87"/>
  <c r="Y203" i="87" s="1"/>
  <c r="Z203" i="87" s="1"/>
  <c r="AA203" i="87" s="1"/>
  <c r="X202" i="87"/>
  <c r="Y202" i="87" s="1"/>
  <c r="Z202" i="87" s="1"/>
  <c r="AA202" i="87" s="1"/>
  <c r="X201" i="87"/>
  <c r="Y201" i="87" s="1"/>
  <c r="Z201" i="87" s="1"/>
  <c r="AA201" i="87" s="1"/>
  <c r="X200" i="87"/>
  <c r="Y200" i="87" s="1"/>
  <c r="Z200" i="87" s="1"/>
  <c r="AA200" i="87" s="1"/>
  <c r="X199" i="87"/>
  <c r="Y199" i="87" s="1"/>
  <c r="Z199" i="87" s="1"/>
  <c r="AA199" i="87" s="1"/>
  <c r="X198" i="87"/>
  <c r="Y198" i="87" s="1"/>
  <c r="Z198" i="87" s="1"/>
  <c r="AA198" i="87" s="1"/>
  <c r="S204" i="87"/>
  <c r="T204" i="87" s="1"/>
  <c r="U204" i="87" s="1"/>
  <c r="V204" i="87" s="1"/>
  <c r="S203" i="87"/>
  <c r="T203" i="87" s="1"/>
  <c r="U203" i="87" s="1"/>
  <c r="V203" i="87" s="1"/>
  <c r="S202" i="87"/>
  <c r="T202" i="87" s="1"/>
  <c r="U202" i="87" s="1"/>
  <c r="V202" i="87" s="1"/>
  <c r="S201" i="87"/>
  <c r="T201" i="87" s="1"/>
  <c r="U201" i="87" s="1"/>
  <c r="V201" i="87" s="1"/>
  <c r="S200" i="87"/>
  <c r="T200" i="87" s="1"/>
  <c r="U200" i="87" s="1"/>
  <c r="V200" i="87" s="1"/>
  <c r="S199" i="87"/>
  <c r="T199" i="87" s="1"/>
  <c r="U199" i="87" s="1"/>
  <c r="V199" i="87" s="1"/>
  <c r="S198" i="87"/>
  <c r="T198" i="87" s="1"/>
  <c r="U198" i="87" s="1"/>
  <c r="V198" i="87" s="1"/>
  <c r="N201" i="87"/>
  <c r="O201" i="87" s="1"/>
  <c r="P201" i="87" s="1"/>
  <c r="N200" i="87"/>
  <c r="O200" i="87" s="1"/>
  <c r="P200" i="87" s="1"/>
  <c r="N198" i="87"/>
  <c r="O198" i="87" s="1"/>
  <c r="P198" i="87" s="1"/>
  <c r="N199" i="87"/>
  <c r="O199" i="87" s="1"/>
  <c r="P199" i="87" s="1"/>
  <c r="L200" i="87" l="1"/>
  <c r="L201" i="87"/>
  <c r="L198" i="87"/>
  <c r="L199" i="87"/>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AO196" i="41" l="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W158" i="22"/>
  <c r="U158" i="22"/>
  <c r="S158" i="22"/>
  <c r="R158" i="22"/>
  <c r="M158" i="22"/>
  <c r="L158" i="22"/>
  <c r="L651" i="22" s="1"/>
  <c r="L50" i="105" s="1"/>
  <c r="K158" i="22"/>
  <c r="Y157" i="22"/>
  <c r="X157" i="22"/>
  <c r="W157" i="22"/>
  <c r="V157" i="22"/>
  <c r="U157" i="22"/>
  <c r="T157" i="22"/>
  <c r="S157" i="22"/>
  <c r="R157" i="22"/>
  <c r="M157" i="22"/>
  <c r="L157" i="22"/>
  <c r="L645" i="22" s="1"/>
  <c r="L49" i="105" s="1"/>
  <c r="K157" i="22"/>
  <c r="Y156" i="22"/>
  <c r="X156" i="22"/>
  <c r="W156" i="22"/>
  <c r="V156" i="22"/>
  <c r="U156" i="22"/>
  <c r="T156" i="22"/>
  <c r="S156" i="22"/>
  <c r="R156" i="22"/>
  <c r="M156" i="22"/>
  <c r="L156" i="22"/>
  <c r="L639" i="22" s="1"/>
  <c r="L48" i="105" s="1"/>
  <c r="K156" i="22"/>
  <c r="Y155" i="22"/>
  <c r="W155" i="22"/>
  <c r="U155" i="22"/>
  <c r="Y154" i="22"/>
  <c r="W154" i="22"/>
  <c r="U154" i="22"/>
  <c r="Y153" i="22"/>
  <c r="W153" i="22"/>
  <c r="U153" i="22"/>
  <c r="Y152" i="22"/>
  <c r="W152" i="22"/>
  <c r="U152" i="22"/>
  <c r="U111" i="22"/>
  <c r="R111" i="22"/>
  <c r="P111" i="22"/>
  <c r="P607" i="22" s="1"/>
  <c r="AB39" i="105" s="1"/>
  <c r="O111" i="22"/>
  <c r="O607" i="22" s="1"/>
  <c r="W39" i="105" s="1"/>
  <c r="M111" i="22"/>
  <c r="L111" i="22"/>
  <c r="L607" i="22" s="1"/>
  <c r="L39" i="105" s="1"/>
  <c r="K111" i="22"/>
  <c r="U110" i="22"/>
  <c r="T110" i="22"/>
  <c r="R110" i="22"/>
  <c r="P110" i="22"/>
  <c r="P601" i="22" s="1"/>
  <c r="AB38" i="105" s="1"/>
  <c r="O110" i="22"/>
  <c r="O601" i="22" s="1"/>
  <c r="W38" i="105" s="1"/>
  <c r="M110" i="22"/>
  <c r="L110" i="22"/>
  <c r="L601" i="22" s="1"/>
  <c r="L38" i="105" s="1"/>
  <c r="K110" i="22"/>
  <c r="U109" i="22"/>
  <c r="T109" i="22"/>
  <c r="R109" i="22"/>
  <c r="P109" i="22"/>
  <c r="P595" i="22" s="1"/>
  <c r="AB37" i="105" s="1"/>
  <c r="O109" i="22"/>
  <c r="O595" i="22" s="1"/>
  <c r="W37" i="105" s="1"/>
  <c r="M109" i="22"/>
  <c r="L109" i="22"/>
  <c r="L595" i="22" s="1"/>
  <c r="L37" i="105" s="1"/>
  <c r="K109" i="22"/>
  <c r="U108" i="22"/>
  <c r="P108" i="22"/>
  <c r="P589" i="22" s="1"/>
  <c r="O108" i="22"/>
  <c r="O589" i="22" s="1"/>
  <c r="U107" i="22"/>
  <c r="P107" i="22"/>
  <c r="P583" i="22" s="1"/>
  <c r="AB35" i="105" s="1"/>
  <c r="O107" i="22"/>
  <c r="O583" i="22" s="1"/>
  <c r="W35" i="105" s="1"/>
  <c r="U106" i="22"/>
  <c r="P106" i="22"/>
  <c r="P577" i="22" s="1"/>
  <c r="AB34" i="105" s="1"/>
  <c r="O106" i="22"/>
  <c r="O577" i="22" s="1"/>
  <c r="W34" i="105" s="1"/>
  <c r="U105" i="22"/>
  <c r="P105" i="22"/>
  <c r="P571" i="22" s="1"/>
  <c r="AB33" i="105" s="1"/>
  <c r="O105" i="22"/>
  <c r="O571" i="22" s="1"/>
  <c r="W33" i="105" s="1"/>
  <c r="Y64" i="22"/>
  <c r="W64" i="22"/>
  <c r="U64" i="22"/>
  <c r="S64" i="22"/>
  <c r="R64" i="22"/>
  <c r="M64" i="22"/>
  <c r="M563" i="22" s="1"/>
  <c r="Q28" i="105" s="1"/>
  <c r="L64" i="22"/>
  <c r="L563" i="22" s="1"/>
  <c r="L28" i="105" s="1"/>
  <c r="K64" i="22"/>
  <c r="Y63" i="22"/>
  <c r="X63" i="22"/>
  <c r="W63" i="22"/>
  <c r="V63" i="22"/>
  <c r="U63" i="22"/>
  <c r="T63" i="22"/>
  <c r="S63" i="22"/>
  <c r="R63" i="22"/>
  <c r="M63" i="22"/>
  <c r="M557" i="22" s="1"/>
  <c r="Q27" i="105" s="1"/>
  <c r="L63" i="22"/>
  <c r="L557" i="22" s="1"/>
  <c r="L27" i="105" s="1"/>
  <c r="K63" i="22"/>
  <c r="Y62" i="22"/>
  <c r="X62" i="22"/>
  <c r="W62" i="22"/>
  <c r="V62" i="22"/>
  <c r="U62" i="22"/>
  <c r="T62" i="22"/>
  <c r="S62" i="22"/>
  <c r="R62" i="22"/>
  <c r="M62" i="22"/>
  <c r="M551" i="22" s="1"/>
  <c r="Q26" i="105" s="1"/>
  <c r="L62" i="22"/>
  <c r="L551" i="22" s="1"/>
  <c r="L26" i="105" s="1"/>
  <c r="K62" i="22"/>
  <c r="Y61" i="22"/>
  <c r="W61" i="22"/>
  <c r="U61" i="22"/>
  <c r="P61" i="22"/>
  <c r="P545" i="22" s="1"/>
  <c r="AB25" i="105" s="1"/>
  <c r="O61" i="22"/>
  <c r="O545" i="22" s="1"/>
  <c r="W25" i="105" s="1"/>
  <c r="N61" i="22"/>
  <c r="N545" i="22" s="1"/>
  <c r="R25" i="105" s="1"/>
  <c r="L61" i="22"/>
  <c r="L545" i="22" s="1"/>
  <c r="L25" i="105" s="1"/>
  <c r="Y60" i="22"/>
  <c r="W60" i="22"/>
  <c r="U60" i="22"/>
  <c r="Y59" i="22"/>
  <c r="W59" i="22"/>
  <c r="U59" i="22"/>
  <c r="Y58" i="22"/>
  <c r="W58" i="22"/>
  <c r="U58" i="22"/>
  <c r="L194" i="22"/>
  <c r="L655" i="22" s="1"/>
  <c r="P50" i="105" s="1"/>
  <c r="L193" i="22"/>
  <c r="L649" i="22" s="1"/>
  <c r="P49" i="105" s="1"/>
  <c r="L192" i="22"/>
  <c r="L643" i="22" s="1"/>
  <c r="P48" i="105" s="1"/>
  <c r="P147" i="22"/>
  <c r="P611" i="22" s="1"/>
  <c r="AF39" i="105" s="1"/>
  <c r="O147" i="22"/>
  <c r="O611" i="22" s="1"/>
  <c r="AA39" i="105" s="1"/>
  <c r="L147" i="22"/>
  <c r="L611" i="22" s="1"/>
  <c r="P39" i="105" s="1"/>
  <c r="P146" i="22"/>
  <c r="P605" i="22" s="1"/>
  <c r="AF38" i="105" s="1"/>
  <c r="O146" i="22"/>
  <c r="O605" i="22" s="1"/>
  <c r="AA38" i="105" s="1"/>
  <c r="L146" i="22"/>
  <c r="L605" i="22" s="1"/>
  <c r="P38" i="105" s="1"/>
  <c r="P145" i="22"/>
  <c r="P599" i="22" s="1"/>
  <c r="AF37" i="105" s="1"/>
  <c r="O145" i="22"/>
  <c r="O599" i="22" s="1"/>
  <c r="AA37" i="105" s="1"/>
  <c r="L145" i="22"/>
  <c r="L599" i="22" s="1"/>
  <c r="P37" i="105" s="1"/>
  <c r="P144" i="22"/>
  <c r="P593" i="22" s="1"/>
  <c r="O144" i="22"/>
  <c r="O593" i="22" s="1"/>
  <c r="P143" i="22"/>
  <c r="P587" i="22" s="1"/>
  <c r="AF35" i="105" s="1"/>
  <c r="O143" i="22"/>
  <c r="O587" i="22" s="1"/>
  <c r="AA35" i="105" s="1"/>
  <c r="P142" i="22"/>
  <c r="P581" i="22" s="1"/>
  <c r="AF34" i="105" s="1"/>
  <c r="O142" i="22"/>
  <c r="O581" i="22" s="1"/>
  <c r="AA34" i="105" s="1"/>
  <c r="P141" i="22"/>
  <c r="P575" i="22" s="1"/>
  <c r="AF33" i="105" s="1"/>
  <c r="O141" i="22"/>
  <c r="O575" i="22" s="1"/>
  <c r="AA33" i="105" s="1"/>
  <c r="L100" i="22"/>
  <c r="L567" i="22" s="1"/>
  <c r="P28" i="105" s="1"/>
  <c r="L99" i="22"/>
  <c r="L561" i="22" s="1"/>
  <c r="P27" i="105" s="1"/>
  <c r="L98" i="22"/>
  <c r="L555" i="22" s="1"/>
  <c r="P26" i="105" s="1"/>
  <c r="L185" i="22"/>
  <c r="L654" i="22" s="1"/>
  <c r="O50" i="105" s="1"/>
  <c r="L184" i="22"/>
  <c r="L648" i="22" s="1"/>
  <c r="O49" i="105" s="1"/>
  <c r="L183" i="22"/>
  <c r="L642" i="22" s="1"/>
  <c r="O48" i="105" s="1"/>
  <c r="P138" i="22"/>
  <c r="P610" i="22" s="1"/>
  <c r="AE39" i="105" s="1"/>
  <c r="O138" i="22"/>
  <c r="O610" i="22" s="1"/>
  <c r="Z39" i="105" s="1"/>
  <c r="L138" i="22"/>
  <c r="L610" i="22" s="1"/>
  <c r="O39" i="105" s="1"/>
  <c r="P137" i="22"/>
  <c r="P604" i="22" s="1"/>
  <c r="AE38" i="105" s="1"/>
  <c r="O137" i="22"/>
  <c r="O604" i="22" s="1"/>
  <c r="Z38" i="105" s="1"/>
  <c r="L137" i="22"/>
  <c r="L604" i="22" s="1"/>
  <c r="O38" i="105" s="1"/>
  <c r="P136" i="22"/>
  <c r="P598" i="22" s="1"/>
  <c r="AE37" i="105" s="1"/>
  <c r="O136" i="22"/>
  <c r="O598" i="22" s="1"/>
  <c r="Z37" i="105" s="1"/>
  <c r="L136" i="22"/>
  <c r="L598" i="22" s="1"/>
  <c r="O37" i="105" s="1"/>
  <c r="P135" i="22"/>
  <c r="P592" i="22" s="1"/>
  <c r="O135" i="22"/>
  <c r="O592" i="22" s="1"/>
  <c r="P134" i="22"/>
  <c r="P586" i="22" s="1"/>
  <c r="AE35" i="105" s="1"/>
  <c r="O134" i="22"/>
  <c r="O586" i="22" s="1"/>
  <c r="Z35" i="105" s="1"/>
  <c r="P133" i="22"/>
  <c r="P580" i="22" s="1"/>
  <c r="AE34" i="105" s="1"/>
  <c r="O133" i="22"/>
  <c r="O580" i="22" s="1"/>
  <c r="Z34" i="105" s="1"/>
  <c r="P132" i="22"/>
  <c r="P574" i="22" s="1"/>
  <c r="AE33" i="105" s="1"/>
  <c r="O132" i="22"/>
  <c r="O574" i="22" s="1"/>
  <c r="Z33" i="105" s="1"/>
  <c r="L91" i="22"/>
  <c r="L566" i="22" s="1"/>
  <c r="O28" i="105" s="1"/>
  <c r="L90" i="22"/>
  <c r="L560" i="22" s="1"/>
  <c r="O27" i="105" s="1"/>
  <c r="L89" i="22"/>
  <c r="L554" i="22" s="1"/>
  <c r="O26" i="105" s="1"/>
  <c r="L176" i="22"/>
  <c r="L653" i="22" s="1"/>
  <c r="N50" i="105" s="1"/>
  <c r="L175" i="22"/>
  <c r="L647" i="22" s="1"/>
  <c r="N49" i="105" s="1"/>
  <c r="L174" i="22"/>
  <c r="L641" i="22" s="1"/>
  <c r="N48" i="105" s="1"/>
  <c r="P129" i="22"/>
  <c r="P609" i="22" s="1"/>
  <c r="AD39" i="105" s="1"/>
  <c r="O129" i="22"/>
  <c r="O609" i="22" s="1"/>
  <c r="Y39" i="105" s="1"/>
  <c r="L129" i="22"/>
  <c r="L609" i="22" s="1"/>
  <c r="N39" i="105" s="1"/>
  <c r="P128" i="22"/>
  <c r="P603" i="22" s="1"/>
  <c r="AD38" i="105" s="1"/>
  <c r="O128" i="22"/>
  <c r="O603" i="22" s="1"/>
  <c r="Y38" i="105" s="1"/>
  <c r="L128" i="22"/>
  <c r="L603" i="22" s="1"/>
  <c r="N38" i="105" s="1"/>
  <c r="P127" i="22"/>
  <c r="P597" i="22" s="1"/>
  <c r="AD37" i="105" s="1"/>
  <c r="O127" i="22"/>
  <c r="O597" i="22" s="1"/>
  <c r="Y37" i="105" s="1"/>
  <c r="L127" i="22"/>
  <c r="L597" i="22" s="1"/>
  <c r="N37" i="105" s="1"/>
  <c r="P126" i="22"/>
  <c r="P591" i="22" s="1"/>
  <c r="O126" i="22"/>
  <c r="O591" i="22" s="1"/>
  <c r="P125" i="22"/>
  <c r="P585" i="22" s="1"/>
  <c r="AD35" i="105" s="1"/>
  <c r="O125" i="22"/>
  <c r="O585" i="22" s="1"/>
  <c r="Y35" i="105" s="1"/>
  <c r="P124" i="22"/>
  <c r="P579" i="22" s="1"/>
  <c r="AD34" i="105" s="1"/>
  <c r="O124" i="22"/>
  <c r="O579" i="22" s="1"/>
  <c r="Y34" i="105" s="1"/>
  <c r="P123" i="22"/>
  <c r="P573" i="22" s="1"/>
  <c r="AD33" i="105" s="1"/>
  <c r="O123" i="22"/>
  <c r="O573" i="22" s="1"/>
  <c r="Y33" i="105" s="1"/>
  <c r="L82" i="22"/>
  <c r="L565" i="22" s="1"/>
  <c r="N28" i="105" s="1"/>
  <c r="L81" i="22"/>
  <c r="L559" i="22" s="1"/>
  <c r="N27" i="105" s="1"/>
  <c r="L80" i="22"/>
  <c r="L553" i="22" s="1"/>
  <c r="N26" i="105" s="1"/>
  <c r="O114" i="22"/>
  <c r="O572" i="22" s="1"/>
  <c r="X33" i="105" s="1"/>
  <c r="P114" i="22"/>
  <c r="O115" i="22"/>
  <c r="P115" i="22"/>
  <c r="P578" i="22" s="1"/>
  <c r="AC34" i="105" s="1"/>
  <c r="O116" i="22"/>
  <c r="O584" i="22" s="1"/>
  <c r="X35" i="105" s="1"/>
  <c r="P116" i="22"/>
  <c r="O117" i="22"/>
  <c r="P117" i="22"/>
  <c r="P590" i="22" s="1"/>
  <c r="J118" i="22"/>
  <c r="L118" i="22"/>
  <c r="O118" i="22"/>
  <c r="O596" i="22" s="1"/>
  <c r="X37" i="105" s="1"/>
  <c r="P118" i="22"/>
  <c r="Q118" i="22"/>
  <c r="J119" i="22"/>
  <c r="L119" i="22"/>
  <c r="O119" i="22"/>
  <c r="P119" i="22"/>
  <c r="P602" i="22" s="1"/>
  <c r="AC38" i="105" s="1"/>
  <c r="Q119" i="22"/>
  <c r="J120" i="22"/>
  <c r="L120" i="22"/>
  <c r="O120" i="22"/>
  <c r="O608" i="22" s="1"/>
  <c r="X39" i="105" s="1"/>
  <c r="P120" i="22"/>
  <c r="Q120" i="22"/>
  <c r="Q167" i="22"/>
  <c r="L167" i="22"/>
  <c r="L652" i="22" s="1"/>
  <c r="M50" i="105" s="1"/>
  <c r="J167" i="22"/>
  <c r="Q166" i="22"/>
  <c r="L166" i="22"/>
  <c r="L646" i="22" s="1"/>
  <c r="M49" i="105" s="1"/>
  <c r="J166" i="22"/>
  <c r="Q165" i="22"/>
  <c r="L165" i="22"/>
  <c r="L640" i="22" s="1"/>
  <c r="M48" i="105" s="1"/>
  <c r="J165" i="22"/>
  <c r="Q73" i="22"/>
  <c r="L73" i="22"/>
  <c r="J73" i="22"/>
  <c r="Q72" i="22"/>
  <c r="L72" i="22"/>
  <c r="J72" i="22"/>
  <c r="Q71" i="22"/>
  <c r="L71" i="22"/>
  <c r="J71" i="22"/>
  <c r="H22" i="72" a="1"/>
  <c r="H22" i="72" s="1"/>
  <c r="AC36" i="105" l="1"/>
  <c r="AC141" i="105" s="1"/>
  <c r="AE36" i="105"/>
  <c r="AE141" i="105" s="1"/>
  <c r="Y36" i="105"/>
  <c r="Y141" i="105" s="1"/>
  <c r="AA36" i="105"/>
  <c r="AA141" i="105" s="1"/>
  <c r="AD36" i="105"/>
  <c r="AD141" i="105" s="1"/>
  <c r="AF36" i="105"/>
  <c r="AF141" i="105" s="1"/>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Y170" i="105"/>
  <c r="Z170" i="105"/>
  <c r="AA170" i="105"/>
  <c r="W185" i="105"/>
  <c r="AD170" i="105"/>
  <c r="AE170" i="105"/>
  <c r="AF170" i="105"/>
  <c r="AB185" i="105"/>
  <c r="J279" i="22"/>
  <c r="J552" i="22"/>
  <c r="J26" i="105" s="1"/>
  <c r="Q292" i="22"/>
  <c r="Q646" i="22"/>
  <c r="AG49" i="105" s="1"/>
  <c r="P254" i="22"/>
  <c r="P584" i="22"/>
  <c r="AC35" i="105" s="1"/>
  <c r="W199" i="22"/>
  <c r="W231" i="22" s="1"/>
  <c r="W527" i="22"/>
  <c r="AM22" i="105" s="1"/>
  <c r="U200" i="22"/>
  <c r="U242" i="22" s="1"/>
  <c r="U533" i="22"/>
  <c r="AK23" i="105" s="1"/>
  <c r="Y200" i="22"/>
  <c r="Y242" i="22" s="1"/>
  <c r="Y533" i="22"/>
  <c r="AO23"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W233" i="22"/>
  <c r="W615" i="22"/>
  <c r="AM44" i="105" s="1"/>
  <c r="U244" i="22"/>
  <c r="U621" i="22"/>
  <c r="AK45" i="105" s="1"/>
  <c r="Y244" i="22"/>
  <c r="Y621" i="22"/>
  <c r="AO45"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J280" i="22"/>
  <c r="J596" i="22"/>
  <c r="J37" i="105" s="1"/>
  <c r="P232" i="22"/>
  <c r="P572" i="22"/>
  <c r="AC33" i="105" s="1"/>
  <c r="L301" i="22"/>
  <c r="L564" i="22"/>
  <c r="M28" i="105" s="1"/>
  <c r="Q301" i="22"/>
  <c r="Q564" i="22"/>
  <c r="AG28" i="105" s="1"/>
  <c r="J281" i="22"/>
  <c r="J640" i="22"/>
  <c r="J48" i="105" s="1"/>
  <c r="K279" i="22"/>
  <c r="K551" i="22"/>
  <c r="K26" i="105" s="1"/>
  <c r="T279" i="22"/>
  <c r="T551" i="22"/>
  <c r="AJ26" i="105" s="1"/>
  <c r="X279" i="22"/>
  <c r="X551" i="22"/>
  <c r="AN26" i="105" s="1"/>
  <c r="R290" i="22"/>
  <c r="R557" i="22"/>
  <c r="AH27" i="105" s="1"/>
  <c r="V290" i="22"/>
  <c r="V557" i="22"/>
  <c r="AL27" i="105" s="1"/>
  <c r="K301" i="22"/>
  <c r="K563" i="22"/>
  <c r="K28" i="105" s="1"/>
  <c r="V232" i="22"/>
  <c r="V571" i="22"/>
  <c r="AL33" i="105" s="1"/>
  <c r="X243" i="22"/>
  <c r="X577" i="22"/>
  <c r="AN34" i="105" s="1"/>
  <c r="V254" i="22"/>
  <c r="V583" i="22"/>
  <c r="AL35"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P302" i="22"/>
  <c r="P608" i="22"/>
  <c r="AC39" i="105" s="1"/>
  <c r="J302" i="22"/>
  <c r="J608" i="22"/>
  <c r="J39" i="105" s="1"/>
  <c r="P280" i="22"/>
  <c r="P596" i="22"/>
  <c r="AC37" i="105" s="1"/>
  <c r="Q291" i="22"/>
  <c r="Q602" i="22"/>
  <c r="AG38" i="105" s="1"/>
  <c r="L291" i="22"/>
  <c r="L602" i="22"/>
  <c r="M38" i="105" s="1"/>
  <c r="J290" i="22"/>
  <c r="J558" i="22"/>
  <c r="J27" i="105" s="1"/>
  <c r="Q281" i="22"/>
  <c r="Q640" i="22"/>
  <c r="AG48" i="105" s="1"/>
  <c r="Q303" i="22"/>
  <c r="Q652" i="22"/>
  <c r="AG50" i="105" s="1"/>
  <c r="J291" i="22"/>
  <c r="J602" i="22"/>
  <c r="J38" i="105" s="1"/>
  <c r="U199" i="22"/>
  <c r="U231" i="22" s="1"/>
  <c r="U527" i="22"/>
  <c r="AK22" i="105" s="1"/>
  <c r="Y199" i="22"/>
  <c r="Y231" i="22" s="1"/>
  <c r="Y527" i="22"/>
  <c r="AO22" i="105" s="1"/>
  <c r="W200" i="22"/>
  <c r="W242" i="22" s="1"/>
  <c r="W533" i="22"/>
  <c r="AM23" i="105" s="1"/>
  <c r="U201" i="22"/>
  <c r="U253" i="22" s="1"/>
  <c r="U539" i="22"/>
  <c r="AK24" i="105" s="1"/>
  <c r="Y201" i="22"/>
  <c r="Y253" i="22" s="1"/>
  <c r="Y539" i="22"/>
  <c r="AO24"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W244" i="22"/>
  <c r="W621" i="22"/>
  <c r="AM45" i="105" s="1"/>
  <c r="U255" i="22"/>
  <c r="U627" i="22"/>
  <c r="AK46" i="105" s="1"/>
  <c r="Y255" i="22"/>
  <c r="Y627" i="22"/>
  <c r="AO46" i="105" s="1"/>
  <c r="W270" i="22"/>
  <c r="W633" i="22"/>
  <c r="U281" i="22"/>
  <c r="U639" i="22"/>
  <c r="AK48" i="105" s="1"/>
  <c r="Y281" i="22"/>
  <c r="Y639" i="22"/>
  <c r="AO48" i="105" s="1"/>
  <c r="S292" i="22"/>
  <c r="S645" i="22"/>
  <c r="AI49" i="105" s="1"/>
  <c r="W292" i="22"/>
  <c r="W645" i="22"/>
  <c r="AM49" i="105" s="1"/>
  <c r="U303" i="22"/>
  <c r="U651" i="22"/>
  <c r="AK50" i="105" s="1"/>
  <c r="Y303" i="22"/>
  <c r="Y651" i="22"/>
  <c r="AO50" i="105" s="1"/>
  <c r="L279" i="22"/>
  <c r="L552" i="22"/>
  <c r="M26" i="105" s="1"/>
  <c r="Q279" i="22"/>
  <c r="Q552" i="22"/>
  <c r="AG26" i="105" s="1"/>
  <c r="J303" i="22"/>
  <c r="J652" i="22"/>
  <c r="J50" i="105" s="1"/>
  <c r="L290" i="22"/>
  <c r="L558" i="22"/>
  <c r="M27" i="105" s="1"/>
  <c r="Q290" i="22"/>
  <c r="Q558" i="22"/>
  <c r="AG27" i="105" s="1"/>
  <c r="J292" i="22"/>
  <c r="J646" i="22"/>
  <c r="J49" i="105" s="1"/>
  <c r="Q302" i="22"/>
  <c r="Q608" i="22"/>
  <c r="AG39" i="105" s="1"/>
  <c r="L302" i="22"/>
  <c r="L608" i="22"/>
  <c r="M39" i="105" s="1"/>
  <c r="O291" i="22"/>
  <c r="O602" i="22"/>
  <c r="X38" i="105" s="1"/>
  <c r="Q280" i="22"/>
  <c r="Q596" i="22"/>
  <c r="AG37" i="105" s="1"/>
  <c r="L280" i="22"/>
  <c r="L596" i="22"/>
  <c r="M37" i="105" s="1"/>
  <c r="O269" i="22"/>
  <c r="O590" i="22"/>
  <c r="O243" i="22"/>
  <c r="O578" i="22"/>
  <c r="X34" i="105" s="1"/>
  <c r="R279" i="22"/>
  <c r="R551" i="22"/>
  <c r="AH26" i="105" s="1"/>
  <c r="V279" i="22"/>
  <c r="V551" i="22"/>
  <c r="AL26" i="105" s="1"/>
  <c r="K290" i="22"/>
  <c r="K557" i="22"/>
  <c r="K27" i="105" s="1"/>
  <c r="T290" i="22"/>
  <c r="T557" i="22"/>
  <c r="AJ27" i="105" s="1"/>
  <c r="X290" i="22"/>
  <c r="X557" i="22"/>
  <c r="AN27" i="105" s="1"/>
  <c r="R301" i="22"/>
  <c r="R563" i="22"/>
  <c r="AH28" i="105" s="1"/>
  <c r="X232" i="22"/>
  <c r="X571" i="22"/>
  <c r="AN33" i="105" s="1"/>
  <c r="V243" i="22"/>
  <c r="V577" i="22"/>
  <c r="AL34" i="105" s="1"/>
  <c r="X254" i="22"/>
  <c r="X583" i="22"/>
  <c r="AN35" i="105" s="1"/>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X302" i="22"/>
  <c r="X607" i="22"/>
  <c r="AN39" i="105" s="1"/>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M279" i="22"/>
  <c r="M301" i="22"/>
  <c r="M290" i="22"/>
  <c r="L292" i="22"/>
  <c r="L281" i="22"/>
  <c r="L303" i="22"/>
  <c r="O302" i="22"/>
  <c r="O280" i="22"/>
  <c r="O254" i="22"/>
  <c r="O232" i="22"/>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AO36" i="105" l="1"/>
  <c r="AO141" i="105" s="1"/>
  <c r="AO47" i="105"/>
  <c r="AO142" i="105" s="1"/>
  <c r="AK36" i="105"/>
  <c r="AK141" i="105" s="1"/>
  <c r="AN36" i="105"/>
  <c r="AN141" i="105" s="1"/>
  <c r="AK47" i="105"/>
  <c r="AK142" i="105" s="1"/>
  <c r="AL36" i="105"/>
  <c r="AL141" i="105" s="1"/>
  <c r="X36" i="105"/>
  <c r="X141" i="105" s="1"/>
  <c r="AM47" i="105"/>
  <c r="AM142" i="105" s="1"/>
  <c r="AM36" i="105"/>
  <c r="AM141" i="105" s="1"/>
  <c r="AI36" i="105"/>
  <c r="AI141" i="105" s="1"/>
  <c r="AC147" i="105"/>
  <c r="K170" i="105"/>
  <c r="Q170" i="105"/>
  <c r="AG170" i="105"/>
  <c r="M170" i="105"/>
  <c r="AM147" i="105"/>
  <c r="AM196" i="105"/>
  <c r="AM197" i="105"/>
  <c r="AM193" i="105"/>
  <c r="AM188" i="105"/>
  <c r="AM186" i="105"/>
  <c r="AM184" i="105"/>
  <c r="AM182" i="105"/>
  <c r="AM198" i="105"/>
  <c r="AM194" i="105"/>
  <c r="AM199" i="105"/>
  <c r="AM195" i="105"/>
  <c r="AM187" i="105"/>
  <c r="AM185" i="105"/>
  <c r="AM183" i="105"/>
  <c r="AM170" i="105"/>
  <c r="AM172" i="105" s="1"/>
  <c r="AO197" i="105"/>
  <c r="AO193" i="105"/>
  <c r="AO198" i="105"/>
  <c r="AO194" i="105"/>
  <c r="AO187" i="105"/>
  <c r="AO185" i="105"/>
  <c r="AO183" i="105"/>
  <c r="AO199" i="105"/>
  <c r="AO195" i="105"/>
  <c r="AO196" i="105"/>
  <c r="AO188" i="105"/>
  <c r="AO186" i="105"/>
  <c r="AO184" i="105"/>
  <c r="AO182" i="105"/>
  <c r="AO170" i="105"/>
  <c r="AO172" i="105" s="1"/>
  <c r="AN170" i="105"/>
  <c r="AJ170" i="105"/>
  <c r="AK148" i="105"/>
  <c r="AL147" i="105"/>
  <c r="AH170" i="105"/>
  <c r="AK147" i="105"/>
  <c r="AN147" i="105"/>
  <c r="AI147" i="105"/>
  <c r="AI170" i="105"/>
  <c r="AK199" i="105"/>
  <c r="AK195" i="105"/>
  <c r="AK196" i="105"/>
  <c r="AK187" i="105"/>
  <c r="AK185" i="105"/>
  <c r="AK183" i="105"/>
  <c r="AK197" i="105"/>
  <c r="AK193" i="105"/>
  <c r="AK198" i="105"/>
  <c r="AK194" i="105"/>
  <c r="AK188" i="105"/>
  <c r="AK186" i="105"/>
  <c r="AK184" i="105"/>
  <c r="AK182" i="105"/>
  <c r="AK170" i="105"/>
  <c r="AK172" i="105" s="1"/>
  <c r="AO148" i="105"/>
  <c r="AL170" i="105"/>
  <c r="AM148" i="105"/>
  <c r="AO147" i="105"/>
  <c r="X147" i="105"/>
  <c r="AO126" i="65"/>
  <c r="AN126" i="65"/>
  <c r="AM126" i="65"/>
  <c r="AH126" i="65"/>
  <c r="AK125" i="65"/>
  <c r="AJ125" i="65"/>
  <c r="AI125" i="65"/>
  <c r="AL125" i="65"/>
  <c r="AK126" i="65"/>
  <c r="AJ126" i="65"/>
  <c r="AI126" i="65"/>
  <c r="AL126" i="65"/>
  <c r="AN125" i="65"/>
  <c r="AM125" i="65"/>
  <c r="AH125" i="65"/>
  <c r="AO200" i="105" l="1"/>
  <c r="AK189" i="105"/>
  <c r="AK200" i="105"/>
  <c r="AO189" i="105"/>
  <c r="AM189" i="105"/>
  <c r="AM200" i="105"/>
  <c r="K53" i="86"/>
  <c r="N53" i="86"/>
  <c r="O53" i="86"/>
  <c r="Q53" i="86"/>
  <c r="R53" i="86"/>
  <c r="P54" i="86"/>
  <c r="M54" i="86"/>
  <c r="S53" i="86"/>
  <c r="L54" i="86"/>
  <c r="N38" i="53" l="1"/>
  <c r="O38" i="53"/>
  <c r="P38" i="53"/>
  <c r="Q23" i="112" l="1"/>
  <c r="K23" i="112"/>
  <c r="H31" i="112" l="1"/>
  <c r="H30" i="112"/>
  <c r="H65" i="41" l="1"/>
  <c r="H64"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W22" i="112"/>
  <c r="U22" i="112"/>
  <c r="Y21" i="112"/>
  <c r="X21" i="112"/>
  <c r="W21" i="112"/>
  <c r="V21" i="112"/>
  <c r="U21" i="112"/>
  <c r="S21" i="112"/>
  <c r="P21" i="112"/>
  <c r="O21" i="112"/>
  <c r="Y20" i="112"/>
  <c r="W20" i="112"/>
  <c r="U20" i="112"/>
  <c r="A2" i="112"/>
  <c r="A1" i="112"/>
  <c r="C16" i="112" s="1"/>
  <c r="G195" i="85" s="1"/>
  <c r="V45" i="112" l="1"/>
  <c r="M44" i="112"/>
  <c r="U45" i="112"/>
  <c r="M45" i="112"/>
  <c r="T44" i="112"/>
  <c r="L44" i="112"/>
  <c r="T45" i="112"/>
  <c r="S44" i="112"/>
  <c r="K44" i="112"/>
  <c r="S45" i="112"/>
  <c r="K45" i="112"/>
  <c r="R44" i="112"/>
  <c r="R45" i="112"/>
  <c r="Y44" i="112"/>
  <c r="Q44" i="112"/>
  <c r="Y45" i="112"/>
  <c r="P44" i="112"/>
  <c r="X45" i="112"/>
  <c r="W44" i="112"/>
  <c r="O44" i="112"/>
  <c r="U44" i="112"/>
  <c r="Q45" i="112"/>
  <c r="X44" i="112"/>
  <c r="W45" i="112"/>
  <c r="V44"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W50" i="112"/>
  <c r="U50" i="112"/>
  <c r="Y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W336" i="22"/>
  <c r="W341" i="22"/>
  <c r="Y337" i="22"/>
  <c r="Y336" i="22"/>
  <c r="Y346" i="22"/>
  <c r="Y350" i="22"/>
  <c r="U337" i="22"/>
  <c r="U344" i="22"/>
  <c r="U348" i="22"/>
  <c r="S336" i="22"/>
  <c r="S350" i="22"/>
  <c r="S338" i="22"/>
  <c r="V335" i="22"/>
  <c r="X341" i="22"/>
  <c r="X349" i="22"/>
  <c r="X339" i="22"/>
  <c r="W340" i="22"/>
  <c r="W347" i="22"/>
  <c r="W335" i="22"/>
  <c r="W338" i="22"/>
  <c r="R340" i="22"/>
  <c r="R349" i="22"/>
  <c r="Y345" i="22"/>
  <c r="U340" i="22"/>
  <c r="X337" i="22"/>
  <c r="X335" i="22"/>
  <c r="W346" i="22"/>
  <c r="R348" i="22"/>
  <c r="Y341" i="22"/>
  <c r="Y340" i="22"/>
  <c r="Y347" i="22"/>
  <c r="U335" i="22"/>
  <c r="U341" i="22"/>
  <c r="U345" i="22"/>
  <c r="U349" i="22"/>
  <c r="S340" i="22"/>
  <c r="S335" i="22"/>
  <c r="V340" i="22"/>
  <c r="V348" i="22"/>
  <c r="V339" i="22"/>
  <c r="V337" i="22"/>
  <c r="X336" i="22"/>
  <c r="T340" i="22"/>
  <c r="W344" i="22"/>
  <c r="W348" i="22"/>
  <c r="W339" i="22"/>
  <c r="R339" i="22"/>
  <c r="Y339" i="22"/>
  <c r="U338" i="22"/>
  <c r="S337" i="22"/>
  <c r="S341" i="22"/>
  <c r="V336" i="22"/>
  <c r="X348" i="22"/>
  <c r="T349" i="22"/>
  <c r="W350" i="22"/>
  <c r="Y335" i="22"/>
  <c r="Y344" i="22"/>
  <c r="Y348" i="22"/>
  <c r="U339" i="22"/>
  <c r="U336" i="22"/>
  <c r="U346" i="22"/>
  <c r="U350" i="22"/>
  <c r="S348" i="22"/>
  <c r="S339" i="22"/>
  <c r="V349" i="22"/>
  <c r="V338" i="22"/>
  <c r="V341" i="22"/>
  <c r="X340" i="22"/>
  <c r="X358" i="22" s="1"/>
  <c r="X338" i="22"/>
  <c r="T348" i="22"/>
  <c r="T339" i="22"/>
  <c r="W345" i="22"/>
  <c r="W349" i="22"/>
  <c r="W337" i="22"/>
  <c r="R350" i="22"/>
  <c r="R341" i="22"/>
  <c r="V285" i="22"/>
  <c r="X273" i="22"/>
  <c r="W247" i="22"/>
  <c r="X285" i="22"/>
  <c r="W285" i="22"/>
  <c r="W307" i="22"/>
  <c r="X296" i="22"/>
  <c r="U306" i="22"/>
  <c r="X306" i="22"/>
  <c r="Y258" i="22"/>
  <c r="R284" i="22"/>
  <c r="U284" i="22"/>
  <c r="W306" i="22"/>
  <c r="Y306" i="22"/>
  <c r="W273" i="22"/>
  <c r="S247" i="22"/>
  <c r="S296" i="22"/>
  <c r="W295" i="22"/>
  <c r="W284" i="22"/>
  <c r="U273" i="22"/>
  <c r="W248" i="22"/>
  <c r="W249" i="22" s="1"/>
  <c r="Y296" i="22"/>
  <c r="V284" i="22"/>
  <c r="V306" i="22"/>
  <c r="Y295" i="22"/>
  <c r="V273" i="22"/>
  <c r="V258" i="22"/>
  <c r="Y247" i="22"/>
  <c r="V295" i="22"/>
  <c r="V296" i="22"/>
  <c r="Y273" i="22"/>
  <c r="S258" i="22"/>
  <c r="U247" i="22"/>
  <c r="Y248" i="22"/>
  <c r="T285" i="22"/>
  <c r="W296" i="22"/>
  <c r="R295" i="22"/>
  <c r="U258" i="22"/>
  <c r="U248" i="22"/>
  <c r="Y274" i="22"/>
  <c r="Y307" i="22"/>
  <c r="T296" i="22"/>
  <c r="S284" i="22"/>
  <c r="W274" i="22"/>
  <c r="S273" i="22"/>
  <c r="W258" i="22"/>
  <c r="S306" i="22"/>
  <c r="R306" i="22"/>
  <c r="V247" i="22"/>
  <c r="U295" i="22"/>
  <c r="W259" i="22"/>
  <c r="T284" i="22"/>
  <c r="X258" i="22"/>
  <c r="T295" i="22"/>
  <c r="S307" i="22"/>
  <c r="S295" i="22"/>
  <c r="S285" i="22"/>
  <c r="R307" i="22"/>
  <c r="R296" i="22"/>
  <c r="R285" i="22"/>
  <c r="U237" i="22"/>
  <c r="U236" i="22"/>
  <c r="U307" i="22"/>
  <c r="U296" i="22"/>
  <c r="U285" i="22"/>
  <c r="U274" i="22"/>
  <c r="Y259" i="22"/>
  <c r="U259" i="22"/>
  <c r="Y237" i="22"/>
  <c r="Y236" i="22"/>
  <c r="Y284" i="22"/>
  <c r="P98" i="73"/>
  <c r="P85" i="72"/>
  <c r="P116" i="71"/>
  <c r="P27" i="80"/>
  <c r="M99" i="73"/>
  <c r="M86" i="72"/>
  <c r="M117" i="71"/>
  <c r="M28" i="80"/>
  <c r="O99" i="73"/>
  <c r="O86" i="72"/>
  <c r="O117" i="71"/>
  <c r="O28" i="80"/>
  <c r="K98" i="73"/>
  <c r="K85" i="72"/>
  <c r="K116" i="71"/>
  <c r="K27" i="80"/>
  <c r="X236" i="22"/>
  <c r="X295" i="22"/>
  <c r="X247" i="22"/>
  <c r="S236" i="22"/>
  <c r="Y285" i="22"/>
  <c r="N86" i="72"/>
  <c r="N117" i="71"/>
  <c r="N99" i="73"/>
  <c r="N28" i="80"/>
  <c r="J98" i="73"/>
  <c r="J85" i="72"/>
  <c r="J116" i="71"/>
  <c r="J27" i="80"/>
  <c r="X284" i="22"/>
  <c r="W237" i="22"/>
  <c r="W236" i="22"/>
  <c r="V236" i="22"/>
  <c r="L86" i="72"/>
  <c r="L117" i="71"/>
  <c r="L99" i="73"/>
  <c r="L28" i="80"/>
  <c r="Q98" i="73"/>
  <c r="Q85" i="72"/>
  <c r="Q116" i="71"/>
  <c r="Q27" i="80"/>
  <c r="X286" i="22" l="1"/>
  <c r="U354" i="22"/>
  <c r="U487" i="22" s="1"/>
  <c r="AK54" i="41" s="1"/>
  <c r="W355" i="22"/>
  <c r="W493" i="22" s="1"/>
  <c r="AM55" i="41" s="1"/>
  <c r="X511" i="22"/>
  <c r="Y359" i="22"/>
  <c r="U357" i="22"/>
  <c r="R359" i="22"/>
  <c r="Y357" i="22"/>
  <c r="V357" i="22"/>
  <c r="U358" i="22"/>
  <c r="Y358" i="22"/>
  <c r="S358" i="22"/>
  <c r="S359" i="22"/>
  <c r="W356" i="22"/>
  <c r="U356" i="22"/>
  <c r="U359" i="22"/>
  <c r="W358" i="22"/>
  <c r="X357" i="22"/>
  <c r="Y354" i="22"/>
  <c r="Y487" i="22" s="1"/>
  <c r="AO54" i="41" s="1"/>
  <c r="W354" i="22"/>
  <c r="W487" i="22" s="1"/>
  <c r="AM54" i="41" s="1"/>
  <c r="S357" i="22"/>
  <c r="R357" i="22"/>
  <c r="W357" i="22"/>
  <c r="U353" i="22"/>
  <c r="U481" i="22" s="1"/>
  <c r="AK53" i="41" s="1"/>
  <c r="R358" i="22"/>
  <c r="U355" i="22"/>
  <c r="U493" i="22" s="1"/>
  <c r="AK55" i="41" s="1"/>
  <c r="Y355" i="22"/>
  <c r="Y493" i="22" s="1"/>
  <c r="AO55" i="41" s="1"/>
  <c r="T358" i="22"/>
  <c r="V358" i="22"/>
  <c r="W353" i="22"/>
  <c r="W481" i="22" s="1"/>
  <c r="AM53" i="41" s="1"/>
  <c r="T357" i="22"/>
  <c r="Y353" i="22"/>
  <c r="Y481" i="22" s="1"/>
  <c r="AO53" i="41" s="1"/>
  <c r="W359" i="22"/>
  <c r="Y356" i="22"/>
  <c r="V286" i="22"/>
  <c r="X297" i="22"/>
  <c r="S286" i="22"/>
  <c r="W308" i="22"/>
  <c r="R286" i="22"/>
  <c r="U308" i="22"/>
  <c r="Y275" i="22"/>
  <c r="Y16" i="111" s="1"/>
  <c r="Y308" i="22"/>
  <c r="S297" i="22"/>
  <c r="U275" i="22"/>
  <c r="U18" i="74" s="1"/>
  <c r="Y249" i="22"/>
  <c r="Y32" i="53" s="1"/>
  <c r="W286" i="22"/>
  <c r="W188" i="80" s="1"/>
  <c r="U260" i="22"/>
  <c r="Y260" i="22"/>
  <c r="U286" i="22"/>
  <c r="V297" i="22"/>
  <c r="Y297" i="22"/>
  <c r="Y189" i="80" s="1"/>
  <c r="W275" i="22"/>
  <c r="W16" i="111" s="1"/>
  <c r="R308" i="22"/>
  <c r="T297" i="22"/>
  <c r="T189" i="80" s="1"/>
  <c r="U249" i="22"/>
  <c r="S308" i="22"/>
  <c r="W260" i="22"/>
  <c r="W297" i="22"/>
  <c r="U238" i="22"/>
  <c r="Y238" i="22"/>
  <c r="Y31" i="53" s="1"/>
  <c r="U297" i="22"/>
  <c r="R297" i="22"/>
  <c r="T286" i="22"/>
  <c r="W238" i="22"/>
  <c r="W56" i="80" s="1"/>
  <c r="Y286" i="22"/>
  <c r="Y188" i="80" s="1"/>
  <c r="W57" i="80"/>
  <c r="W32" i="53"/>
  <c r="X188" i="80"/>
  <c r="AN58" i="41" l="1"/>
  <c r="AN80" i="41" s="1"/>
  <c r="AK164" i="41"/>
  <c r="U511" i="22"/>
  <c r="V511" i="22"/>
  <c r="W511" i="22"/>
  <c r="S511" i="22"/>
  <c r="Y499" i="22"/>
  <c r="AO56" i="41" s="1"/>
  <c r="T511" i="22"/>
  <c r="R511" i="22"/>
  <c r="Y511" i="22"/>
  <c r="U499" i="22"/>
  <c r="AK56" i="41" s="1"/>
  <c r="W499" i="22"/>
  <c r="AM56" i="41" s="1"/>
  <c r="U505" i="22"/>
  <c r="AK57" i="41" s="1"/>
  <c r="AM164" i="41"/>
  <c r="U517" i="22"/>
  <c r="AK59" i="41" s="1"/>
  <c r="W517" i="22"/>
  <c r="AM59" i="41" s="1"/>
  <c r="AO164" i="41"/>
  <c r="S517" i="22"/>
  <c r="AI59" i="41" s="1"/>
  <c r="R517" i="22"/>
  <c r="AH59" i="41" s="1"/>
  <c r="Y517" i="22"/>
  <c r="AO59" i="41" s="1"/>
  <c r="X505" i="22"/>
  <c r="AN57" i="41" s="1"/>
  <c r="S505" i="22"/>
  <c r="AI57" i="41" s="1"/>
  <c r="V505" i="22"/>
  <c r="AL57" i="41" s="1"/>
  <c r="T505" i="22"/>
  <c r="AJ57" i="41" s="1"/>
  <c r="W505" i="22"/>
  <c r="AM57" i="41" s="1"/>
  <c r="Y505" i="22"/>
  <c r="AO57" i="41" s="1"/>
  <c r="R505" i="22"/>
  <c r="AH57" i="41" s="1"/>
  <c r="Y191" i="80"/>
  <c r="Y192" i="80" s="1"/>
  <c r="V188" i="80"/>
  <c r="X189" i="80"/>
  <c r="X191" i="80" s="1"/>
  <c r="X192" i="80" s="1"/>
  <c r="S188" i="80"/>
  <c r="Y264" i="22"/>
  <c r="Y17" i="111" s="1"/>
  <c r="U188" i="80"/>
  <c r="Y18" i="74"/>
  <c r="Y33" i="53"/>
  <c r="Y34" i="53" s="1"/>
  <c r="R188" i="80"/>
  <c r="Y58" i="80"/>
  <c r="U33" i="53"/>
  <c r="R189" i="80"/>
  <c r="S189" i="80"/>
  <c r="U16" i="111"/>
  <c r="U27" i="111" s="1"/>
  <c r="U33" i="111" s="1"/>
  <c r="U58" i="80"/>
  <c r="W18" i="74"/>
  <c r="Y57" i="80"/>
  <c r="V189" i="80"/>
  <c r="W33" i="53"/>
  <c r="W58" i="80"/>
  <c r="W59" i="80" s="1"/>
  <c r="U264" i="22"/>
  <c r="U17" i="111" s="1"/>
  <c r="U32" i="53"/>
  <c r="U57" i="80"/>
  <c r="U56" i="80"/>
  <c r="U31" i="53"/>
  <c r="W189" i="80"/>
  <c r="W191" i="80" s="1"/>
  <c r="W192" i="80" s="1"/>
  <c r="U189" i="80"/>
  <c r="Y56" i="80"/>
  <c r="T188" i="80"/>
  <c r="T191" i="80" s="1"/>
  <c r="T192" i="80" s="1"/>
  <c r="W31" i="53"/>
  <c r="W264" i="22"/>
  <c r="W17" i="111" s="1"/>
  <c r="W27" i="111"/>
  <c r="W33" i="111" s="1"/>
  <c r="W28" i="111"/>
  <c r="W34" i="111" s="1"/>
  <c r="Y27" i="111"/>
  <c r="Y33" i="111" s="1"/>
  <c r="Y28" i="111"/>
  <c r="Y34" i="111" s="1"/>
  <c r="AL58" i="41" l="1"/>
  <c r="AL80" i="41" s="1"/>
  <c r="AO58" i="41"/>
  <c r="AO80" i="41" s="1"/>
  <c r="AH58" i="41"/>
  <c r="AH80" i="41" s="1"/>
  <c r="AI58" i="41"/>
  <c r="AI80" i="41" s="1"/>
  <c r="AK58" i="41"/>
  <c r="AK80" i="41" s="1"/>
  <c r="AJ58" i="41"/>
  <c r="AJ80" i="41" s="1"/>
  <c r="AM58" i="41"/>
  <c r="AM80" i="41" s="1"/>
  <c r="AO79" i="41"/>
  <c r="AJ79" i="41"/>
  <c r="AI79" i="41"/>
  <c r="AH79" i="41"/>
  <c r="AM79" i="41"/>
  <c r="AL79" i="41"/>
  <c r="AK79" i="41"/>
  <c r="AN79" i="41"/>
  <c r="U191" i="80"/>
  <c r="U192" i="80" s="1"/>
  <c r="V191" i="80"/>
  <c r="V192" i="80" s="1"/>
  <c r="S191" i="80"/>
  <c r="S192" i="80" s="1"/>
  <c r="R191" i="80"/>
  <c r="R192" i="80" s="1"/>
  <c r="Y59" i="80"/>
  <c r="U28" i="111"/>
  <c r="U34" i="111" s="1"/>
  <c r="Y50" i="53"/>
  <c r="Y49" i="53"/>
  <c r="Y48" i="53"/>
  <c r="U59" i="80"/>
  <c r="W34" i="53"/>
  <c r="U34" i="53"/>
  <c r="W50" i="53" l="1"/>
  <c r="W49" i="53"/>
  <c r="W48"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3" i="89"/>
  <c r="H49" i="86"/>
  <c r="H79" i="89"/>
  <c r="H44" i="89"/>
  <c r="H45" i="89" s="1"/>
  <c r="H56" i="89"/>
  <c r="H69" i="89"/>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A2" i="89"/>
  <c r="A1" i="89"/>
  <c r="C89"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47" i="65" l="1"/>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N172" i="65"/>
  <c r="AN77" i="105" s="1"/>
  <c r="AH163" i="65"/>
  <c r="AH68" i="105" s="1"/>
  <c r="AJ163" i="65"/>
  <c r="AJ68" i="105" s="1"/>
  <c r="AI172" i="65"/>
  <c r="AI77" i="105" s="1"/>
  <c r="AH172" i="65"/>
  <c r="AH77" i="105" s="1"/>
  <c r="AL172" i="65"/>
  <c r="AL7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N173" i="65"/>
  <c r="AN78" i="105" s="1"/>
  <c r="AJ164" i="65"/>
  <c r="AJ69" i="105" s="1"/>
  <c r="AH164" i="65"/>
  <c r="AH69" i="105" s="1"/>
  <c r="AJ173" i="65"/>
  <c r="AJ78" i="105" s="1"/>
  <c r="AH173" i="65"/>
  <c r="AH78" i="105" s="1"/>
  <c r="AL173" i="65"/>
  <c r="AL7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N57" i="23"/>
  <c r="L113" i="31"/>
  <c r="J117" i="31"/>
  <c r="S113" i="31"/>
  <c r="L110" i="31"/>
  <c r="P118" i="31"/>
  <c r="L111" i="31"/>
  <c r="J118" i="31"/>
  <c r="S116" i="31"/>
  <c r="J113" i="31"/>
  <c r="K109" i="31"/>
  <c r="U54" i="53"/>
  <c r="U93" i="53" s="1"/>
  <c r="W54" i="53"/>
  <c r="W93" i="53" s="1"/>
  <c r="Y54" i="53"/>
  <c r="Y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53" i="86"/>
  <c r="H193" i="90"/>
  <c r="H194" i="90"/>
  <c r="A3" i="80"/>
  <c r="S134" i="31"/>
  <c r="H53" i="80"/>
  <c r="S31" i="81"/>
  <c r="S133" i="31"/>
  <c r="H48" i="80"/>
  <c r="H47" i="80"/>
  <c r="L53" i="82"/>
  <c r="H112" i="89"/>
  <c r="H111" i="89"/>
  <c r="Q31" i="81"/>
  <c r="H72" i="89"/>
  <c r="H80" i="89"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5" i="89"/>
  <c r="G104" i="85" s="1"/>
  <c r="C31" i="86"/>
  <c r="G98" i="85" s="1"/>
  <c r="C38" i="23"/>
  <c r="G113" i="85" s="1"/>
  <c r="C37" i="76"/>
  <c r="G166" i="85" s="1"/>
  <c r="C138" i="105"/>
  <c r="G226" i="85" s="1"/>
  <c r="C15" i="41"/>
  <c r="G198" i="85" s="1"/>
  <c r="C17" i="76"/>
  <c r="G164" i="85" s="1"/>
  <c r="C13" i="89"/>
  <c r="G100" i="85" s="1"/>
  <c r="C35" i="89"/>
  <c r="G102" i="85" s="1"/>
  <c r="C99"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4" i="31" l="1"/>
  <c r="AL111" i="105"/>
  <c r="AN111" i="105"/>
  <c r="AF111" i="105"/>
  <c r="AC111" i="105"/>
  <c r="AN107" i="105"/>
  <c r="AC107" i="105"/>
  <c r="AE107" i="105"/>
  <c r="X110" i="105"/>
  <c r="AL110" i="105"/>
  <c r="AI106" i="105"/>
  <c r="X106" i="105"/>
  <c r="AL106" i="105"/>
  <c r="AI109" i="105"/>
  <c r="X109" i="105"/>
  <c r="AA109" i="105"/>
  <c r="AC109" i="105"/>
  <c r="Z105" i="105"/>
  <c r="W112" i="105"/>
  <c r="AB112" i="105"/>
  <c r="AC105" i="105"/>
  <c r="AI108" i="105"/>
  <c r="Z108" i="105"/>
  <c r="Y111" i="105"/>
  <c r="AD111" i="105"/>
  <c r="X111" i="105"/>
  <c r="AA111" i="105"/>
  <c r="AF107" i="105"/>
  <c r="Y110" i="105"/>
  <c r="AI110" i="105"/>
  <c r="AE110" i="105"/>
  <c r="AN106" i="105"/>
  <c r="Y106" i="105"/>
  <c r="AE106" i="105"/>
  <c r="AF109" i="105"/>
  <c r="AD109" i="105"/>
  <c r="AN105" i="105"/>
  <c r="AD105" i="105"/>
  <c r="AK112" i="105"/>
  <c r="AL108" i="105"/>
  <c r="AD108" i="105"/>
  <c r="AC108" i="105"/>
  <c r="AF108" i="105"/>
  <c r="Z107" i="105"/>
  <c r="X107" i="105"/>
  <c r="AD107" i="105"/>
  <c r="AA107" i="105"/>
  <c r="AI107" i="105"/>
  <c r="AN110" i="105"/>
  <c r="AA110" i="105"/>
  <c r="Z110" i="105"/>
  <c r="AA106" i="105"/>
  <c r="Z106" i="105"/>
  <c r="AE109" i="105"/>
  <c r="Z109" i="105"/>
  <c r="AE105" i="105"/>
  <c r="AL105" i="105"/>
  <c r="AO112" i="105"/>
  <c r="Y108" i="105"/>
  <c r="X108" i="105"/>
  <c r="Z111" i="105"/>
  <c r="AL107" i="105"/>
  <c r="Y107" i="105"/>
  <c r="AF110" i="105"/>
  <c r="AC110" i="105"/>
  <c r="AD110" i="105"/>
  <c r="AF106" i="105"/>
  <c r="AC106" i="105"/>
  <c r="AD106" i="105"/>
  <c r="AN109" i="105"/>
  <c r="AL109" i="105"/>
  <c r="Y109" i="105"/>
  <c r="X105" i="105"/>
  <c r="AF105" i="105"/>
  <c r="Y105" i="105"/>
  <c r="AA108" i="105"/>
  <c r="AE108"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O330" i="22"/>
  <c r="O72" i="65" s="1"/>
  <c r="O326" i="22"/>
  <c r="O68" i="65" s="1"/>
  <c r="O329" i="22"/>
  <c r="O71" i="65" s="1"/>
  <c r="O325" i="22"/>
  <c r="O67" i="65" s="1"/>
  <c r="O328" i="22"/>
  <c r="O70" i="65" s="1"/>
  <c r="O324" i="22"/>
  <c r="O66" i="65" s="1"/>
  <c r="O327" i="22"/>
  <c r="O69"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4" i="112"/>
  <c r="K54" i="112"/>
  <c r="H196" i="90"/>
  <c r="A4" i="90" s="1"/>
  <c r="P31" i="81"/>
  <c r="H56" i="86"/>
  <c r="A4" i="86" s="1"/>
  <c r="R126" i="31"/>
  <c r="P141" i="31"/>
  <c r="R138" i="31"/>
  <c r="K21" i="31"/>
  <c r="K23" i="31" s="1"/>
  <c r="L20" i="31"/>
  <c r="P82" i="72"/>
  <c r="P113" i="71"/>
  <c r="P95" i="73"/>
  <c r="P24" i="80"/>
  <c r="L113" i="71"/>
  <c r="L24" i="80"/>
  <c r="L82" i="72"/>
  <c r="L95" i="73"/>
  <c r="J246" i="22"/>
  <c r="J272" i="22"/>
  <c r="J305" i="22"/>
  <c r="J257" i="22"/>
  <c r="J294" i="22"/>
  <c r="J283" i="22"/>
  <c r="L57" i="23"/>
  <c r="O57" i="23"/>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U300" i="53"/>
  <c r="U278" i="53"/>
  <c r="U289" i="53"/>
  <c r="R218" i="53"/>
  <c r="S218" i="53"/>
  <c r="W286" i="53"/>
  <c r="W275" i="53"/>
  <c r="W297" i="53"/>
  <c r="U302" i="53"/>
  <c r="U280" i="53"/>
  <c r="U291" i="53"/>
  <c r="Y298" i="53"/>
  <c r="Y276" i="53"/>
  <c r="Y287" i="53"/>
  <c r="U290" i="53"/>
  <c r="U279" i="53"/>
  <c r="U301" i="53"/>
  <c r="R199" i="53"/>
  <c r="S199" i="53"/>
  <c r="S189" i="53"/>
  <c r="R189" i="53"/>
  <c r="S183" i="53"/>
  <c r="R183" i="53"/>
  <c r="W296" i="53"/>
  <c r="W274" i="53"/>
  <c r="W285" i="53"/>
  <c r="W300" i="53"/>
  <c r="W278" i="53"/>
  <c r="W289" i="53"/>
  <c r="Y286" i="53"/>
  <c r="Y275" i="53"/>
  <c r="Y297" i="53"/>
  <c r="U286" i="53"/>
  <c r="U275" i="53"/>
  <c r="U297" i="53"/>
  <c r="S213" i="53"/>
  <c r="S247" i="53" s="1"/>
  <c r="R213" i="53"/>
  <c r="R247" i="53" s="1"/>
  <c r="W302" i="53"/>
  <c r="W280" i="53"/>
  <c r="W291" i="53"/>
  <c r="U298" i="53"/>
  <c r="U276" i="53"/>
  <c r="U287" i="53"/>
  <c r="Y290" i="53"/>
  <c r="Y279" i="53"/>
  <c r="Y301" i="53"/>
  <c r="R214" i="53"/>
  <c r="R258" i="53" s="1"/>
  <c r="S214" i="53"/>
  <c r="S258" i="53" s="1"/>
  <c r="R203" i="53"/>
  <c r="S203" i="53"/>
  <c r="U294" i="53"/>
  <c r="U272" i="53"/>
  <c r="U283" i="53"/>
  <c r="Y296" i="53"/>
  <c r="Y274" i="53"/>
  <c r="Y285" i="53"/>
  <c r="W288" i="53"/>
  <c r="W299" i="53"/>
  <c r="W277" i="53"/>
  <c r="U288" i="53"/>
  <c r="U299" i="53"/>
  <c r="U277" i="53"/>
  <c r="Y300" i="53"/>
  <c r="Y278" i="53"/>
  <c r="Y289" i="53"/>
  <c r="S208" i="53"/>
  <c r="R208" i="53"/>
  <c r="Y302" i="53"/>
  <c r="Y280" i="53"/>
  <c r="Y291" i="53"/>
  <c r="W298" i="53"/>
  <c r="W276" i="53"/>
  <c r="W287" i="53"/>
  <c r="W290" i="53"/>
  <c r="W279" i="53"/>
  <c r="W301" i="53"/>
  <c r="U284" i="53"/>
  <c r="U295" i="53"/>
  <c r="U273" i="53"/>
  <c r="S194" i="53"/>
  <c r="R194" i="53"/>
  <c r="Y294" i="53"/>
  <c r="Y272" i="53"/>
  <c r="Y283" i="53"/>
  <c r="W294" i="53"/>
  <c r="W272" i="53"/>
  <c r="W283" i="53"/>
  <c r="U296" i="53"/>
  <c r="U274" i="53"/>
  <c r="U285" i="53"/>
  <c r="Y288" i="53"/>
  <c r="Y299" i="53"/>
  <c r="Y277"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Y112" i="105" l="1"/>
  <c r="AF112" i="105"/>
  <c r="AL112" i="105"/>
  <c r="X112" i="105"/>
  <c r="AN112" i="105"/>
  <c r="AC112" i="105"/>
  <c r="AD112" i="105"/>
  <c r="Z112" i="105"/>
  <c r="V85" i="65"/>
  <c r="T85" i="65"/>
  <c r="S85" i="65"/>
  <c r="U85" i="65"/>
  <c r="R85" i="65"/>
  <c r="Y88" i="65"/>
  <c r="Z88" i="65"/>
  <c r="X88" i="65"/>
  <c r="AA88" i="65"/>
  <c r="W88" i="65"/>
  <c r="AA90" i="65"/>
  <c r="Y90" i="65"/>
  <c r="Z90" i="65"/>
  <c r="X90" i="65"/>
  <c r="W90" i="65"/>
  <c r="O89" i="65"/>
  <c r="N89" i="65"/>
  <c r="P89" i="65"/>
  <c r="M89" i="65"/>
  <c r="L89" i="65"/>
  <c r="P84" i="65"/>
  <c r="O84" i="65"/>
  <c r="N84" i="65"/>
  <c r="M84" i="65"/>
  <c r="L84" i="65"/>
  <c r="AC89" i="65"/>
  <c r="AF89" i="65"/>
  <c r="AE89" i="65"/>
  <c r="AD89" i="65"/>
  <c r="AB89" i="65"/>
  <c r="AE87" i="65"/>
  <c r="AD87" i="65"/>
  <c r="AC87" i="65"/>
  <c r="AF87" i="65"/>
  <c r="AB87" i="65"/>
  <c r="U88" i="65"/>
  <c r="V88" i="65"/>
  <c r="T88" i="65"/>
  <c r="S88" i="65"/>
  <c r="R88" i="65"/>
  <c r="V89" i="65"/>
  <c r="T89" i="65"/>
  <c r="S89" i="65"/>
  <c r="U89" i="65"/>
  <c r="R89" i="65"/>
  <c r="X85" i="65"/>
  <c r="AA85" i="65"/>
  <c r="Y85" i="65"/>
  <c r="Z85" i="65"/>
  <c r="W85" i="65"/>
  <c r="O86" i="65"/>
  <c r="P86" i="65"/>
  <c r="N86" i="65"/>
  <c r="M86" i="65"/>
  <c r="L86" i="65"/>
  <c r="O88" i="65"/>
  <c r="N88" i="65"/>
  <c r="P88" i="65"/>
  <c r="M88" i="65"/>
  <c r="L88" i="65"/>
  <c r="AE88" i="65"/>
  <c r="AD88" i="65"/>
  <c r="AC88" i="65"/>
  <c r="AF88" i="65"/>
  <c r="AB88" i="65"/>
  <c r="V90" i="65"/>
  <c r="T90" i="65"/>
  <c r="S90" i="65"/>
  <c r="U90" i="65"/>
  <c r="R90" i="65"/>
  <c r="V86" i="65"/>
  <c r="T86" i="65"/>
  <c r="S86" i="65"/>
  <c r="U86" i="65"/>
  <c r="R86" i="65"/>
  <c r="Y87" i="65"/>
  <c r="X87" i="65"/>
  <c r="Z87" i="65"/>
  <c r="AA87" i="65"/>
  <c r="W87" i="65"/>
  <c r="X89" i="65"/>
  <c r="AA89" i="65"/>
  <c r="Z89" i="65"/>
  <c r="Y89" i="65"/>
  <c r="W89" i="65"/>
  <c r="P90" i="65"/>
  <c r="M90" i="65"/>
  <c r="O90" i="65"/>
  <c r="N90" i="65"/>
  <c r="L90" i="65"/>
  <c r="AF84" i="65"/>
  <c r="AC84" i="65"/>
  <c r="AD84" i="65"/>
  <c r="AE84" i="65"/>
  <c r="AB84" i="65"/>
  <c r="AD86" i="65"/>
  <c r="AF86" i="65"/>
  <c r="AE86" i="65"/>
  <c r="AC86" i="65"/>
  <c r="AB86" i="65"/>
  <c r="S87" i="65"/>
  <c r="U87" i="65"/>
  <c r="V87" i="65"/>
  <c r="T87" i="65"/>
  <c r="R87" i="65"/>
  <c r="U84" i="65"/>
  <c r="T84" i="65"/>
  <c r="V84" i="65"/>
  <c r="S84" i="65"/>
  <c r="R84" i="65"/>
  <c r="Y84" i="65"/>
  <c r="X84" i="65"/>
  <c r="AA84" i="65"/>
  <c r="Z84" i="65"/>
  <c r="W84" i="65"/>
  <c r="AA86" i="65"/>
  <c r="Y86" i="65"/>
  <c r="X86" i="65"/>
  <c r="Z86" i="65"/>
  <c r="W86"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K348" i="22"/>
  <c r="Q377" i="22"/>
  <c r="K350" i="22"/>
  <c r="L348" i="22"/>
  <c r="L464" i="22"/>
  <c r="L435" i="22"/>
  <c r="L377" i="22"/>
  <c r="L406" i="22"/>
  <c r="Q378" i="22"/>
  <c r="L349" i="22"/>
  <c r="L465" i="22"/>
  <c r="L436" i="22"/>
  <c r="L378" i="22"/>
  <c r="L407" i="22"/>
  <c r="Q379" i="22"/>
  <c r="L350" i="22"/>
  <c r="L466" i="22"/>
  <c r="L437" i="22"/>
  <c r="L379" i="22"/>
  <c r="L408" i="22"/>
  <c r="J379" i="22"/>
  <c r="J377" i="22"/>
  <c r="M350" i="22"/>
  <c r="M348" i="22"/>
  <c r="K34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54" i="53"/>
  <c r="R253" i="53"/>
  <c r="S254" i="53"/>
  <c r="S245" i="53"/>
  <c r="S253" i="53"/>
  <c r="S248" i="53"/>
  <c r="R246" i="53"/>
  <c r="R245" i="53"/>
  <c r="R241" i="53"/>
  <c r="S255" i="53"/>
  <c r="R248" i="53"/>
  <c r="S246" i="53"/>
  <c r="S241" i="53"/>
  <c r="R255" i="53"/>
  <c r="L21" i="31"/>
  <c r="L23" i="31" s="1"/>
  <c r="M20" i="31"/>
  <c r="M307" i="22"/>
  <c r="Q296" i="22"/>
  <c r="Q285" i="22"/>
  <c r="J296" i="22"/>
  <c r="K307" i="22"/>
  <c r="M285" i="22"/>
  <c r="L307" i="22"/>
  <c r="K296" i="22"/>
  <c r="L296" i="22"/>
  <c r="J307" i="22"/>
  <c r="K285" i="22"/>
  <c r="M296" i="22"/>
  <c r="Q307" i="22"/>
  <c r="L285" i="22"/>
  <c r="J285" i="22"/>
  <c r="J34" i="55"/>
  <c r="H70" i="23" a="1"/>
  <c r="H70" i="23" s="1"/>
  <c r="A4" i="23" s="1"/>
  <c r="A4" i="70"/>
  <c r="J38" i="55"/>
  <c r="J107" i="73" l="1"/>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M21" i="31"/>
  <c r="N20" i="31"/>
  <c r="W108" i="83"/>
  <c r="W118" i="80"/>
  <c r="U87" i="83"/>
  <c r="U75" i="80"/>
  <c r="U96" i="83"/>
  <c r="U95" i="80"/>
  <c r="W107" i="83"/>
  <c r="W117" i="80"/>
  <c r="W112" i="83"/>
  <c r="W122" i="80"/>
  <c r="W114" i="83"/>
  <c r="W124" i="80"/>
  <c r="W94" i="83"/>
  <c r="W93" i="83"/>
  <c r="W93" i="80"/>
  <c r="W83" i="83"/>
  <c r="W71" i="80"/>
  <c r="W113" i="83"/>
  <c r="W123" i="80"/>
  <c r="U114" i="83"/>
  <c r="U124" i="80"/>
  <c r="U107" i="83"/>
  <c r="U117" i="80"/>
  <c r="W87" i="83"/>
  <c r="W75" i="80"/>
  <c r="U88" i="83"/>
  <c r="U76" i="80"/>
  <c r="U109" i="83"/>
  <c r="U119" i="80"/>
  <c r="U106" i="83"/>
  <c r="U105" i="83"/>
  <c r="U116" i="80"/>
  <c r="U83" i="83"/>
  <c r="U71" i="80"/>
  <c r="W96" i="83"/>
  <c r="W95" i="80"/>
  <c r="W106" i="83"/>
  <c r="W105" i="83"/>
  <c r="W116" i="80"/>
  <c r="W109" i="83"/>
  <c r="W119" i="80"/>
  <c r="U110" i="83"/>
  <c r="U120" i="80"/>
  <c r="W111" i="83"/>
  <c r="W121" i="80"/>
  <c r="W81" i="83"/>
  <c r="W82" i="83"/>
  <c r="W70" i="80"/>
  <c r="W84" i="83"/>
  <c r="W72" i="80"/>
  <c r="W110" i="83"/>
  <c r="W120" i="80"/>
  <c r="J40" i="55"/>
  <c r="N129" i="81" l="1"/>
  <c r="L145" i="31"/>
  <c r="P55" i="81"/>
  <c r="P56" i="81" s="1"/>
  <c r="P114" i="81" s="1"/>
  <c r="M158" i="31"/>
  <c r="O145" i="31"/>
  <c r="L177" i="3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K175" i="31"/>
  <c r="O153" i="31"/>
  <c r="L153" i="31"/>
  <c r="R153" i="31"/>
  <c r="Q153" i="31"/>
  <c r="N153" i="31"/>
  <c r="M153" i="31"/>
  <c r="J153" i="31"/>
  <c r="S153" i="31"/>
  <c r="Q154" i="31"/>
  <c r="L154" i="31"/>
  <c r="H129" i="81"/>
  <c r="N21" i="31"/>
  <c r="N23" i="31" s="1"/>
  <c r="O20" i="31"/>
  <c r="M23" i="31"/>
  <c r="P22" i="31"/>
  <c r="P23" i="3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W97" i="83"/>
  <c r="W96" i="80"/>
  <c r="W99" i="83"/>
  <c r="W98" i="80"/>
  <c r="U102" i="83"/>
  <c r="U101" i="80"/>
  <c r="W101" i="83"/>
  <c r="W100" i="80"/>
  <c r="U100" i="83"/>
  <c r="U99" i="80"/>
  <c r="U90" i="83"/>
  <c r="U78" i="80"/>
  <c r="W100" i="83"/>
  <c r="W99" i="80"/>
  <c r="W86" i="83"/>
  <c r="W74" i="80"/>
  <c r="U94" i="83"/>
  <c r="U93" i="83"/>
  <c r="U93" i="80"/>
  <c r="W95" i="83"/>
  <c r="W94" i="80"/>
  <c r="U112" i="83"/>
  <c r="U122" i="80"/>
  <c r="U98" i="83"/>
  <c r="U97" i="80"/>
  <c r="U84" i="83"/>
  <c r="U72" i="80"/>
  <c r="U113" i="83"/>
  <c r="U123" i="80"/>
  <c r="U89" i="83"/>
  <c r="U77" i="80"/>
  <c r="W90" i="83"/>
  <c r="W78" i="80"/>
  <c r="R93" i="72" l="1" a="1"/>
  <c r="H53" i="73" a="1"/>
  <c r="H53" i="73" s="1"/>
  <c r="J80" i="73" a="1"/>
  <c r="J55" i="83" a="1"/>
  <c r="H20" i="83" a="1"/>
  <c r="J34" i="80" a="1"/>
  <c r="H51" i="72" a="1"/>
  <c r="P20" i="31"/>
  <c r="O21" i="31"/>
  <c r="O23" i="31" s="1"/>
  <c r="Y82" i="83"/>
  <c r="Y81" i="83"/>
  <c r="Y70" i="80"/>
  <c r="Y94" i="83"/>
  <c r="Y93" i="83"/>
  <c r="Y93" i="80"/>
  <c r="Y90" i="83"/>
  <c r="Y78" i="80"/>
  <c r="Y98" i="83"/>
  <c r="Y97" i="80"/>
  <c r="Y111" i="83"/>
  <c r="Y121" i="80"/>
  <c r="Y97" i="83"/>
  <c r="Y96" i="80"/>
  <c r="Y107" i="83"/>
  <c r="Y117" i="80"/>
  <c r="Y99" i="83"/>
  <c r="Y98" i="80"/>
  <c r="Y109" i="83"/>
  <c r="Y119" i="80"/>
  <c r="Y96" i="83"/>
  <c r="Y95" i="80"/>
  <c r="Y83" i="83"/>
  <c r="Y71" i="80"/>
  <c r="Y100" i="83"/>
  <c r="Y99" i="80"/>
  <c r="Y110" i="83"/>
  <c r="Y120" i="80"/>
  <c r="Y101" i="83"/>
  <c r="Y100" i="80"/>
  <c r="Y89" i="83"/>
  <c r="Y77" i="80"/>
  <c r="Y114" i="83"/>
  <c r="Y124" i="80"/>
  <c r="Y113" i="83"/>
  <c r="Y123" i="80"/>
  <c r="Y85" i="83"/>
  <c r="Y73" i="80"/>
  <c r="Y86" i="83"/>
  <c r="Y74" i="80"/>
  <c r="Y87" i="83"/>
  <c r="Y75" i="80"/>
  <c r="Y84" i="83"/>
  <c r="Y72" i="80"/>
  <c r="Y102" i="83"/>
  <c r="Y101" i="80"/>
  <c r="Y112" i="83"/>
  <c r="Y122" i="80"/>
  <c r="Y106" i="83"/>
  <c r="Y105" i="83"/>
  <c r="Y116" i="80"/>
  <c r="Y88" i="83"/>
  <c r="Y76" i="80"/>
  <c r="Y108" i="83"/>
  <c r="Y118" i="80"/>
  <c r="Y95" i="83"/>
  <c r="Y94" i="80"/>
  <c r="S93" i="72" l="1"/>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H58" i="73"/>
  <c r="H55" i="73"/>
  <c r="H57" i="73"/>
  <c r="H60" i="73"/>
  <c r="H54" i="73"/>
  <c r="H59" i="73"/>
  <c r="H56" i="73"/>
  <c r="J34" i="80"/>
  <c r="U34" i="80"/>
  <c r="U82"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Q34" i="80"/>
  <c r="Q35" i="80"/>
  <c r="Q36" i="80"/>
  <c r="Q37" i="80"/>
  <c r="Q38" i="80"/>
  <c r="Q39" i="80"/>
  <c r="Q40" i="80"/>
  <c r="Q41" i="80"/>
  <c r="Q42" i="80"/>
  <c r="T42" i="80"/>
  <c r="T41" i="80"/>
  <c r="T40" i="80"/>
  <c r="T39" i="80"/>
  <c r="T38" i="80"/>
  <c r="T37" i="80"/>
  <c r="T36" i="80"/>
  <c r="T35" i="80"/>
  <c r="T34" i="80"/>
  <c r="S42" i="80"/>
  <c r="S204" i="80" s="1"/>
  <c r="S41" i="80"/>
  <c r="S40" i="80"/>
  <c r="S39" i="80"/>
  <c r="S38" i="80"/>
  <c r="S37" i="80"/>
  <c r="S36" i="80"/>
  <c r="P42" i="80"/>
  <c r="P41" i="80"/>
  <c r="P40" i="80"/>
  <c r="P39" i="80"/>
  <c r="P38" i="80"/>
  <c r="P37" i="80"/>
  <c r="L41" i="80"/>
  <c r="L39" i="80"/>
  <c r="L37" i="80"/>
  <c r="X35" i="80"/>
  <c r="P34" i="80"/>
  <c r="K42" i="80"/>
  <c r="W40" i="80"/>
  <c r="W111" i="80" s="1"/>
  <c r="O39" i="80"/>
  <c r="K38" i="80"/>
  <c r="W36" i="80"/>
  <c r="W107" i="80" s="1"/>
  <c r="S35" i="80"/>
  <c r="S34" i="80"/>
  <c r="R42" i="80"/>
  <c r="R202" i="80" s="1"/>
  <c r="R41" i="80"/>
  <c r="R40" i="80"/>
  <c r="R39" i="80"/>
  <c r="R38" i="80"/>
  <c r="R37" i="80"/>
  <c r="R36" i="80"/>
  <c r="R35" i="80"/>
  <c r="R34" i="80"/>
  <c r="X42" i="80"/>
  <c r="X204" i="80" s="1"/>
  <c r="X40" i="80"/>
  <c r="X38" i="80"/>
  <c r="X36" i="80"/>
  <c r="P35" i="80"/>
  <c r="L34" i="80"/>
  <c r="W41" i="80"/>
  <c r="W112" i="80" s="1"/>
  <c r="O40" i="80"/>
  <c r="K39" i="80"/>
  <c r="W37" i="80"/>
  <c r="W131" i="80" s="1"/>
  <c r="O36" i="80"/>
  <c r="O35" i="80"/>
  <c r="O34" i="80"/>
  <c r="N42" i="80"/>
  <c r="N41" i="80"/>
  <c r="N40" i="80"/>
  <c r="N39" i="80"/>
  <c r="N38" i="80"/>
  <c r="N37" i="80"/>
  <c r="N36" i="80"/>
  <c r="N35" i="80"/>
  <c r="N34" i="80"/>
  <c r="X39" i="80"/>
  <c r="X37" i="80"/>
  <c r="X34" i="80"/>
  <c r="O42" i="80"/>
  <c r="W39" i="80"/>
  <c r="W87" i="80" s="1"/>
  <c r="K37" i="80"/>
  <c r="W34" i="80"/>
  <c r="W128" i="80" s="1"/>
  <c r="V41" i="80"/>
  <c r="V39" i="80"/>
  <c r="L42" i="80"/>
  <c r="L40" i="80"/>
  <c r="L38" i="80"/>
  <c r="P36" i="80"/>
  <c r="L35" i="80"/>
  <c r="W42" i="80"/>
  <c r="W113" i="80" s="1"/>
  <c r="O41" i="80"/>
  <c r="K40" i="80"/>
  <c r="W38" i="80"/>
  <c r="W132" i="80" s="1"/>
  <c r="O37" i="80"/>
  <c r="K36" i="80"/>
  <c r="K35" i="80"/>
  <c r="K34" i="80"/>
  <c r="J42" i="80"/>
  <c r="J41" i="80"/>
  <c r="J40" i="80"/>
  <c r="J39" i="80"/>
  <c r="J38" i="80"/>
  <c r="J37" i="80"/>
  <c r="J36" i="80"/>
  <c r="J35" i="80"/>
  <c r="X41" i="80"/>
  <c r="L36" i="80"/>
  <c r="K41" i="80"/>
  <c r="O38" i="80"/>
  <c r="W35" i="80"/>
  <c r="W106" i="80" s="1"/>
  <c r="V42" i="80"/>
  <c r="V40" i="80"/>
  <c r="V38" i="80"/>
  <c r="V37" i="80"/>
  <c r="V36" i="80"/>
  <c r="V34" i="80"/>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U163" i="72" s="1"/>
  <c r="U198" i="72" s="1"/>
  <c r="U228" i="72" s="1"/>
  <c r="H58" i="72"/>
  <c r="H52" i="72"/>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U128" i="80"/>
  <c r="Q20" i="31"/>
  <c r="P21" i="31"/>
  <c r="S74" i="74"/>
  <c r="S78" i="74"/>
  <c r="S77" i="74"/>
  <c r="S73" i="74"/>
  <c r="S76" i="74"/>
  <c r="S75" i="74"/>
  <c r="S72" i="74"/>
  <c r="T167" i="72" l="1"/>
  <c r="T202" i="72" s="1"/>
  <c r="T232" i="72" s="1"/>
  <c r="S161" i="72"/>
  <c r="S196" i="72" s="1"/>
  <c r="S226" i="72" s="1"/>
  <c r="Y160" i="72"/>
  <c r="Y195" i="72" s="1"/>
  <c r="Y225" i="72" s="1"/>
  <c r="X165" i="72"/>
  <c r="X200" i="72" s="1"/>
  <c r="X230" i="72" s="1"/>
  <c r="U105" i="80"/>
  <c r="U142" i="80" s="1"/>
  <c r="U168" i="80" s="1"/>
  <c r="U166" i="72"/>
  <c r="U201" i="72" s="1"/>
  <c r="U231" i="72" s="1"/>
  <c r="X166" i="72"/>
  <c r="X201" i="72" s="1"/>
  <c r="X231" i="72" s="1"/>
  <c r="Y164" i="72"/>
  <c r="Y199" i="72" s="1"/>
  <c r="Y229" i="72" s="1"/>
  <c r="W105" i="80"/>
  <c r="W82" i="80"/>
  <c r="W84" i="80"/>
  <c r="W130" i="80"/>
  <c r="X127" i="83"/>
  <c r="Y131" i="83"/>
  <c r="V164" i="72"/>
  <c r="V199" i="72" s="1"/>
  <c r="V229" i="72" s="1"/>
  <c r="S126" i="83"/>
  <c r="W156" i="83"/>
  <c r="W26" i="71" s="1"/>
  <c r="W131" i="71" s="1"/>
  <c r="R127" i="83"/>
  <c r="V160" i="72"/>
  <c r="V195" i="72" s="1"/>
  <c r="V225" i="72" s="1"/>
  <c r="S166" i="72"/>
  <c r="S201" i="72" s="1"/>
  <c r="S231" i="72" s="1"/>
  <c r="X125" i="83"/>
  <c r="T160" i="72"/>
  <c r="T195" i="72" s="1"/>
  <c r="T225" i="72" s="1"/>
  <c r="Y111" i="80"/>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Y216" i="83"/>
  <c r="Y88" i="71" s="1"/>
  <c r="Y193"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W125" i="83"/>
  <c r="S125" i="83"/>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U108" i="80"/>
  <c r="R166" i="72"/>
  <c r="R201" i="72" s="1"/>
  <c r="R231" i="72" s="1"/>
  <c r="W166" i="72"/>
  <c r="W201" i="72" s="1"/>
  <c r="W231" i="72" s="1"/>
  <c r="R125" i="83"/>
  <c r="X129" i="83"/>
  <c r="Y214" i="83"/>
  <c r="Y86" i="71" s="1"/>
  <c r="Y191" i="71" s="1"/>
  <c r="U129" i="83"/>
  <c r="U154" i="83"/>
  <c r="U24" i="71" s="1"/>
  <c r="U129" i="71" s="1"/>
  <c r="Q127" i="83"/>
  <c r="Q127" i="72" s="1"/>
  <c r="Q197" i="72" s="1"/>
  <c r="Q227" i="72" s="1"/>
  <c r="R126" i="83"/>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U84" i="80"/>
  <c r="Y129" i="80"/>
  <c r="X161" i="72"/>
  <c r="X196" i="72" s="1"/>
  <c r="X226" i="72" s="1"/>
  <c r="R131" i="83"/>
  <c r="U184" i="83"/>
  <c r="U55" i="71" s="1"/>
  <c r="U160"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W189" i="83"/>
  <c r="W60" i="71" s="1"/>
  <c r="W165" i="71" s="1"/>
  <c r="S165" i="72"/>
  <c r="S200" i="72" s="1"/>
  <c r="S230" i="72" s="1"/>
  <c r="R161" i="72"/>
  <c r="R196" i="72" s="1"/>
  <c r="R226" i="72"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Y217" i="83"/>
  <c r="Y89" i="71" s="1"/>
  <c r="Y194" i="71" s="1"/>
  <c r="U130" i="83"/>
  <c r="W217" i="83"/>
  <c r="W89" i="71" s="1"/>
  <c r="W194" i="71" s="1"/>
  <c r="Q130" i="83"/>
  <c r="Q130" i="72" s="1"/>
  <c r="Q200" i="72" s="1"/>
  <c r="Q230" i="72" s="1"/>
  <c r="T132" i="83"/>
  <c r="W85" i="80"/>
  <c r="Q128" i="83"/>
  <c r="Q128" i="72" s="1"/>
  <c r="Q198" i="72" s="1"/>
  <c r="Q228" i="72" s="1"/>
  <c r="R132" i="83"/>
  <c r="U218" i="83"/>
  <c r="U90" i="71" s="1"/>
  <c r="U195" i="71" s="1"/>
  <c r="U155" i="83"/>
  <c r="U25" i="71" s="1"/>
  <c r="U130" i="71" s="1"/>
  <c r="Y213" i="83"/>
  <c r="Y85" i="71" s="1"/>
  <c r="Y190" i="71" s="1"/>
  <c r="Y204" i="80"/>
  <c r="Y132" i="80"/>
  <c r="Y135" i="80"/>
  <c r="W132" i="83"/>
  <c r="Y126" i="83"/>
  <c r="Y134" i="80"/>
  <c r="X128" i="83"/>
  <c r="Q132" i="83"/>
  <c r="Q132" i="72" s="1"/>
  <c r="Q202" i="72" s="1"/>
  <c r="Q232" i="72" s="1"/>
  <c r="U161" i="83"/>
  <c r="U31" i="71" s="1"/>
  <c r="U136" i="71" s="1"/>
  <c r="W161" i="83"/>
  <c r="W31" i="71" s="1"/>
  <c r="W136" i="71" s="1"/>
  <c r="W219" i="83"/>
  <c r="W91" i="71" s="1"/>
  <c r="W196" i="71" s="1"/>
  <c r="U215" i="83"/>
  <c r="U87" i="71" s="1"/>
  <c r="U192" i="71" s="1"/>
  <c r="W133" i="80"/>
  <c r="W129" i="83"/>
  <c r="T126" i="83"/>
  <c r="Q129" i="83"/>
  <c r="Q129" i="72" s="1"/>
  <c r="Q199" i="72" s="1"/>
  <c r="Q229" i="72" s="1"/>
  <c r="W216" i="83"/>
  <c r="W88" i="71" s="1"/>
  <c r="W193" i="71" s="1"/>
  <c r="T128" i="83"/>
  <c r="S132" i="83"/>
  <c r="Y187" i="83"/>
  <c r="Y58" i="71" s="1"/>
  <c r="Y163" i="71" s="1"/>
  <c r="W158" i="83"/>
  <c r="W28" i="71" s="1"/>
  <c r="W133" i="71" s="1"/>
  <c r="Y181" i="83"/>
  <c r="Y52" i="71" s="1"/>
  <c r="Y157" i="71" s="1"/>
  <c r="W190" i="83"/>
  <c r="W61" i="71" s="1"/>
  <c r="W166" i="71" s="1"/>
  <c r="V128" i="83"/>
  <c r="U219" i="83"/>
  <c r="U91" i="71" s="1"/>
  <c r="U196" i="71" s="1"/>
  <c r="U132" i="83"/>
  <c r="U190" i="83"/>
  <c r="U61" i="71" s="1"/>
  <c r="U166" i="71" s="1"/>
  <c r="R128" i="83"/>
  <c r="U186" i="83"/>
  <c r="U57" i="71" s="1"/>
  <c r="U162" i="71" s="1"/>
  <c r="X132" i="83"/>
  <c r="W157" i="83"/>
  <c r="W27" i="71" s="1"/>
  <c r="W132" i="71" s="1"/>
  <c r="S128" i="83"/>
  <c r="Y132" i="83"/>
  <c r="U128" i="83"/>
  <c r="V131" i="83"/>
  <c r="U158" i="83"/>
  <c r="U28" i="71" s="1"/>
  <c r="U133" i="71" s="1"/>
  <c r="W186" i="83"/>
  <c r="W57" i="71" s="1"/>
  <c r="W162" i="71" s="1"/>
  <c r="U216" i="83"/>
  <c r="U88" i="71" s="1"/>
  <c r="U193" i="71" s="1"/>
  <c r="Y152" i="83"/>
  <c r="Y22" i="71" s="1"/>
  <c r="Y127" i="71" s="1"/>
  <c r="U187" i="83"/>
  <c r="U58" i="71" s="1"/>
  <c r="U163" i="71" s="1"/>
  <c r="U157" i="83"/>
  <c r="U27" i="71" s="1"/>
  <c r="U132" i="71" s="1"/>
  <c r="Y129" i="83"/>
  <c r="W215" i="83"/>
  <c r="W87" i="71" s="1"/>
  <c r="W192" i="71" s="1"/>
  <c r="T130" i="83"/>
  <c r="Y158" i="83"/>
  <c r="Y28" i="71" s="1"/>
  <c r="Y133" i="71" s="1"/>
  <c r="T127" i="83"/>
  <c r="X124" i="83"/>
  <c r="W128" i="83"/>
  <c r="Y210" i="83"/>
  <c r="Y82" i="71" s="1"/>
  <c r="Y187" i="71" s="1"/>
  <c r="U156" i="83"/>
  <c r="U26" i="71" s="1"/>
  <c r="U131" i="71" s="1"/>
  <c r="U136" i="80"/>
  <c r="Y202" i="80"/>
  <c r="W159" i="83"/>
  <c r="W29" i="71" s="1"/>
  <c r="W134" i="71" s="1"/>
  <c r="Y106" i="80"/>
  <c r="W130" i="83"/>
  <c r="W108" i="80"/>
  <c r="Y112" i="80"/>
  <c r="U202" i="80"/>
  <c r="W129" i="80"/>
  <c r="S202" i="80"/>
  <c r="S206" i="80" s="1"/>
  <c r="Y136" i="80"/>
  <c r="Y113" i="80"/>
  <c r="Y212" i="83"/>
  <c r="Y84" i="71" s="1"/>
  <c r="Y189" i="71" s="1"/>
  <c r="U90" i="80"/>
  <c r="U204" i="80"/>
  <c r="W83" i="80"/>
  <c r="Y159" i="83"/>
  <c r="Y29" i="71" s="1"/>
  <c r="Y134" i="71" s="1"/>
  <c r="V130" i="83"/>
  <c r="Y189" i="83"/>
  <c r="Y60" i="71" s="1"/>
  <c r="Y165" i="71" s="1"/>
  <c r="Y188" i="83"/>
  <c r="Y59" i="71" s="1"/>
  <c r="Y164" i="71" s="1"/>
  <c r="Y183" i="83"/>
  <c r="Y54" i="71" s="1"/>
  <c r="Y159" i="71" s="1"/>
  <c r="U185" i="83"/>
  <c r="U56" i="71" s="1"/>
  <c r="U161" i="71" s="1"/>
  <c r="V127" i="83"/>
  <c r="V126" i="83"/>
  <c r="X123" i="83"/>
  <c r="Y160" i="83"/>
  <c r="Y30" i="71" s="1"/>
  <c r="Y135" i="71" s="1"/>
  <c r="U127" i="83"/>
  <c r="X126" i="83"/>
  <c r="U124" i="83"/>
  <c r="Y218" i="83"/>
  <c r="Y90" i="71" s="1"/>
  <c r="Y195" i="71" s="1"/>
  <c r="Y154" i="83"/>
  <c r="Y24" i="71" s="1"/>
  <c r="Y129" i="71" s="1"/>
  <c r="U211" i="83"/>
  <c r="U83" i="71" s="1"/>
  <c r="U188" i="71" s="1"/>
  <c r="V204" i="80"/>
  <c r="Y190" i="83"/>
  <c r="Y61" i="71" s="1"/>
  <c r="Y166" i="71" s="1"/>
  <c r="Y219" i="83"/>
  <c r="Y91" i="71" s="1"/>
  <c r="Y196" i="71" s="1"/>
  <c r="T125" i="83"/>
  <c r="Y161" i="83"/>
  <c r="Y31" i="71" s="1"/>
  <c r="Y136" i="71" s="1"/>
  <c r="W188" i="83"/>
  <c r="W59" i="71" s="1"/>
  <c r="W164" i="71" s="1"/>
  <c r="X130" i="83"/>
  <c r="Y130" i="83"/>
  <c r="X131" i="83"/>
  <c r="U182" i="83"/>
  <c r="U53" i="71" s="1"/>
  <c r="U158" i="71" s="1"/>
  <c r="Y110" i="80"/>
  <c r="U111" i="80"/>
  <c r="Y157" i="83"/>
  <c r="Y27" i="71" s="1"/>
  <c r="Y132" i="71" s="1"/>
  <c r="W152" i="83"/>
  <c r="W22" i="71" s="1"/>
  <c r="W127"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Y87" i="80"/>
  <c r="U132" i="80"/>
  <c r="U134" i="80"/>
  <c r="Y128" i="83"/>
  <c r="Y184" i="83"/>
  <c r="Y55" i="71" s="1"/>
  <c r="Y160" i="71" s="1"/>
  <c r="Y156" i="83"/>
  <c r="Y26" i="71" s="1"/>
  <c r="Y131" i="71" s="1"/>
  <c r="U160" i="83"/>
  <c r="U30" i="71" s="1"/>
  <c r="U135" i="71" s="1"/>
  <c r="W185" i="83"/>
  <c r="W56" i="71" s="1"/>
  <c r="W161" i="71" s="1"/>
  <c r="W127" i="83"/>
  <c r="W182" i="83"/>
  <c r="W53" i="71" s="1"/>
  <c r="W158" i="71" s="1"/>
  <c r="V202" i="80"/>
  <c r="U109" i="80"/>
  <c r="W131" i="83"/>
  <c r="V129" i="83"/>
  <c r="W90" i="80"/>
  <c r="W136" i="80"/>
  <c r="U210" i="83"/>
  <c r="U82" i="71" s="1"/>
  <c r="U187" i="71" s="1"/>
  <c r="U181" i="83"/>
  <c r="U52" i="71" s="1"/>
  <c r="U157" i="71" s="1"/>
  <c r="Y84" i="80"/>
  <c r="Y86" i="80"/>
  <c r="U123" i="83"/>
  <c r="W86" i="80"/>
  <c r="X202" i="80"/>
  <c r="X206" i="80" s="1"/>
  <c r="W88" i="80"/>
  <c r="Y107" i="80"/>
  <c r="W134" i="80"/>
  <c r="W109" i="80"/>
  <c r="W214" i="83"/>
  <c r="W86" i="71" s="1"/>
  <c r="W191" i="71" s="1"/>
  <c r="U213" i="83"/>
  <c r="U85" i="71" s="1"/>
  <c r="U190" i="71" s="1"/>
  <c r="W213" i="83"/>
  <c r="W85" i="71" s="1"/>
  <c r="W190" i="71" s="1"/>
  <c r="Y215" i="83"/>
  <c r="Y87" i="71" s="1"/>
  <c r="Y192" i="71" s="1"/>
  <c r="W110" i="80"/>
  <c r="W124" i="83"/>
  <c r="W202" i="80"/>
  <c r="W210" i="83"/>
  <c r="W82" i="71" s="1"/>
  <c r="W187" i="71" s="1"/>
  <c r="T202" i="80"/>
  <c r="Y211" i="83"/>
  <c r="Y83" i="71" s="1"/>
  <c r="Y188" i="71" s="1"/>
  <c r="Y131" i="80"/>
  <c r="Y85" i="80"/>
  <c r="U112" i="80"/>
  <c r="W204" i="80"/>
  <c r="T204" i="80"/>
  <c r="Y153" i="83"/>
  <c r="Y23" i="71" s="1"/>
  <c r="Y128" i="71" s="1"/>
  <c r="U85" i="80"/>
  <c r="U135" i="80"/>
  <c r="Q21" i="31"/>
  <c r="Q23" i="31" s="1"/>
  <c r="R20" i="31"/>
  <c r="W195" i="71"/>
  <c r="W188" i="71"/>
  <c r="W157" i="71"/>
  <c r="U128" i="71"/>
  <c r="Y148" i="80" l="1"/>
  <c r="Y174" i="80" s="1"/>
  <c r="W144" i="80"/>
  <c r="W170" i="80" s="1"/>
  <c r="W142" i="80"/>
  <c r="W168" i="80" s="1"/>
  <c r="U145" i="80"/>
  <c r="U171" i="80" s="1"/>
  <c r="U147" i="80"/>
  <c r="U173" i="80" s="1"/>
  <c r="U143" i="80"/>
  <c r="U169" i="80" s="1"/>
  <c r="N147" i="41" a="1"/>
  <c r="Z147" i="41" a="1"/>
  <c r="AG147" i="41" a="1"/>
  <c r="Y142" i="80"/>
  <c r="Y168" i="80" s="1"/>
  <c r="W149" i="80"/>
  <c r="W175" i="80" s="1"/>
  <c r="W147" i="80"/>
  <c r="W173" i="80" s="1"/>
  <c r="U144" i="80"/>
  <c r="U170" i="80" s="1"/>
  <c r="Y143" i="80"/>
  <c r="Y169" i="80" s="1"/>
  <c r="Y146" i="80"/>
  <c r="Y172" i="80" s="1"/>
  <c r="W145" i="80"/>
  <c r="W171" i="80" s="1"/>
  <c r="Y149" i="80"/>
  <c r="Y175" i="80" s="1"/>
  <c r="U206" i="80"/>
  <c r="Y206" i="80"/>
  <c r="V206" i="80"/>
  <c r="W206" i="80"/>
  <c r="W143" i="80"/>
  <c r="W169" i="80" s="1"/>
  <c r="U148" i="80"/>
  <c r="U174" i="80" s="1"/>
  <c r="Y147" i="80"/>
  <c r="Y173" i="80" s="1"/>
  <c r="U150" i="80"/>
  <c r="U208" i="80" s="1"/>
  <c r="Y150" i="80"/>
  <c r="Y208" i="80" s="1"/>
  <c r="W146" i="80"/>
  <c r="W172" i="80" s="1"/>
  <c r="Y145" i="80"/>
  <c r="Y171" i="80" s="1"/>
  <c r="W148" i="80"/>
  <c r="W174" i="80" s="1"/>
  <c r="U149" i="80"/>
  <c r="U175" i="80" s="1"/>
  <c r="T206" i="80"/>
  <c r="W150" i="80"/>
  <c r="W208" i="80" s="1"/>
  <c r="U146" i="80"/>
  <c r="U172" i="80" s="1"/>
  <c r="Y144" i="80"/>
  <c r="Y170" i="80" s="1"/>
  <c r="R21" i="31"/>
  <c r="R23" i="31" s="1"/>
  <c r="S20" i="31"/>
  <c r="S21" i="31" s="1"/>
  <c r="S23" i="31" s="1"/>
  <c r="R73" i="74"/>
  <c r="R72" i="74"/>
  <c r="R76" i="74"/>
  <c r="R75" i="74"/>
  <c r="R78" i="74"/>
  <c r="R77" i="74"/>
  <c r="R74" i="74"/>
  <c r="H214" i="80" l="1" a="1"/>
  <c r="H214" i="80" s="1"/>
  <c r="O147" i="41" a="1"/>
  <c r="J147" i="41" a="1"/>
  <c r="AA147" i="41" a="1"/>
  <c r="AD147" i="41" a="1"/>
  <c r="U176" i="80"/>
  <c r="U177" i="80" s="1"/>
  <c r="W176" i="80"/>
  <c r="W177" i="80" s="1"/>
  <c r="Y176" i="80"/>
  <c r="Y177" i="80" s="1"/>
  <c r="H183" i="31" a="1"/>
  <c r="H183" i="31" s="1"/>
  <c r="H219" i="80" l="1"/>
  <c r="H218" i="80"/>
  <c r="H230" i="80" s="1"/>
  <c r="H222" i="80"/>
  <c r="H220" i="80"/>
  <c r="H215" i="80"/>
  <c r="H217" i="80"/>
  <c r="H229" i="80" s="1"/>
  <c r="H221" i="80"/>
  <c r="H233" i="80" s="1"/>
  <c r="H216" i="80"/>
  <c r="H228" i="80" s="1"/>
  <c r="H231" i="80"/>
  <c r="H232" i="80"/>
  <c r="H227" i="80"/>
  <c r="H226" i="80"/>
  <c r="J39" i="55"/>
  <c r="A4" i="31"/>
  <c r="K50" i="82" l="1" a="1"/>
  <c r="S241" i="80"/>
  <c r="Y254" i="80"/>
  <c r="T241" i="80"/>
  <c r="X241" i="80"/>
  <c r="W254" i="80"/>
  <c r="R254" i="80"/>
  <c r="V254" i="80"/>
  <c r="Y241" i="80"/>
  <c r="U241" i="80"/>
  <c r="U254" i="80"/>
  <c r="T254" i="80"/>
  <c r="H26" i="73"/>
  <c r="X254" i="80"/>
  <c r="S254" i="80"/>
  <c r="R241" i="80"/>
  <c r="W241" i="80"/>
  <c r="V241" i="80"/>
  <c r="H29" i="73"/>
  <c r="W257" i="80"/>
  <c r="U257" i="80"/>
  <c r="T244" i="80"/>
  <c r="X244" i="80"/>
  <c r="Y244" i="80"/>
  <c r="T257" i="80"/>
  <c r="V257" i="80"/>
  <c r="Y257" i="80"/>
  <c r="W244" i="80"/>
  <c r="R257" i="80"/>
  <c r="S244" i="80"/>
  <c r="R244" i="80"/>
  <c r="U244" i="80"/>
  <c r="V244" i="80"/>
  <c r="S257" i="80"/>
  <c r="X257" i="80"/>
  <c r="S240" i="80"/>
  <c r="X240" i="80"/>
  <c r="T240" i="80"/>
  <c r="V240" i="80"/>
  <c r="W253" i="80"/>
  <c r="R253" i="80"/>
  <c r="V253" i="80"/>
  <c r="H25" i="73"/>
  <c r="Y240" i="80"/>
  <c r="W240" i="80"/>
  <c r="U253" i="80"/>
  <c r="T253" i="80"/>
  <c r="S253" i="80"/>
  <c r="X253" i="80"/>
  <c r="Y253" i="80"/>
  <c r="R240" i="80"/>
  <c r="U240" i="80"/>
  <c r="W255" i="80"/>
  <c r="S255" i="80"/>
  <c r="V255" i="80"/>
  <c r="U255" i="80"/>
  <c r="H27" i="73"/>
  <c r="W242" i="80"/>
  <c r="R242" i="80"/>
  <c r="V242" i="80"/>
  <c r="Y255" i="80"/>
  <c r="T255" i="80"/>
  <c r="U242" i="80"/>
  <c r="T242" i="80"/>
  <c r="R255" i="80"/>
  <c r="X255" i="80"/>
  <c r="S242" i="80"/>
  <c r="Y242" i="80"/>
  <c r="X242" i="80"/>
  <c r="H30" i="73"/>
  <c r="W258" i="80"/>
  <c r="R258" i="80"/>
  <c r="R245" i="80"/>
  <c r="V245" i="80"/>
  <c r="S245" i="80"/>
  <c r="U245" i="80"/>
  <c r="X245" i="80"/>
  <c r="Y258" i="80"/>
  <c r="T245" i="80"/>
  <c r="U258" i="80"/>
  <c r="W245" i="80"/>
  <c r="T258" i="80"/>
  <c r="S258" i="80"/>
  <c r="X258" i="80"/>
  <c r="Y245" i="80"/>
  <c r="V258" i="80"/>
  <c r="W239" i="80"/>
  <c r="W252" i="80"/>
  <c r="V252" i="80"/>
  <c r="T252" i="80"/>
  <c r="H24" i="73"/>
  <c r="Y239" i="80"/>
  <c r="U252" i="80"/>
  <c r="R239" i="80"/>
  <c r="S252" i="80"/>
  <c r="V239" i="80"/>
  <c r="Y252" i="80"/>
  <c r="T239" i="80"/>
  <c r="S239" i="80"/>
  <c r="R252" i="80"/>
  <c r="X239" i="80"/>
  <c r="X252" i="80"/>
  <c r="H23" i="73"/>
  <c r="U239" i="80"/>
  <c r="Y256" i="80"/>
  <c r="X243" i="80"/>
  <c r="R243" i="80"/>
  <c r="T243" i="80"/>
  <c r="S256" i="80"/>
  <c r="V243" i="80"/>
  <c r="R256" i="80"/>
  <c r="H28" i="73"/>
  <c r="S243" i="80"/>
  <c r="X256" i="80"/>
  <c r="V256" i="80"/>
  <c r="Y243" i="80"/>
  <c r="T256" i="80"/>
  <c r="W256" i="80"/>
  <c r="U256" i="80"/>
  <c r="W243" i="80"/>
  <c r="U243" i="80"/>
  <c r="H31" i="73"/>
  <c r="Y259" i="80"/>
  <c r="X259" i="80"/>
  <c r="X246" i="80"/>
  <c r="T259" i="80"/>
  <c r="S246" i="80"/>
  <c r="T246" i="80"/>
  <c r="U259" i="80"/>
  <c r="W259" i="80"/>
  <c r="R246" i="80"/>
  <c r="V246" i="80"/>
  <c r="V259" i="80"/>
  <c r="Y246" i="80"/>
  <c r="R259" i="80"/>
  <c r="W246" i="80"/>
  <c r="U246" i="80"/>
  <c r="S259" i="80"/>
  <c r="K50" i="82" l="1"/>
  <c r="N50" i="82"/>
  <c r="M50" i="82"/>
  <c r="L50" i="82"/>
  <c r="O50" i="82"/>
  <c r="Y272" i="80"/>
  <c r="U276" i="80"/>
  <c r="W274" i="80"/>
  <c r="U269" i="80"/>
  <c r="U270" i="80"/>
  <c r="Y270" i="80"/>
  <c r="W273" i="80"/>
  <c r="Y276" i="80"/>
  <c r="Y273" i="80"/>
  <c r="W269" i="80"/>
  <c r="U272" i="80"/>
  <c r="W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W276" i="80"/>
  <c r="Y269" i="80"/>
  <c r="Y275" i="80"/>
  <c r="W275"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U271"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U273" i="80"/>
  <c r="U275"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J195" i="73" l="1"/>
  <c r="J265" i="73"/>
  <c r="J28" i="74" s="1"/>
  <c r="J266" i="73"/>
  <c r="J29" i="74" s="1"/>
  <c r="J196" i="73"/>
  <c r="Q264" i="73"/>
  <c r="Q27" i="74" s="1"/>
  <c r="Q194" i="73"/>
  <c r="M199" i="73"/>
  <c r="M269" i="73"/>
  <c r="M32" i="74" s="1"/>
  <c r="L267" i="73"/>
  <c r="L30" i="74" s="1"/>
  <c r="L197" i="73"/>
  <c r="Q270" i="73"/>
  <c r="Q33" i="74" s="1"/>
  <c r="Q200" i="73"/>
  <c r="M195" i="73"/>
  <c r="M265" i="73"/>
  <c r="M28" i="74" s="1"/>
  <c r="K195" i="73"/>
  <c r="K265" i="73"/>
  <c r="K28" i="74" s="1"/>
  <c r="O196" i="73"/>
  <c r="O266" i="73"/>
  <c r="O29" i="74" s="1"/>
  <c r="L264" i="73"/>
  <c r="L27" i="74" s="1"/>
  <c r="L194" i="73"/>
  <c r="K269" i="73"/>
  <c r="K32" i="74" s="1"/>
  <c r="K199" i="73"/>
  <c r="M267" i="73"/>
  <c r="M30" i="74" s="1"/>
  <c r="M197" i="73"/>
  <c r="N267" i="73"/>
  <c r="N30" i="74" s="1"/>
  <c r="N197" i="73"/>
  <c r="O195" i="73"/>
  <c r="O265" i="73"/>
  <c r="O28" i="74" s="1"/>
  <c r="L196" i="73"/>
  <c r="L266" i="73"/>
  <c r="L29" i="74" s="1"/>
  <c r="O194" i="73"/>
  <c r="O264" i="73"/>
  <c r="O27" i="74" s="1"/>
  <c r="P194" i="73"/>
  <c r="P264" i="73"/>
  <c r="P27" i="74" s="1"/>
  <c r="M264" i="73"/>
  <c r="M27" i="74" s="1"/>
  <c r="M194" i="73"/>
  <c r="N194" i="73"/>
  <c r="N264" i="73"/>
  <c r="N27" i="74" s="1"/>
  <c r="N268" i="73"/>
  <c r="N31" i="74" s="1"/>
  <c r="N198" i="73"/>
  <c r="K268" i="73"/>
  <c r="K31" i="74" s="1"/>
  <c r="K198" i="73"/>
  <c r="L199" i="73"/>
  <c r="L269" i="73"/>
  <c r="L32" i="74" s="1"/>
  <c r="Q267" i="73"/>
  <c r="Q30" i="74" s="1"/>
  <c r="Q197" i="73"/>
  <c r="P267" i="73"/>
  <c r="P30" i="74" s="1"/>
  <c r="P197" i="73"/>
  <c r="M200" i="73"/>
  <c r="M270" i="73"/>
  <c r="M33" i="74" s="1"/>
  <c r="P270" i="73"/>
  <c r="P33" i="74" s="1"/>
  <c r="P200" i="73"/>
  <c r="L200" i="73"/>
  <c r="L270" i="73"/>
  <c r="L33" i="74" s="1"/>
  <c r="L195" i="73"/>
  <c r="L265" i="73"/>
  <c r="L28" i="74" s="1"/>
  <c r="Q266" i="73"/>
  <c r="Q29" i="74" s="1"/>
  <c r="Q196" i="73"/>
  <c r="P196" i="73"/>
  <c r="P266" i="73"/>
  <c r="P29" i="74" s="1"/>
  <c r="L268" i="73"/>
  <c r="L31" i="74" s="1"/>
  <c r="L198" i="73"/>
  <c r="P268" i="73"/>
  <c r="P31" i="74" s="1"/>
  <c r="P198" i="73"/>
  <c r="P199" i="73"/>
  <c r="P269" i="73"/>
  <c r="P32" i="74" s="1"/>
  <c r="J199" i="73"/>
  <c r="J269" i="73"/>
  <c r="J32" i="74" s="1"/>
  <c r="Q195" i="73"/>
  <c r="Q265" i="73"/>
  <c r="Q28" i="74" s="1"/>
  <c r="N195" i="73"/>
  <c r="N265" i="73"/>
  <c r="N28" i="74" s="1"/>
  <c r="J264" i="73"/>
  <c r="J27" i="74" s="1"/>
  <c r="J194" i="73"/>
  <c r="O268" i="73"/>
  <c r="O31" i="74" s="1"/>
  <c r="O198" i="73"/>
  <c r="O199" i="73"/>
  <c r="O269" i="73"/>
  <c r="O32" i="74" s="1"/>
  <c r="N269" i="73"/>
  <c r="N32" i="74" s="1"/>
  <c r="N199" i="73"/>
  <c r="K200" i="73"/>
  <c r="K270" i="73"/>
  <c r="K33" i="74" s="1"/>
  <c r="P195" i="73"/>
  <c r="P265" i="73"/>
  <c r="P28" i="74" s="1"/>
  <c r="K196" i="73"/>
  <c r="K266" i="73"/>
  <c r="K29" i="74" s="1"/>
  <c r="M266" i="73"/>
  <c r="M29" i="74" s="1"/>
  <c r="M196" i="73"/>
  <c r="N266" i="73"/>
  <c r="N29" i="74" s="1"/>
  <c r="N196" i="73"/>
  <c r="K264" i="73"/>
  <c r="K27" i="74" s="1"/>
  <c r="K194" i="73"/>
  <c r="Q268" i="73"/>
  <c r="Q31" i="74" s="1"/>
  <c r="Q198" i="73"/>
  <c r="M198" i="73"/>
  <c r="M268" i="73"/>
  <c r="M31" i="74" s="1"/>
  <c r="J268" i="73"/>
  <c r="J31" i="74" s="1"/>
  <c r="J198" i="73"/>
  <c r="Q269" i="73"/>
  <c r="Q32" i="74" s="1"/>
  <c r="Q199" i="73"/>
  <c r="O267" i="73"/>
  <c r="O30" i="74" s="1"/>
  <c r="O197" i="73"/>
  <c r="K197" i="73"/>
  <c r="K267" i="73"/>
  <c r="K30" i="74" s="1"/>
  <c r="J197" i="73"/>
  <c r="J267" i="73"/>
  <c r="J30" i="74" s="1"/>
  <c r="O200" i="73"/>
  <c r="O270" i="73"/>
  <c r="O33" i="74" s="1"/>
  <c r="N270" i="73"/>
  <c r="N33" i="74" s="1"/>
  <c r="N200" i="73"/>
  <c r="J200" i="73"/>
  <c r="J270" i="73"/>
  <c r="J33" i="74" s="1"/>
  <c r="S79" i="74" l="1"/>
  <c r="R79" i="74"/>
  <c r="S84" i="74" l="1"/>
  <c r="S91" i="74"/>
  <c r="S85" i="74"/>
  <c r="S86" i="74"/>
  <c r="S92" i="74"/>
  <c r="S89" i="74"/>
  <c r="S87" i="74"/>
  <c r="S90" i="74"/>
  <c r="S93" i="74"/>
  <c r="S88" i="74"/>
  <c r="R85" i="74"/>
  <c r="R87" i="74"/>
  <c r="R86" i="74"/>
  <c r="R84" i="74"/>
  <c r="R93" i="74"/>
  <c r="R92" i="74"/>
  <c r="R89" i="74"/>
  <c r="R88" i="74"/>
  <c r="R90" i="74"/>
  <c r="R91" i="74"/>
  <c r="Y207" i="41" l="1"/>
  <c r="O207" i="41"/>
  <c r="AC207" i="41"/>
  <c r="N207" i="41"/>
  <c r="AE207" i="41"/>
  <c r="T207" i="41"/>
  <c r="Z207" i="41"/>
  <c r="AA207" i="41"/>
  <c r="V207" i="41" l="1"/>
  <c r="AD207" i="41"/>
  <c r="P207" i="41"/>
  <c r="U207" i="41"/>
  <c r="M207" i="41"/>
  <c r="AG198" i="41"/>
  <c r="AF207" i="41"/>
  <c r="X207" i="41"/>
  <c r="S207" i="41"/>
  <c r="J207" i="41" l="1"/>
  <c r="J170" i="105" l="1"/>
  <c r="AI165" i="65" l="1"/>
  <c r="AI70" i="105" s="1"/>
  <c r="AM165" i="65"/>
  <c r="AM70" i="105" s="1"/>
  <c r="AM111" i="105" s="1"/>
  <c r="AM112" i="105" s="1"/>
  <c r="AI111" i="105" l="1"/>
  <c r="AE165" i="65" l="1"/>
  <c r="AE70" i="105" s="1"/>
  <c r="AE111" i="105" l="1"/>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05" i="105" l="1"/>
  <c r="AI112" i="105" s="1"/>
  <c r="AM174" i="105" l="1"/>
  <c r="AM140" i="105"/>
  <c r="AM207" i="105" s="1"/>
  <c r="AM146" i="105"/>
  <c r="AO174" i="105"/>
  <c r="AO146" i="105"/>
  <c r="AO140" i="105"/>
  <c r="AO207" i="105" s="1"/>
  <c r="AK140" i="105"/>
  <c r="AK146" i="105"/>
  <c r="AK174" i="105"/>
  <c r="AK207" i="105" l="1"/>
  <c r="AK206" i="105"/>
  <c r="AA159" i="65" l="1"/>
  <c r="AA64" i="105" s="1"/>
  <c r="AA105" i="105" l="1"/>
  <c r="AA112" i="105" s="1"/>
  <c r="X154" i="22" l="1"/>
  <c r="X153" i="22"/>
  <c r="X152" i="22"/>
  <c r="V154" i="22"/>
  <c r="V153" i="22"/>
  <c r="V152" i="22"/>
  <c r="T154" i="22"/>
  <c r="T153" i="22"/>
  <c r="T152" i="22"/>
  <c r="T158" i="22"/>
  <c r="V158" i="22"/>
  <c r="X158" i="22"/>
  <c r="X155" i="22"/>
  <c r="V155" i="22"/>
  <c r="T155" i="22"/>
  <c r="U23" i="112" l="1"/>
  <c r="U36" i="112" s="1"/>
  <c r="T23" i="112"/>
  <c r="T54" i="112" s="1"/>
  <c r="M23" i="112"/>
  <c r="M54" i="112" s="1"/>
  <c r="V23" i="112"/>
  <c r="V54" i="112" s="1"/>
  <c r="W23" i="112"/>
  <c r="O23" i="112"/>
  <c r="X23" i="112"/>
  <c r="X54" i="112" s="1"/>
  <c r="Y23" i="112"/>
  <c r="R23" i="112"/>
  <c r="R54" i="112" s="1"/>
  <c r="T220" i="22"/>
  <c r="T633" i="22"/>
  <c r="AJ47" i="105" s="1"/>
  <c r="AJ142" i="105" s="1"/>
  <c r="T347" i="22"/>
  <c r="V217" i="22"/>
  <c r="V233" i="22" s="1"/>
  <c r="V237" i="22" s="1"/>
  <c r="V615" i="22"/>
  <c r="AL44" i="105" s="1"/>
  <c r="V344" i="22"/>
  <c r="T627" i="22"/>
  <c r="AJ46" i="105" s="1"/>
  <c r="T219" i="22"/>
  <c r="T255" i="22" s="1"/>
  <c r="T259" i="22" s="1"/>
  <c r="T346" i="22"/>
  <c r="X223" i="22"/>
  <c r="X303" i="22" s="1"/>
  <c r="X307" i="22" s="1"/>
  <c r="X651" i="22"/>
  <c r="AN50" i="105" s="1"/>
  <c r="X350" i="22"/>
  <c r="V627" i="22"/>
  <c r="AL46" i="105" s="1"/>
  <c r="V219" i="22"/>
  <c r="V255" i="22" s="1"/>
  <c r="V259" i="22" s="1"/>
  <c r="V346" i="22"/>
  <c r="V633" i="22"/>
  <c r="AL47" i="105" s="1"/>
  <c r="AL142" i="105" s="1"/>
  <c r="V220" i="22"/>
  <c r="V347" i="22"/>
  <c r="X220" i="22"/>
  <c r="X633" i="22"/>
  <c r="AN47" i="105" s="1"/>
  <c r="AN142" i="105" s="1"/>
  <c r="X347" i="22"/>
  <c r="V218" i="22"/>
  <c r="V244" i="22" s="1"/>
  <c r="V248" i="22" s="1"/>
  <c r="V621" i="22"/>
  <c r="AL45" i="105" s="1"/>
  <c r="V345" i="22"/>
  <c r="V651" i="22"/>
  <c r="AL50" i="105" s="1"/>
  <c r="V223" i="22"/>
  <c r="V303" i="22" s="1"/>
  <c r="V307" i="22" s="1"/>
  <c r="V350" i="22"/>
  <c r="X217" i="22"/>
  <c r="X233" i="22" s="1"/>
  <c r="X237" i="22" s="1"/>
  <c r="X615" i="22"/>
  <c r="AN44" i="105" s="1"/>
  <c r="X344" i="22"/>
  <c r="T217" i="22"/>
  <c r="T233" i="22" s="1"/>
  <c r="T237" i="22" s="1"/>
  <c r="T615" i="22"/>
  <c r="AJ44" i="105" s="1"/>
  <c r="T344" i="22"/>
  <c r="X219" i="22"/>
  <c r="X255" i="22" s="1"/>
  <c r="X259" i="22" s="1"/>
  <c r="X627" i="22"/>
  <c r="AN46" i="105" s="1"/>
  <c r="X346" i="22"/>
  <c r="T651" i="22"/>
  <c r="AJ50" i="105" s="1"/>
  <c r="T223" i="22"/>
  <c r="T303" i="22" s="1"/>
  <c r="T307" i="22" s="1"/>
  <c r="T350" i="22"/>
  <c r="X621" i="22"/>
  <c r="AN45" i="105" s="1"/>
  <c r="X218" i="22"/>
  <c r="X244" i="22" s="1"/>
  <c r="X248" i="22" s="1"/>
  <c r="X345" i="22"/>
  <c r="T621" i="22"/>
  <c r="AJ45" i="105" s="1"/>
  <c r="T218" i="22"/>
  <c r="T244" i="22" s="1"/>
  <c r="T248" i="22" s="1"/>
  <c r="T345" i="22"/>
  <c r="U54" i="112" l="1"/>
  <c r="U60" i="112" s="1"/>
  <c r="U37" i="112"/>
  <c r="W37" i="112"/>
  <c r="W36" i="112"/>
  <c r="W54" i="112"/>
  <c r="W60" i="112" s="1"/>
  <c r="Y37" i="112"/>
  <c r="Y36" i="112"/>
  <c r="Y54" i="112"/>
  <c r="Y60" i="112" s="1"/>
  <c r="AJ148" i="105"/>
  <c r="T270" i="22"/>
  <c r="T274" i="22" s="1"/>
  <c r="T22" i="112"/>
  <c r="AN148" i="105"/>
  <c r="AL148" i="105"/>
  <c r="V270" i="22"/>
  <c r="V274" i="22" s="1"/>
  <c r="V22" i="112"/>
  <c r="X270" i="22"/>
  <c r="X274" i="22" s="1"/>
  <c r="X22" i="112"/>
  <c r="O157" i="22" l="1"/>
  <c r="N146" i="22"/>
  <c r="O90" i="22"/>
  <c r="O81" i="22"/>
  <c r="O99" i="22"/>
  <c r="N99" i="22"/>
  <c r="N81" i="22"/>
  <c r="N90" i="22"/>
  <c r="N157" i="22"/>
  <c r="N184" i="22"/>
  <c r="N193" i="22"/>
  <c r="N166" i="22"/>
  <c r="N175" i="22"/>
  <c r="O184" i="22"/>
  <c r="O193" i="22"/>
  <c r="O166" i="22"/>
  <c r="O175" i="22"/>
  <c r="P157" i="22"/>
  <c r="P184" i="22"/>
  <c r="P193" i="22"/>
  <c r="P166" i="22"/>
  <c r="P175" i="22"/>
  <c r="N119" i="22"/>
  <c r="N110" i="22"/>
  <c r="N128" i="22"/>
  <c r="N137" i="22"/>
  <c r="P99" i="22"/>
  <c r="P90" i="22"/>
  <c r="P81" i="22"/>
  <c r="N72" i="22" l="1"/>
  <c r="N558" i="22" s="1"/>
  <c r="S27" i="105" s="1"/>
  <c r="P72" i="22"/>
  <c r="P558" i="22" s="1"/>
  <c r="AC27" i="105" s="1"/>
  <c r="O72" i="22"/>
  <c r="O558" i="22" s="1"/>
  <c r="X27" i="105" s="1"/>
  <c r="P647" i="22"/>
  <c r="AD49" i="105" s="1"/>
  <c r="P407" i="22"/>
  <c r="O648" i="22"/>
  <c r="Z49" i="105" s="1"/>
  <c r="O436" i="22"/>
  <c r="P646" i="22"/>
  <c r="AC49" i="105" s="1"/>
  <c r="P378" i="22"/>
  <c r="P649" i="22"/>
  <c r="AF49" i="105" s="1"/>
  <c r="P465" i="22"/>
  <c r="N647" i="22"/>
  <c r="T49" i="105" s="1"/>
  <c r="N407" i="22"/>
  <c r="N646" i="22"/>
  <c r="S49" i="105" s="1"/>
  <c r="N378" i="22"/>
  <c r="N649" i="22"/>
  <c r="V49" i="105" s="1"/>
  <c r="N465" i="22"/>
  <c r="O649" i="22"/>
  <c r="AA49" i="105" s="1"/>
  <c r="O465" i="22"/>
  <c r="O647" i="22"/>
  <c r="Y49" i="105" s="1"/>
  <c r="O407" i="22"/>
  <c r="N648" i="22"/>
  <c r="U49" i="105" s="1"/>
  <c r="N436" i="22"/>
  <c r="P648" i="22"/>
  <c r="AE49" i="105" s="1"/>
  <c r="P436" i="22"/>
  <c r="O646" i="22"/>
  <c r="X49" i="105" s="1"/>
  <c r="O378" i="22"/>
  <c r="O645" i="22"/>
  <c r="W49" i="105" s="1"/>
  <c r="O222" i="22"/>
  <c r="O292" i="22" s="1"/>
  <c r="O296" i="22" s="1"/>
  <c r="O349" i="22"/>
  <c r="P645" i="22"/>
  <c r="AB49" i="105" s="1"/>
  <c r="P222" i="22"/>
  <c r="P292" i="22" s="1"/>
  <c r="P296" i="22" s="1"/>
  <c r="P349" i="22"/>
  <c r="N645" i="22"/>
  <c r="R49" i="105" s="1"/>
  <c r="N222" i="22"/>
  <c r="N292" i="22" s="1"/>
  <c r="N296" i="22" s="1"/>
  <c r="N349" i="22"/>
  <c r="N605" i="22"/>
  <c r="V38" i="105" s="1"/>
  <c r="N604" i="22"/>
  <c r="U38" i="105" s="1"/>
  <c r="N603" i="22"/>
  <c r="T38" i="105" s="1"/>
  <c r="N601" i="22"/>
  <c r="R38" i="105" s="1"/>
  <c r="N602" i="22"/>
  <c r="S38" i="105" s="1"/>
  <c r="N213" i="22"/>
  <c r="N291" i="22" s="1"/>
  <c r="P559" i="22"/>
  <c r="AD27" i="105" s="1"/>
  <c r="P560" i="22"/>
  <c r="AE27" i="105" s="1"/>
  <c r="N560" i="22"/>
  <c r="U27" i="105" s="1"/>
  <c r="O559" i="22"/>
  <c r="Y27" i="105" s="1"/>
  <c r="N561" i="22"/>
  <c r="V27" i="105" s="1"/>
  <c r="P561" i="22"/>
  <c r="AF27" i="105" s="1"/>
  <c r="O561" i="22"/>
  <c r="AA27" i="105" s="1"/>
  <c r="O560" i="22"/>
  <c r="Z27" i="105" s="1"/>
  <c r="N559" i="22"/>
  <c r="T27" i="105" s="1"/>
  <c r="S155" i="22" l="1"/>
  <c r="K108" i="22"/>
  <c r="R155" i="22"/>
  <c r="R108" i="22"/>
  <c r="M155" i="22"/>
  <c r="K155" i="22"/>
  <c r="M108" i="22"/>
  <c r="K633" i="22" l="1"/>
  <c r="K47" i="105" s="1"/>
  <c r="K142" i="105" s="1"/>
  <c r="K220" i="22"/>
  <c r="K347" i="22"/>
  <c r="R633" i="22"/>
  <c r="AH47" i="105" s="1"/>
  <c r="AH142" i="105" s="1"/>
  <c r="R220" i="22"/>
  <c r="R347" i="22"/>
  <c r="M220" i="22"/>
  <c r="M633" i="22"/>
  <c r="Q47" i="105" s="1"/>
  <c r="Q142" i="105" s="1"/>
  <c r="M347" i="22"/>
  <c r="S633" i="22"/>
  <c r="AI47" i="105" s="1"/>
  <c r="AI142" i="105" s="1"/>
  <c r="S220" i="22"/>
  <c r="S347" i="22"/>
  <c r="M589" i="22"/>
  <c r="Q36" i="105" s="1"/>
  <c r="Q141" i="105" s="1"/>
  <c r="M211" i="22"/>
  <c r="R211" i="22"/>
  <c r="R589" i="22"/>
  <c r="AH36" i="105" s="1"/>
  <c r="AH141" i="105" s="1"/>
  <c r="R338" i="22"/>
  <c r="K211" i="22"/>
  <c r="K589" i="22"/>
  <c r="K36" i="105" s="1"/>
  <c r="K141" i="105" s="1"/>
  <c r="M270" i="22" l="1"/>
  <c r="M274" i="22" s="1"/>
  <c r="M22" i="112"/>
  <c r="R270" i="22"/>
  <c r="R274" i="22" s="1"/>
  <c r="R22" i="112"/>
  <c r="S270" i="22"/>
  <c r="S274" i="22" s="1"/>
  <c r="S22" i="112"/>
  <c r="K270" i="22"/>
  <c r="K274" i="22" s="1"/>
  <c r="K22" i="112"/>
  <c r="K269" i="22"/>
  <c r="K21" i="112"/>
  <c r="R269" i="22"/>
  <c r="R273" i="22" s="1"/>
  <c r="R21" i="112"/>
  <c r="M269" i="22"/>
  <c r="M21" i="112"/>
  <c r="O97" i="22" l="1"/>
  <c r="O79" i="22"/>
  <c r="O88" i="22"/>
  <c r="O70" i="22" l="1"/>
  <c r="O63" i="22"/>
  <c r="O546" i="22"/>
  <c r="X25" i="105" s="1"/>
  <c r="O202" i="22"/>
  <c r="O548" i="22"/>
  <c r="Z25" i="105" s="1"/>
  <c r="O547" i="22"/>
  <c r="Y25" i="105" s="1"/>
  <c r="O549" i="22"/>
  <c r="AA25" i="105" s="1"/>
  <c r="P97" i="22"/>
  <c r="P79" i="22"/>
  <c r="P88" i="22"/>
  <c r="N97" i="22"/>
  <c r="N79" i="22"/>
  <c r="N88" i="22"/>
  <c r="N70" i="22" l="1"/>
  <c r="N63" i="22"/>
  <c r="P70" i="22"/>
  <c r="P202" i="22" s="1"/>
  <c r="P63" i="22"/>
  <c r="O557" i="22"/>
  <c r="W27" i="105" s="1"/>
  <c r="W187" i="105" s="1"/>
  <c r="O204" i="22"/>
  <c r="O290" i="22" s="1"/>
  <c r="N548" i="22"/>
  <c r="U25" i="105" s="1"/>
  <c r="N547" i="22"/>
  <c r="T25" i="105" s="1"/>
  <c r="Y185" i="105"/>
  <c r="Y187" i="105"/>
  <c r="N549" i="22"/>
  <c r="V25" i="105" s="1"/>
  <c r="P548" i="22"/>
  <c r="AE25" i="105" s="1"/>
  <c r="Z185" i="105"/>
  <c r="Z187" i="105"/>
  <c r="P546" i="22"/>
  <c r="AC25" i="105" s="1"/>
  <c r="P547" i="22"/>
  <c r="AD25" i="105" s="1"/>
  <c r="AA185" i="105"/>
  <c r="AA187" i="105"/>
  <c r="P549" i="22"/>
  <c r="AF25" i="105" s="1"/>
  <c r="O268" i="22"/>
  <c r="O20" i="112"/>
  <c r="N546" i="22"/>
  <c r="S25" i="105" s="1"/>
  <c r="N202" i="22"/>
  <c r="X185" i="105"/>
  <c r="X187" i="105"/>
  <c r="P557" i="22" l="1"/>
  <c r="AB27" i="105" s="1"/>
  <c r="AB187" i="105" s="1"/>
  <c r="P204" i="22"/>
  <c r="P290" i="22" s="1"/>
  <c r="N557" i="22"/>
  <c r="R27" i="105" s="1"/>
  <c r="N204" i="22"/>
  <c r="N290" i="22" s="1"/>
  <c r="AC185" i="105"/>
  <c r="AC187" i="105"/>
  <c r="P268" i="22"/>
  <c r="P20" i="112"/>
  <c r="AE187" i="105"/>
  <c r="AE185" i="105"/>
  <c r="N268" i="22"/>
  <c r="N20" i="112"/>
  <c r="AF187" i="105"/>
  <c r="AF185" i="105"/>
  <c r="AD185" i="105"/>
  <c r="AD187" i="105"/>
  <c r="P23" i="112" l="1"/>
  <c r="N155" i="22" l="1"/>
  <c r="N182" i="22"/>
  <c r="N191" i="22"/>
  <c r="N164" i="22"/>
  <c r="N173" i="22"/>
  <c r="N135" i="22"/>
  <c r="N144" i="22"/>
  <c r="N117" i="22"/>
  <c r="N108" i="22"/>
  <c r="N126" i="22"/>
  <c r="N23" i="112"/>
  <c r="T108" i="22"/>
  <c r="N167" i="22" l="1"/>
  <c r="N194" i="22"/>
  <c r="N158" i="22"/>
  <c r="N176" i="22"/>
  <c r="N185" i="22"/>
  <c r="N635" i="22"/>
  <c r="T47" i="105" s="1"/>
  <c r="N405" i="22"/>
  <c r="N634" i="22"/>
  <c r="S47" i="105" s="1"/>
  <c r="N376" i="22"/>
  <c r="N637" i="22"/>
  <c r="V47" i="105" s="1"/>
  <c r="N463" i="22"/>
  <c r="N636" i="22"/>
  <c r="U47" i="105" s="1"/>
  <c r="N434" i="22"/>
  <c r="N633" i="22"/>
  <c r="R47" i="105" s="1"/>
  <c r="R142" i="105" s="1"/>
  <c r="N220" i="22"/>
  <c r="N347" i="22"/>
  <c r="N590" i="22"/>
  <c r="S36" i="105" s="1"/>
  <c r="N211" i="22"/>
  <c r="N593" i="22"/>
  <c r="V36" i="105" s="1"/>
  <c r="N592" i="22"/>
  <c r="U36" i="105" s="1"/>
  <c r="T211" i="22"/>
  <c r="T589" i="22"/>
  <c r="AJ36" i="105" s="1"/>
  <c r="T338" i="22"/>
  <c r="N591" i="22"/>
  <c r="T36" i="105" s="1"/>
  <c r="N589" i="22"/>
  <c r="R36" i="105" s="1"/>
  <c r="R141" i="105" s="1"/>
  <c r="P155" i="22"/>
  <c r="P191" i="22"/>
  <c r="P164" i="22"/>
  <c r="P173" i="22"/>
  <c r="P182" i="22"/>
  <c r="T111" i="22" l="1"/>
  <c r="N109" i="22"/>
  <c r="N120" i="22"/>
  <c r="T59" i="22"/>
  <c r="N654" i="22"/>
  <c r="U50" i="105" s="1"/>
  <c r="N437" i="22"/>
  <c r="P637" i="22"/>
  <c r="AF47" i="105" s="1"/>
  <c r="P463" i="22"/>
  <c r="N653" i="22"/>
  <c r="T50" i="105" s="1"/>
  <c r="N408" i="22"/>
  <c r="V61" i="22"/>
  <c r="V545" i="22" s="1"/>
  <c r="AL25" i="105" s="1"/>
  <c r="N652" i="22"/>
  <c r="S50" i="105" s="1"/>
  <c r="N379" i="22"/>
  <c r="P636" i="22"/>
  <c r="AE47" i="105" s="1"/>
  <c r="P434" i="22"/>
  <c r="N655" i="22"/>
  <c r="V50" i="105" s="1"/>
  <c r="N466" i="22"/>
  <c r="P635" i="22"/>
  <c r="AD47" i="105" s="1"/>
  <c r="P405" i="22"/>
  <c r="P634" i="22"/>
  <c r="AC47" i="105" s="1"/>
  <c r="P376" i="22"/>
  <c r="P633" i="22"/>
  <c r="AB47" i="105" s="1"/>
  <c r="AB142" i="105" s="1"/>
  <c r="P220" i="22"/>
  <c r="P347" i="22"/>
  <c r="N651" i="22"/>
  <c r="R50" i="105" s="1"/>
  <c r="N223" i="22"/>
  <c r="N303" i="22" s="1"/>
  <c r="N307" i="22" s="1"/>
  <c r="N350" i="22"/>
  <c r="N270" i="22"/>
  <c r="N274" i="22" s="1"/>
  <c r="N22" i="112"/>
  <c r="T269" i="22"/>
  <c r="T273" i="22" s="1"/>
  <c r="T21" i="112"/>
  <c r="N269" i="22"/>
  <c r="N21" i="112"/>
  <c r="N156" i="22"/>
  <c r="N192" i="22"/>
  <c r="N174" i="22"/>
  <c r="N165" i="22"/>
  <c r="N183" i="22"/>
  <c r="N145" i="22"/>
  <c r="N118" i="22"/>
  <c r="N127" i="22"/>
  <c r="N136" i="22"/>
  <c r="N111" i="22"/>
  <c r="N129" i="22"/>
  <c r="N138" i="22"/>
  <c r="N147" i="22"/>
  <c r="T200" i="22" l="1"/>
  <c r="T242" i="22" s="1"/>
  <c r="T533" i="22"/>
  <c r="AJ23" i="105" s="1"/>
  <c r="T341" i="22"/>
  <c r="T214" i="22"/>
  <c r="T302" i="22" s="1"/>
  <c r="T306" i="22" s="1"/>
  <c r="T607" i="22"/>
  <c r="AJ39" i="105" s="1"/>
  <c r="X59" i="22"/>
  <c r="T60" i="22"/>
  <c r="V58" i="22"/>
  <c r="V59" i="22"/>
  <c r="V60" i="22"/>
  <c r="V356" i="22"/>
  <c r="V499" i="22" s="1"/>
  <c r="AL56" i="41" s="1"/>
  <c r="V202" i="22"/>
  <c r="N642" i="22"/>
  <c r="U48" i="105" s="1"/>
  <c r="N435" i="22"/>
  <c r="N640" i="22"/>
  <c r="S48" i="105" s="1"/>
  <c r="N377" i="22"/>
  <c r="N641" i="22"/>
  <c r="T48" i="105" s="1"/>
  <c r="N406" i="22"/>
  <c r="N643" i="22"/>
  <c r="V48" i="105" s="1"/>
  <c r="N464" i="22"/>
  <c r="N639" i="22"/>
  <c r="R48" i="105" s="1"/>
  <c r="N221" i="22"/>
  <c r="N281" i="22" s="1"/>
  <c r="N285" i="22" s="1"/>
  <c r="N348" i="22"/>
  <c r="P270" i="22"/>
  <c r="P274" i="22" s="1"/>
  <c r="P22" i="112"/>
  <c r="N610" i="22"/>
  <c r="U39" i="105" s="1"/>
  <c r="N599" i="22"/>
  <c r="V37" i="105" s="1"/>
  <c r="N609" i="22"/>
  <c r="T39" i="105" s="1"/>
  <c r="N607" i="22"/>
  <c r="R39" i="105" s="1"/>
  <c r="N214" i="22"/>
  <c r="N302" i="22" s="1"/>
  <c r="N608" i="22"/>
  <c r="S39" i="105" s="1"/>
  <c r="N598" i="22"/>
  <c r="U37" i="105" s="1"/>
  <c r="N597" i="22"/>
  <c r="T37" i="105" s="1"/>
  <c r="N37" i="112"/>
  <c r="N36" i="112"/>
  <c r="N595" i="22"/>
  <c r="R37" i="105" s="1"/>
  <c r="N611" i="22"/>
  <c r="V39" i="105" s="1"/>
  <c r="N212" i="22"/>
  <c r="N280" i="22" s="1"/>
  <c r="N596" i="22"/>
  <c r="S37" i="105" s="1"/>
  <c r="V268" i="22"/>
  <c r="V275" i="22" s="1"/>
  <c r="V20" i="112"/>
  <c r="AL198" i="105"/>
  <c r="AL187" i="105"/>
  <c r="AL185" i="105"/>
  <c r="AL197" i="105"/>
  <c r="AL186" i="105"/>
  <c r="T201" i="22" l="1"/>
  <c r="T253" i="22" s="1"/>
  <c r="T539" i="22"/>
  <c r="AJ24" i="105" s="1"/>
  <c r="X533" i="22"/>
  <c r="AN23" i="105" s="1"/>
  <c r="X200" i="22"/>
  <c r="X242" i="22" s="1"/>
  <c r="X249" i="22" s="1"/>
  <c r="X32" i="53" s="1"/>
  <c r="X354" i="22"/>
  <c r="X487" i="22" s="1"/>
  <c r="AN54" i="41" s="1"/>
  <c r="V539" i="22"/>
  <c r="AL24" i="105" s="1"/>
  <c r="AL184" i="105" s="1"/>
  <c r="V201" i="22"/>
  <c r="V253" i="22" s="1"/>
  <c r="V260" i="22" s="1"/>
  <c r="V58" i="80" s="1"/>
  <c r="V355" i="22"/>
  <c r="V493" i="22" s="1"/>
  <c r="AL55" i="41" s="1"/>
  <c r="V533" i="22"/>
  <c r="AL23" i="105" s="1"/>
  <c r="AL183" i="105" s="1"/>
  <c r="V200" i="22"/>
  <c r="V242" i="22" s="1"/>
  <c r="V249" i="22" s="1"/>
  <c r="V57" i="80" s="1"/>
  <c r="V354" i="22"/>
  <c r="V487" i="22" s="1"/>
  <c r="AL54" i="41" s="1"/>
  <c r="P37" i="112"/>
  <c r="P36" i="112"/>
  <c r="V36" i="112"/>
  <c r="V37" i="112"/>
  <c r="V50" i="112"/>
  <c r="V60" i="112" s="1"/>
  <c r="V18" i="74"/>
  <c r="V16" i="111"/>
  <c r="V527" i="22"/>
  <c r="AL22" i="105" s="1"/>
  <c r="AL182" i="105" s="1"/>
  <c r="V199" i="22"/>
  <c r="V231" i="22" s="1"/>
  <c r="V238" i="22" s="1"/>
  <c r="V353" i="22"/>
  <c r="V481" i="22" s="1"/>
  <c r="AL53" i="41" s="1"/>
  <c r="V32" i="53" l="1"/>
  <c r="X57" i="80"/>
  <c r="AL164" i="41"/>
  <c r="X60" i="22"/>
  <c r="V33" i="53"/>
  <c r="V28" i="111"/>
  <c r="V34" i="111" s="1"/>
  <c r="V27" i="111"/>
  <c r="V33" i="111" s="1"/>
  <c r="V56" i="80"/>
  <c r="V31" i="53"/>
  <c r="V264" i="22"/>
  <c r="V17" i="111" s="1"/>
  <c r="O192" i="22" l="1"/>
  <c r="O174" i="22"/>
  <c r="O165" i="22"/>
  <c r="O183" i="22"/>
  <c r="O156" i="22"/>
  <c r="X201" i="22"/>
  <c r="X253" i="22" s="1"/>
  <c r="X260" i="22" s="1"/>
  <c r="X58" i="80" s="1"/>
  <c r="X539" i="22"/>
  <c r="AN24" i="105" s="1"/>
  <c r="X355" i="22"/>
  <c r="X493" i="22" s="1"/>
  <c r="AN55" i="41" s="1"/>
  <c r="V34" i="53"/>
  <c r="V50" i="53" s="1"/>
  <c r="V59" i="80"/>
  <c r="V49" i="53" l="1"/>
  <c r="V48" i="53"/>
  <c r="V54" i="53" s="1"/>
  <c r="V93" i="53" s="1"/>
  <c r="V274" i="53" s="1"/>
  <c r="X33" i="53"/>
  <c r="O167" i="22"/>
  <c r="O194" i="22"/>
  <c r="O185" i="22"/>
  <c r="O176" i="22"/>
  <c r="O641" i="22"/>
  <c r="Y48" i="105" s="1"/>
  <c r="O406" i="22"/>
  <c r="O643" i="22"/>
  <c r="AA48" i="105" s="1"/>
  <c r="O464" i="22"/>
  <c r="O640" i="22"/>
  <c r="X48" i="105" s="1"/>
  <c r="O377" i="22"/>
  <c r="O642" i="22"/>
  <c r="Z48" i="105" s="1"/>
  <c r="O435" i="22"/>
  <c r="O639" i="22"/>
  <c r="W48" i="105" s="1"/>
  <c r="O221" i="22"/>
  <c r="O281" i="22" s="1"/>
  <c r="O285" i="22" s="1"/>
  <c r="O348" i="22"/>
  <c r="O158" i="22"/>
  <c r="V297" i="53" l="1"/>
  <c r="V294" i="53"/>
  <c r="V276" i="53"/>
  <c r="V86" i="83" s="1"/>
  <c r="V157" i="83" s="1"/>
  <c r="V27" i="71" s="1"/>
  <c r="V132" i="71" s="1"/>
  <c r="V285" i="53"/>
  <c r="V299" i="53"/>
  <c r="V290" i="53"/>
  <c r="V298" i="53"/>
  <c r="V120" i="80" s="1"/>
  <c r="V132" i="80" s="1"/>
  <c r="V302" i="53"/>
  <c r="V124" i="80" s="1"/>
  <c r="V136" i="80" s="1"/>
  <c r="V275" i="53"/>
  <c r="V73" i="80" s="1"/>
  <c r="V85" i="80" s="1"/>
  <c r="V278" i="53"/>
  <c r="V88" i="83" s="1"/>
  <c r="V159" i="83" s="1"/>
  <c r="V29" i="71" s="1"/>
  <c r="V134" i="71" s="1"/>
  <c r="V277" i="53"/>
  <c r="V87" i="83" s="1"/>
  <c r="V158" i="83" s="1"/>
  <c r="V28" i="71" s="1"/>
  <c r="V133" i="71" s="1"/>
  <c r="V283" i="53"/>
  <c r="V93" i="80" s="1"/>
  <c r="V105" i="80" s="1"/>
  <c r="V273" i="53"/>
  <c r="V291" i="53"/>
  <c r="V102" i="83" s="1"/>
  <c r="V190" i="83" s="1"/>
  <c r="V61" i="71" s="1"/>
  <c r="V166" i="71" s="1"/>
  <c r="V300" i="53"/>
  <c r="V112" i="83" s="1"/>
  <c r="V217" i="83" s="1"/>
  <c r="V89" i="71" s="1"/>
  <c r="V194" i="71" s="1"/>
  <c r="V279" i="53"/>
  <c r="V89" i="83" s="1"/>
  <c r="V160" i="83" s="1"/>
  <c r="V30" i="71" s="1"/>
  <c r="V135" i="71" s="1"/>
  <c r="V289" i="53"/>
  <c r="V100" i="83" s="1"/>
  <c r="V188" i="83" s="1"/>
  <c r="V59" i="71" s="1"/>
  <c r="V164" i="71" s="1"/>
  <c r="V287" i="53"/>
  <c r="V97" i="80" s="1"/>
  <c r="V109" i="80" s="1"/>
  <c r="V288" i="53"/>
  <c r="V99" i="83" s="1"/>
  <c r="V187" i="83" s="1"/>
  <c r="V58" i="71" s="1"/>
  <c r="V163" i="71" s="1"/>
  <c r="V301" i="53"/>
  <c r="V113" i="83" s="1"/>
  <c r="V218" i="83" s="1"/>
  <c r="V90" i="71" s="1"/>
  <c r="V195" i="71" s="1"/>
  <c r="V280" i="53"/>
  <c r="V272" i="53"/>
  <c r="V82" i="83" s="1"/>
  <c r="V153" i="83" s="1"/>
  <c r="V23" i="71" s="1"/>
  <c r="V128" i="71" s="1"/>
  <c r="V296" i="53"/>
  <c r="V108" i="83" s="1"/>
  <c r="V213" i="83" s="1"/>
  <c r="V85" i="71" s="1"/>
  <c r="V190" i="71" s="1"/>
  <c r="V284" i="53"/>
  <c r="V94" i="80" s="1"/>
  <c r="V106" i="80" s="1"/>
  <c r="V295" i="53"/>
  <c r="V107" i="83" s="1"/>
  <c r="V212" i="83" s="1"/>
  <c r="V84" i="71" s="1"/>
  <c r="V189" i="71" s="1"/>
  <c r="V286" i="53"/>
  <c r="V97" i="83" s="1"/>
  <c r="V185" i="83" s="1"/>
  <c r="V56" i="71" s="1"/>
  <c r="V161" i="71" s="1"/>
  <c r="O655" i="22"/>
  <c r="AA50" i="105" s="1"/>
  <c r="O466" i="22"/>
  <c r="O654" i="22"/>
  <c r="Z50" i="105" s="1"/>
  <c r="O437" i="22"/>
  <c r="O653" i="22"/>
  <c r="Y50" i="105" s="1"/>
  <c r="O408" i="22"/>
  <c r="O652" i="22"/>
  <c r="X50" i="105" s="1"/>
  <c r="O379" i="22"/>
  <c r="O651" i="22"/>
  <c r="W50" i="105" s="1"/>
  <c r="O223" i="22"/>
  <c r="O303" i="22" s="1"/>
  <c r="O307" i="22" s="1"/>
  <c r="O350" i="22"/>
  <c r="V119" i="80"/>
  <c r="V131" i="80" s="1"/>
  <c r="V109" i="83"/>
  <c r="V214" i="83" s="1"/>
  <c r="V86" i="71" s="1"/>
  <c r="V191" i="71" s="1"/>
  <c r="V93" i="83"/>
  <c r="V181" i="83" s="1"/>
  <c r="V52" i="71" s="1"/>
  <c r="V157" i="71" s="1"/>
  <c r="V105" i="83"/>
  <c r="V210" i="83" s="1"/>
  <c r="V82" i="71" s="1"/>
  <c r="V187" i="71" s="1"/>
  <c r="V116" i="80"/>
  <c r="V128" i="80" s="1"/>
  <c r="V106" i="83"/>
  <c r="V211" i="83" s="1"/>
  <c r="V83" i="71" s="1"/>
  <c r="V188" i="71" s="1"/>
  <c r="V96" i="83"/>
  <c r="V184" i="83" s="1"/>
  <c r="V55" i="71" s="1"/>
  <c r="V160" i="71" s="1"/>
  <c r="V95" i="80"/>
  <c r="V107" i="80" s="1"/>
  <c r="V98" i="80"/>
  <c r="V110" i="80" s="1"/>
  <c r="V83" i="83"/>
  <c r="V154" i="83" s="1"/>
  <c r="V24" i="71" s="1"/>
  <c r="V129" i="71" s="1"/>
  <c r="V71" i="80"/>
  <c r="V83" i="80" s="1"/>
  <c r="V111" i="83"/>
  <c r="V216" i="83" s="1"/>
  <c r="V88" i="71" s="1"/>
  <c r="V193" i="71" s="1"/>
  <c r="V121" i="80"/>
  <c r="V133" i="80" s="1"/>
  <c r="V90" i="83"/>
  <c r="V161" i="83" s="1"/>
  <c r="V31" i="71" s="1"/>
  <c r="V136" i="71" s="1"/>
  <c r="V78" i="80"/>
  <c r="V90" i="80" s="1"/>
  <c r="V123" i="80"/>
  <c r="V135" i="80" s="1"/>
  <c r="V100" i="80"/>
  <c r="V112" i="80" s="1"/>
  <c r="V101" i="83"/>
  <c r="V189" i="83" s="1"/>
  <c r="V60" i="71" s="1"/>
  <c r="V165" i="71" s="1"/>
  <c r="V101" i="80"/>
  <c r="V113" i="80" s="1"/>
  <c r="V72" i="80"/>
  <c r="V84" i="80" s="1"/>
  <c r="V84" i="83"/>
  <c r="V155" i="83" s="1"/>
  <c r="V25" i="71" s="1"/>
  <c r="V130" i="71" s="1"/>
  <c r="P156" i="22"/>
  <c r="P174" i="22"/>
  <c r="P183" i="22"/>
  <c r="P192" i="22"/>
  <c r="P165" i="22"/>
  <c r="O155" i="22"/>
  <c r="O191" i="22"/>
  <c r="O164" i="22"/>
  <c r="O182" i="22"/>
  <c r="O173" i="22"/>
  <c r="X61" i="22"/>
  <c r="T61" i="22"/>
  <c r="V114" i="83" l="1"/>
  <c r="V219" i="83" s="1"/>
  <c r="V91" i="71" s="1"/>
  <c r="V196" i="71" s="1"/>
  <c r="V110" i="83"/>
  <c r="V215" i="83" s="1"/>
  <c r="V87" i="71" s="1"/>
  <c r="V192" i="71" s="1"/>
  <c r="V98" i="83"/>
  <c r="V186" i="83" s="1"/>
  <c r="V57" i="71" s="1"/>
  <c r="V162" i="71" s="1"/>
  <c r="V85" i="83"/>
  <c r="V156" i="83" s="1"/>
  <c r="V26" i="71" s="1"/>
  <c r="V131" i="71" s="1"/>
  <c r="V70" i="80"/>
  <c r="V82" i="80" s="1"/>
  <c r="V142" i="80" s="1"/>
  <c r="V168" i="80" s="1"/>
  <c r="V269" i="80" s="1"/>
  <c r="V81" i="83"/>
  <c r="V152" i="83" s="1"/>
  <c r="V22" i="71" s="1"/>
  <c r="V127" i="71" s="1"/>
  <c r="V74" i="80"/>
  <c r="V86" i="80" s="1"/>
  <c r="V146" i="80" s="1"/>
  <c r="V172" i="80" s="1"/>
  <c r="V273" i="80" s="1"/>
  <c r="V75" i="80"/>
  <c r="V87" i="80" s="1"/>
  <c r="V147" i="80" s="1"/>
  <c r="V173" i="80" s="1"/>
  <c r="V274" i="80" s="1"/>
  <c r="V76" i="80"/>
  <c r="V88" i="80" s="1"/>
  <c r="V117" i="80"/>
  <c r="V129" i="80" s="1"/>
  <c r="V143" i="80" s="1"/>
  <c r="V169" i="80" s="1"/>
  <c r="V270" i="80" s="1"/>
  <c r="V122" i="80"/>
  <c r="V134" i="80" s="1"/>
  <c r="V94" i="83"/>
  <c r="V182" i="83" s="1"/>
  <c r="V53" i="71" s="1"/>
  <c r="V158" i="71" s="1"/>
  <c r="V99" i="80"/>
  <c r="V111" i="80" s="1"/>
  <c r="V95" i="83"/>
  <c r="V183" i="83" s="1"/>
  <c r="V54" i="71" s="1"/>
  <c r="V159" i="71" s="1"/>
  <c r="V77" i="80"/>
  <c r="V89" i="80" s="1"/>
  <c r="V149" i="80" s="1"/>
  <c r="V175" i="80" s="1"/>
  <c r="V276" i="80" s="1"/>
  <c r="V96" i="80"/>
  <c r="V108" i="80" s="1"/>
  <c r="V145" i="80" s="1"/>
  <c r="V171" i="80" s="1"/>
  <c r="V272" i="80" s="1"/>
  <c r="V118" i="80"/>
  <c r="V130" i="80" s="1"/>
  <c r="V144" i="80" s="1"/>
  <c r="V170" i="80" s="1"/>
  <c r="V271" i="80" s="1"/>
  <c r="P642" i="22"/>
  <c r="AE48" i="105" s="1"/>
  <c r="P435" i="22"/>
  <c r="O635" i="22"/>
  <c r="Y47" i="105" s="1"/>
  <c r="O405" i="22"/>
  <c r="P641" i="22"/>
  <c r="AD48" i="105" s="1"/>
  <c r="P406" i="22"/>
  <c r="O636" i="22"/>
  <c r="Z47" i="105" s="1"/>
  <c r="O434" i="22"/>
  <c r="P643" i="22"/>
  <c r="AF48" i="105" s="1"/>
  <c r="P464" i="22"/>
  <c r="O634" i="22"/>
  <c r="X47" i="105" s="1"/>
  <c r="O376" i="22"/>
  <c r="O637" i="22"/>
  <c r="AA47" i="105" s="1"/>
  <c r="O463" i="22"/>
  <c r="P640" i="22"/>
  <c r="AC48" i="105" s="1"/>
  <c r="P377" i="22"/>
  <c r="P639" i="22"/>
  <c r="AB48" i="105" s="1"/>
  <c r="P221" i="22"/>
  <c r="P281" i="22" s="1"/>
  <c r="P285" i="22" s="1"/>
  <c r="P348" i="22"/>
  <c r="O633" i="22"/>
  <c r="W47" i="105" s="1"/>
  <c r="W142" i="105" s="1"/>
  <c r="O220" i="22"/>
  <c r="O347" i="22"/>
  <c r="X545" i="22"/>
  <c r="AN25" i="105" s="1"/>
  <c r="X202" i="22"/>
  <c r="X356" i="22"/>
  <c r="X499" i="22" s="1"/>
  <c r="AN56" i="41" s="1"/>
  <c r="T202" i="22"/>
  <c r="T545" i="22"/>
  <c r="AJ25" i="105" s="1"/>
  <c r="T356" i="22"/>
  <c r="T499" i="22" s="1"/>
  <c r="AJ56" i="41" s="1"/>
  <c r="V150" i="80"/>
  <c r="V148" i="80" l="1"/>
  <c r="V174" i="80" s="1"/>
  <c r="V275" i="80" s="1"/>
  <c r="O270" i="22"/>
  <c r="O274" i="22" s="1"/>
  <c r="O22" i="112"/>
  <c r="X268" i="22"/>
  <c r="X275" i="22" s="1"/>
  <c r="X20" i="112"/>
  <c r="AN197" i="105"/>
  <c r="AN184" i="105"/>
  <c r="AN183" i="105"/>
  <c r="AN187" i="105"/>
  <c r="AN186" i="105"/>
  <c r="AN185" i="105"/>
  <c r="AN198" i="105"/>
  <c r="V176" i="80"/>
  <c r="V177" i="80" s="1"/>
  <c r="V208" i="80"/>
  <c r="AJ197" i="105"/>
  <c r="AJ187" i="105"/>
  <c r="AJ198" i="105"/>
  <c r="AJ186" i="105"/>
  <c r="T268" i="22"/>
  <c r="T275" i="22" s="1"/>
  <c r="T20" i="112"/>
  <c r="X58" i="22"/>
  <c r="T58" i="22"/>
  <c r="P158" i="22"/>
  <c r="P194" i="22"/>
  <c r="P167" i="22"/>
  <c r="P176" i="22"/>
  <c r="P185" i="22"/>
  <c r="P652" i="22" l="1"/>
  <c r="AC50" i="105" s="1"/>
  <c r="P379" i="22"/>
  <c r="P655" i="22"/>
  <c r="AF50" i="105" s="1"/>
  <c r="P466" i="22"/>
  <c r="P653" i="22"/>
  <c r="AD50" i="105" s="1"/>
  <c r="P408" i="22"/>
  <c r="P654" i="22"/>
  <c r="AE50" i="105" s="1"/>
  <c r="P437" i="22"/>
  <c r="O37" i="112"/>
  <c r="O36" i="112"/>
  <c r="P651" i="22"/>
  <c r="AB50" i="105" s="1"/>
  <c r="P223" i="22"/>
  <c r="P303" i="22" s="1"/>
  <c r="P307" i="22" s="1"/>
  <c r="P350" i="22"/>
  <c r="T527" i="22"/>
  <c r="AJ22" i="105" s="1"/>
  <c r="T199" i="22"/>
  <c r="T231" i="22" s="1"/>
  <c r="X199" i="22"/>
  <c r="X231" i="22" s="1"/>
  <c r="X238" i="22" s="1"/>
  <c r="X527" i="22"/>
  <c r="AN22" i="105" s="1"/>
  <c r="AN182" i="105" s="1"/>
  <c r="X353" i="22"/>
  <c r="X481" i="22" s="1"/>
  <c r="AN53" i="41" s="1"/>
  <c r="AN164" i="41" s="1"/>
  <c r="T36" i="112"/>
  <c r="T37" i="112"/>
  <c r="T50" i="112"/>
  <c r="T60" i="112" s="1"/>
  <c r="T18" i="74"/>
  <c r="T16" i="111"/>
  <c r="X37" i="112"/>
  <c r="X36" i="112"/>
  <c r="X50" i="112"/>
  <c r="X60" i="112" s="1"/>
  <c r="X16" i="111"/>
  <c r="X18" i="74"/>
  <c r="X28" i="111" l="1"/>
  <c r="X34" i="111" s="1"/>
  <c r="X27" i="111"/>
  <c r="X33" i="111" s="1"/>
  <c r="X56" i="80"/>
  <c r="X31" i="53"/>
  <c r="X34" i="53" s="1"/>
  <c r="X264" i="22"/>
  <c r="X17" i="111" s="1"/>
  <c r="T27" i="111"/>
  <c r="T33" i="111" s="1"/>
  <c r="T28" i="111"/>
  <c r="T34" i="111" s="1"/>
  <c r="X50" i="53" l="1"/>
  <c r="X49" i="53"/>
  <c r="X48" i="53"/>
  <c r="X54" i="53" s="1"/>
  <c r="X93" i="53" s="1"/>
  <c r="X59" i="80"/>
  <c r="X285" i="53" l="1"/>
  <c r="X297" i="53"/>
  <c r="X301" i="53"/>
  <c r="X294" i="53"/>
  <c r="X275" i="53"/>
  <c r="X290" i="53"/>
  <c r="X274" i="53"/>
  <c r="X272" i="53"/>
  <c r="X283" i="53"/>
  <c r="X300" i="53"/>
  <c r="X298" i="53"/>
  <c r="X279" i="53"/>
  <c r="X286" i="53"/>
  <c r="X278" i="53"/>
  <c r="X276" i="53"/>
  <c r="X284" i="53"/>
  <c r="X299" i="53"/>
  <c r="X288" i="53"/>
  <c r="X289" i="53"/>
  <c r="X302" i="53"/>
  <c r="X287" i="53"/>
  <c r="X273" i="53"/>
  <c r="X291" i="53"/>
  <c r="X296" i="53"/>
  <c r="X277" i="53"/>
  <c r="X280" i="53"/>
  <c r="X295" i="53"/>
  <c r="X98" i="83" l="1"/>
  <c r="X186" i="83" s="1"/>
  <c r="X57" i="71" s="1"/>
  <c r="X162" i="71" s="1"/>
  <c r="X97" i="80"/>
  <c r="X109" i="80" s="1"/>
  <c r="X96" i="80"/>
  <c r="X108" i="80" s="1"/>
  <c r="X97" i="83"/>
  <c r="X185" i="83" s="1"/>
  <c r="X56" i="71" s="1"/>
  <c r="X161" i="71" s="1"/>
  <c r="X85" i="83"/>
  <c r="X156" i="83" s="1"/>
  <c r="X26" i="71" s="1"/>
  <c r="X131" i="71" s="1"/>
  <c r="X73" i="80"/>
  <c r="X85" i="80" s="1"/>
  <c r="X114" i="83"/>
  <c r="X219" i="83" s="1"/>
  <c r="X91" i="71" s="1"/>
  <c r="X196" i="71" s="1"/>
  <c r="X124" i="80"/>
  <c r="X136" i="80" s="1"/>
  <c r="X77" i="80"/>
  <c r="X89" i="80" s="1"/>
  <c r="X89" i="83"/>
  <c r="X160" i="83" s="1"/>
  <c r="X30" i="71" s="1"/>
  <c r="X135" i="71" s="1"/>
  <c r="X106" i="83"/>
  <c r="X211" i="83" s="1"/>
  <c r="X83" i="71" s="1"/>
  <c r="X188" i="71" s="1"/>
  <c r="X105" i="83"/>
  <c r="X210" i="83" s="1"/>
  <c r="X82" i="71" s="1"/>
  <c r="X187" i="71" s="1"/>
  <c r="X116" i="80"/>
  <c r="X128" i="80" s="1"/>
  <c r="X117" i="80"/>
  <c r="X129" i="80" s="1"/>
  <c r="X107" i="83"/>
  <c r="X212" i="83" s="1"/>
  <c r="X84" i="71" s="1"/>
  <c r="X189" i="71" s="1"/>
  <c r="X100" i="83"/>
  <c r="X188" i="83" s="1"/>
  <c r="X59" i="71" s="1"/>
  <c r="X164" i="71" s="1"/>
  <c r="X99" i="80"/>
  <c r="X111" i="80" s="1"/>
  <c r="X110" i="83"/>
  <c r="X215" i="83" s="1"/>
  <c r="X87" i="71" s="1"/>
  <c r="X192" i="71" s="1"/>
  <c r="X120" i="80"/>
  <c r="X132" i="80" s="1"/>
  <c r="X113" i="83"/>
  <c r="X218" i="83" s="1"/>
  <c r="X90" i="71" s="1"/>
  <c r="X195" i="71" s="1"/>
  <c r="X123" i="80"/>
  <c r="X135" i="80" s="1"/>
  <c r="X78" i="80"/>
  <c r="X90" i="80" s="1"/>
  <c r="X90" i="83"/>
  <c r="X161" i="83" s="1"/>
  <c r="X31" i="71" s="1"/>
  <c r="X136" i="71" s="1"/>
  <c r="X98" i="80"/>
  <c r="X110" i="80" s="1"/>
  <c r="X99" i="83"/>
  <c r="X187" i="83" s="1"/>
  <c r="X58" i="71" s="1"/>
  <c r="X163" i="71" s="1"/>
  <c r="X122" i="80"/>
  <c r="X134" i="80" s="1"/>
  <c r="X112" i="83"/>
  <c r="X217" i="83" s="1"/>
  <c r="X89" i="71" s="1"/>
  <c r="X194" i="71" s="1"/>
  <c r="X109" i="83"/>
  <c r="X214" i="83" s="1"/>
  <c r="X86" i="71" s="1"/>
  <c r="X191" i="71" s="1"/>
  <c r="X119" i="80"/>
  <c r="X131" i="80" s="1"/>
  <c r="X87" i="83"/>
  <c r="X158" i="83" s="1"/>
  <c r="X28" i="71" s="1"/>
  <c r="X133" i="71" s="1"/>
  <c r="X75" i="80"/>
  <c r="X87" i="80" s="1"/>
  <c r="X121" i="80"/>
  <c r="X133" i="80" s="1"/>
  <c r="X111" i="83"/>
  <c r="X216" i="83" s="1"/>
  <c r="X88" i="71" s="1"/>
  <c r="X193" i="71" s="1"/>
  <c r="X94" i="83"/>
  <c r="X182" i="83" s="1"/>
  <c r="X53" i="71" s="1"/>
  <c r="X158" i="71" s="1"/>
  <c r="X93" i="83"/>
  <c r="X181" i="83" s="1"/>
  <c r="X52" i="71" s="1"/>
  <c r="X157" i="71" s="1"/>
  <c r="X93" i="80"/>
  <c r="X105" i="80" s="1"/>
  <c r="X96" i="83"/>
  <c r="X184" i="83" s="1"/>
  <c r="X55" i="71" s="1"/>
  <c r="X160" i="71" s="1"/>
  <c r="X95" i="80"/>
  <c r="X107" i="80" s="1"/>
  <c r="X108" i="83"/>
  <c r="X213" i="83" s="1"/>
  <c r="X85" i="71" s="1"/>
  <c r="X190" i="71" s="1"/>
  <c r="X118" i="80"/>
  <c r="X130" i="80" s="1"/>
  <c r="X95" i="83"/>
  <c r="X183" i="83" s="1"/>
  <c r="X54" i="71" s="1"/>
  <c r="X159" i="71" s="1"/>
  <c r="X94" i="80"/>
  <c r="X106" i="80" s="1"/>
  <c r="X82" i="83"/>
  <c r="X153" i="83" s="1"/>
  <c r="X23" i="71" s="1"/>
  <c r="X128" i="71" s="1"/>
  <c r="X70" i="80"/>
  <c r="X82" i="80" s="1"/>
  <c r="X81" i="83"/>
  <c r="X152" i="83" s="1"/>
  <c r="X22" i="71" s="1"/>
  <c r="X127" i="71" s="1"/>
  <c r="X102" i="83"/>
  <c r="X190" i="83" s="1"/>
  <c r="X61" i="71" s="1"/>
  <c r="X166" i="71" s="1"/>
  <c r="X101" i="80"/>
  <c r="X113" i="80" s="1"/>
  <c r="X86" i="83"/>
  <c r="X157" i="83" s="1"/>
  <c r="X27" i="71" s="1"/>
  <c r="X132" i="71" s="1"/>
  <c r="X74" i="80"/>
  <c r="X86" i="80" s="1"/>
  <c r="X84" i="83"/>
  <c r="X155" i="83" s="1"/>
  <c r="X25" i="71" s="1"/>
  <c r="X130" i="71" s="1"/>
  <c r="X72" i="80"/>
  <c r="X84" i="80" s="1"/>
  <c r="X71" i="80"/>
  <c r="X83" i="80" s="1"/>
  <c r="X83" i="83"/>
  <c r="X154" i="83" s="1"/>
  <c r="X24" i="71" s="1"/>
  <c r="X129" i="71" s="1"/>
  <c r="X88" i="83"/>
  <c r="X159" i="83" s="1"/>
  <c r="X29" i="71" s="1"/>
  <c r="X134" i="71" s="1"/>
  <c r="X76" i="80"/>
  <c r="X88" i="80" s="1"/>
  <c r="X100" i="80"/>
  <c r="X112" i="80" s="1"/>
  <c r="X101" i="83"/>
  <c r="X189" i="83" s="1"/>
  <c r="X60" i="71" s="1"/>
  <c r="X165" i="71" s="1"/>
  <c r="X146" i="80" l="1"/>
  <c r="X172" i="80" s="1"/>
  <c r="X273" i="80" s="1"/>
  <c r="X148" i="80"/>
  <c r="X174" i="80" s="1"/>
  <c r="X275" i="80" s="1"/>
  <c r="X142" i="80"/>
  <c r="X168" i="80" s="1"/>
  <c r="X269" i="80" s="1"/>
  <c r="X144" i="80"/>
  <c r="X170" i="80" s="1"/>
  <c r="X271" i="80" s="1"/>
  <c r="X149" i="80"/>
  <c r="X175" i="80" s="1"/>
  <c r="X276" i="80" s="1"/>
  <c r="X145" i="80"/>
  <c r="X171" i="80" s="1"/>
  <c r="X272" i="80" s="1"/>
  <c r="X143" i="80"/>
  <c r="X169" i="80" s="1"/>
  <c r="X270" i="80" s="1"/>
  <c r="X147" i="80"/>
  <c r="X173" i="80" s="1"/>
  <c r="X274" i="80" s="1"/>
  <c r="X150" i="80"/>
  <c r="O91" i="22" l="1"/>
  <c r="P82" i="22"/>
  <c r="N91" i="22"/>
  <c r="N100" i="22"/>
  <c r="N82" i="22"/>
  <c r="X64" i="22"/>
  <c r="V64" i="22"/>
  <c r="V563" i="22" s="1"/>
  <c r="AL28" i="105" s="1"/>
  <c r="AL188" i="105" s="1"/>
  <c r="AL189" i="105" s="1"/>
  <c r="X176" i="80"/>
  <c r="X177" i="80" s="1"/>
  <c r="X208" i="80"/>
  <c r="T64" i="22"/>
  <c r="P100" i="22"/>
  <c r="P91" i="22"/>
  <c r="O100" i="22"/>
  <c r="O82" i="22"/>
  <c r="N73" i="22" l="1"/>
  <c r="N564" i="22" s="1"/>
  <c r="S28" i="105" s="1"/>
  <c r="N64" i="22"/>
  <c r="P73" i="22"/>
  <c r="P564" i="22" s="1"/>
  <c r="AC28" i="105" s="1"/>
  <c r="AC188" i="105" s="1"/>
  <c r="P64" i="22"/>
  <c r="O73" i="22"/>
  <c r="O64" i="22"/>
  <c r="V359" i="22"/>
  <c r="V517" i="22" s="1"/>
  <c r="AL59" i="41" s="1"/>
  <c r="V205" i="22"/>
  <c r="V301" i="22" s="1"/>
  <c r="V308" i="22" s="1"/>
  <c r="N565" i="22"/>
  <c r="T28" i="105" s="1"/>
  <c r="P567" i="22"/>
  <c r="AF28" i="105" s="1"/>
  <c r="AF188" i="105" s="1"/>
  <c r="O564" i="22"/>
  <c r="X28" i="105" s="1"/>
  <c r="X188" i="105" s="1"/>
  <c r="O205" i="22"/>
  <c r="O301" i="22" s="1"/>
  <c r="N567" i="22"/>
  <c r="V28" i="105" s="1"/>
  <c r="P565" i="22"/>
  <c r="AD28" i="105" s="1"/>
  <c r="AD188" i="105" s="1"/>
  <c r="O566" i="22"/>
  <c r="Z28" i="105" s="1"/>
  <c r="Z188" i="105" s="1"/>
  <c r="P566" i="22"/>
  <c r="AE28" i="105" s="1"/>
  <c r="AE188" i="105" s="1"/>
  <c r="O565" i="22"/>
  <c r="Y28" i="105" s="1"/>
  <c r="Y188" i="105" s="1"/>
  <c r="N566" i="22"/>
  <c r="U28" i="105" s="1"/>
  <c r="O567" i="22"/>
  <c r="AA28" i="105" s="1"/>
  <c r="AA188" i="105" s="1"/>
  <c r="T205" i="22"/>
  <c r="T301" i="22" s="1"/>
  <c r="T308" i="22" s="1"/>
  <c r="T563" i="22"/>
  <c r="AJ28" i="105" s="1"/>
  <c r="T359" i="22"/>
  <c r="T517" i="22" s="1"/>
  <c r="AJ59" i="41" s="1"/>
  <c r="X563" i="22"/>
  <c r="AN28" i="105" s="1"/>
  <c r="AN188" i="105" s="1"/>
  <c r="AN189" i="105" s="1"/>
  <c r="X205" i="22"/>
  <c r="X301" i="22" s="1"/>
  <c r="X308" i="22" s="1"/>
  <c r="X359" i="22"/>
  <c r="X517" i="22" s="1"/>
  <c r="AN59" i="41" s="1"/>
  <c r="P205" i="22" l="1"/>
  <c r="P301" i="22" s="1"/>
  <c r="N205" i="22"/>
  <c r="N301" i="22" s="1"/>
  <c r="O563" i="22"/>
  <c r="W28" i="105" s="1"/>
  <c r="W188" i="105" s="1"/>
  <c r="P563" i="22"/>
  <c r="AB28" i="105" s="1"/>
  <c r="AB188" i="105" s="1"/>
  <c r="N563" i="22"/>
  <c r="R28" i="105" s="1"/>
  <c r="P80" i="22" l="1"/>
  <c r="P89" i="22"/>
  <c r="P98" i="22"/>
  <c r="P71" i="22" l="1"/>
  <c r="P62" i="22"/>
  <c r="P203" i="22" s="1"/>
  <c r="P279" i="22" s="1"/>
  <c r="P555" i="22"/>
  <c r="AF26" i="105" s="1"/>
  <c r="AF186" i="105" s="1"/>
  <c r="P554" i="22"/>
  <c r="AE26" i="105" s="1"/>
  <c r="AE186" i="105" s="1"/>
  <c r="P553" i="22"/>
  <c r="AD26" i="105" s="1"/>
  <c r="AD186" i="105" s="1"/>
  <c r="P552" i="22"/>
  <c r="AC26" i="105" s="1"/>
  <c r="AC186" i="105" s="1"/>
  <c r="P551" i="22" l="1"/>
  <c r="AB26" i="105" s="1"/>
  <c r="AB186" i="105" s="1"/>
  <c r="N98" i="22" l="1"/>
  <c r="N80" i="22"/>
  <c r="N89" i="22"/>
  <c r="N71" i="22" l="1"/>
  <c r="N62" i="22"/>
  <c r="N554" i="22"/>
  <c r="U26" i="105" s="1"/>
  <c r="N553" i="22"/>
  <c r="T26" i="105" s="1"/>
  <c r="N555" i="22"/>
  <c r="V26" i="105" s="1"/>
  <c r="N203" i="22" l="1"/>
  <c r="N279" i="22" s="1"/>
  <c r="N552" i="22"/>
  <c r="S26" i="105" s="1"/>
  <c r="O80" i="22"/>
  <c r="O89" i="22"/>
  <c r="O98" i="22"/>
  <c r="N551" i="22"/>
  <c r="R26" i="105" s="1"/>
  <c r="O71" i="22" l="1"/>
  <c r="O62" i="22"/>
  <c r="O555" i="22"/>
  <c r="AA26" i="105" s="1"/>
  <c r="AA186" i="105" s="1"/>
  <c r="O553" i="22"/>
  <c r="Y26" i="105" s="1"/>
  <c r="Y186" i="105" s="1"/>
  <c r="O554" i="22"/>
  <c r="Z26" i="105" s="1"/>
  <c r="Z186" i="105" s="1"/>
  <c r="O552" i="22" l="1"/>
  <c r="X26" i="105" s="1"/>
  <c r="O551" i="22"/>
  <c r="W26" i="105" s="1"/>
  <c r="W186" i="105" s="1"/>
  <c r="O203" i="22"/>
  <c r="O279" i="22" s="1"/>
  <c r="X170" i="105"/>
  <c r="X186" i="105"/>
  <c r="S154" i="22" l="1"/>
  <c r="S152" i="22"/>
  <c r="S153" i="22"/>
  <c r="S615" i="22" l="1"/>
  <c r="AI44" i="105" s="1"/>
  <c r="S217" i="22"/>
  <c r="S233" i="22" s="1"/>
  <c r="S237" i="22" s="1"/>
  <c r="S344" i="22"/>
  <c r="S218" i="22"/>
  <c r="S244" i="22" s="1"/>
  <c r="S248" i="22" s="1"/>
  <c r="S621" i="22"/>
  <c r="AI45" i="105" s="1"/>
  <c r="S345" i="22"/>
  <c r="S627" i="22"/>
  <c r="AI46" i="105" s="1"/>
  <c r="S219" i="22"/>
  <c r="S255" i="22" s="1"/>
  <c r="S259" i="22" s="1"/>
  <c r="S346" i="22"/>
  <c r="AI148" i="105" l="1"/>
  <c r="S61" i="22" l="1"/>
  <c r="S202" i="22" l="1"/>
  <c r="S545" i="22"/>
  <c r="AI25" i="105" s="1"/>
  <c r="S356" i="22"/>
  <c r="S499" i="22" s="1"/>
  <c r="AI56" i="41" s="1"/>
  <c r="S60" i="22" l="1"/>
  <c r="S58" i="22"/>
  <c r="S59" i="22"/>
  <c r="AI198" i="105"/>
  <c r="AI186" i="105"/>
  <c r="AI184" i="105"/>
  <c r="AI197" i="105"/>
  <c r="AI183" i="105"/>
  <c r="AI185" i="105"/>
  <c r="AI187" i="105"/>
  <c r="AI188" i="105"/>
  <c r="AI182" i="105"/>
  <c r="S268" i="22"/>
  <c r="S275" i="22" s="1"/>
  <c r="S20" i="112"/>
  <c r="S200" i="22" l="1"/>
  <c r="S242" i="22" s="1"/>
  <c r="S249" i="22" s="1"/>
  <c r="S533" i="22"/>
  <c r="AI23" i="105" s="1"/>
  <c r="S354" i="22"/>
  <c r="S487" i="22" s="1"/>
  <c r="AI54" i="41" s="1"/>
  <c r="S539" i="22"/>
  <c r="AI24" i="105" s="1"/>
  <c r="S201" i="22"/>
  <c r="S253" i="22" s="1"/>
  <c r="S260" i="22" s="1"/>
  <c r="S355" i="22"/>
  <c r="S493" i="22" s="1"/>
  <c r="AI55" i="41" s="1"/>
  <c r="S199" i="22"/>
  <c r="S231" i="22" s="1"/>
  <c r="S238" i="22" s="1"/>
  <c r="S527" i="22"/>
  <c r="AI22" i="105" s="1"/>
  <c r="S353" i="22"/>
  <c r="S481" i="22" s="1"/>
  <c r="AI53" i="41" s="1"/>
  <c r="S50" i="112"/>
  <c r="S18" i="74"/>
  <c r="S16" i="111"/>
  <c r="AI189" i="105"/>
  <c r="S33" i="53" l="1"/>
  <c r="S264" i="22"/>
  <c r="S17" i="111" s="1"/>
  <c r="S58" i="80"/>
  <c r="S28" i="111"/>
  <c r="S34" i="111" s="1"/>
  <c r="S27" i="111"/>
  <c r="S33" i="111" s="1"/>
  <c r="S31" i="53"/>
  <c r="S56" i="80"/>
  <c r="AI164" i="41"/>
  <c r="S57" i="80"/>
  <c r="S32" i="53"/>
  <c r="S59" i="80" l="1"/>
  <c r="S34" i="53"/>
  <c r="S50" i="53" l="1"/>
  <c r="S49" i="53"/>
  <c r="S48" i="53"/>
  <c r="S54" i="53" s="1"/>
  <c r="S93" i="53" s="1"/>
  <c r="S283" i="53" l="1"/>
  <c r="S280" i="53"/>
  <c r="S294" i="53"/>
  <c r="S272" i="53"/>
  <c r="S285" i="53"/>
  <c r="S274" i="53"/>
  <c r="S279" i="53"/>
  <c r="S277" i="53"/>
  <c r="S286" i="53"/>
  <c r="S300" i="53"/>
  <c r="S276" i="53"/>
  <c r="S302" i="53"/>
  <c r="S287" i="53"/>
  <c r="S273" i="53"/>
  <c r="S301" i="53"/>
  <c r="S278" i="53"/>
  <c r="S299" i="53"/>
  <c r="S295" i="53"/>
  <c r="S290" i="53"/>
  <c r="S275" i="53"/>
  <c r="S298" i="53"/>
  <c r="S289" i="53"/>
  <c r="S296" i="53"/>
  <c r="S297" i="53"/>
  <c r="S291" i="53"/>
  <c r="S288" i="53"/>
  <c r="S284" i="53"/>
  <c r="S96" i="83" l="1"/>
  <c r="S184" i="83" s="1"/>
  <c r="S55" i="71" s="1"/>
  <c r="S160" i="71" s="1"/>
  <c r="S95" i="80"/>
  <c r="S107" i="80" s="1"/>
  <c r="S89" i="83"/>
  <c r="S160" i="83" s="1"/>
  <c r="S30" i="71" s="1"/>
  <c r="S135" i="71" s="1"/>
  <c r="S77" i="80"/>
  <c r="S89" i="80" s="1"/>
  <c r="S98" i="83"/>
  <c r="S186" i="83" s="1"/>
  <c r="S57" i="71" s="1"/>
  <c r="S162" i="71" s="1"/>
  <c r="S97" i="80"/>
  <c r="S109" i="80" s="1"/>
  <c r="S82" i="83"/>
  <c r="S153" i="83" s="1"/>
  <c r="S23" i="71" s="1"/>
  <c r="S128" i="71" s="1"/>
  <c r="S81" i="83"/>
  <c r="S152" i="83" s="1"/>
  <c r="S22" i="71" s="1"/>
  <c r="S127" i="71" s="1"/>
  <c r="S70" i="80"/>
  <c r="S82" i="80" s="1"/>
  <c r="S88" i="83"/>
  <c r="S159" i="83" s="1"/>
  <c r="S29" i="71" s="1"/>
  <c r="S134" i="71" s="1"/>
  <c r="S76" i="80"/>
  <c r="S88" i="80" s="1"/>
  <c r="S100" i="83"/>
  <c r="S188" i="83" s="1"/>
  <c r="S59" i="71" s="1"/>
  <c r="S164" i="71" s="1"/>
  <c r="S99" i="80"/>
  <c r="S111" i="80" s="1"/>
  <c r="S110" i="83"/>
  <c r="S215" i="83" s="1"/>
  <c r="S87" i="71" s="1"/>
  <c r="S192" i="71" s="1"/>
  <c r="S120" i="80"/>
  <c r="S132" i="80" s="1"/>
  <c r="S106" i="83"/>
  <c r="S211" i="83" s="1"/>
  <c r="S83" i="71" s="1"/>
  <c r="S188" i="71" s="1"/>
  <c r="S116" i="80"/>
  <c r="S128" i="80" s="1"/>
  <c r="S105" i="83"/>
  <c r="S210" i="83" s="1"/>
  <c r="S82" i="71" s="1"/>
  <c r="S187" i="71" s="1"/>
  <c r="S75" i="80"/>
  <c r="S87" i="80" s="1"/>
  <c r="S87" i="83"/>
  <c r="S158" i="83" s="1"/>
  <c r="S28" i="71" s="1"/>
  <c r="S133" i="71" s="1"/>
  <c r="S113" i="83"/>
  <c r="S218" i="83" s="1"/>
  <c r="S90" i="71" s="1"/>
  <c r="S195" i="71" s="1"/>
  <c r="S123" i="80"/>
  <c r="S135" i="80" s="1"/>
  <c r="S71" i="80"/>
  <c r="S83" i="80" s="1"/>
  <c r="S83" i="83"/>
  <c r="S154" i="83" s="1"/>
  <c r="S24" i="71" s="1"/>
  <c r="S129" i="71" s="1"/>
  <c r="S85" i="83"/>
  <c r="S156" i="83" s="1"/>
  <c r="S26" i="71" s="1"/>
  <c r="S131" i="71" s="1"/>
  <c r="S73" i="80"/>
  <c r="S85" i="80" s="1"/>
  <c r="S95" i="83"/>
  <c r="S183" i="83" s="1"/>
  <c r="S54" i="71" s="1"/>
  <c r="S159" i="71" s="1"/>
  <c r="S94" i="80"/>
  <c r="S106" i="80" s="1"/>
  <c r="S100" i="80"/>
  <c r="S112" i="80" s="1"/>
  <c r="S101" i="83"/>
  <c r="S189" i="83" s="1"/>
  <c r="S60" i="71" s="1"/>
  <c r="S165" i="71" s="1"/>
  <c r="S99" i="83"/>
  <c r="S187" i="83" s="1"/>
  <c r="S58" i="71" s="1"/>
  <c r="S163" i="71" s="1"/>
  <c r="S98" i="80"/>
  <c r="S110" i="80" s="1"/>
  <c r="S117" i="80"/>
  <c r="S129" i="80" s="1"/>
  <c r="S107" i="83"/>
  <c r="S212" i="83" s="1"/>
  <c r="S84" i="71" s="1"/>
  <c r="S189" i="71" s="1"/>
  <c r="S112" i="83"/>
  <c r="S217" i="83" s="1"/>
  <c r="S89" i="71" s="1"/>
  <c r="S194" i="71" s="1"/>
  <c r="S122" i="80"/>
  <c r="S134" i="80" s="1"/>
  <c r="S90" i="83"/>
  <c r="S161" i="83" s="1"/>
  <c r="S31" i="71" s="1"/>
  <c r="S136" i="71" s="1"/>
  <c r="S78" i="80"/>
  <c r="S90" i="80" s="1"/>
  <c r="S109" i="83"/>
  <c r="S214" i="83" s="1"/>
  <c r="S86" i="71" s="1"/>
  <c r="S191" i="71" s="1"/>
  <c r="S119" i="80"/>
  <c r="S131" i="80" s="1"/>
  <c r="S118" i="80"/>
  <c r="S130" i="80" s="1"/>
  <c r="S108" i="83"/>
  <c r="S213" i="83" s="1"/>
  <c r="S85" i="71" s="1"/>
  <c r="S190" i="71" s="1"/>
  <c r="S84" i="83"/>
  <c r="S155" i="83" s="1"/>
  <c r="S25" i="71" s="1"/>
  <c r="S130" i="71" s="1"/>
  <c r="S72" i="80"/>
  <c r="S84" i="80" s="1"/>
  <c r="S114" i="83"/>
  <c r="S219" i="83" s="1"/>
  <c r="S91" i="71" s="1"/>
  <c r="S196" i="71" s="1"/>
  <c r="S124" i="80"/>
  <c r="S136" i="80" s="1"/>
  <c r="S86" i="83"/>
  <c r="S157" i="83" s="1"/>
  <c r="S27" i="71" s="1"/>
  <c r="S132" i="71" s="1"/>
  <c r="S74" i="80"/>
  <c r="S86" i="80" s="1"/>
  <c r="S146" i="80" s="1"/>
  <c r="S172" i="80" s="1"/>
  <c r="S273" i="80" s="1"/>
  <c r="S102" i="83"/>
  <c r="S190" i="83" s="1"/>
  <c r="S61" i="71" s="1"/>
  <c r="S166" i="71" s="1"/>
  <c r="S101" i="80"/>
  <c r="S113" i="80" s="1"/>
  <c r="S111" i="83"/>
  <c r="S216" i="83" s="1"/>
  <c r="S88" i="71" s="1"/>
  <c r="S193" i="71" s="1"/>
  <c r="S121" i="80"/>
  <c r="S133" i="80" s="1"/>
  <c r="S97" i="83"/>
  <c r="S185" i="83" s="1"/>
  <c r="S56" i="71" s="1"/>
  <c r="S161" i="71" s="1"/>
  <c r="S96" i="80"/>
  <c r="S108" i="80" s="1"/>
  <c r="S93" i="80"/>
  <c r="S105" i="80" s="1"/>
  <c r="S93" i="83"/>
  <c r="S181" i="83" s="1"/>
  <c r="S52" i="71" s="1"/>
  <c r="S157" i="71" s="1"/>
  <c r="S94" i="83"/>
  <c r="S182" i="83" s="1"/>
  <c r="S53" i="71" s="1"/>
  <c r="S158" i="71" s="1"/>
  <c r="S144" i="80" l="1"/>
  <c r="S170" i="80" s="1"/>
  <c r="S271" i="80" s="1"/>
  <c r="S143" i="80"/>
  <c r="S169" i="80" s="1"/>
  <c r="S270" i="80" s="1"/>
  <c r="S150" i="80"/>
  <c r="S149" i="80"/>
  <c r="S175" i="80" s="1"/>
  <c r="S276" i="80" s="1"/>
  <c r="S147" i="80"/>
  <c r="S173" i="80" s="1"/>
  <c r="S274" i="80" s="1"/>
  <c r="S148" i="80"/>
  <c r="S174" i="80" s="1"/>
  <c r="S275" i="80" s="1"/>
  <c r="S145" i="80"/>
  <c r="S171" i="80" s="1"/>
  <c r="S272" i="80" s="1"/>
  <c r="S142" i="80"/>
  <c r="S168" i="80" s="1"/>
  <c r="S269" i="80" s="1"/>
  <c r="S208" i="80" l="1"/>
  <c r="S176" i="80"/>
  <c r="S177" i="80" s="1"/>
  <c r="T107" i="22" l="1"/>
  <c r="T106" i="22"/>
  <c r="T105" i="22"/>
  <c r="T208" i="22" l="1"/>
  <c r="T232" i="22" s="1"/>
  <c r="T236" i="22" s="1"/>
  <c r="T238" i="22" s="1"/>
  <c r="T56" i="80" s="1"/>
  <c r="T571" i="22"/>
  <c r="AJ33" i="105" s="1"/>
  <c r="T335" i="22"/>
  <c r="T353" i="22" s="1"/>
  <c r="T481" i="22" s="1"/>
  <c r="AJ53" i="41" s="1"/>
  <c r="T336" i="22"/>
  <c r="T354" i="22" s="1"/>
  <c r="T487" i="22" s="1"/>
  <c r="AJ54" i="41" s="1"/>
  <c r="T577" i="22"/>
  <c r="AJ34" i="105" s="1"/>
  <c r="T209" i="22"/>
  <c r="T243" i="22" s="1"/>
  <c r="T247" i="22" s="1"/>
  <c r="T249" i="22" s="1"/>
  <c r="T57" i="80" s="1"/>
  <c r="T210" i="22"/>
  <c r="T254" i="22" s="1"/>
  <c r="T258" i="22" s="1"/>
  <c r="T260" i="22" s="1"/>
  <c r="T33" i="53" s="1"/>
  <c r="T583" i="22"/>
  <c r="AJ35" i="105" s="1"/>
  <c r="T337" i="22"/>
  <c r="T355" i="22" s="1"/>
  <c r="T493" i="22" s="1"/>
  <c r="AJ55" i="41" s="1"/>
  <c r="AJ164" i="41" l="1"/>
  <c r="T31" i="53"/>
  <c r="T58" i="80"/>
  <c r="T32" i="53"/>
  <c r="T264" i="22"/>
  <c r="T17" i="111" s="1"/>
  <c r="T34" i="53"/>
  <c r="T59" i="80"/>
  <c r="T50" i="53" l="1"/>
  <c r="T48" i="53"/>
  <c r="T54" i="53" s="1"/>
  <c r="T93" i="53" s="1"/>
  <c r="T49" i="53"/>
  <c r="T279" i="53" l="1"/>
  <c r="T285" i="53"/>
  <c r="T278" i="53"/>
  <c r="T288" i="53"/>
  <c r="T291" i="53"/>
  <c r="T289" i="53"/>
  <c r="T295" i="53"/>
  <c r="T284" i="53"/>
  <c r="T298" i="53"/>
  <c r="T296" i="53"/>
  <c r="T286" i="53"/>
  <c r="T287" i="53"/>
  <c r="T297" i="53"/>
  <c r="T300" i="53"/>
  <c r="T301" i="53"/>
  <c r="T290" i="53"/>
  <c r="T275" i="53"/>
  <c r="T272" i="53"/>
  <c r="T280" i="53"/>
  <c r="T283" i="53"/>
  <c r="T277" i="53"/>
  <c r="T302" i="53"/>
  <c r="T274" i="53"/>
  <c r="T273" i="53"/>
  <c r="T276" i="53"/>
  <c r="T299" i="53"/>
  <c r="T294" i="53"/>
  <c r="T100" i="80" l="1"/>
  <c r="T112" i="80" s="1"/>
  <c r="T101" i="83"/>
  <c r="T189" i="83" s="1"/>
  <c r="T60" i="71" s="1"/>
  <c r="T165" i="71" s="1"/>
  <c r="T95" i="83"/>
  <c r="T183" i="83" s="1"/>
  <c r="T54" i="71" s="1"/>
  <c r="T159" i="71" s="1"/>
  <c r="T94" i="80"/>
  <c r="T106" i="80" s="1"/>
  <c r="T114" i="83"/>
  <c r="T219" i="83" s="1"/>
  <c r="T91" i="71" s="1"/>
  <c r="T196" i="71" s="1"/>
  <c r="T124" i="80"/>
  <c r="T136" i="80" s="1"/>
  <c r="T87" i="83"/>
  <c r="T158" i="83" s="1"/>
  <c r="T28" i="71" s="1"/>
  <c r="T133" i="71" s="1"/>
  <c r="T75" i="80"/>
  <c r="T87" i="80" s="1"/>
  <c r="T113" i="83"/>
  <c r="T218" i="83" s="1"/>
  <c r="T90" i="71" s="1"/>
  <c r="T195" i="71" s="1"/>
  <c r="T123" i="80"/>
  <c r="T135" i="80" s="1"/>
  <c r="T101" i="80"/>
  <c r="T113" i="80" s="1"/>
  <c r="T102" i="83"/>
  <c r="T190" i="83" s="1"/>
  <c r="T61" i="71" s="1"/>
  <c r="T166" i="71" s="1"/>
  <c r="T90" i="83"/>
  <c r="T161" i="83" s="1"/>
  <c r="T31" i="71" s="1"/>
  <c r="T136" i="71" s="1"/>
  <c r="T78" i="80"/>
  <c r="T90" i="80" s="1"/>
  <c r="T88" i="83"/>
  <c r="T159" i="83" s="1"/>
  <c r="T29" i="71" s="1"/>
  <c r="T134" i="71" s="1"/>
  <c r="T76" i="80"/>
  <c r="T88" i="80" s="1"/>
  <c r="T107" i="83"/>
  <c r="T212" i="83" s="1"/>
  <c r="T84" i="71" s="1"/>
  <c r="T189" i="71" s="1"/>
  <c r="T117" i="80"/>
  <c r="T129" i="80" s="1"/>
  <c r="T99" i="80"/>
  <c r="T111" i="80" s="1"/>
  <c r="T100" i="83"/>
  <c r="T188" i="83" s="1"/>
  <c r="T59" i="71" s="1"/>
  <c r="T164" i="71" s="1"/>
  <c r="T119" i="80"/>
  <c r="T131" i="80" s="1"/>
  <c r="T109" i="83"/>
  <c r="T214" i="83" s="1"/>
  <c r="T86" i="71" s="1"/>
  <c r="T191" i="71" s="1"/>
  <c r="T93" i="83"/>
  <c r="T181" i="83" s="1"/>
  <c r="T52" i="71" s="1"/>
  <c r="T157" i="71" s="1"/>
  <c r="T94" i="83"/>
  <c r="T182" i="83" s="1"/>
  <c r="T53" i="71" s="1"/>
  <c r="T158" i="71" s="1"/>
  <c r="T93" i="80"/>
  <c r="T105" i="80" s="1"/>
  <c r="T97" i="80"/>
  <c r="T109" i="80" s="1"/>
  <c r="T98" i="83"/>
  <c r="T186" i="83" s="1"/>
  <c r="T57" i="71" s="1"/>
  <c r="T162" i="71" s="1"/>
  <c r="T106" i="83"/>
  <c r="T211" i="83" s="1"/>
  <c r="T83" i="71" s="1"/>
  <c r="T188" i="71" s="1"/>
  <c r="T105" i="83"/>
  <c r="T210" i="83" s="1"/>
  <c r="T82" i="71" s="1"/>
  <c r="T187" i="71" s="1"/>
  <c r="T116" i="80"/>
  <c r="T128" i="80" s="1"/>
  <c r="T82" i="83"/>
  <c r="T153" i="83" s="1"/>
  <c r="T23" i="71" s="1"/>
  <c r="T128" i="71" s="1"/>
  <c r="T81" i="83"/>
  <c r="T152" i="83" s="1"/>
  <c r="T22" i="71" s="1"/>
  <c r="T127" i="71" s="1"/>
  <c r="T70" i="80"/>
  <c r="T82" i="80" s="1"/>
  <c r="T108" i="83"/>
  <c r="T213" i="83" s="1"/>
  <c r="T85" i="71" s="1"/>
  <c r="T190" i="71" s="1"/>
  <c r="T118" i="80"/>
  <c r="T130" i="80" s="1"/>
  <c r="T96" i="83"/>
  <c r="T184" i="83" s="1"/>
  <c r="T55" i="71" s="1"/>
  <c r="T160" i="71" s="1"/>
  <c r="T95" i="80"/>
  <c r="T107" i="80" s="1"/>
  <c r="T83" i="83"/>
  <c r="T154" i="83" s="1"/>
  <c r="T24" i="71" s="1"/>
  <c r="T129" i="71" s="1"/>
  <c r="T71" i="80"/>
  <c r="T83" i="80" s="1"/>
  <c r="T143" i="80" s="1"/>
  <c r="T169" i="80" s="1"/>
  <c r="T270" i="80" s="1"/>
  <c r="T84" i="83"/>
  <c r="T155" i="83" s="1"/>
  <c r="T25" i="71" s="1"/>
  <c r="T130" i="71" s="1"/>
  <c r="T72" i="80"/>
  <c r="T84" i="80" s="1"/>
  <c r="T112" i="83"/>
  <c r="T217" i="83" s="1"/>
  <c r="T89" i="71" s="1"/>
  <c r="T194" i="71" s="1"/>
  <c r="T122" i="80"/>
  <c r="T134" i="80" s="1"/>
  <c r="T99" i="83"/>
  <c r="T187" i="83" s="1"/>
  <c r="T58" i="71" s="1"/>
  <c r="T163" i="71" s="1"/>
  <c r="T98" i="80"/>
  <c r="T110" i="80" s="1"/>
  <c r="T97" i="83"/>
  <c r="T185" i="83" s="1"/>
  <c r="T56" i="71" s="1"/>
  <c r="T161" i="71" s="1"/>
  <c r="T96" i="80"/>
  <c r="T108" i="80" s="1"/>
  <c r="T121" i="80"/>
  <c r="T133" i="80" s="1"/>
  <c r="T111" i="83"/>
  <c r="T216" i="83" s="1"/>
  <c r="T88" i="71" s="1"/>
  <c r="T193" i="71" s="1"/>
  <c r="T86" i="83"/>
  <c r="T157" i="83" s="1"/>
  <c r="T27" i="71" s="1"/>
  <c r="T132" i="71" s="1"/>
  <c r="T74" i="80"/>
  <c r="T86" i="80" s="1"/>
  <c r="T73" i="80"/>
  <c r="T85" i="80" s="1"/>
  <c r="T85" i="83"/>
  <c r="T156" i="83" s="1"/>
  <c r="T26" i="71" s="1"/>
  <c r="T131" i="71" s="1"/>
  <c r="T110" i="83"/>
  <c r="T215" i="83" s="1"/>
  <c r="T87" i="71" s="1"/>
  <c r="T192" i="71" s="1"/>
  <c r="T120" i="80"/>
  <c r="T132" i="80" s="1"/>
  <c r="T89" i="83"/>
  <c r="T160" i="83" s="1"/>
  <c r="T30" i="71" s="1"/>
  <c r="T135" i="71" s="1"/>
  <c r="T77" i="80"/>
  <c r="T89" i="80" s="1"/>
  <c r="T149" i="80" l="1"/>
  <c r="T175" i="80" s="1"/>
  <c r="T276" i="80" s="1"/>
  <c r="T150" i="80"/>
  <c r="T208" i="80" s="1"/>
  <c r="T148" i="80"/>
  <c r="T174" i="80" s="1"/>
  <c r="T275" i="80" s="1"/>
  <c r="T147" i="80"/>
  <c r="T173" i="80" s="1"/>
  <c r="T274" i="80" s="1"/>
  <c r="T145" i="80"/>
  <c r="T171" i="80" s="1"/>
  <c r="T272" i="80" s="1"/>
  <c r="T146" i="80"/>
  <c r="T172" i="80" s="1"/>
  <c r="T273" i="80" s="1"/>
  <c r="T144" i="80"/>
  <c r="T170" i="80" s="1"/>
  <c r="T271" i="80" s="1"/>
  <c r="T142" i="80"/>
  <c r="T168" i="80" s="1"/>
  <c r="T176" i="80" l="1"/>
  <c r="T177" i="80" s="1"/>
  <c r="T269" i="80"/>
  <c r="R152" i="22" l="1"/>
  <c r="R154" i="22"/>
  <c r="R153" i="22"/>
  <c r="R219" i="22" l="1"/>
  <c r="R255" i="22" s="1"/>
  <c r="R259" i="22" s="1"/>
  <c r="R627" i="22"/>
  <c r="AH46" i="105" s="1"/>
  <c r="R346" i="22"/>
  <c r="R217" i="22"/>
  <c r="R233" i="22" s="1"/>
  <c r="R237" i="22" s="1"/>
  <c r="R615" i="22"/>
  <c r="AH44" i="105" s="1"/>
  <c r="R344" i="22"/>
  <c r="R218" i="22"/>
  <c r="R244" i="22" s="1"/>
  <c r="R248" i="22" s="1"/>
  <c r="R621" i="22"/>
  <c r="AH45" i="105" s="1"/>
  <c r="R345" i="22"/>
  <c r="AH148" i="105" l="1"/>
  <c r="K61" i="22" l="1"/>
  <c r="L23" i="112" l="1"/>
  <c r="K202" i="22"/>
  <c r="K545" i="22"/>
  <c r="K25" i="105" s="1"/>
  <c r="J164" i="22"/>
  <c r="R61" i="22"/>
  <c r="Q117" i="22"/>
  <c r="Q164" i="22"/>
  <c r="S23" i="112"/>
  <c r="M61" i="22"/>
  <c r="S54" i="112" l="1"/>
  <c r="S60" i="112" s="1"/>
  <c r="S37" i="112"/>
  <c r="S36" i="112"/>
  <c r="J220" i="22"/>
  <c r="J634" i="22"/>
  <c r="J47" i="105" s="1"/>
  <c r="J376" i="22"/>
  <c r="Q220" i="22"/>
  <c r="Q634" i="22"/>
  <c r="AG47" i="105" s="1"/>
  <c r="Q376" i="22"/>
  <c r="Q211" i="22"/>
  <c r="Q590" i="22"/>
  <c r="AG36" i="105" s="1"/>
  <c r="R202" i="22"/>
  <c r="R545" i="22"/>
  <c r="AH25" i="105" s="1"/>
  <c r="R356" i="22"/>
  <c r="R499" i="22" s="1"/>
  <c r="AH56" i="41" s="1"/>
  <c r="M545" i="22"/>
  <c r="Q25" i="105" s="1"/>
  <c r="M202" i="22"/>
  <c r="K268" i="22"/>
  <c r="K20" i="112"/>
  <c r="J23" i="112"/>
  <c r="J117" i="22"/>
  <c r="L155" i="22"/>
  <c r="L173" i="22"/>
  <c r="L164" i="22"/>
  <c r="L191" i="22"/>
  <c r="L182" i="22"/>
  <c r="L135" i="22"/>
  <c r="L117" i="22"/>
  <c r="L144" i="22"/>
  <c r="L126" i="22"/>
  <c r="L108" i="22"/>
  <c r="Q70" i="22"/>
  <c r="L88" i="22"/>
  <c r="L97" i="22"/>
  <c r="L79" i="22"/>
  <c r="L70" i="22"/>
  <c r="J70" i="22"/>
  <c r="L636" i="22" l="1"/>
  <c r="O47" i="105" s="1"/>
  <c r="L434" i="22"/>
  <c r="L637" i="22"/>
  <c r="P47" i="105" s="1"/>
  <c r="L463" i="22"/>
  <c r="L634" i="22"/>
  <c r="M47" i="105" s="1"/>
  <c r="L376" i="22"/>
  <c r="L635" i="22"/>
  <c r="N47" i="105" s="1"/>
  <c r="L405" i="22"/>
  <c r="Q270" i="22"/>
  <c r="Q274" i="22" s="1"/>
  <c r="Q22" i="112"/>
  <c r="J270" i="22"/>
  <c r="J274" i="22" s="1"/>
  <c r="J22" i="112"/>
  <c r="L633" i="22"/>
  <c r="L47" i="105" s="1"/>
  <c r="L142" i="105" s="1"/>
  <c r="L220" i="22"/>
  <c r="L347" i="22"/>
  <c r="L589" i="22"/>
  <c r="L36" i="105" s="1"/>
  <c r="L141" i="105" s="1"/>
  <c r="L591" i="22"/>
  <c r="N36" i="105" s="1"/>
  <c r="L593" i="22"/>
  <c r="P36" i="105" s="1"/>
  <c r="J211" i="22"/>
  <c r="J590" i="22"/>
  <c r="J36" i="105" s="1"/>
  <c r="L211" i="22"/>
  <c r="L590" i="22"/>
  <c r="M36" i="105" s="1"/>
  <c r="L592" i="22"/>
  <c r="O36" i="105" s="1"/>
  <c r="Q269" i="22"/>
  <c r="Q21" i="112"/>
  <c r="L547" i="22"/>
  <c r="N25" i="105" s="1"/>
  <c r="L549" i="22"/>
  <c r="P25" i="105" s="1"/>
  <c r="L548" i="22"/>
  <c r="O25" i="105" s="1"/>
  <c r="Q202" i="22"/>
  <c r="Q546" i="22"/>
  <c r="AG25" i="105" s="1"/>
  <c r="J202" i="22"/>
  <c r="J546" i="22"/>
  <c r="J25" i="105" s="1"/>
  <c r="L546" i="22"/>
  <c r="M25" i="105" s="1"/>
  <c r="L202" i="22"/>
  <c r="K36" i="112"/>
  <c r="K37" i="112"/>
  <c r="K50" i="112"/>
  <c r="K60" i="112" s="1"/>
  <c r="M268" i="22"/>
  <c r="M20" i="112"/>
  <c r="AH197" i="105"/>
  <c r="AH198" i="105"/>
  <c r="AH186" i="105"/>
  <c r="AH187" i="105"/>
  <c r="R268" i="22"/>
  <c r="R275" i="22" s="1"/>
  <c r="R20" i="112"/>
  <c r="R60" i="22"/>
  <c r="R59" i="22"/>
  <c r="R58" i="22"/>
  <c r="L270" i="22" l="1"/>
  <c r="L274" i="22" s="1"/>
  <c r="L22" i="112"/>
  <c r="J269" i="22"/>
  <c r="J21" i="112"/>
  <c r="L269" i="22"/>
  <c r="L21" i="112"/>
  <c r="Q268" i="22"/>
  <c r="Q20" i="112"/>
  <c r="L268" i="22"/>
  <c r="L20" i="112"/>
  <c r="J268" i="22"/>
  <c r="J20" i="112"/>
  <c r="R199" i="22"/>
  <c r="R231" i="22" s="1"/>
  <c r="R527" i="22"/>
  <c r="AH22" i="105" s="1"/>
  <c r="R539" i="22"/>
  <c r="AH24" i="105" s="1"/>
  <c r="R201" i="22"/>
  <c r="R253" i="22" s="1"/>
  <c r="R37" i="112"/>
  <c r="R36" i="112"/>
  <c r="R50" i="112"/>
  <c r="R60" i="112" s="1"/>
  <c r="M36" i="112"/>
  <c r="M37" i="112"/>
  <c r="M50" i="112"/>
  <c r="M60" i="112" s="1"/>
  <c r="R18" i="74"/>
  <c r="R16" i="111"/>
  <c r="R200" i="22"/>
  <c r="R242" i="22" s="1"/>
  <c r="R533" i="22"/>
  <c r="AH23" i="105" s="1"/>
  <c r="L37" i="112" l="1"/>
  <c r="L36" i="112"/>
  <c r="J37" i="112"/>
  <c r="J36" i="112"/>
  <c r="Q37" i="112"/>
  <c r="Q36" i="112"/>
  <c r="Q50" i="112"/>
  <c r="Q60" i="112" s="1"/>
  <c r="R28" i="111"/>
  <c r="R34" i="111" s="1"/>
  <c r="R27" i="111"/>
  <c r="R33" i="111" s="1"/>
  <c r="H40" i="112" l="1"/>
  <c r="J44" i="112" s="1"/>
  <c r="H41" i="112"/>
  <c r="J45" i="112" l="1"/>
  <c r="J46" i="112" s="1"/>
  <c r="N45" i="112"/>
  <c r="N46" i="112" s="1"/>
  <c r="P45" i="112"/>
  <c r="P46" i="112" s="1"/>
  <c r="O45" i="112"/>
  <c r="O46" i="112" s="1"/>
  <c r="L45" i="112"/>
  <c r="L46" i="112" s="1"/>
  <c r="J29" i="41" l="1"/>
  <c r="J48" i="41" s="1"/>
  <c r="J47" i="65" s="1"/>
  <c r="J43" i="82" s="1"/>
  <c r="J54" i="112"/>
  <c r="J50" i="112"/>
  <c r="L50" i="112"/>
  <c r="L54" i="112"/>
  <c r="L29" i="41"/>
  <c r="O54" i="112"/>
  <c r="O50" i="112"/>
  <c r="O29" i="41"/>
  <c r="P54" i="112"/>
  <c r="P29" i="41"/>
  <c r="P50" i="112"/>
  <c r="N54" i="112"/>
  <c r="N29" i="41"/>
  <c r="N50" i="112"/>
  <c r="O60" i="112" l="1"/>
  <c r="N60" i="112"/>
  <c r="P60" i="112"/>
  <c r="J60" i="112"/>
  <c r="H52" i="112"/>
  <c r="H86" i="105" s="1"/>
  <c r="H129" i="105" s="1"/>
  <c r="N48" i="41"/>
  <c r="N47" i="65" s="1"/>
  <c r="N43" i="82" s="1"/>
  <c r="O48" i="41"/>
  <c r="O47" i="65" s="1"/>
  <c r="O43" i="82" s="1"/>
  <c r="L48" i="41"/>
  <c r="L47" i="65" s="1"/>
  <c r="L43" i="82" s="1"/>
  <c r="M48" i="41"/>
  <c r="M47" i="65" s="1"/>
  <c r="M43" i="82" s="1"/>
  <c r="P48" i="41"/>
  <c r="P47" i="65" s="1"/>
  <c r="P43" i="82" s="1"/>
  <c r="H56" i="112"/>
  <c r="H87" i="105" s="1"/>
  <c r="H130" i="105" s="1"/>
  <c r="V48" i="41"/>
  <c r="V47" i="65" s="1"/>
  <c r="V43" i="82" s="1"/>
  <c r="T48" i="41"/>
  <c r="T47" i="65" s="1"/>
  <c r="T43" i="82" s="1"/>
  <c r="U48" i="41"/>
  <c r="U47" i="65" s="1"/>
  <c r="U43" i="82" s="1"/>
  <c r="S48" i="41"/>
  <c r="S47" i="65" s="1"/>
  <c r="S43" i="82" s="1"/>
  <c r="R48" i="41"/>
  <c r="R47" i="65" s="1"/>
  <c r="R43" i="82" s="1"/>
  <c r="X48" i="41"/>
  <c r="X47" i="65" s="1"/>
  <c r="X43" i="82" s="1"/>
  <c r="Y48" i="41"/>
  <c r="Y47" i="65" s="1"/>
  <c r="Y43" i="82" s="1"/>
  <c r="W48" i="41"/>
  <c r="W47" i="65" s="1"/>
  <c r="W43" i="82" s="1"/>
  <c r="Z48" i="41"/>
  <c r="Z47" i="65" s="1"/>
  <c r="Z43" i="82" s="1"/>
  <c r="AA48" i="41"/>
  <c r="AA47" i="65" s="1"/>
  <c r="AA43" i="82" s="1"/>
  <c r="L60" i="112"/>
  <c r="AE48" i="41"/>
  <c r="AE47" i="65" s="1"/>
  <c r="AE43" i="82" s="1"/>
  <c r="AF48" i="41"/>
  <c r="AF47" i="65" s="1"/>
  <c r="AF43" i="82" s="1"/>
  <c r="AB48" i="41"/>
  <c r="AB47" i="65" s="1"/>
  <c r="AB43" i="82" s="1"/>
  <c r="AC48" i="41"/>
  <c r="AC47" i="65" s="1"/>
  <c r="AC43" i="82" s="1"/>
  <c r="AD48" i="41"/>
  <c r="AD47" i="65" s="1"/>
  <c r="AD43" i="82" s="1"/>
  <c r="H62" i="112" l="1"/>
  <c r="H64" i="112" s="1"/>
  <c r="H66" i="112" s="1" a="1"/>
  <c r="H66" i="112" s="1"/>
  <c r="J52" i="55" l="1"/>
  <c r="A4" i="112"/>
  <c r="O162" i="22" l="1"/>
  <c r="N188" i="22"/>
  <c r="N170" i="22"/>
  <c r="P190" i="22"/>
  <c r="O190" i="22"/>
  <c r="K152" i="22"/>
  <c r="N189" i="22"/>
  <c r="N190" i="22"/>
  <c r="P189" i="22"/>
  <c r="P188" i="22"/>
  <c r="P170" i="22"/>
  <c r="N78" i="22"/>
  <c r="O77" i="22"/>
  <c r="R105" i="22"/>
  <c r="N123" i="22"/>
  <c r="N141" i="22"/>
  <c r="N105" i="22"/>
  <c r="N95" i="22"/>
  <c r="N124" i="22"/>
  <c r="N106" i="22"/>
  <c r="N133" i="22"/>
  <c r="N142" i="22"/>
  <c r="P86" i="22"/>
  <c r="P77" i="22"/>
  <c r="N116" i="22"/>
  <c r="N143" i="22"/>
  <c r="K106" i="22"/>
  <c r="K105" i="22"/>
  <c r="P78" i="22"/>
  <c r="P87" i="22"/>
  <c r="M105" i="22"/>
  <c r="O94" i="22"/>
  <c r="O76" i="22"/>
  <c r="O179" i="22"/>
  <c r="O188" i="22"/>
  <c r="O180" i="22"/>
  <c r="O189" i="22"/>
  <c r="O181" i="22"/>
  <c r="P172" i="22"/>
  <c r="P181" i="22"/>
  <c r="P171" i="22"/>
  <c r="P180" i="22"/>
  <c r="P179" i="22"/>
  <c r="N179" i="22"/>
  <c r="N171" i="22"/>
  <c r="N180" i="22"/>
  <c r="N172" i="22"/>
  <c r="N181" i="22"/>
  <c r="O161" i="22"/>
  <c r="O170" i="22"/>
  <c r="O171" i="22"/>
  <c r="O163" i="22"/>
  <c r="O172" i="22"/>
  <c r="P154" i="22"/>
  <c r="P163" i="22"/>
  <c r="P153" i="22"/>
  <c r="P162" i="22"/>
  <c r="P152" i="22"/>
  <c r="P161" i="22"/>
  <c r="N152" i="22"/>
  <c r="N161" i="22"/>
  <c r="N153" i="22"/>
  <c r="N162" i="22"/>
  <c r="N154" i="22"/>
  <c r="N163" i="22"/>
  <c r="J163" i="22"/>
  <c r="J162" i="22"/>
  <c r="J161" i="22"/>
  <c r="O152" i="22"/>
  <c r="O153" i="22"/>
  <c r="O154" i="22"/>
  <c r="M153" i="22"/>
  <c r="M152" i="22"/>
  <c r="M154" i="22"/>
  <c r="K153" i="22"/>
  <c r="K154" i="22"/>
  <c r="N132" i="22"/>
  <c r="N134" i="22"/>
  <c r="N125" i="22"/>
  <c r="N114" i="22"/>
  <c r="N115" i="22"/>
  <c r="N107" i="22"/>
  <c r="R107" i="22"/>
  <c r="R106" i="22"/>
  <c r="K107" i="22"/>
  <c r="M106" i="22"/>
  <c r="M107" i="22"/>
  <c r="P85" i="22"/>
  <c r="P94" i="22"/>
  <c r="P95" i="22"/>
  <c r="P96" i="22"/>
  <c r="O87" i="22"/>
  <c r="O96" i="22"/>
  <c r="O86" i="22"/>
  <c r="O95" i="22"/>
  <c r="O85" i="22"/>
  <c r="N85" i="22"/>
  <c r="N94" i="22"/>
  <c r="N87" i="22"/>
  <c r="N96" i="22"/>
  <c r="N86" i="22"/>
  <c r="P76" i="22"/>
  <c r="O78" i="22"/>
  <c r="N76" i="22"/>
  <c r="N77" i="22"/>
  <c r="M60" i="22"/>
  <c r="M59" i="22"/>
  <c r="M58" i="22"/>
  <c r="K60" i="22"/>
  <c r="K59" i="22"/>
  <c r="P631" i="22" l="1"/>
  <c r="AF46" i="105" s="1"/>
  <c r="P462" i="22"/>
  <c r="P625" i="22"/>
  <c r="AF45" i="105" s="1"/>
  <c r="P461" i="22"/>
  <c r="N631" i="22"/>
  <c r="V46" i="105" s="1"/>
  <c r="N462" i="22"/>
  <c r="N619" i="22"/>
  <c r="V44" i="105" s="1"/>
  <c r="N460" i="22"/>
  <c r="P619" i="22"/>
  <c r="AF44" i="105" s="1"/>
  <c r="P460" i="22"/>
  <c r="N625" i="22"/>
  <c r="V45" i="105" s="1"/>
  <c r="N461" i="22"/>
  <c r="L181" i="22"/>
  <c r="N575" i="22"/>
  <c r="V33" i="105" s="1"/>
  <c r="N587" i="22"/>
  <c r="V35" i="105" s="1"/>
  <c r="N581" i="22"/>
  <c r="V34" i="105" s="1"/>
  <c r="L143" i="22"/>
  <c r="Q116" i="22"/>
  <c r="L59" i="22"/>
  <c r="L533" i="22" s="1"/>
  <c r="L23" i="105" s="1"/>
  <c r="Q69" i="22"/>
  <c r="Q68" i="22"/>
  <c r="J114" i="22"/>
  <c r="J116" i="22"/>
  <c r="O67" i="22"/>
  <c r="O58" i="22"/>
  <c r="O527" i="22" s="1"/>
  <c r="W22" i="105" s="1"/>
  <c r="P68" i="22"/>
  <c r="P59" i="22"/>
  <c r="P533" i="22" s="1"/>
  <c r="AB23" i="105" s="1"/>
  <c r="AB183" i="105" s="1"/>
  <c r="N68" i="22"/>
  <c r="N534" i="22" s="1"/>
  <c r="S23" i="105" s="1"/>
  <c r="N59" i="22"/>
  <c r="N533" i="22" s="1"/>
  <c r="R23" i="105" s="1"/>
  <c r="O68" i="22"/>
  <c r="O534" i="22" s="1"/>
  <c r="X23" i="105" s="1"/>
  <c r="X183" i="105" s="1"/>
  <c r="O59" i="22"/>
  <c r="O533" i="22" s="1"/>
  <c r="W23" i="105" s="1"/>
  <c r="W183" i="105" s="1"/>
  <c r="P67" i="22"/>
  <c r="P528" i="22" s="1"/>
  <c r="AC22" i="105" s="1"/>
  <c r="AC182" i="105" s="1"/>
  <c r="P58" i="22"/>
  <c r="P527" i="22" s="1"/>
  <c r="AB22" i="105" s="1"/>
  <c r="N69" i="22"/>
  <c r="N540" i="22" s="1"/>
  <c r="S24" i="105" s="1"/>
  <c r="N60" i="22"/>
  <c r="N539" i="22" s="1"/>
  <c r="R24" i="105" s="1"/>
  <c r="O69" i="22"/>
  <c r="O60" i="22"/>
  <c r="O539" i="22" s="1"/>
  <c r="W24" i="105" s="1"/>
  <c r="W184" i="105" s="1"/>
  <c r="N67" i="22"/>
  <c r="N528" i="22" s="1"/>
  <c r="S22" i="105" s="1"/>
  <c r="N58" i="22"/>
  <c r="N527" i="22" s="1"/>
  <c r="R22" i="105" s="1"/>
  <c r="P69" i="22"/>
  <c r="P540" i="22" s="1"/>
  <c r="AC24" i="105" s="1"/>
  <c r="AC184" i="105" s="1"/>
  <c r="P60" i="22"/>
  <c r="P539" i="22" s="1"/>
  <c r="AB24" i="105" s="1"/>
  <c r="AB184" i="105" s="1"/>
  <c r="O616" i="22"/>
  <c r="X44" i="105" s="1"/>
  <c r="O373" i="22"/>
  <c r="P617" i="22"/>
  <c r="AD44" i="105" s="1"/>
  <c r="P402" i="22"/>
  <c r="O624" i="22"/>
  <c r="Z45" i="105" s="1"/>
  <c r="O432" i="22"/>
  <c r="N622" i="22"/>
  <c r="S45" i="105" s="1"/>
  <c r="N374" i="22"/>
  <c r="P628" i="22"/>
  <c r="AC46" i="105" s="1"/>
  <c r="P375" i="22"/>
  <c r="N630" i="22"/>
  <c r="U46" i="105" s="1"/>
  <c r="N433" i="22"/>
  <c r="P624" i="22"/>
  <c r="AE45" i="105" s="1"/>
  <c r="P432" i="22"/>
  <c r="O619" i="22"/>
  <c r="AA44" i="105" s="1"/>
  <c r="O460" i="22"/>
  <c r="N629" i="22"/>
  <c r="T46" i="105" s="1"/>
  <c r="N404" i="22"/>
  <c r="P623" i="22"/>
  <c r="AD45" i="105" s="1"/>
  <c r="P403" i="22"/>
  <c r="O618" i="22"/>
  <c r="Z44" i="105" s="1"/>
  <c r="O431" i="22"/>
  <c r="N616" i="22"/>
  <c r="S44" i="105" s="1"/>
  <c r="N373" i="22"/>
  <c r="O629" i="22"/>
  <c r="Y46" i="105" s="1"/>
  <c r="O404" i="22"/>
  <c r="N624" i="22"/>
  <c r="U45" i="105" s="1"/>
  <c r="N432" i="22"/>
  <c r="P630" i="22"/>
  <c r="AE46" i="105" s="1"/>
  <c r="P433" i="22"/>
  <c r="J217" i="22"/>
  <c r="J233" i="22" s="1"/>
  <c r="J237" i="22" s="1"/>
  <c r="J616" i="22"/>
  <c r="J44" i="105" s="1"/>
  <c r="J373" i="22"/>
  <c r="O628" i="22"/>
  <c r="X46" i="105" s="1"/>
  <c r="O375" i="22"/>
  <c r="N623" i="22"/>
  <c r="T45" i="105" s="1"/>
  <c r="N403" i="22"/>
  <c r="P629" i="22"/>
  <c r="AD46" i="105" s="1"/>
  <c r="P404" i="22"/>
  <c r="J218" i="22"/>
  <c r="J244" i="22" s="1"/>
  <c r="J248" i="22" s="1"/>
  <c r="J622" i="22"/>
  <c r="J45" i="105" s="1"/>
  <c r="J374" i="22"/>
  <c r="P616" i="22"/>
  <c r="AC44" i="105" s="1"/>
  <c r="P373" i="22"/>
  <c r="O623" i="22"/>
  <c r="Y45" i="105" s="1"/>
  <c r="O403" i="22"/>
  <c r="N618" i="22"/>
  <c r="U44" i="105" s="1"/>
  <c r="N431" i="22"/>
  <c r="O631" i="22"/>
  <c r="AA46" i="105" s="1"/>
  <c r="O462" i="22"/>
  <c r="J219" i="22"/>
  <c r="J255" i="22" s="1"/>
  <c r="J259" i="22" s="1"/>
  <c r="J628" i="22"/>
  <c r="J46" i="105" s="1"/>
  <c r="J375" i="22"/>
  <c r="O622" i="22"/>
  <c r="X45" i="105" s="1"/>
  <c r="O374" i="22"/>
  <c r="N617" i="22"/>
  <c r="T44" i="105" s="1"/>
  <c r="N402" i="22"/>
  <c r="O630" i="22"/>
  <c r="Z46" i="105" s="1"/>
  <c r="O433" i="22"/>
  <c r="N628" i="22"/>
  <c r="S46" i="105" s="1"/>
  <c r="N375" i="22"/>
  <c r="P622" i="22"/>
  <c r="AC45" i="105" s="1"/>
  <c r="P374" i="22"/>
  <c r="O617" i="22"/>
  <c r="Y44" i="105" s="1"/>
  <c r="O402" i="22"/>
  <c r="P618" i="22"/>
  <c r="AE44" i="105" s="1"/>
  <c r="P431" i="22"/>
  <c r="O625" i="22"/>
  <c r="AA45" i="105" s="1"/>
  <c r="O461" i="22"/>
  <c r="K621" i="22"/>
  <c r="K45" i="105" s="1"/>
  <c r="K218" i="22"/>
  <c r="K244" i="22" s="1"/>
  <c r="K248" i="22" s="1"/>
  <c r="K345" i="22"/>
  <c r="N615" i="22"/>
  <c r="R44" i="105" s="1"/>
  <c r="N217" i="22"/>
  <c r="N233" i="22" s="1"/>
  <c r="N237" i="22" s="1"/>
  <c r="N344" i="22"/>
  <c r="K217" i="22"/>
  <c r="K233" i="22" s="1"/>
  <c r="K237" i="22" s="1"/>
  <c r="K615" i="22"/>
  <c r="K44" i="105" s="1"/>
  <c r="K344" i="22"/>
  <c r="M219" i="22"/>
  <c r="M255" i="22" s="1"/>
  <c r="M259" i="22" s="1"/>
  <c r="M627" i="22"/>
  <c r="Q46" i="105" s="1"/>
  <c r="M346" i="22"/>
  <c r="P615" i="22"/>
  <c r="AB44" i="105" s="1"/>
  <c r="P217" i="22"/>
  <c r="P233" i="22" s="1"/>
  <c r="P237" i="22" s="1"/>
  <c r="P344" i="22"/>
  <c r="M615" i="22"/>
  <c r="Q44" i="105" s="1"/>
  <c r="M217" i="22"/>
  <c r="M233" i="22" s="1"/>
  <c r="M237" i="22" s="1"/>
  <c r="M344" i="22"/>
  <c r="M621" i="22"/>
  <c r="Q45" i="105" s="1"/>
  <c r="M218" i="22"/>
  <c r="M244" i="22" s="1"/>
  <c r="M248" i="22" s="1"/>
  <c r="M345" i="22"/>
  <c r="N627" i="22"/>
  <c r="R46" i="105" s="1"/>
  <c r="N219" i="22"/>
  <c r="N255" i="22" s="1"/>
  <c r="N259" i="22" s="1"/>
  <c r="N346" i="22"/>
  <c r="P621" i="22"/>
  <c r="AB45" i="105" s="1"/>
  <c r="P218" i="22"/>
  <c r="P244" i="22" s="1"/>
  <c r="P248" i="22" s="1"/>
  <c r="P345" i="22"/>
  <c r="O627" i="22"/>
  <c r="W46" i="105" s="1"/>
  <c r="O219" i="22"/>
  <c r="O255" i="22" s="1"/>
  <c r="O259" i="22" s="1"/>
  <c r="O346" i="22"/>
  <c r="O621" i="22"/>
  <c r="W45" i="105" s="1"/>
  <c r="O218" i="22"/>
  <c r="O244" i="22" s="1"/>
  <c r="O248" i="22" s="1"/>
  <c r="O345" i="22"/>
  <c r="N621" i="22"/>
  <c r="R45" i="105" s="1"/>
  <c r="N218" i="22"/>
  <c r="N244" i="22" s="1"/>
  <c r="N248" i="22" s="1"/>
  <c r="N345" i="22"/>
  <c r="P627" i="22"/>
  <c r="AB46" i="105" s="1"/>
  <c r="P219" i="22"/>
  <c r="P255" i="22" s="1"/>
  <c r="P259" i="22" s="1"/>
  <c r="P346" i="22"/>
  <c r="K627" i="22"/>
  <c r="K46" i="105" s="1"/>
  <c r="K219" i="22"/>
  <c r="K255" i="22" s="1"/>
  <c r="K259" i="22" s="1"/>
  <c r="K346" i="22"/>
  <c r="O615" i="22"/>
  <c r="W44" i="105" s="1"/>
  <c r="O217" i="22"/>
  <c r="O233" i="22" s="1"/>
  <c r="O237" i="22" s="1"/>
  <c r="O344" i="22"/>
  <c r="R209" i="22"/>
  <c r="R243" i="22" s="1"/>
  <c r="R247" i="22" s="1"/>
  <c r="R249" i="22" s="1"/>
  <c r="R577" i="22"/>
  <c r="AH34" i="105" s="1"/>
  <c r="R336" i="22"/>
  <c r="R354" i="22" s="1"/>
  <c r="R487" i="22" s="1"/>
  <c r="AH54" i="41" s="1"/>
  <c r="N571" i="22"/>
  <c r="R33" i="105" s="1"/>
  <c r="R208" i="22"/>
  <c r="R232" i="22" s="1"/>
  <c r="R236" i="22" s="1"/>
  <c r="R238" i="22" s="1"/>
  <c r="R571" i="22"/>
  <c r="AH33" i="105" s="1"/>
  <c r="R335" i="22"/>
  <c r="R353" i="22" s="1"/>
  <c r="R481" i="22" s="1"/>
  <c r="AH53" i="41" s="1"/>
  <c r="N585" i="22"/>
  <c r="T35" i="105" s="1"/>
  <c r="M210" i="22"/>
  <c r="M254" i="22" s="1"/>
  <c r="M583" i="22"/>
  <c r="Q35" i="105" s="1"/>
  <c r="R210" i="22"/>
  <c r="R254" i="22" s="1"/>
  <c r="R258" i="22" s="1"/>
  <c r="R260" i="22" s="1"/>
  <c r="R583" i="22"/>
  <c r="AH35" i="105" s="1"/>
  <c r="R337" i="22"/>
  <c r="R355" i="22" s="1"/>
  <c r="R493" i="22" s="1"/>
  <c r="AH55" i="41" s="1"/>
  <c r="N586" i="22"/>
  <c r="U35" i="105" s="1"/>
  <c r="M209" i="22"/>
  <c r="M243" i="22" s="1"/>
  <c r="M577" i="22"/>
  <c r="Q34" i="105" s="1"/>
  <c r="N210" i="22"/>
  <c r="N254" i="22" s="1"/>
  <c r="N584" i="22"/>
  <c r="S35" i="105" s="1"/>
  <c r="N579" i="22"/>
  <c r="T34" i="105" s="1"/>
  <c r="M571" i="22"/>
  <c r="Q33" i="105" s="1"/>
  <c r="M208" i="22"/>
  <c r="M232" i="22" s="1"/>
  <c r="N583" i="22"/>
  <c r="R35" i="105" s="1"/>
  <c r="N580" i="22"/>
  <c r="U34" i="105" s="1"/>
  <c r="K209" i="22"/>
  <c r="K243" i="22" s="1"/>
  <c r="K577" i="22"/>
  <c r="K34" i="105" s="1"/>
  <c r="N578" i="22"/>
  <c r="S34" i="105" s="1"/>
  <c r="N209" i="22"/>
  <c r="N243" i="22" s="1"/>
  <c r="N573" i="22"/>
  <c r="T33" i="105" s="1"/>
  <c r="K208" i="22"/>
  <c r="K232" i="22" s="1"/>
  <c r="K571" i="22"/>
  <c r="K33" i="105" s="1"/>
  <c r="N577" i="22"/>
  <c r="R34" i="105" s="1"/>
  <c r="N574" i="22"/>
  <c r="U33" i="105" s="1"/>
  <c r="K210" i="22"/>
  <c r="K254" i="22" s="1"/>
  <c r="K583" i="22"/>
  <c r="K35" i="105" s="1"/>
  <c r="N208" i="22"/>
  <c r="N232" i="22" s="1"/>
  <c r="N572" i="22"/>
  <c r="S33" i="105" s="1"/>
  <c r="N529" i="22"/>
  <c r="T22" i="105" s="1"/>
  <c r="P541" i="22"/>
  <c r="AD24" i="105" s="1"/>
  <c r="AD184" i="105" s="1"/>
  <c r="N543" i="22"/>
  <c r="V24" i="105" s="1"/>
  <c r="O543" i="22"/>
  <c r="AA24" i="105" s="1"/>
  <c r="AA184" i="105" s="1"/>
  <c r="N542" i="22"/>
  <c r="U24" i="105" s="1"/>
  <c r="O542" i="22"/>
  <c r="Z24" i="105" s="1"/>
  <c r="Z184" i="105" s="1"/>
  <c r="O529" i="22"/>
  <c r="Y22" i="105" s="1"/>
  <c r="Y182" i="105" s="1"/>
  <c r="P535" i="22"/>
  <c r="AD23" i="105" s="1"/>
  <c r="AD183" i="105" s="1"/>
  <c r="N531" i="22"/>
  <c r="V22" i="105" s="1"/>
  <c r="P543" i="22"/>
  <c r="AF24" i="105" s="1"/>
  <c r="AF184" i="105" s="1"/>
  <c r="P534" i="22"/>
  <c r="AC23" i="105" s="1"/>
  <c r="AC183" i="105" s="1"/>
  <c r="N530" i="22"/>
  <c r="U22" i="105" s="1"/>
  <c r="P542" i="22"/>
  <c r="AE24" i="105" s="1"/>
  <c r="AE184" i="105" s="1"/>
  <c r="N535" i="22"/>
  <c r="T23" i="105" s="1"/>
  <c r="O535" i="22"/>
  <c r="Y23" i="105" s="1"/>
  <c r="Y183" i="105" s="1"/>
  <c r="P529" i="22"/>
  <c r="AD22" i="105" s="1"/>
  <c r="AD182" i="105" s="1"/>
  <c r="O531" i="22"/>
  <c r="AA22" i="105" s="1"/>
  <c r="AA182" i="105" s="1"/>
  <c r="P537" i="22"/>
  <c r="AF23" i="105" s="1"/>
  <c r="AF183" i="105" s="1"/>
  <c r="O530" i="22"/>
  <c r="Z22" i="105" s="1"/>
  <c r="Z182" i="105" s="1"/>
  <c r="P536" i="22"/>
  <c r="AE23" i="105" s="1"/>
  <c r="AE183" i="105" s="1"/>
  <c r="N541" i="22"/>
  <c r="T24" i="105" s="1"/>
  <c r="O541" i="22"/>
  <c r="Y24" i="105" s="1"/>
  <c r="Y184" i="105" s="1"/>
  <c r="N537" i="22"/>
  <c r="V23" i="105" s="1"/>
  <c r="O537" i="22"/>
  <c r="AA23" i="105" s="1"/>
  <c r="AA183" i="105" s="1"/>
  <c r="P531" i="22"/>
  <c r="AF22" i="105" s="1"/>
  <c r="AF182" i="105" s="1"/>
  <c r="O540" i="22"/>
  <c r="X24" i="105" s="1"/>
  <c r="X184" i="105" s="1"/>
  <c r="N536" i="22"/>
  <c r="U23" i="105" s="1"/>
  <c r="O536" i="22"/>
  <c r="Z23" i="105" s="1"/>
  <c r="Z183" i="105" s="1"/>
  <c r="P530" i="22"/>
  <c r="AE22" i="105" s="1"/>
  <c r="AE182" i="105" s="1"/>
  <c r="K539" i="22"/>
  <c r="K24" i="105" s="1"/>
  <c r="K201" i="22"/>
  <c r="K253" i="22" s="1"/>
  <c r="M199" i="22"/>
  <c r="M231" i="22" s="1"/>
  <c r="M527" i="22"/>
  <c r="Q22" i="105" s="1"/>
  <c r="M200" i="22"/>
  <c r="M242" i="22" s="1"/>
  <c r="M533" i="22"/>
  <c r="Q23" i="105" s="1"/>
  <c r="M539" i="22"/>
  <c r="Q24" i="105" s="1"/>
  <c r="M201" i="22"/>
  <c r="M253" i="22" s="1"/>
  <c r="K200" i="22"/>
  <c r="K242" i="22" s="1"/>
  <c r="K533" i="22"/>
  <c r="K23" i="105" s="1"/>
  <c r="K58" i="22"/>
  <c r="L190" i="22"/>
  <c r="L189" i="22"/>
  <c r="L188" i="22"/>
  <c r="L180" i="22"/>
  <c r="L179" i="22"/>
  <c r="L172" i="22"/>
  <c r="L171" i="22"/>
  <c r="L170" i="22"/>
  <c r="Q163" i="22"/>
  <c r="Q162" i="22"/>
  <c r="Q161" i="22"/>
  <c r="L163" i="22"/>
  <c r="L162" i="22"/>
  <c r="L161" i="22"/>
  <c r="L152" i="22"/>
  <c r="L153" i="22"/>
  <c r="L154" i="22"/>
  <c r="L142" i="22"/>
  <c r="L141" i="22"/>
  <c r="L133" i="22"/>
  <c r="L132" i="22"/>
  <c r="L134" i="22"/>
  <c r="L124" i="22"/>
  <c r="L123" i="22"/>
  <c r="L125" i="22"/>
  <c r="Q115" i="22"/>
  <c r="Q114" i="22"/>
  <c r="L116" i="22"/>
  <c r="L115" i="22"/>
  <c r="L114" i="22"/>
  <c r="J115" i="22"/>
  <c r="L105" i="22"/>
  <c r="L106" i="22"/>
  <c r="L107" i="22"/>
  <c r="Q67" i="22"/>
  <c r="L60" i="22"/>
  <c r="L539" i="22" s="1"/>
  <c r="L24" i="105" s="1"/>
  <c r="L58" i="22"/>
  <c r="L527" i="22" s="1"/>
  <c r="L22" i="105" s="1"/>
  <c r="O201" i="22" l="1"/>
  <c r="O253" i="22" s="1"/>
  <c r="P200" i="22"/>
  <c r="P242" i="22" s="1"/>
  <c r="N201" i="22"/>
  <c r="N253" i="22" s="1"/>
  <c r="J210" i="22"/>
  <c r="J254" i="22" s="1"/>
  <c r="J584" i="22"/>
  <c r="J35" i="105" s="1"/>
  <c r="P201" i="22"/>
  <c r="P253" i="22" s="1"/>
  <c r="N199" i="22"/>
  <c r="N231" i="22" s="1"/>
  <c r="O200" i="22"/>
  <c r="O242" i="22" s="1"/>
  <c r="O199" i="22"/>
  <c r="O231" i="22" s="1"/>
  <c r="P199" i="22"/>
  <c r="P231" i="22" s="1"/>
  <c r="O528" i="22"/>
  <c r="X22" i="105" s="1"/>
  <c r="X182" i="105" s="1"/>
  <c r="X189" i="105" s="1"/>
  <c r="R170" i="105"/>
  <c r="N200" i="22"/>
  <c r="N242" i="22" s="1"/>
  <c r="AB182" i="105"/>
  <c r="AB189" i="105" s="1"/>
  <c r="AB170" i="105"/>
  <c r="W182" i="105"/>
  <c r="W189" i="105" s="1"/>
  <c r="W170" i="105"/>
  <c r="L170" i="105"/>
  <c r="L96" i="22"/>
  <c r="L543" i="22" s="1"/>
  <c r="P24" i="105" s="1"/>
  <c r="L95" i="22"/>
  <c r="L537" i="22" s="1"/>
  <c r="P23" i="105" s="1"/>
  <c r="L94" i="22"/>
  <c r="L531" i="22" s="1"/>
  <c r="P22" i="105" s="1"/>
  <c r="L87" i="22"/>
  <c r="L542" i="22" s="1"/>
  <c r="O24" i="105" s="1"/>
  <c r="L86" i="22"/>
  <c r="L536" i="22" s="1"/>
  <c r="O23" i="105" s="1"/>
  <c r="L85" i="22"/>
  <c r="L530" i="22" s="1"/>
  <c r="O22" i="105" s="1"/>
  <c r="L78" i="22"/>
  <c r="L77" i="22"/>
  <c r="L535" i="22" s="1"/>
  <c r="N23" i="105" s="1"/>
  <c r="L76" i="22"/>
  <c r="L529" i="22" s="1"/>
  <c r="N22" i="105" s="1"/>
  <c r="L69" i="22"/>
  <c r="L540" i="22" s="1"/>
  <c r="M24" i="105" s="1"/>
  <c r="L68" i="22"/>
  <c r="L534" i="22" s="1"/>
  <c r="M23" i="105" s="1"/>
  <c r="L67" i="22"/>
  <c r="L528" i="22" s="1"/>
  <c r="M22" i="105" s="1"/>
  <c r="Q147" i="105"/>
  <c r="W148" i="105"/>
  <c r="L618" i="22"/>
  <c r="O44" i="105" s="1"/>
  <c r="L431" i="22"/>
  <c r="Q217" i="22"/>
  <c r="Q233" i="22" s="1"/>
  <c r="Q237" i="22" s="1"/>
  <c r="Q616" i="22"/>
  <c r="AG44" i="105" s="1"/>
  <c r="Q373" i="22"/>
  <c r="L624" i="22"/>
  <c r="O45" i="105" s="1"/>
  <c r="L432" i="22"/>
  <c r="Q622" i="22"/>
  <c r="AG45" i="105" s="1"/>
  <c r="Q218" i="22"/>
  <c r="Q244" i="22" s="1"/>
  <c r="Q248" i="22" s="1"/>
  <c r="Q374" i="22"/>
  <c r="L630" i="22"/>
  <c r="O46" i="105" s="1"/>
  <c r="L433" i="22"/>
  <c r="Q219" i="22"/>
  <c r="Q255" i="22" s="1"/>
  <c r="Q259" i="22" s="1"/>
  <c r="Q628" i="22"/>
  <c r="AG46" i="105" s="1"/>
  <c r="Q375" i="22"/>
  <c r="L619" i="22"/>
  <c r="P44" i="105" s="1"/>
  <c r="L460" i="22"/>
  <c r="L617" i="22"/>
  <c r="N44" i="105" s="1"/>
  <c r="L402" i="22"/>
  <c r="L625" i="22"/>
  <c r="P45" i="105" s="1"/>
  <c r="L461" i="22"/>
  <c r="L616" i="22"/>
  <c r="M44" i="105" s="1"/>
  <c r="L373" i="22"/>
  <c r="L623" i="22"/>
  <c r="N45" i="105" s="1"/>
  <c r="L403" i="22"/>
  <c r="L631" i="22"/>
  <c r="P46" i="105" s="1"/>
  <c r="L462" i="22"/>
  <c r="L622" i="22"/>
  <c r="M45" i="105" s="1"/>
  <c r="L374" i="22"/>
  <c r="L629" i="22"/>
  <c r="N46" i="105" s="1"/>
  <c r="L404" i="22"/>
  <c r="L628" i="22"/>
  <c r="M46" i="105" s="1"/>
  <c r="L375" i="22"/>
  <c r="Q148" i="105"/>
  <c r="K148" i="105"/>
  <c r="AD189" i="105"/>
  <c r="AB148" i="105"/>
  <c r="L627" i="22"/>
  <c r="L46" i="105" s="1"/>
  <c r="L219" i="22"/>
  <c r="L255" i="22" s="1"/>
  <c r="L259" i="22" s="1"/>
  <c r="L346" i="22"/>
  <c r="R148" i="105"/>
  <c r="L621" i="22"/>
  <c r="L45" i="105" s="1"/>
  <c r="L218" i="22"/>
  <c r="L244" i="22" s="1"/>
  <c r="L248" i="22" s="1"/>
  <c r="L345" i="22"/>
  <c r="L615" i="22"/>
  <c r="L44" i="105" s="1"/>
  <c r="L217" i="22"/>
  <c r="L233" i="22" s="1"/>
  <c r="L237" i="22" s="1"/>
  <c r="L344" i="22"/>
  <c r="L583" i="22"/>
  <c r="L35" i="105" s="1"/>
  <c r="L586" i="22"/>
  <c r="O35" i="105" s="1"/>
  <c r="AH164" i="41"/>
  <c r="L577" i="22"/>
  <c r="L34" i="105" s="1"/>
  <c r="L574" i="22"/>
  <c r="O33" i="105" s="1"/>
  <c r="AH147" i="105"/>
  <c r="L571" i="22"/>
  <c r="L33" i="105" s="1"/>
  <c r="Q572" i="22"/>
  <c r="AG33" i="105" s="1"/>
  <c r="Q208" i="22"/>
  <c r="Q232" i="22" s="1"/>
  <c r="L580" i="22"/>
  <c r="O34" i="105" s="1"/>
  <c r="K147" i="105"/>
  <c r="R33" i="53"/>
  <c r="R58" i="80"/>
  <c r="R264" i="22"/>
  <c r="R17" i="111" s="1"/>
  <c r="R56" i="80"/>
  <c r="R31" i="53"/>
  <c r="J208" i="22"/>
  <c r="J232" i="22" s="1"/>
  <c r="J572" i="22"/>
  <c r="J33" i="105" s="1"/>
  <c r="Q209" i="22"/>
  <c r="Q243" i="22" s="1"/>
  <c r="Q578" i="22"/>
  <c r="AG34" i="105" s="1"/>
  <c r="L575" i="22"/>
  <c r="P33" i="105" s="1"/>
  <c r="AF189" i="105"/>
  <c r="J578" i="22"/>
  <c r="J34" i="105" s="1"/>
  <c r="J209" i="22"/>
  <c r="J243" i="22" s="1"/>
  <c r="Q210" i="22"/>
  <c r="Q254" i="22" s="1"/>
  <c r="Q584" i="22"/>
  <c r="AG35" i="105" s="1"/>
  <c r="L581" i="22"/>
  <c r="P34" i="105" s="1"/>
  <c r="R147" i="105"/>
  <c r="L572" i="22"/>
  <c r="M33" i="105" s="1"/>
  <c r="L208" i="22"/>
  <c r="L232" i="22" s="1"/>
  <c r="L585" i="22"/>
  <c r="N35" i="105" s="1"/>
  <c r="L587" i="22"/>
  <c r="P35" i="105" s="1"/>
  <c r="L209" i="22"/>
  <c r="L243" i="22" s="1"/>
  <c r="L578" i="22"/>
  <c r="M34" i="105" s="1"/>
  <c r="L573" i="22"/>
  <c r="N33" i="105" s="1"/>
  <c r="L584" i="22"/>
  <c r="M35" i="105" s="1"/>
  <c r="L210" i="22"/>
  <c r="L254" i="22" s="1"/>
  <c r="L579" i="22"/>
  <c r="N34" i="105" s="1"/>
  <c r="R32" i="53"/>
  <c r="R57" i="80"/>
  <c r="AE189" i="105"/>
  <c r="Z189" i="105"/>
  <c r="AC189" i="105"/>
  <c r="Q199" i="22"/>
  <c r="Q231" i="22" s="1"/>
  <c r="Q528" i="22"/>
  <c r="AG22" i="105" s="1"/>
  <c r="Q200" i="22"/>
  <c r="Q242" i="22" s="1"/>
  <c r="Q534" i="22"/>
  <c r="AG23" i="105" s="1"/>
  <c r="AA189" i="105"/>
  <c r="Y189" i="105"/>
  <c r="Q201" i="22"/>
  <c r="Q253" i="22" s="1"/>
  <c r="Q540" i="22"/>
  <c r="AG24" i="105" s="1"/>
  <c r="K527" i="22"/>
  <c r="K22" i="105" s="1"/>
  <c r="K199" i="22"/>
  <c r="K231" i="22" s="1"/>
  <c r="L199" i="22" l="1"/>
  <c r="L231" i="22" s="1"/>
  <c r="L201" i="22"/>
  <c r="L253" i="22" s="1"/>
  <c r="L541" i="22"/>
  <c r="N24" i="105" s="1"/>
  <c r="L666" i="22"/>
  <c r="L671" i="22"/>
  <c r="L676" i="22"/>
  <c r="M666" i="22"/>
  <c r="M671" i="22"/>
  <c r="M676" i="22"/>
  <c r="K667" i="22"/>
  <c r="K672" i="22"/>
  <c r="K677" i="22"/>
  <c r="N666" i="22"/>
  <c r="N671" i="22"/>
  <c r="N676" i="22"/>
  <c r="N667" i="22"/>
  <c r="N677" i="22"/>
  <c r="N672" i="22"/>
  <c r="N665" i="22"/>
  <c r="N675" i="22"/>
  <c r="N670" i="22"/>
  <c r="L667" i="22"/>
  <c r="L677" i="22"/>
  <c r="L672" i="22"/>
  <c r="K665" i="22"/>
  <c r="K670" i="22"/>
  <c r="K675" i="22"/>
  <c r="M667" i="22"/>
  <c r="M677" i="22"/>
  <c r="M672" i="22"/>
  <c r="L665" i="22"/>
  <c r="L675" i="22"/>
  <c r="L670" i="22"/>
  <c r="M665" i="22"/>
  <c r="M675" i="22"/>
  <c r="M670" i="22"/>
  <c r="K666" i="22"/>
  <c r="K676" i="22"/>
  <c r="K671" i="22"/>
  <c r="L200" i="22"/>
  <c r="L242" i="22" s="1"/>
  <c r="L148" i="105"/>
  <c r="R34" i="53"/>
  <c r="R59" i="80"/>
  <c r="L147" i="105"/>
  <c r="K680" i="22" l="1"/>
  <c r="K681" i="22"/>
  <c r="N681" i="22"/>
  <c r="M682" i="22"/>
  <c r="L681" i="22"/>
  <c r="N680" i="22"/>
  <c r="M680" i="22"/>
  <c r="K682" i="22"/>
  <c r="N682" i="22"/>
  <c r="L680" i="22"/>
  <c r="M681" i="22"/>
  <c r="L682" i="22"/>
  <c r="H225" i="87"/>
  <c r="J672" i="22"/>
  <c r="H230" i="87"/>
  <c r="J677" i="22"/>
  <c r="H220" i="87"/>
  <c r="J667" i="22"/>
  <c r="H224" i="87"/>
  <c r="J671" i="22"/>
  <c r="H229" i="87"/>
  <c r="J676" i="22"/>
  <c r="H219" i="87"/>
  <c r="J666" i="22"/>
  <c r="H228" i="87"/>
  <c r="J675" i="22"/>
  <c r="H223" i="87"/>
  <c r="J670" i="22"/>
  <c r="H218" i="87"/>
  <c r="J665" i="22"/>
  <c r="R48" i="53"/>
  <c r="R54" i="53" s="1"/>
  <c r="R93" i="53" s="1"/>
  <c r="R50" i="53"/>
  <c r="R49" i="53"/>
  <c r="K166" i="41"/>
  <c r="K174" i="41" s="1"/>
  <c r="M685" i="22" l="1"/>
  <c r="N685" i="22"/>
  <c r="K685" i="22"/>
  <c r="J682" i="22"/>
  <c r="L685" i="22"/>
  <c r="J681" i="22"/>
  <c r="J680" i="22"/>
  <c r="H232" i="87"/>
  <c r="R283" i="53"/>
  <c r="R276" i="53"/>
  <c r="R299" i="53"/>
  <c r="R274" i="53"/>
  <c r="R286" i="53"/>
  <c r="R285" i="53"/>
  <c r="R284" i="53"/>
  <c r="R301" i="53"/>
  <c r="R289" i="53"/>
  <c r="R275" i="53"/>
  <c r="R290" i="53"/>
  <c r="R296" i="53"/>
  <c r="R273" i="53"/>
  <c r="R279" i="53"/>
  <c r="R297" i="53"/>
  <c r="R288" i="53"/>
  <c r="R278" i="53"/>
  <c r="R280" i="53"/>
  <c r="R298" i="53"/>
  <c r="R294" i="53"/>
  <c r="R287" i="53"/>
  <c r="R302" i="53"/>
  <c r="R295" i="53"/>
  <c r="R291" i="53"/>
  <c r="R272" i="53"/>
  <c r="R300" i="53"/>
  <c r="R277" i="53"/>
  <c r="J685" i="22" l="1"/>
  <c r="H687" i="22" s="1"/>
  <c r="M689" i="22" s="1"/>
  <c r="O170" i="41" s="1"/>
  <c r="R101" i="80"/>
  <c r="R113" i="80" s="1"/>
  <c r="R102" i="83"/>
  <c r="R190" i="83" s="1"/>
  <c r="R61" i="71" s="1"/>
  <c r="R166" i="71" s="1"/>
  <c r="R99" i="83"/>
  <c r="R187" i="83" s="1"/>
  <c r="R58" i="71" s="1"/>
  <c r="R163" i="71" s="1"/>
  <c r="R98" i="80"/>
  <c r="R110" i="80" s="1"/>
  <c r="R113" i="83"/>
  <c r="R218" i="83" s="1"/>
  <c r="R90" i="71" s="1"/>
  <c r="R195" i="71" s="1"/>
  <c r="R123" i="80"/>
  <c r="R135" i="80" s="1"/>
  <c r="R107" i="83"/>
  <c r="R212" i="83" s="1"/>
  <c r="R84" i="71" s="1"/>
  <c r="R189" i="71" s="1"/>
  <c r="R117" i="80"/>
  <c r="R129" i="80" s="1"/>
  <c r="R119" i="80"/>
  <c r="R131" i="80" s="1"/>
  <c r="R109" i="83"/>
  <c r="R214" i="83" s="1"/>
  <c r="R86" i="71" s="1"/>
  <c r="R191" i="71" s="1"/>
  <c r="R94" i="80"/>
  <c r="R106" i="80" s="1"/>
  <c r="R95" i="83"/>
  <c r="R183" i="83" s="1"/>
  <c r="R54" i="71" s="1"/>
  <c r="R159" i="71" s="1"/>
  <c r="R114" i="83"/>
  <c r="R219" i="83" s="1"/>
  <c r="R91" i="71" s="1"/>
  <c r="R196" i="71" s="1"/>
  <c r="R124" i="80"/>
  <c r="R136" i="80" s="1"/>
  <c r="R77" i="80"/>
  <c r="R89" i="80" s="1"/>
  <c r="R89" i="83"/>
  <c r="R160" i="83" s="1"/>
  <c r="R30" i="71" s="1"/>
  <c r="R135" i="71" s="1"/>
  <c r="R96" i="83"/>
  <c r="R184" i="83" s="1"/>
  <c r="R55" i="71" s="1"/>
  <c r="R160" i="71" s="1"/>
  <c r="R95" i="80"/>
  <c r="R107" i="80" s="1"/>
  <c r="R97" i="80"/>
  <c r="R109" i="80" s="1"/>
  <c r="R98" i="83"/>
  <c r="R186" i="83" s="1"/>
  <c r="R57" i="71" s="1"/>
  <c r="R162" i="71" s="1"/>
  <c r="R83" i="83"/>
  <c r="R154" i="83" s="1"/>
  <c r="R24" i="71" s="1"/>
  <c r="R129" i="71" s="1"/>
  <c r="R71" i="80"/>
  <c r="R83" i="80" s="1"/>
  <c r="R97" i="83"/>
  <c r="R185" i="83" s="1"/>
  <c r="R56" i="71" s="1"/>
  <c r="R161" i="71" s="1"/>
  <c r="R96" i="80"/>
  <c r="R108" i="80" s="1"/>
  <c r="R105" i="83"/>
  <c r="R210" i="83" s="1"/>
  <c r="R82" i="71" s="1"/>
  <c r="R187" i="71" s="1"/>
  <c r="R106" i="83"/>
  <c r="R211" i="83" s="1"/>
  <c r="R83" i="71" s="1"/>
  <c r="R188" i="71" s="1"/>
  <c r="R116" i="80"/>
  <c r="R128" i="80" s="1"/>
  <c r="R108" i="83"/>
  <c r="R213" i="83" s="1"/>
  <c r="R85" i="71" s="1"/>
  <c r="R190" i="71" s="1"/>
  <c r="R118" i="80"/>
  <c r="R130" i="80" s="1"/>
  <c r="R84" i="83"/>
  <c r="R155" i="83" s="1"/>
  <c r="R25" i="71" s="1"/>
  <c r="R130" i="71" s="1"/>
  <c r="R72" i="80"/>
  <c r="R84" i="80" s="1"/>
  <c r="R87" i="83"/>
  <c r="R158" i="83" s="1"/>
  <c r="R28" i="71" s="1"/>
  <c r="R133" i="71" s="1"/>
  <c r="R75" i="80"/>
  <c r="R87" i="80" s="1"/>
  <c r="R110" i="83"/>
  <c r="R215" i="83" s="1"/>
  <c r="R87" i="71" s="1"/>
  <c r="R192" i="71" s="1"/>
  <c r="R120" i="80"/>
  <c r="R132" i="80" s="1"/>
  <c r="R101" i="83"/>
  <c r="R189" i="83" s="1"/>
  <c r="R60" i="71" s="1"/>
  <c r="R165" i="71" s="1"/>
  <c r="R100" i="80"/>
  <c r="R112" i="80" s="1"/>
  <c r="R121" i="80"/>
  <c r="R133" i="80" s="1"/>
  <c r="R111" i="83"/>
  <c r="R216" i="83" s="1"/>
  <c r="R88" i="71" s="1"/>
  <c r="R193" i="71" s="1"/>
  <c r="R122" i="80"/>
  <c r="R134" i="80" s="1"/>
  <c r="R112" i="83"/>
  <c r="R217" i="83" s="1"/>
  <c r="R89" i="71" s="1"/>
  <c r="R194" i="71" s="1"/>
  <c r="R90" i="83"/>
  <c r="R161" i="83" s="1"/>
  <c r="R31" i="71" s="1"/>
  <c r="R136" i="71" s="1"/>
  <c r="R78" i="80"/>
  <c r="R90" i="80" s="1"/>
  <c r="R85" i="83"/>
  <c r="R156" i="83" s="1"/>
  <c r="R26" i="71" s="1"/>
  <c r="R131" i="71" s="1"/>
  <c r="R73" i="80"/>
  <c r="R85" i="80" s="1"/>
  <c r="R86" i="83"/>
  <c r="R157" i="83" s="1"/>
  <c r="R27" i="71" s="1"/>
  <c r="R132" i="71" s="1"/>
  <c r="R74" i="80"/>
  <c r="R86" i="80" s="1"/>
  <c r="R70" i="80"/>
  <c r="R82" i="80" s="1"/>
  <c r="R82" i="83"/>
  <c r="R153" i="83" s="1"/>
  <c r="R23" i="71" s="1"/>
  <c r="R128" i="71" s="1"/>
  <c r="R81" i="83"/>
  <c r="R152" i="83" s="1"/>
  <c r="R22" i="71" s="1"/>
  <c r="R127" i="71" s="1"/>
  <c r="R88" i="83"/>
  <c r="R159" i="83" s="1"/>
  <c r="R29" i="71" s="1"/>
  <c r="R134" i="71" s="1"/>
  <c r="R76" i="80"/>
  <c r="R88" i="80" s="1"/>
  <c r="R100" i="83"/>
  <c r="R188" i="83" s="1"/>
  <c r="R59" i="71" s="1"/>
  <c r="R164" i="71" s="1"/>
  <c r="R99" i="80"/>
  <c r="R111" i="80" s="1"/>
  <c r="R93" i="83"/>
  <c r="R181" i="83" s="1"/>
  <c r="R52" i="71" s="1"/>
  <c r="R157" i="71" s="1"/>
  <c r="R93" i="80"/>
  <c r="R105" i="80" s="1"/>
  <c r="R94" i="83"/>
  <c r="R182" i="83" s="1"/>
  <c r="R53" i="71" s="1"/>
  <c r="R158" i="71" s="1"/>
  <c r="J689" i="22" l="1"/>
  <c r="N689" i="22"/>
  <c r="P170" i="41" s="1"/>
  <c r="K689" i="22"/>
  <c r="M170" i="41" s="1"/>
  <c r="L689" i="22"/>
  <c r="N170" i="41" s="1"/>
  <c r="R150" i="80"/>
  <c r="R208" i="80" s="1"/>
  <c r="R147" i="80"/>
  <c r="R173" i="80" s="1"/>
  <c r="R274" i="80" s="1"/>
  <c r="R146" i="80"/>
  <c r="R172" i="80" s="1"/>
  <c r="R273" i="80" s="1"/>
  <c r="R144" i="80"/>
  <c r="R170" i="80" s="1"/>
  <c r="R271" i="80" s="1"/>
  <c r="R149" i="80"/>
  <c r="R175" i="80" s="1"/>
  <c r="R276" i="80" s="1"/>
  <c r="R143" i="80"/>
  <c r="R169" i="80" s="1"/>
  <c r="R270" i="80" s="1"/>
  <c r="R145" i="80"/>
  <c r="R171" i="80" s="1"/>
  <c r="R272" i="80" s="1"/>
  <c r="R142" i="80"/>
  <c r="R168" i="80" s="1"/>
  <c r="R269" i="80" s="1"/>
  <c r="R148" i="80"/>
  <c r="R174" i="80" s="1"/>
  <c r="R275" i="80" s="1"/>
  <c r="R176" i="80" l="1"/>
  <c r="R177" i="80" s="1"/>
  <c r="J68" i="22" l="1"/>
  <c r="J69" i="22"/>
  <c r="J201" i="22" l="1"/>
  <c r="J253" i="22" s="1"/>
  <c r="J540" i="22"/>
  <c r="J24" i="105" s="1"/>
  <c r="J67" i="22"/>
  <c r="H234" i="87" a="1"/>
  <c r="H234" i="87" s="1"/>
  <c r="H236" i="87" s="1"/>
  <c r="J200" i="22"/>
  <c r="J242" i="22" s="1"/>
  <c r="J534" i="22"/>
  <c r="J23" i="105" s="1"/>
  <c r="A4" i="87" l="1"/>
  <c r="J35" i="55"/>
  <c r="J528" i="22"/>
  <c r="J22" i="105" s="1"/>
  <c r="J199" i="22"/>
  <c r="J231" i="22" s="1"/>
  <c r="AI199" i="105" l="1"/>
  <c r="AI196" i="105" l="1"/>
  <c r="AI194" i="105" l="1"/>
  <c r="AI195" i="105"/>
  <c r="AI193" i="105"/>
  <c r="AI200" i="105" l="1"/>
  <c r="AI140" i="105"/>
  <c r="AI146" i="105"/>
  <c r="AI63" i="82" s="1"/>
  <c r="AI174" i="105"/>
  <c r="AI65" i="82" s="1"/>
  <c r="AI62" i="82" l="1"/>
  <c r="AI207" i="105"/>
  <c r="AI74" i="82" s="1"/>
  <c r="AJ147" i="105" l="1"/>
  <c r="AJ141" i="105"/>
  <c r="K207" i="41" l="1"/>
  <c r="H86" i="89" l="1"/>
  <c r="H87" i="89" s="1"/>
  <c r="H83" i="105" s="1"/>
  <c r="H126" i="105" s="1"/>
  <c r="H61" i="41" l="1"/>
  <c r="H67" i="41" l="1"/>
  <c r="S147" i="41" l="1" a="1"/>
  <c r="AE147" i="41" a="1"/>
  <c r="X147" i="41" a="1"/>
  <c r="P147" i="41" a="1"/>
  <c r="T147" i="41" a="1"/>
  <c r="U147" i="41" a="1"/>
  <c r="AF147" i="41" a="1"/>
  <c r="V147" i="41" a="1"/>
  <c r="AC147" i="41" a="1"/>
  <c r="Y147" i="41" a="1"/>
  <c r="M147" i="41" a="1"/>
  <c r="H108" i="89" a="1"/>
  <c r="H108" i="89" s="1"/>
  <c r="H114" i="89" s="1"/>
  <c r="H22" i="22"/>
  <c r="K34" i="22" s="1"/>
  <c r="J34" i="22" l="1"/>
  <c r="J319" i="22" s="1"/>
  <c r="L34" i="22"/>
  <c r="L321" i="22" s="1"/>
  <c r="Q34" i="22"/>
  <c r="Q318" i="22" s="1"/>
  <c r="Q60" i="65" s="1"/>
  <c r="AG78" i="65" s="1"/>
  <c r="K317" i="22"/>
  <c r="K316" i="22"/>
  <c r="K319" i="22"/>
  <c r="K321" i="22"/>
  <c r="K320" i="22"/>
  <c r="K245" i="22"/>
  <c r="K247" i="22" s="1"/>
  <c r="K249" i="22" s="1"/>
  <c r="K256" i="22"/>
  <c r="K258" i="22" s="1"/>
  <c r="K260" i="22" s="1"/>
  <c r="K293" i="22"/>
  <c r="K295" i="22" s="1"/>
  <c r="K297" i="22" s="1"/>
  <c r="K189" i="80" s="1"/>
  <c r="K318" i="22"/>
  <c r="K271" i="22"/>
  <c r="K273" i="22" s="1"/>
  <c r="K275" i="22" s="1"/>
  <c r="K315" i="22"/>
  <c r="K304" i="22"/>
  <c r="K306" i="22" s="1"/>
  <c r="K308" i="22" s="1"/>
  <c r="K234" i="22"/>
  <c r="K236" i="22" s="1"/>
  <c r="K238" i="22" s="1"/>
  <c r="K282" i="22"/>
  <c r="K284" i="22" s="1"/>
  <c r="K286" i="22" s="1"/>
  <c r="K188" i="80" s="1"/>
  <c r="J368" i="22"/>
  <c r="J386" i="22" s="1"/>
  <c r="J506" i="22" s="1"/>
  <c r="J57" i="41" s="1"/>
  <c r="J61" i="65"/>
  <c r="J79" i="65" s="1"/>
  <c r="L293" i="22"/>
  <c r="L295" i="22" s="1"/>
  <c r="L297" i="22" s="1"/>
  <c r="L189" i="80" s="1"/>
  <c r="L256" i="22"/>
  <c r="L258" i="22" s="1"/>
  <c r="L260" i="22" s="1"/>
  <c r="L245" i="22"/>
  <c r="L247" i="22" s="1"/>
  <c r="L249" i="22" s="1"/>
  <c r="J256" i="22"/>
  <c r="J258" i="22" s="1"/>
  <c r="J260" i="22" s="1"/>
  <c r="J318" i="22"/>
  <c r="M34" i="22"/>
  <c r="J293" i="22"/>
  <c r="J295" i="22" s="1"/>
  <c r="J297" i="22" s="1"/>
  <c r="J189" i="80" s="1"/>
  <c r="Q234" i="22"/>
  <c r="Q236" i="22" s="1"/>
  <c r="Q238" i="22" s="1"/>
  <c r="N34" i="22"/>
  <c r="P34" i="22"/>
  <c r="O34" i="22"/>
  <c r="J304" i="22"/>
  <c r="J306" i="22" s="1"/>
  <c r="J308" i="22" s="1"/>
  <c r="J316" i="22"/>
  <c r="J320" i="22"/>
  <c r="J321" i="22"/>
  <c r="J245" i="22"/>
  <c r="J247" i="22" s="1"/>
  <c r="J249" i="22" s="1"/>
  <c r="J317" i="22"/>
  <c r="J315" i="22"/>
  <c r="L318" i="22"/>
  <c r="L315" i="22"/>
  <c r="V34" i="22"/>
  <c r="W34" i="22"/>
  <c r="S34" i="22"/>
  <c r="Y34" i="22"/>
  <c r="T34" i="22"/>
  <c r="X34" i="22"/>
  <c r="U34" i="22"/>
  <c r="R34" i="22"/>
  <c r="J234" i="22"/>
  <c r="J236" i="22" s="1"/>
  <c r="J238" i="22" s="1"/>
  <c r="J282" i="22"/>
  <c r="J284" i="22" s="1"/>
  <c r="J286" i="22" s="1"/>
  <c r="J188" i="80" s="1"/>
  <c r="L234" i="22"/>
  <c r="L236" i="22" s="1"/>
  <c r="L238" i="22" s="1"/>
  <c r="J271" i="22"/>
  <c r="J273" i="22" s="1"/>
  <c r="J275" i="22" s="1"/>
  <c r="A4" i="89"/>
  <c r="J37" i="55"/>
  <c r="Q282" i="22" l="1"/>
  <c r="Q284" i="22" s="1"/>
  <c r="Q286" i="22" s="1"/>
  <c r="Q188" i="80" s="1"/>
  <c r="Q316" i="22"/>
  <c r="Q245" i="22"/>
  <c r="Q247" i="22" s="1"/>
  <c r="Q249" i="22" s="1"/>
  <c r="Q271" i="22"/>
  <c r="Q273" i="22" s="1"/>
  <c r="Q275" i="22" s="1"/>
  <c r="L320" i="22"/>
  <c r="L427" i="22" s="1"/>
  <c r="L445" i="22" s="1"/>
  <c r="L514" i="22" s="1"/>
  <c r="O58" i="41" s="1"/>
  <c r="Q293" i="22"/>
  <c r="Q295" i="22" s="1"/>
  <c r="Q297" i="22" s="1"/>
  <c r="Q189" i="80" s="1"/>
  <c r="Q191" i="80" s="1"/>
  <c r="Q192" i="80" s="1"/>
  <c r="Q319" i="22"/>
  <c r="Q256" i="22"/>
  <c r="Q258" i="22" s="1"/>
  <c r="Q260" i="22" s="1"/>
  <c r="Q58" i="80" s="1"/>
  <c r="L271" i="22"/>
  <c r="L273" i="22" s="1"/>
  <c r="L275" i="22" s="1"/>
  <c r="L304" i="22"/>
  <c r="L306" i="22" s="1"/>
  <c r="L308" i="22" s="1"/>
  <c r="Q320" i="22"/>
  <c r="Q304" i="22"/>
  <c r="Q306" i="22" s="1"/>
  <c r="Q308" i="22" s="1"/>
  <c r="L317" i="22"/>
  <c r="Q367" i="22"/>
  <c r="Q385" i="22" s="1"/>
  <c r="Q500" i="22" s="1"/>
  <c r="AG56" i="41" s="1"/>
  <c r="Q321" i="22"/>
  <c r="Q317" i="22"/>
  <c r="Q366" i="22" s="1"/>
  <c r="Q384" i="22" s="1"/>
  <c r="Q494" i="22" s="1"/>
  <c r="AG55" i="41" s="1"/>
  <c r="L319" i="22"/>
  <c r="L61" i="65" s="1"/>
  <c r="L282" i="22"/>
  <c r="L284" i="22" s="1"/>
  <c r="L286" i="22" s="1"/>
  <c r="L188" i="80" s="1"/>
  <c r="Q315" i="22"/>
  <c r="L316" i="22"/>
  <c r="L336" i="22" s="1"/>
  <c r="L354" i="22" s="1"/>
  <c r="L487" i="22" s="1"/>
  <c r="L54" i="41" s="1"/>
  <c r="L58" i="80"/>
  <c r="L33" i="53"/>
  <c r="L264" i="22"/>
  <c r="L17" i="111" s="1"/>
  <c r="K33" i="53"/>
  <c r="K58" i="80"/>
  <c r="K264" i="22"/>
  <c r="K17" i="111" s="1"/>
  <c r="J18" i="74"/>
  <c r="J16" i="111"/>
  <c r="J369" i="22"/>
  <c r="J387" i="22" s="1"/>
  <c r="J512" i="22" s="1"/>
  <c r="J58" i="41" s="1"/>
  <c r="J62" i="65"/>
  <c r="J80" i="65" s="1"/>
  <c r="L56" i="80"/>
  <c r="L31" i="53"/>
  <c r="J58" i="65"/>
  <c r="J76" i="65" s="1"/>
  <c r="J365" i="22"/>
  <c r="J383" i="22" s="1"/>
  <c r="J488" i="22" s="1"/>
  <c r="J54" i="41" s="1"/>
  <c r="L399" i="22"/>
  <c r="L417" i="22" s="1"/>
  <c r="L519" i="22" s="1"/>
  <c r="N59" i="41" s="1"/>
  <c r="L428" i="22"/>
  <c r="L446" i="22" s="1"/>
  <c r="L520" i="22" s="1"/>
  <c r="O59" i="41" s="1"/>
  <c r="L341" i="22"/>
  <c r="L359" i="22" s="1"/>
  <c r="L517" i="22" s="1"/>
  <c r="L59" i="41" s="1"/>
  <c r="L63" i="65"/>
  <c r="L370" i="22"/>
  <c r="L388" i="22" s="1"/>
  <c r="L518" i="22" s="1"/>
  <c r="M59" i="41" s="1"/>
  <c r="L457" i="22"/>
  <c r="L475" i="22" s="1"/>
  <c r="L521" i="22" s="1"/>
  <c r="P59" i="41" s="1"/>
  <c r="K191" i="80"/>
  <c r="K192" i="80" s="1"/>
  <c r="K57" i="80"/>
  <c r="K32" i="53"/>
  <c r="J63" i="65"/>
  <c r="J81" i="65" s="1"/>
  <c r="J370" i="22"/>
  <c r="J388" i="22" s="1"/>
  <c r="J518" i="22" s="1"/>
  <c r="J59" i="41" s="1"/>
  <c r="L57" i="65"/>
  <c r="L335" i="22"/>
  <c r="L353" i="22" s="1"/>
  <c r="L481" i="22" s="1"/>
  <c r="L53" i="41" s="1"/>
  <c r="L422" i="22"/>
  <c r="L440" i="22" s="1"/>
  <c r="L484" i="22" s="1"/>
  <c r="O53" i="41" s="1"/>
  <c r="L451" i="22"/>
  <c r="L469" i="22" s="1"/>
  <c r="L485" i="22" s="1"/>
  <c r="P53" i="41" s="1"/>
  <c r="L393" i="22"/>
  <c r="L411" i="22" s="1"/>
  <c r="L483" i="22" s="1"/>
  <c r="N53" i="41" s="1"/>
  <c r="L364" i="22"/>
  <c r="L382" i="22" s="1"/>
  <c r="L482" i="22" s="1"/>
  <c r="M53" i="41" s="1"/>
  <c r="Q57" i="80"/>
  <c r="Q32" i="53"/>
  <c r="K56" i="80"/>
  <c r="K31" i="53"/>
  <c r="K340" i="22"/>
  <c r="K358" i="22" s="1"/>
  <c r="K511" i="22" s="1"/>
  <c r="K58" i="41" s="1"/>
  <c r="K62" i="65"/>
  <c r="K80" i="65" s="1"/>
  <c r="J191" i="80"/>
  <c r="J192" i="80" s="1"/>
  <c r="L57" i="80"/>
  <c r="L32" i="53"/>
  <c r="L338" i="22"/>
  <c r="L356" i="22" s="1"/>
  <c r="L499" i="22" s="1"/>
  <c r="L56" i="41" s="1"/>
  <c r="L454" i="22"/>
  <c r="L472" i="22" s="1"/>
  <c r="L503" i="22" s="1"/>
  <c r="P56" i="41" s="1"/>
  <c r="L60" i="65"/>
  <c r="L367" i="22"/>
  <c r="L385" i="22" s="1"/>
  <c r="L500" i="22" s="1"/>
  <c r="M56" i="41" s="1"/>
  <c r="L425" i="22"/>
  <c r="L443" i="22" s="1"/>
  <c r="L502" i="22" s="1"/>
  <c r="O56" i="41" s="1"/>
  <c r="L396" i="22"/>
  <c r="L414" i="22" s="1"/>
  <c r="L501" i="22" s="1"/>
  <c r="N56" i="41" s="1"/>
  <c r="Q18" i="74"/>
  <c r="Q16" i="111"/>
  <c r="J60" i="65"/>
  <c r="J78" i="65" s="1"/>
  <c r="J367" i="22"/>
  <c r="J385" i="22" s="1"/>
  <c r="J500" i="22" s="1"/>
  <c r="J56" i="41" s="1"/>
  <c r="L398" i="22"/>
  <c r="L416" i="22" s="1"/>
  <c r="L513" i="22" s="1"/>
  <c r="N58" i="41" s="1"/>
  <c r="L62" i="65"/>
  <c r="Q368" i="22"/>
  <c r="Q386" i="22" s="1"/>
  <c r="Q506" i="22" s="1"/>
  <c r="AG57" i="41" s="1"/>
  <c r="Q61" i="65"/>
  <c r="AG79" i="65" s="1"/>
  <c r="K341" i="22"/>
  <c r="K359" i="22" s="1"/>
  <c r="K517" i="22" s="1"/>
  <c r="K59" i="41" s="1"/>
  <c r="K63" i="65"/>
  <c r="K81" i="65" s="1"/>
  <c r="Q365" i="22"/>
  <c r="Q383" i="22" s="1"/>
  <c r="Q488" i="22" s="1"/>
  <c r="AG54" i="41" s="1"/>
  <c r="Q58" i="65"/>
  <c r="AG76" i="65" s="1"/>
  <c r="L191" i="80"/>
  <c r="L192" i="80" s="1"/>
  <c r="Q57" i="65"/>
  <c r="AG75" i="65" s="1"/>
  <c r="Q364" i="22"/>
  <c r="Q382" i="22" s="1"/>
  <c r="Q482" i="22" s="1"/>
  <c r="AG53" i="41" s="1"/>
  <c r="M245" i="22"/>
  <c r="M247" i="22" s="1"/>
  <c r="M249" i="22" s="1"/>
  <c r="M319" i="22"/>
  <c r="M317" i="22"/>
  <c r="M321" i="22"/>
  <c r="M304" i="22"/>
  <c r="M306" i="22" s="1"/>
  <c r="M308" i="22" s="1"/>
  <c r="M256" i="22"/>
  <c r="M258" i="22" s="1"/>
  <c r="M260" i="22" s="1"/>
  <c r="M316" i="22"/>
  <c r="M318" i="22"/>
  <c r="M234" i="22"/>
  <c r="M271" i="22"/>
  <c r="M273" i="22" s="1"/>
  <c r="M275" i="22" s="1"/>
  <c r="M315" i="22"/>
  <c r="M293" i="22"/>
  <c r="M295" i="22" s="1"/>
  <c r="M297" i="22" s="1"/>
  <c r="M189" i="80" s="1"/>
  <c r="M320" i="22"/>
  <c r="M282" i="22"/>
  <c r="M284" i="22" s="1"/>
  <c r="M286" i="22" s="1"/>
  <c r="M188" i="80" s="1"/>
  <c r="J56" i="80"/>
  <c r="J31" i="53"/>
  <c r="J57" i="65"/>
  <c r="J75" i="65" s="1"/>
  <c r="J364" i="22"/>
  <c r="J382" i="22" s="1"/>
  <c r="J482" i="22" s="1"/>
  <c r="J53" i="41" s="1"/>
  <c r="O321" i="22"/>
  <c r="O271" i="22"/>
  <c r="O273" i="22" s="1"/>
  <c r="O275" i="22" s="1"/>
  <c r="O319" i="22"/>
  <c r="O293" i="22"/>
  <c r="O295" i="22" s="1"/>
  <c r="O297" i="22" s="1"/>
  <c r="O189" i="80" s="1"/>
  <c r="O316" i="22"/>
  <c r="O317" i="22"/>
  <c r="O282" i="22"/>
  <c r="O284" i="22" s="1"/>
  <c r="O286" i="22" s="1"/>
  <c r="O188" i="80" s="1"/>
  <c r="O315" i="22"/>
  <c r="O256" i="22"/>
  <c r="O258" i="22" s="1"/>
  <c r="O260" i="22" s="1"/>
  <c r="O234" i="22"/>
  <c r="O236" i="22" s="1"/>
  <c r="O238" i="22" s="1"/>
  <c r="O245" i="22"/>
  <c r="O247" i="22" s="1"/>
  <c r="O249" i="22" s="1"/>
  <c r="O304" i="22"/>
  <c r="O306" i="22" s="1"/>
  <c r="O308" i="22" s="1"/>
  <c r="O320" i="22"/>
  <c r="O318" i="22"/>
  <c r="L16" i="111"/>
  <c r="L18" i="74"/>
  <c r="Q369" i="22"/>
  <c r="Q387" i="22" s="1"/>
  <c r="Q512" i="22" s="1"/>
  <c r="AG58" i="41" s="1"/>
  <c r="Q62" i="65"/>
  <c r="AG80" i="65" s="1"/>
  <c r="K57" i="65"/>
  <c r="K75" i="65" s="1"/>
  <c r="K335" i="22"/>
  <c r="K353" i="22" s="1"/>
  <c r="K481" i="22" s="1"/>
  <c r="K53" i="41" s="1"/>
  <c r="K339" i="22"/>
  <c r="K357" i="22" s="1"/>
  <c r="K505" i="22" s="1"/>
  <c r="K57" i="41" s="1"/>
  <c r="K61" i="65"/>
  <c r="K79" i="65" s="1"/>
  <c r="J59" i="65"/>
  <c r="J77" i="65" s="1"/>
  <c r="J366" i="22"/>
  <c r="J384" i="22" s="1"/>
  <c r="J494" i="22" s="1"/>
  <c r="J55" i="41" s="1"/>
  <c r="P321" i="22"/>
  <c r="P316" i="22"/>
  <c r="P271" i="22"/>
  <c r="P273" i="22" s="1"/>
  <c r="P275" i="22" s="1"/>
  <c r="P293" i="22"/>
  <c r="P295" i="22" s="1"/>
  <c r="P297" i="22" s="1"/>
  <c r="P189" i="80" s="1"/>
  <c r="P317" i="22"/>
  <c r="P319" i="22"/>
  <c r="P320" i="22"/>
  <c r="P245" i="22"/>
  <c r="P247" i="22" s="1"/>
  <c r="P249" i="22" s="1"/>
  <c r="P256" i="22"/>
  <c r="P258" i="22" s="1"/>
  <c r="P260" i="22" s="1"/>
  <c r="P282" i="22"/>
  <c r="P284" i="22" s="1"/>
  <c r="P286" i="22" s="1"/>
  <c r="P188" i="80" s="1"/>
  <c r="P315" i="22"/>
  <c r="P318" i="22"/>
  <c r="P234" i="22"/>
  <c r="P236" i="22" s="1"/>
  <c r="P238" i="22" s="1"/>
  <c r="P304" i="22"/>
  <c r="P306" i="22" s="1"/>
  <c r="P308" i="22" s="1"/>
  <c r="L337" i="22"/>
  <c r="L355" i="22" s="1"/>
  <c r="L493" i="22" s="1"/>
  <c r="L55" i="41" s="1"/>
  <c r="L424" i="22"/>
  <c r="L442" i="22" s="1"/>
  <c r="L496" i="22" s="1"/>
  <c r="O55" i="41" s="1"/>
  <c r="L59" i="65"/>
  <c r="L395" i="22"/>
  <c r="L413" i="22" s="1"/>
  <c r="L495" i="22" s="1"/>
  <c r="N55" i="41" s="1"/>
  <c r="L366" i="22"/>
  <c r="L384" i="22" s="1"/>
  <c r="L494" i="22" s="1"/>
  <c r="M55" i="41" s="1"/>
  <c r="L453" i="22"/>
  <c r="L471" i="22" s="1"/>
  <c r="L497" i="22" s="1"/>
  <c r="P55" i="41" s="1"/>
  <c r="K18" i="74"/>
  <c r="K16" i="111"/>
  <c r="K58" i="65"/>
  <c r="K76" i="65" s="1"/>
  <c r="K336" i="22"/>
  <c r="K354" i="22" s="1"/>
  <c r="K487" i="22" s="1"/>
  <c r="K54" i="41" s="1"/>
  <c r="Q56" i="80"/>
  <c r="Q31" i="53"/>
  <c r="Q63" i="65"/>
  <c r="AG81" i="65" s="1"/>
  <c r="Q370" i="22"/>
  <c r="Q388" i="22" s="1"/>
  <c r="Q518" i="22" s="1"/>
  <c r="AG59" i="41" s="1"/>
  <c r="AG153" i="41"/>
  <c r="AG118" i="41"/>
  <c r="AG130" i="41" s="1"/>
  <c r="AG116" i="41"/>
  <c r="AG128" i="41" s="1"/>
  <c r="AG115" i="41"/>
  <c r="AG127" i="41" s="1"/>
  <c r="AG114" i="41"/>
  <c r="AG126" i="41" s="1"/>
  <c r="AG117" i="41"/>
  <c r="AG129" i="41" s="1"/>
  <c r="AG119" i="41"/>
  <c r="AG131" i="41" s="1"/>
  <c r="AG121" i="41"/>
  <c r="AG133" i="41" s="1"/>
  <c r="AG120" i="41"/>
  <c r="AG132" i="41" s="1"/>
  <c r="J57" i="80"/>
  <c r="J32" i="53"/>
  <c r="N321" i="22"/>
  <c r="N317" i="22"/>
  <c r="N293" i="22"/>
  <c r="N295" i="22" s="1"/>
  <c r="N297" i="22" s="1"/>
  <c r="N189" i="80" s="1"/>
  <c r="N320" i="22"/>
  <c r="N319" i="22"/>
  <c r="N304" i="22"/>
  <c r="N306" i="22" s="1"/>
  <c r="N308" i="22" s="1"/>
  <c r="N318" i="22"/>
  <c r="N316" i="22"/>
  <c r="N315" i="22"/>
  <c r="N282" i="22"/>
  <c r="N284" i="22" s="1"/>
  <c r="N286" i="22" s="1"/>
  <c r="N188" i="80" s="1"/>
  <c r="N234" i="22"/>
  <c r="N236" i="22" s="1"/>
  <c r="N238" i="22" s="1"/>
  <c r="N256" i="22"/>
  <c r="N258" i="22" s="1"/>
  <c r="N260" i="22" s="1"/>
  <c r="N245" i="22"/>
  <c r="N247" i="22" s="1"/>
  <c r="N249" i="22" s="1"/>
  <c r="N271" i="22"/>
  <c r="N273" i="22" s="1"/>
  <c r="N275" i="22" s="1"/>
  <c r="J58" i="80"/>
  <c r="J264" i="22"/>
  <c r="J17" i="111" s="1"/>
  <c r="J33" i="53"/>
  <c r="L368" i="22"/>
  <c r="L386" i="22" s="1"/>
  <c r="L506" i="22" s="1"/>
  <c r="M57" i="41" s="1"/>
  <c r="K338" i="22"/>
  <c r="K356" i="22" s="1"/>
  <c r="K499" i="22" s="1"/>
  <c r="K56" i="41" s="1"/>
  <c r="K60" i="65"/>
  <c r="K78" i="65" s="1"/>
  <c r="K337" i="22"/>
  <c r="K355" i="22" s="1"/>
  <c r="K493" i="22" s="1"/>
  <c r="K55" i="41" s="1"/>
  <c r="K59" i="65"/>
  <c r="K77" i="65" s="1"/>
  <c r="L423" i="22" l="1"/>
  <c r="L441" i="22" s="1"/>
  <c r="L490" i="22" s="1"/>
  <c r="O54" i="41" s="1"/>
  <c r="L394" i="22"/>
  <c r="L412" i="22" s="1"/>
  <c r="L489" i="22" s="1"/>
  <c r="N54" i="41" s="1"/>
  <c r="Q33" i="53"/>
  <c r="Q59" i="65"/>
  <c r="AG77" i="65" s="1"/>
  <c r="L452" i="22"/>
  <c r="L470" i="22" s="1"/>
  <c r="L491" i="22" s="1"/>
  <c r="P54" i="41" s="1"/>
  <c r="Q264" i="22"/>
  <c r="Q17" i="111" s="1"/>
  <c r="Q29" i="111" s="1"/>
  <c r="O191" i="80"/>
  <c r="O192" i="80" s="1"/>
  <c r="N191" i="80"/>
  <c r="N192" i="80" s="1"/>
  <c r="N259" i="80" s="1"/>
  <c r="Q239" i="80"/>
  <c r="Q246" i="80"/>
  <c r="Q202" i="80"/>
  <c r="Q245" i="80"/>
  <c r="Q244" i="80"/>
  <c r="Q241" i="80"/>
  <c r="Q243" i="80"/>
  <c r="Q242" i="80"/>
  <c r="Q240" i="80"/>
  <c r="L426" i="22"/>
  <c r="L444" i="22" s="1"/>
  <c r="L508" i="22" s="1"/>
  <c r="O57" i="41" s="1"/>
  <c r="L58" i="65"/>
  <c r="M76" i="65" s="1"/>
  <c r="L339" i="22"/>
  <c r="L357" i="22" s="1"/>
  <c r="L505" i="22" s="1"/>
  <c r="L57" i="41" s="1"/>
  <c r="L340" i="22"/>
  <c r="L358" i="22" s="1"/>
  <c r="L511" i="22" s="1"/>
  <c r="L58" i="41" s="1"/>
  <c r="K34" i="53"/>
  <c r="K69" i="53" s="1"/>
  <c r="L365" i="22"/>
  <c r="L383" i="22" s="1"/>
  <c r="L488" i="22" s="1"/>
  <c r="M54" i="41" s="1"/>
  <c r="L455" i="22"/>
  <c r="L473" i="22" s="1"/>
  <c r="L509" i="22" s="1"/>
  <c r="P57" i="41" s="1"/>
  <c r="L456" i="22"/>
  <c r="L474" i="22" s="1"/>
  <c r="L515" i="22" s="1"/>
  <c r="P58" i="41" s="1"/>
  <c r="L397" i="22"/>
  <c r="L415" i="22" s="1"/>
  <c r="L507" i="22" s="1"/>
  <c r="N57" i="41" s="1"/>
  <c r="Q34" i="53"/>
  <c r="P191" i="80"/>
  <c r="P192" i="80" s="1"/>
  <c r="L369" i="22"/>
  <c r="L387" i="22" s="1"/>
  <c r="L512" i="22" s="1"/>
  <c r="M58" i="41" s="1"/>
  <c r="P57" i="80"/>
  <c r="P32" i="53"/>
  <c r="O422" i="22"/>
  <c r="O440" i="22" s="1"/>
  <c r="O484" i="22" s="1"/>
  <c r="Z53" i="41" s="1"/>
  <c r="O57" i="65"/>
  <c r="O364" i="22"/>
  <c r="O382" i="22" s="1"/>
  <c r="O482" i="22" s="1"/>
  <c r="X53" i="41" s="1"/>
  <c r="O393" i="22"/>
  <c r="O411" i="22" s="1"/>
  <c r="O483" i="22" s="1"/>
  <c r="Y53" i="41" s="1"/>
  <c r="O451" i="22"/>
  <c r="O469" i="22" s="1"/>
  <c r="O485" i="22" s="1"/>
  <c r="AA53" i="41" s="1"/>
  <c r="O335" i="22"/>
  <c r="O353" i="22" s="1"/>
  <c r="O481" i="22" s="1"/>
  <c r="W53" i="41" s="1"/>
  <c r="J164" i="41"/>
  <c r="J166" i="41" s="1"/>
  <c r="M18" i="74"/>
  <c r="M16" i="111"/>
  <c r="M339" i="22"/>
  <c r="M357" i="22" s="1"/>
  <c r="M505" i="22" s="1"/>
  <c r="Q57" i="41" s="1"/>
  <c r="M61" i="65"/>
  <c r="Q79" i="65" s="1"/>
  <c r="O78" i="65"/>
  <c r="N78" i="65"/>
  <c r="P78" i="65"/>
  <c r="L78" i="65"/>
  <c r="M78" i="65"/>
  <c r="J239" i="80"/>
  <c r="J243" i="80"/>
  <c r="J241" i="80"/>
  <c r="J242" i="80"/>
  <c r="J240" i="80"/>
  <c r="J244" i="80"/>
  <c r="J202" i="80"/>
  <c r="J245" i="80"/>
  <c r="J246" i="80"/>
  <c r="N164" i="41"/>
  <c r="N166" i="41" s="1"/>
  <c r="L34" i="53"/>
  <c r="P427" i="22"/>
  <c r="P445" i="22" s="1"/>
  <c r="P514" i="22" s="1"/>
  <c r="AE58" i="41" s="1"/>
  <c r="P62" i="65"/>
  <c r="P369" i="22"/>
  <c r="P387" i="22" s="1"/>
  <c r="P512" i="22" s="1"/>
  <c r="AC58" i="41" s="1"/>
  <c r="P456" i="22"/>
  <c r="P474" i="22" s="1"/>
  <c r="P515" i="22" s="1"/>
  <c r="AF58" i="41" s="1"/>
  <c r="P340" i="22"/>
  <c r="P358" i="22" s="1"/>
  <c r="P511" i="22" s="1"/>
  <c r="AB58" i="41" s="1"/>
  <c r="P398" i="22"/>
  <c r="P416" i="22" s="1"/>
  <c r="P513" i="22" s="1"/>
  <c r="AD58" i="41" s="1"/>
  <c r="L28" i="111"/>
  <c r="L34" i="111" s="1"/>
  <c r="L27" i="111"/>
  <c r="L33" i="111" s="1"/>
  <c r="O242" i="80"/>
  <c r="O260" i="80"/>
  <c r="O256" i="80"/>
  <c r="O252" i="80"/>
  <c r="O257" i="80"/>
  <c r="O254" i="80"/>
  <c r="O258" i="80"/>
  <c r="O246" i="80"/>
  <c r="O202" i="80"/>
  <c r="O253" i="80"/>
  <c r="O241" i="80"/>
  <c r="O259" i="80"/>
  <c r="O255" i="80"/>
  <c r="O239" i="80"/>
  <c r="O245" i="80"/>
  <c r="O244" i="80"/>
  <c r="O243" i="80"/>
  <c r="O240" i="80"/>
  <c r="M236" i="22"/>
  <c r="M238" i="22" s="1"/>
  <c r="M57" i="80"/>
  <c r="M32" i="53"/>
  <c r="J153" i="41"/>
  <c r="J120" i="41"/>
  <c r="J132" i="41" s="1"/>
  <c r="J116" i="41"/>
  <c r="J128" i="41" s="1"/>
  <c r="J119" i="41"/>
  <c r="J131" i="41" s="1"/>
  <c r="J115" i="41"/>
  <c r="J127" i="41" s="1"/>
  <c r="J117" i="41"/>
  <c r="J129" i="41" s="1"/>
  <c r="J118" i="41"/>
  <c r="J130" i="41" s="1"/>
  <c r="J121" i="41"/>
  <c r="J133" i="41" s="1"/>
  <c r="J114" i="41"/>
  <c r="J126" i="41" s="1"/>
  <c r="P153" i="41"/>
  <c r="P115" i="41"/>
  <c r="P127" i="41" s="1"/>
  <c r="P114" i="41"/>
  <c r="P126" i="41" s="1"/>
  <c r="P116" i="41"/>
  <c r="P128" i="41" s="1"/>
  <c r="P119" i="41"/>
  <c r="P131" i="41" s="1"/>
  <c r="P164" i="41"/>
  <c r="P166" i="41" s="1"/>
  <c r="K244" i="80"/>
  <c r="K252" i="80"/>
  <c r="K245" i="80"/>
  <c r="K239" i="80"/>
  <c r="K257" i="80"/>
  <c r="K253" i="80"/>
  <c r="K246" i="80"/>
  <c r="K256" i="80"/>
  <c r="K258" i="80"/>
  <c r="K243" i="80"/>
  <c r="K254" i="80"/>
  <c r="K260" i="80"/>
  <c r="K255" i="80"/>
  <c r="K240" i="80"/>
  <c r="K259" i="80"/>
  <c r="K242" i="80"/>
  <c r="K241" i="80"/>
  <c r="K202" i="80"/>
  <c r="K206" i="80" s="1"/>
  <c r="L59" i="80"/>
  <c r="L200" i="80" s="1"/>
  <c r="L256" i="80" s="1"/>
  <c r="N56" i="80"/>
  <c r="N31" i="53"/>
  <c r="K27" i="111"/>
  <c r="K33" i="111" s="1"/>
  <c r="K28" i="111"/>
  <c r="K34" i="111" s="1"/>
  <c r="P455" i="22"/>
  <c r="P473" i="22" s="1"/>
  <c r="P509" i="22" s="1"/>
  <c r="AF57" i="41" s="1"/>
  <c r="P61" i="65"/>
  <c r="P397" i="22"/>
  <c r="P415" i="22" s="1"/>
  <c r="P507" i="22" s="1"/>
  <c r="AD57" i="41" s="1"/>
  <c r="P368" i="22"/>
  <c r="P386" i="22" s="1"/>
  <c r="P506" i="22" s="1"/>
  <c r="AC57" i="41" s="1"/>
  <c r="P339" i="22"/>
  <c r="P357" i="22" s="1"/>
  <c r="P505" i="22" s="1"/>
  <c r="AB57" i="41" s="1"/>
  <c r="P426" i="22"/>
  <c r="P444" i="22" s="1"/>
  <c r="P508" i="22" s="1"/>
  <c r="AE57" i="41" s="1"/>
  <c r="O60" i="65"/>
  <c r="O338" i="22"/>
  <c r="O356" i="22" s="1"/>
  <c r="O499" i="22" s="1"/>
  <c r="W56" i="41" s="1"/>
  <c r="O367" i="22"/>
  <c r="O385" i="22" s="1"/>
  <c r="O500" i="22" s="1"/>
  <c r="X56" i="41" s="1"/>
  <c r="O425" i="22"/>
  <c r="O443" i="22" s="1"/>
  <c r="O502" i="22" s="1"/>
  <c r="Z56" i="41" s="1"/>
  <c r="O454" i="22"/>
  <c r="O472" i="22" s="1"/>
  <c r="O503" i="22" s="1"/>
  <c r="AA56" i="41" s="1"/>
  <c r="O396" i="22"/>
  <c r="O414" i="22" s="1"/>
  <c r="O501" i="22" s="1"/>
  <c r="Y56" i="41" s="1"/>
  <c r="O424" i="22"/>
  <c r="O442" i="22" s="1"/>
  <c r="O496" i="22" s="1"/>
  <c r="Z55" i="41" s="1"/>
  <c r="O395" i="22"/>
  <c r="O413" i="22" s="1"/>
  <c r="O495" i="22" s="1"/>
  <c r="Y55" i="41" s="1"/>
  <c r="O366" i="22"/>
  <c r="O384" i="22" s="1"/>
  <c r="O494" i="22" s="1"/>
  <c r="X55" i="41" s="1"/>
  <c r="O59" i="65"/>
  <c r="O453" i="22"/>
  <c r="O471" i="22" s="1"/>
  <c r="O497" i="22" s="1"/>
  <c r="AA55" i="41" s="1"/>
  <c r="O337" i="22"/>
  <c r="O355" i="22" s="1"/>
  <c r="O493" i="22" s="1"/>
  <c r="W55" i="41" s="1"/>
  <c r="J34" i="53"/>
  <c r="M338" i="22"/>
  <c r="M356" i="22" s="1"/>
  <c r="M499" i="22" s="1"/>
  <c r="Q56" i="41" s="1"/>
  <c r="M60" i="65"/>
  <c r="Q78" i="65" s="1"/>
  <c r="AG164" i="41"/>
  <c r="AG166" i="41" s="1"/>
  <c r="AG174" i="41" s="1"/>
  <c r="O164" i="41"/>
  <c r="O166" i="41" s="1"/>
  <c r="P76" i="65"/>
  <c r="L76" i="65"/>
  <c r="N426" i="22"/>
  <c r="N444" i="22" s="1"/>
  <c r="N508" i="22" s="1"/>
  <c r="U57" i="41" s="1"/>
  <c r="N61" i="65"/>
  <c r="N455" i="22"/>
  <c r="N473" i="22" s="1"/>
  <c r="N509" i="22" s="1"/>
  <c r="V57" i="41" s="1"/>
  <c r="N339" i="22"/>
  <c r="N357" i="22" s="1"/>
  <c r="N505" i="22" s="1"/>
  <c r="R57" i="41" s="1"/>
  <c r="N368" i="22"/>
  <c r="N386" i="22" s="1"/>
  <c r="N506" i="22" s="1"/>
  <c r="S57" i="41" s="1"/>
  <c r="N397" i="22"/>
  <c r="N415" i="22" s="1"/>
  <c r="N507" i="22" s="1"/>
  <c r="T57" i="41" s="1"/>
  <c r="N79" i="65"/>
  <c r="O79" i="65"/>
  <c r="P79" i="65"/>
  <c r="L79" i="65"/>
  <c r="M79" i="65"/>
  <c r="N424" i="22"/>
  <c r="N442" i="22" s="1"/>
  <c r="N496" i="22" s="1"/>
  <c r="U55" i="41" s="1"/>
  <c r="N337" i="22"/>
  <c r="N355" i="22" s="1"/>
  <c r="N493" i="22" s="1"/>
  <c r="R55" i="41" s="1"/>
  <c r="N453" i="22"/>
  <c r="N471" i="22" s="1"/>
  <c r="N497" i="22" s="1"/>
  <c r="V55" i="41" s="1"/>
  <c r="N59" i="65"/>
  <c r="N395" i="22"/>
  <c r="N413" i="22" s="1"/>
  <c r="N495" i="22" s="1"/>
  <c r="T55" i="41" s="1"/>
  <c r="N366" i="22"/>
  <c r="N384" i="22" s="1"/>
  <c r="N494" i="22" s="1"/>
  <c r="S55" i="41" s="1"/>
  <c r="P56" i="80"/>
  <c r="P31" i="53"/>
  <c r="P395" i="22"/>
  <c r="P413" i="22" s="1"/>
  <c r="P495" i="22" s="1"/>
  <c r="AD55" i="41" s="1"/>
  <c r="P424" i="22"/>
  <c r="P442" i="22" s="1"/>
  <c r="P496" i="22" s="1"/>
  <c r="AE55" i="41" s="1"/>
  <c r="P453" i="22"/>
  <c r="P471" i="22" s="1"/>
  <c r="P497" i="22" s="1"/>
  <c r="AF55" i="41" s="1"/>
  <c r="P59" i="65"/>
  <c r="P337" i="22"/>
  <c r="P355" i="22" s="1"/>
  <c r="P493" i="22" s="1"/>
  <c r="AB55" i="41" s="1"/>
  <c r="P366" i="22"/>
  <c r="P384" i="22" s="1"/>
  <c r="P494" i="22" s="1"/>
  <c r="AC55" i="41" s="1"/>
  <c r="O427" i="22"/>
  <c r="O445" i="22" s="1"/>
  <c r="O514" i="22" s="1"/>
  <c r="Z58" i="41" s="1"/>
  <c r="O340" i="22"/>
  <c r="O358" i="22" s="1"/>
  <c r="O511" i="22" s="1"/>
  <c r="W58" i="41" s="1"/>
  <c r="O62" i="65"/>
  <c r="O369" i="22"/>
  <c r="O387" i="22" s="1"/>
  <c r="O512" i="22" s="1"/>
  <c r="X58" i="41" s="1"/>
  <c r="O456" i="22"/>
  <c r="O474" i="22" s="1"/>
  <c r="O515" i="22" s="1"/>
  <c r="AA58" i="41" s="1"/>
  <c r="O398" i="22"/>
  <c r="O416" i="22" s="1"/>
  <c r="O513" i="22" s="1"/>
  <c r="Y58" i="41" s="1"/>
  <c r="O423" i="22"/>
  <c r="O441" i="22" s="1"/>
  <c r="O490" i="22" s="1"/>
  <c r="Z54" i="41" s="1"/>
  <c r="O58" i="65"/>
  <c r="O365" i="22"/>
  <c r="O383" i="22" s="1"/>
  <c r="O488" i="22" s="1"/>
  <c r="X54" i="41" s="1"/>
  <c r="O452" i="22"/>
  <c r="O470" i="22" s="1"/>
  <c r="O491" i="22" s="1"/>
  <c r="AA54" i="41" s="1"/>
  <c r="O394" i="22"/>
  <c r="O412" i="22" s="1"/>
  <c r="O489" i="22" s="1"/>
  <c r="Y54" i="41" s="1"/>
  <c r="O336" i="22"/>
  <c r="O354" i="22" s="1"/>
  <c r="O487" i="22" s="1"/>
  <c r="W54" i="41" s="1"/>
  <c r="J59" i="80"/>
  <c r="J200" i="80" s="1"/>
  <c r="M336" i="22"/>
  <c r="M354" i="22" s="1"/>
  <c r="M487" i="22" s="1"/>
  <c r="Q54" i="41" s="1"/>
  <c r="M58" i="65"/>
  <c r="Q76" i="65" s="1"/>
  <c r="Q28" i="111"/>
  <c r="Q34" i="111" s="1"/>
  <c r="Q27" i="111"/>
  <c r="L164" i="41"/>
  <c r="N252" i="80"/>
  <c r="N57" i="65"/>
  <c r="N393" i="22"/>
  <c r="N411" i="22" s="1"/>
  <c r="N483" i="22" s="1"/>
  <c r="T53" i="41" s="1"/>
  <c r="N422" i="22"/>
  <c r="N440" i="22" s="1"/>
  <c r="N484" i="22" s="1"/>
  <c r="U53" i="41" s="1"/>
  <c r="N335" i="22"/>
  <c r="N353" i="22" s="1"/>
  <c r="N481" i="22" s="1"/>
  <c r="R53" i="41" s="1"/>
  <c r="N364" i="22"/>
  <c r="N382" i="22" s="1"/>
  <c r="N482" i="22" s="1"/>
  <c r="S53" i="41" s="1"/>
  <c r="N451" i="22"/>
  <c r="N469" i="22" s="1"/>
  <c r="N485" i="22" s="1"/>
  <c r="V53" i="41" s="1"/>
  <c r="N428" i="22"/>
  <c r="N446" i="22" s="1"/>
  <c r="N520" i="22" s="1"/>
  <c r="U59" i="41" s="1"/>
  <c r="N341" i="22"/>
  <c r="N359" i="22" s="1"/>
  <c r="N517" i="22" s="1"/>
  <c r="R59" i="41" s="1"/>
  <c r="N399" i="22"/>
  <c r="N417" i="22" s="1"/>
  <c r="N519" i="22" s="1"/>
  <c r="T59" i="41" s="1"/>
  <c r="N457" i="22"/>
  <c r="N475" i="22" s="1"/>
  <c r="N521" i="22" s="1"/>
  <c r="V59" i="41" s="1"/>
  <c r="N63" i="65"/>
  <c r="N370" i="22"/>
  <c r="N388" i="22" s="1"/>
  <c r="N518" i="22" s="1"/>
  <c r="S59" i="41" s="1"/>
  <c r="P60" i="65"/>
  <c r="P396" i="22"/>
  <c r="P414" i="22" s="1"/>
  <c r="P501" i="22" s="1"/>
  <c r="AD56" i="41" s="1"/>
  <c r="P338" i="22"/>
  <c r="P356" i="22" s="1"/>
  <c r="P499" i="22" s="1"/>
  <c r="AB56" i="41" s="1"/>
  <c r="P367" i="22"/>
  <c r="P385" i="22" s="1"/>
  <c r="P500" i="22" s="1"/>
  <c r="AC56" i="41" s="1"/>
  <c r="P454" i="22"/>
  <c r="P472" i="22" s="1"/>
  <c r="P503" i="22" s="1"/>
  <c r="AF56" i="41" s="1"/>
  <c r="P425" i="22"/>
  <c r="P443" i="22" s="1"/>
  <c r="P502" i="22" s="1"/>
  <c r="AE56" i="41" s="1"/>
  <c r="K164" i="41"/>
  <c r="J172" i="41" s="1"/>
  <c r="M191" i="80"/>
  <c r="M192" i="80" s="1"/>
  <c r="M33" i="53"/>
  <c r="M58" i="80"/>
  <c r="M264" i="22"/>
  <c r="M17" i="111" s="1"/>
  <c r="L241" i="80"/>
  <c r="L252" i="80"/>
  <c r="L244" i="80"/>
  <c r="L245" i="80"/>
  <c r="L246" i="80"/>
  <c r="L243" i="80"/>
  <c r="L240" i="80"/>
  <c r="L242" i="80"/>
  <c r="L202" i="80"/>
  <c r="L239" i="80"/>
  <c r="K59" i="80"/>
  <c r="K200" i="80" s="1"/>
  <c r="K20" i="74" s="1"/>
  <c r="N75" i="65"/>
  <c r="O75" i="65"/>
  <c r="L75" i="65"/>
  <c r="P75" i="65"/>
  <c r="M75" i="65"/>
  <c r="L81" i="65"/>
  <c r="P81" i="65"/>
  <c r="N81" i="65"/>
  <c r="M81" i="65"/>
  <c r="O81" i="65"/>
  <c r="J28" i="111"/>
  <c r="J34" i="111" s="1"/>
  <c r="J27" i="111"/>
  <c r="J33" i="111" s="1"/>
  <c r="N32" i="53"/>
  <c r="N57" i="80"/>
  <c r="N58" i="80"/>
  <c r="N33" i="53"/>
  <c r="N264" i="22"/>
  <c r="N17" i="111" s="1"/>
  <c r="N398" i="22"/>
  <c r="N416" i="22" s="1"/>
  <c r="N513" i="22" s="1"/>
  <c r="T58" i="41" s="1"/>
  <c r="N62" i="65"/>
  <c r="N369" i="22"/>
  <c r="N387" i="22" s="1"/>
  <c r="N512" i="22" s="1"/>
  <c r="S58" i="41" s="1"/>
  <c r="N456" i="22"/>
  <c r="N474" i="22" s="1"/>
  <c r="N515" i="22" s="1"/>
  <c r="V58" i="41" s="1"/>
  <c r="N427" i="22"/>
  <c r="N445" i="22" s="1"/>
  <c r="N514" i="22" s="1"/>
  <c r="U58" i="41" s="1"/>
  <c r="N340" i="22"/>
  <c r="N358" i="22" s="1"/>
  <c r="N511" i="22" s="1"/>
  <c r="R58" i="41" s="1"/>
  <c r="N452" i="22"/>
  <c r="N470" i="22" s="1"/>
  <c r="N491" i="22" s="1"/>
  <c r="V54" i="41" s="1"/>
  <c r="N58" i="65"/>
  <c r="N394" i="22"/>
  <c r="N412" i="22" s="1"/>
  <c r="N489" i="22" s="1"/>
  <c r="T54" i="41" s="1"/>
  <c r="N336" i="22"/>
  <c r="N354" i="22" s="1"/>
  <c r="N487" i="22" s="1"/>
  <c r="R54" i="41" s="1"/>
  <c r="N365" i="22"/>
  <c r="N383" i="22" s="1"/>
  <c r="N488" i="22" s="1"/>
  <c r="S54" i="41" s="1"/>
  <c r="N423" i="22"/>
  <c r="N441" i="22" s="1"/>
  <c r="N490" i="22" s="1"/>
  <c r="U54" i="41" s="1"/>
  <c r="P57" i="65"/>
  <c r="P364" i="22"/>
  <c r="P382" i="22" s="1"/>
  <c r="P482" i="22" s="1"/>
  <c r="AC53" i="41" s="1"/>
  <c r="P335" i="22"/>
  <c r="P353" i="22" s="1"/>
  <c r="P481" i="22" s="1"/>
  <c r="AB53" i="41" s="1"/>
  <c r="P393" i="22"/>
  <c r="P411" i="22" s="1"/>
  <c r="P483" i="22" s="1"/>
  <c r="AD53" i="41" s="1"/>
  <c r="P422" i="22"/>
  <c r="P440" i="22" s="1"/>
  <c r="P484" i="22" s="1"/>
  <c r="AE53" i="41" s="1"/>
  <c r="P451" i="22"/>
  <c r="P469" i="22" s="1"/>
  <c r="P485" i="22" s="1"/>
  <c r="AF53" i="41" s="1"/>
  <c r="P16" i="111"/>
  <c r="P18" i="74"/>
  <c r="O32" i="53"/>
  <c r="O57" i="80"/>
  <c r="O61" i="65"/>
  <c r="O455" i="22"/>
  <c r="O473" i="22" s="1"/>
  <c r="O509" i="22" s="1"/>
  <c r="AA57" i="41" s="1"/>
  <c r="O339" i="22"/>
  <c r="O357" i="22" s="1"/>
  <c r="O505" i="22" s="1"/>
  <c r="W57" i="41" s="1"/>
  <c r="O426" i="22"/>
  <c r="O444" i="22" s="1"/>
  <c r="O508" i="22" s="1"/>
  <c r="Z57" i="41" s="1"/>
  <c r="O397" i="22"/>
  <c r="O415" i="22" s="1"/>
  <c r="O507" i="22" s="1"/>
  <c r="Y57" i="41" s="1"/>
  <c r="O368" i="22"/>
  <c r="O386" i="22" s="1"/>
  <c r="O506" i="22" s="1"/>
  <c r="X57" i="41" s="1"/>
  <c r="M340" i="22"/>
  <c r="M358" i="22" s="1"/>
  <c r="M511" i="22" s="1"/>
  <c r="Q58" i="41" s="1"/>
  <c r="M62" i="65"/>
  <c r="Q80" i="65" s="1"/>
  <c r="M80" i="65"/>
  <c r="O80" i="65"/>
  <c r="P80" i="65"/>
  <c r="N80" i="65"/>
  <c r="L80" i="65"/>
  <c r="N153" i="41"/>
  <c r="N114" i="41"/>
  <c r="N126" i="41" s="1"/>
  <c r="O116" i="41"/>
  <c r="O128" i="41" s="1"/>
  <c r="P120" i="41"/>
  <c r="P132" i="41" s="1"/>
  <c r="N117" i="41"/>
  <c r="N129" i="41" s="1"/>
  <c r="N116" i="41"/>
  <c r="N128" i="41" s="1"/>
  <c r="N120" i="41"/>
  <c r="N132" i="41" s="1"/>
  <c r="O120" i="41"/>
  <c r="O132" i="41" s="1"/>
  <c r="J129" i="74"/>
  <c r="L129" i="74"/>
  <c r="N60" i="65"/>
  <c r="N338" i="22"/>
  <c r="N356" i="22" s="1"/>
  <c r="N499" i="22" s="1"/>
  <c r="R56" i="41" s="1"/>
  <c r="N396" i="22"/>
  <c r="N414" i="22" s="1"/>
  <c r="N501" i="22" s="1"/>
  <c r="T56" i="41" s="1"/>
  <c r="N367" i="22"/>
  <c r="N385" i="22" s="1"/>
  <c r="N500" i="22" s="1"/>
  <c r="S56" i="41" s="1"/>
  <c r="N454" i="22"/>
  <c r="N472" i="22" s="1"/>
  <c r="N503" i="22" s="1"/>
  <c r="V56" i="41" s="1"/>
  <c r="N425" i="22"/>
  <c r="N443" i="22" s="1"/>
  <c r="N502" i="22" s="1"/>
  <c r="U56" i="41" s="1"/>
  <c r="Q49" i="53"/>
  <c r="Q50" i="53"/>
  <c r="Q48" i="53"/>
  <c r="Q54" i="53" s="1"/>
  <c r="Q93" i="53" s="1"/>
  <c r="P336" i="22"/>
  <c r="P354" i="22" s="1"/>
  <c r="P487" i="22" s="1"/>
  <c r="AB54" i="41" s="1"/>
  <c r="P58" i="65"/>
  <c r="P452" i="22"/>
  <c r="P470" i="22" s="1"/>
  <c r="P491" i="22" s="1"/>
  <c r="AF54" i="41" s="1"/>
  <c r="P394" i="22"/>
  <c r="P412" i="22" s="1"/>
  <c r="P489" i="22" s="1"/>
  <c r="AD54" i="41" s="1"/>
  <c r="P365" i="22"/>
  <c r="P383" i="22" s="1"/>
  <c r="P488" i="22" s="1"/>
  <c r="AC54" i="41" s="1"/>
  <c r="P423" i="22"/>
  <c r="P441" i="22" s="1"/>
  <c r="P490" i="22" s="1"/>
  <c r="AE54" i="41" s="1"/>
  <c r="O56" i="80"/>
  <c r="O31" i="53"/>
  <c r="O18" i="74"/>
  <c r="O16" i="111"/>
  <c r="M341" i="22"/>
  <c r="M359" i="22" s="1"/>
  <c r="M517" i="22" s="1"/>
  <c r="Q59" i="41" s="1"/>
  <c r="M63" i="65"/>
  <c r="Q81" i="65" s="1"/>
  <c r="O153" i="41"/>
  <c r="O117" i="41"/>
  <c r="O129" i="41" s="1"/>
  <c r="O114" i="41"/>
  <c r="O126" i="41" s="1"/>
  <c r="P117" i="41"/>
  <c r="P129" i="41" s="1"/>
  <c r="O118" i="41"/>
  <c r="O130" i="41" s="1"/>
  <c r="P118" i="41"/>
  <c r="P130" i="41" s="1"/>
  <c r="O115" i="41"/>
  <c r="O127" i="41" s="1"/>
  <c r="P239" i="80"/>
  <c r="P260" i="80"/>
  <c r="P255" i="80"/>
  <c r="P259" i="80"/>
  <c r="P244" i="80"/>
  <c r="P240" i="80"/>
  <c r="P243" i="80"/>
  <c r="P241" i="80"/>
  <c r="P258" i="80"/>
  <c r="P257" i="80"/>
  <c r="P256" i="80"/>
  <c r="P254" i="80"/>
  <c r="P245" i="80"/>
  <c r="P252" i="80"/>
  <c r="P202" i="80"/>
  <c r="P253" i="80"/>
  <c r="P246" i="80"/>
  <c r="P242" i="80"/>
  <c r="N16" i="111"/>
  <c r="N18" i="74"/>
  <c r="Q59" i="80"/>
  <c r="Q200" i="80" s="1"/>
  <c r="L77" i="65"/>
  <c r="P77" i="65"/>
  <c r="O77" i="65"/>
  <c r="M77" i="65"/>
  <c r="N77" i="65"/>
  <c r="P58" i="80"/>
  <c r="P33" i="53"/>
  <c r="P264" i="22"/>
  <c r="P17" i="111" s="1"/>
  <c r="P399" i="22"/>
  <c r="P417" i="22" s="1"/>
  <c r="P519" i="22" s="1"/>
  <c r="AD59" i="41" s="1"/>
  <c r="P370" i="22"/>
  <c r="P388" i="22" s="1"/>
  <c r="P518" i="22" s="1"/>
  <c r="AC59" i="41" s="1"/>
  <c r="P457" i="22"/>
  <c r="P475" i="22" s="1"/>
  <c r="P521" i="22" s="1"/>
  <c r="AF59" i="41" s="1"/>
  <c r="P63" i="65"/>
  <c r="P428" i="22"/>
  <c r="P446" i="22" s="1"/>
  <c r="P520" i="22" s="1"/>
  <c r="AE59" i="41" s="1"/>
  <c r="P341" i="22"/>
  <c r="P359" i="22" s="1"/>
  <c r="P517" i="22" s="1"/>
  <c r="AB59" i="41" s="1"/>
  <c r="O58" i="80"/>
  <c r="O33" i="53"/>
  <c r="O264" i="22"/>
  <c r="O17" i="111" s="1"/>
  <c r="O63" i="65"/>
  <c r="O457" i="22"/>
  <c r="O475" i="22" s="1"/>
  <c r="O521" i="22" s="1"/>
  <c r="AA59" i="41" s="1"/>
  <c r="O399" i="22"/>
  <c r="O417" i="22" s="1"/>
  <c r="O519" i="22" s="1"/>
  <c r="Y59" i="41" s="1"/>
  <c r="O341" i="22"/>
  <c r="O359" i="22" s="1"/>
  <c r="O517" i="22" s="1"/>
  <c r="W59" i="41" s="1"/>
  <c r="O428" i="22"/>
  <c r="O446" i="22" s="1"/>
  <c r="O520" i="22" s="1"/>
  <c r="Z59" i="41" s="1"/>
  <c r="O370" i="22"/>
  <c r="O388" i="22" s="1"/>
  <c r="O518" i="22" s="1"/>
  <c r="X59" i="41" s="1"/>
  <c r="M57" i="65"/>
  <c r="Q75" i="65" s="1"/>
  <c r="M335" i="22"/>
  <c r="M353" i="22" s="1"/>
  <c r="M481" i="22" s="1"/>
  <c r="Q53" i="41" s="1"/>
  <c r="M337" i="22"/>
  <c r="M355" i="22" s="1"/>
  <c r="M493" i="22" s="1"/>
  <c r="Q55" i="41" s="1"/>
  <c r="M59" i="65"/>
  <c r="Q77" i="65" s="1"/>
  <c r="M153" i="41"/>
  <c r="M118" i="41"/>
  <c r="M130" i="41" s="1"/>
  <c r="N115" i="41"/>
  <c r="N127" i="41" s="1"/>
  <c r="O121" i="41"/>
  <c r="O133" i="41" s="1"/>
  <c r="O119" i="41"/>
  <c r="O131" i="41" s="1"/>
  <c r="M121" i="41"/>
  <c r="M133" i="41" s="1"/>
  <c r="M120" i="41"/>
  <c r="M132" i="41" s="1"/>
  <c r="M114" i="41"/>
  <c r="M126" i="41" s="1"/>
  <c r="P121" i="41"/>
  <c r="P133" i="41" s="1"/>
  <c r="M115" i="41"/>
  <c r="M127" i="41" s="1"/>
  <c r="M116" i="41"/>
  <c r="M128" i="41" s="1"/>
  <c r="M119" i="41"/>
  <c r="M131" i="41" s="1"/>
  <c r="N118" i="41"/>
  <c r="N130" i="41" s="1"/>
  <c r="N121" i="41"/>
  <c r="N133" i="41" s="1"/>
  <c r="M117" i="41"/>
  <c r="M129" i="41" s="1"/>
  <c r="N119" i="41"/>
  <c r="N131" i="41" s="1"/>
  <c r="M164" i="41"/>
  <c r="M166" i="41" s="1"/>
  <c r="N243" i="80" l="1"/>
  <c r="N202" i="80"/>
  <c r="N206" i="80" s="1"/>
  <c r="N257" i="80"/>
  <c r="N242" i="80"/>
  <c r="N245" i="80"/>
  <c r="N241" i="80"/>
  <c r="N260" i="80"/>
  <c r="N240" i="80"/>
  <c r="N255" i="80"/>
  <c r="N254" i="80"/>
  <c r="N246" i="80"/>
  <c r="N256" i="80"/>
  <c r="Q33" i="111"/>
  <c r="J42" i="53"/>
  <c r="J48" i="53" s="1"/>
  <c r="J54" i="53" s="1"/>
  <c r="N244" i="80"/>
  <c r="N253" i="80"/>
  <c r="J43" i="53"/>
  <c r="J49" i="53" s="1"/>
  <c r="N239" i="80"/>
  <c r="N258" i="80"/>
  <c r="K71" i="53"/>
  <c r="K73" i="53" s="1"/>
  <c r="L255" i="80"/>
  <c r="L253" i="80"/>
  <c r="L258" i="80"/>
  <c r="L257" i="80"/>
  <c r="L254" i="80"/>
  <c r="L259" i="80"/>
  <c r="N76" i="65"/>
  <c r="U129" i="74"/>
  <c r="U132" i="74" s="1"/>
  <c r="O76" i="65"/>
  <c r="K129" i="74"/>
  <c r="K132" i="74" s="1"/>
  <c r="K44" i="53"/>
  <c r="K50" i="53" s="1"/>
  <c r="K43" i="53"/>
  <c r="K49" i="53" s="1"/>
  <c r="J44" i="53"/>
  <c r="J50" i="53" s="1"/>
  <c r="AE153" i="41"/>
  <c r="AF117" i="41"/>
  <c r="AF129" i="41" s="1"/>
  <c r="AE118" i="41"/>
  <c r="AE130" i="41" s="1"/>
  <c r="AE114" i="41"/>
  <c r="AE126" i="41" s="1"/>
  <c r="AE115" i="41"/>
  <c r="AE127" i="41" s="1"/>
  <c r="AF118" i="41"/>
  <c r="AF130" i="41" s="1"/>
  <c r="AE117" i="41"/>
  <c r="AE129" i="41" s="1"/>
  <c r="R164" i="41"/>
  <c r="AA76" i="65"/>
  <c r="X76" i="65"/>
  <c r="W76" i="65"/>
  <c r="Z76" i="65"/>
  <c r="Y76" i="65"/>
  <c r="P59" i="80"/>
  <c r="P200" i="80" s="1"/>
  <c r="Y78" i="65"/>
  <c r="W78" i="65"/>
  <c r="Z78" i="65"/>
  <c r="AA78" i="65"/>
  <c r="X78" i="65"/>
  <c r="AC81" i="65"/>
  <c r="AD81" i="65"/>
  <c r="AE81" i="65"/>
  <c r="AF81" i="65"/>
  <c r="AB81" i="65"/>
  <c r="O34" i="53"/>
  <c r="O42" i="53" s="1"/>
  <c r="O48" i="53" s="1"/>
  <c r="O54" i="53" s="1"/>
  <c r="T153" i="41"/>
  <c r="T117" i="41"/>
  <c r="T129" i="41" s="1"/>
  <c r="Z120" i="41"/>
  <c r="Z132" i="41" s="1"/>
  <c r="U116" i="41"/>
  <c r="U128" i="41" s="1"/>
  <c r="Z116" i="41"/>
  <c r="Z128" i="41" s="1"/>
  <c r="Y116" i="41"/>
  <c r="Y128" i="41" s="1"/>
  <c r="AA120" i="41"/>
  <c r="AA132" i="41" s="1"/>
  <c r="U120" i="41"/>
  <c r="U132" i="41" s="1"/>
  <c r="T120" i="41"/>
  <c r="T132" i="41" s="1"/>
  <c r="T116" i="41"/>
  <c r="T128" i="41" s="1"/>
  <c r="V120" i="41"/>
  <c r="V132" i="41" s="1"/>
  <c r="T114" i="41"/>
  <c r="T126" i="41" s="1"/>
  <c r="Y117" i="41"/>
  <c r="Y129" i="41" s="1"/>
  <c r="Y120" i="41"/>
  <c r="Y132" i="41" s="1"/>
  <c r="Y114" i="41"/>
  <c r="Y126" i="41" s="1"/>
  <c r="AA81" i="65"/>
  <c r="Y81" i="65"/>
  <c r="X81" i="65"/>
  <c r="W81" i="65"/>
  <c r="Z81" i="65"/>
  <c r="Q20" i="74"/>
  <c r="Q204" i="80"/>
  <c r="Q206" i="80" s="1"/>
  <c r="Q255" i="80"/>
  <c r="Q256" i="80"/>
  <c r="Q257" i="80"/>
  <c r="Q253" i="80"/>
  <c r="Q252" i="80"/>
  <c r="Q259" i="80"/>
  <c r="Q258" i="80"/>
  <c r="Q254" i="80"/>
  <c r="O59" i="80"/>
  <c r="O200" i="80" s="1"/>
  <c r="Q299" i="53"/>
  <c r="Q280" i="53"/>
  <c r="Q274" i="53"/>
  <c r="Q273" i="53"/>
  <c r="Q277" i="53"/>
  <c r="Q289" i="53"/>
  <c r="Q287" i="53"/>
  <c r="Q288" i="53"/>
  <c r="Q297" i="53"/>
  <c r="Q301" i="53"/>
  <c r="Q298" i="53"/>
  <c r="Q290" i="53"/>
  <c r="Q283" i="53"/>
  <c r="Q279" i="53"/>
  <c r="Q296" i="53"/>
  <c r="Q275" i="53"/>
  <c r="Q294" i="53"/>
  <c r="Q286" i="53"/>
  <c r="Q295" i="53"/>
  <c r="Q276" i="53"/>
  <c r="Q291" i="53"/>
  <c r="Q285" i="53"/>
  <c r="Q284" i="53"/>
  <c r="Q272" i="53"/>
  <c r="Q278" i="53"/>
  <c r="Q300" i="53"/>
  <c r="Q302" i="53"/>
  <c r="J133" i="74"/>
  <c r="J132" i="74"/>
  <c r="AD164" i="41"/>
  <c r="AD166" i="41" s="1"/>
  <c r="AD174" i="41" s="1"/>
  <c r="AE119" i="41"/>
  <c r="AE131" i="41" s="1"/>
  <c r="AC120" i="41"/>
  <c r="AC132" i="41" s="1"/>
  <c r="AC153" i="41"/>
  <c r="AD119" i="41"/>
  <c r="AD131" i="41" s="1"/>
  <c r="AC115" i="41"/>
  <c r="AC127" i="41" s="1"/>
  <c r="AC121" i="41"/>
  <c r="AC133" i="41" s="1"/>
  <c r="AC114" i="41"/>
  <c r="AC126" i="41" s="1"/>
  <c r="AF121" i="41"/>
  <c r="AF133" i="41" s="1"/>
  <c r="AC119" i="41"/>
  <c r="AC131" i="41" s="1"/>
  <c r="AD121" i="41"/>
  <c r="AD133" i="41" s="1"/>
  <c r="AD118" i="41"/>
  <c r="AD130" i="41" s="1"/>
  <c r="AD115" i="41"/>
  <c r="AD127" i="41" s="1"/>
  <c r="AC117" i="41"/>
  <c r="AC129" i="41" s="1"/>
  <c r="AE121" i="41"/>
  <c r="AE133" i="41" s="1"/>
  <c r="AC116" i="41"/>
  <c r="AC128" i="41" s="1"/>
  <c r="AC118" i="41"/>
  <c r="AC130" i="41" s="1"/>
  <c r="T164" i="41"/>
  <c r="T166" i="41" s="1"/>
  <c r="T174" i="41" s="1"/>
  <c r="J204" i="80"/>
  <c r="J20" i="74"/>
  <c r="P129" i="74"/>
  <c r="V129" i="74"/>
  <c r="N59" i="80"/>
  <c r="N200" i="80" s="1"/>
  <c r="L69" i="53"/>
  <c r="L71" i="53"/>
  <c r="L73" i="53" s="1"/>
  <c r="J255" i="80"/>
  <c r="X164" i="41"/>
  <c r="X166" i="41" s="1"/>
  <c r="X174" i="41" s="1"/>
  <c r="AB77" i="65"/>
  <c r="AC77" i="65"/>
  <c r="AF77" i="65"/>
  <c r="AE77" i="65"/>
  <c r="AD77" i="65"/>
  <c r="S129" i="74"/>
  <c r="M129" i="74"/>
  <c r="J71" i="53"/>
  <c r="J73" i="53" s="1"/>
  <c r="J69" i="53"/>
  <c r="Y153" i="41"/>
  <c r="AE80" i="65"/>
  <c r="AB80" i="65"/>
  <c r="AF80" i="65"/>
  <c r="AD80" i="65"/>
  <c r="AC80" i="65"/>
  <c r="J253" i="80"/>
  <c r="M28" i="111"/>
  <c r="M34" i="111" s="1"/>
  <c r="M27" i="111"/>
  <c r="M33" i="111" s="1"/>
  <c r="Z75" i="65"/>
  <c r="Y75" i="65"/>
  <c r="AA75" i="65"/>
  <c r="W75" i="65"/>
  <c r="X75" i="65"/>
  <c r="AA153" i="41"/>
  <c r="Z164" i="41"/>
  <c r="Z166" i="41" s="1"/>
  <c r="Z174" i="41" s="1"/>
  <c r="S153" i="41"/>
  <c r="T115" i="41"/>
  <c r="T127" i="41" s="1"/>
  <c r="S114" i="41"/>
  <c r="S126" i="41" s="1"/>
  <c r="Z121" i="41"/>
  <c r="Z133" i="41" s="1"/>
  <c r="S120" i="41"/>
  <c r="S132" i="41" s="1"/>
  <c r="U121" i="41"/>
  <c r="U133" i="41" s="1"/>
  <c r="U119" i="41"/>
  <c r="U131" i="41" s="1"/>
  <c r="S115" i="41"/>
  <c r="S127" i="41" s="1"/>
  <c r="X114" i="41"/>
  <c r="X126" i="41" s="1"/>
  <c r="X120" i="41"/>
  <c r="X132" i="41" s="1"/>
  <c r="Y118" i="41"/>
  <c r="Y130" i="41" s="1"/>
  <c r="S117" i="41"/>
  <c r="S129" i="41" s="1"/>
  <c r="X116" i="41"/>
  <c r="X128" i="41" s="1"/>
  <c r="AA121" i="41"/>
  <c r="AA133" i="41" s="1"/>
  <c r="X117" i="41"/>
  <c r="X129" i="41" s="1"/>
  <c r="Z119" i="41"/>
  <c r="Z131" i="41" s="1"/>
  <c r="X119" i="41"/>
  <c r="X131" i="41" s="1"/>
  <c r="S116" i="41"/>
  <c r="S128" i="41" s="1"/>
  <c r="T121" i="41"/>
  <c r="T133" i="41" s="1"/>
  <c r="Y121" i="41"/>
  <c r="Y133" i="41" s="1"/>
  <c r="S118" i="41"/>
  <c r="S130" i="41" s="1"/>
  <c r="Y115" i="41"/>
  <c r="Y127" i="41" s="1"/>
  <c r="V121" i="41"/>
  <c r="V133" i="41" s="1"/>
  <c r="X118" i="41"/>
  <c r="X130" i="41" s="1"/>
  <c r="S119" i="41"/>
  <c r="S131" i="41" s="1"/>
  <c r="S121" i="41"/>
  <c r="S133" i="41" s="1"/>
  <c r="X115" i="41"/>
  <c r="X127" i="41" s="1"/>
  <c r="X121" i="41"/>
  <c r="X133" i="41" s="1"/>
  <c r="Y119" i="41"/>
  <c r="Y131" i="41" s="1"/>
  <c r="T118" i="41"/>
  <c r="T130" i="41" s="1"/>
  <c r="T119" i="41"/>
  <c r="T131" i="41" s="1"/>
  <c r="Q164" i="41"/>
  <c r="AB164" i="41"/>
  <c r="T75" i="65"/>
  <c r="U75" i="65"/>
  <c r="V75" i="65"/>
  <c r="R75" i="65"/>
  <c r="S75" i="65"/>
  <c r="S80" i="65"/>
  <c r="T80" i="65"/>
  <c r="R80" i="65"/>
  <c r="V80" i="65"/>
  <c r="U80" i="65"/>
  <c r="AD153" i="41"/>
  <c r="AE120" i="41"/>
  <c r="AE132" i="41" s="1"/>
  <c r="AD114" i="41"/>
  <c r="AD126" i="41" s="1"/>
  <c r="AE116" i="41"/>
  <c r="AE128" i="41" s="1"/>
  <c r="AF120" i="41"/>
  <c r="AF132" i="41" s="1"/>
  <c r="AD117" i="41"/>
  <c r="AD129" i="41" s="1"/>
  <c r="AD116" i="41"/>
  <c r="AD128" i="41" s="1"/>
  <c r="AD120" i="41"/>
  <c r="AD132" i="41" s="1"/>
  <c r="Y129" i="74"/>
  <c r="AB75" i="65"/>
  <c r="AE75" i="65"/>
  <c r="AC75" i="65"/>
  <c r="AF75" i="65"/>
  <c r="AD75" i="65"/>
  <c r="R76" i="65"/>
  <c r="T76" i="65"/>
  <c r="V76" i="65"/>
  <c r="S76" i="65"/>
  <c r="U76" i="65"/>
  <c r="M260" i="80"/>
  <c r="M243" i="80"/>
  <c r="M258" i="80"/>
  <c r="M259" i="80"/>
  <c r="M257" i="80"/>
  <c r="M246" i="80"/>
  <c r="M254" i="80"/>
  <c r="M242" i="80"/>
  <c r="M253" i="80"/>
  <c r="M252" i="80"/>
  <c r="M244" i="80"/>
  <c r="M256" i="80"/>
  <c r="M255" i="80"/>
  <c r="M245" i="80"/>
  <c r="M241" i="80"/>
  <c r="M240" i="80"/>
  <c r="M239" i="80"/>
  <c r="M202" i="80"/>
  <c r="M206" i="80" s="1"/>
  <c r="AB78" i="65"/>
  <c r="AE78" i="65"/>
  <c r="AF78" i="65"/>
  <c r="AC78" i="65"/>
  <c r="AD78" i="65"/>
  <c r="Y80" i="65"/>
  <c r="W80" i="65"/>
  <c r="AA80" i="65"/>
  <c r="Z80" i="65"/>
  <c r="X80" i="65"/>
  <c r="T129" i="74"/>
  <c r="O129" i="74"/>
  <c r="Z153" i="41"/>
  <c r="AC79" i="65"/>
  <c r="AD79" i="65"/>
  <c r="AF79" i="65"/>
  <c r="AE79" i="65"/>
  <c r="AB79" i="65"/>
  <c r="J252" i="80"/>
  <c r="L133" i="74"/>
  <c r="L132" i="74"/>
  <c r="U78" i="65"/>
  <c r="R78" i="65"/>
  <c r="S78" i="65"/>
  <c r="V78" i="65"/>
  <c r="T78" i="65"/>
  <c r="X79" i="65"/>
  <c r="W79" i="65"/>
  <c r="Y79" i="65"/>
  <c r="AA79" i="65"/>
  <c r="Z79" i="65"/>
  <c r="AC164" i="41"/>
  <c r="AC166" i="41" s="1"/>
  <c r="AC174" i="41" s="1"/>
  <c r="K78" i="74"/>
  <c r="K75" i="74"/>
  <c r="K72" i="74"/>
  <c r="K77" i="74"/>
  <c r="K73" i="74"/>
  <c r="K76" i="74"/>
  <c r="K74" i="74"/>
  <c r="N129" i="74"/>
  <c r="U153" i="41"/>
  <c r="Z115" i="41"/>
  <c r="Z127" i="41" s="1"/>
  <c r="Z118" i="41"/>
  <c r="Z130" i="41" s="1"/>
  <c r="V117" i="41"/>
  <c r="V129" i="41" s="1"/>
  <c r="Z114" i="41"/>
  <c r="Z126" i="41" s="1"/>
  <c r="AA118" i="41"/>
  <c r="AA130" i="41" s="1"/>
  <c r="U118" i="41"/>
  <c r="U130" i="41" s="1"/>
  <c r="Z117" i="41"/>
  <c r="Z129" i="41" s="1"/>
  <c r="V118" i="41"/>
  <c r="V130" i="41" s="1"/>
  <c r="AA117" i="41"/>
  <c r="AA129" i="41" s="1"/>
  <c r="U117" i="41"/>
  <c r="U129" i="41" s="1"/>
  <c r="U114" i="41"/>
  <c r="U126" i="41" s="1"/>
  <c r="U115" i="41"/>
  <c r="U127" i="41" s="1"/>
  <c r="V164" i="41"/>
  <c r="V166" i="41" s="1"/>
  <c r="V174" i="41" s="1"/>
  <c r="Q129" i="74"/>
  <c r="W129" i="74"/>
  <c r="X153" i="41"/>
  <c r="J259" i="80"/>
  <c r="J174" i="41"/>
  <c r="N28" i="111"/>
  <c r="N34" i="111" s="1"/>
  <c r="N27" i="111"/>
  <c r="N33" i="111" s="1"/>
  <c r="AF164" i="41"/>
  <c r="AF166" i="41" s="1"/>
  <c r="AF174" i="41" s="1"/>
  <c r="O28" i="111"/>
  <c r="O34" i="111" s="1"/>
  <c r="O27" i="111"/>
  <c r="O33" i="111" s="1"/>
  <c r="AE76" i="65"/>
  <c r="AB76" i="65"/>
  <c r="AF76" i="65"/>
  <c r="AC76" i="65"/>
  <c r="AD76" i="65"/>
  <c r="V153" i="41"/>
  <c r="V114" i="41"/>
  <c r="V126" i="41" s="1"/>
  <c r="V116" i="41"/>
  <c r="V128" i="41" s="1"/>
  <c r="AA114" i="41"/>
  <c r="AA126" i="41" s="1"/>
  <c r="V119" i="41"/>
  <c r="V131" i="41" s="1"/>
  <c r="AA115" i="41"/>
  <c r="AA127" i="41" s="1"/>
  <c r="AA119" i="41"/>
  <c r="AA131" i="41" s="1"/>
  <c r="V115" i="41"/>
  <c r="V127" i="41" s="1"/>
  <c r="AA116" i="41"/>
  <c r="AA128" i="41" s="1"/>
  <c r="P28" i="111"/>
  <c r="P34" i="111" s="1"/>
  <c r="P27" i="111"/>
  <c r="P33" i="111" s="1"/>
  <c r="S164" i="41"/>
  <c r="S166" i="41" s="1"/>
  <c r="S174" i="41" s="1"/>
  <c r="P34" i="53"/>
  <c r="P42" i="53" s="1"/>
  <c r="P48" i="53" s="1"/>
  <c r="P54" i="53" s="1"/>
  <c r="R129" i="74"/>
  <c r="U79" i="65"/>
  <c r="V79" i="65"/>
  <c r="T79" i="65"/>
  <c r="S79" i="65"/>
  <c r="R79" i="65"/>
  <c r="W77" i="65"/>
  <c r="AA77" i="65"/>
  <c r="X77" i="65"/>
  <c r="Z77" i="65"/>
  <c r="Y77" i="65"/>
  <c r="L204" i="80"/>
  <c r="L206" i="80" s="1"/>
  <c r="L20" i="74"/>
  <c r="W164" i="41"/>
  <c r="H693" i="22" a="1"/>
  <c r="H693" i="22" s="1"/>
  <c r="J254" i="80"/>
  <c r="J256" i="80"/>
  <c r="AA164" i="41"/>
  <c r="AA166" i="41" s="1"/>
  <c r="AA174" i="41" s="1"/>
  <c r="AE164" i="41"/>
  <c r="AE166" i="41" s="1"/>
  <c r="AE174" i="41" s="1"/>
  <c r="AF115" i="41"/>
  <c r="AF127" i="41" s="1"/>
  <c r="AF153" i="41"/>
  <c r="AF116" i="41"/>
  <c r="AF128" i="41" s="1"/>
  <c r="AF119" i="41"/>
  <c r="AF131" i="41" s="1"/>
  <c r="AF114" i="41"/>
  <c r="AF126" i="41" s="1"/>
  <c r="T81" i="65"/>
  <c r="U81" i="65"/>
  <c r="R81" i="65"/>
  <c r="S81" i="65"/>
  <c r="V81" i="65"/>
  <c r="U164" i="41"/>
  <c r="U166" i="41" s="1"/>
  <c r="U174" i="41" s="1"/>
  <c r="X129" i="74"/>
  <c r="S77" i="65"/>
  <c r="U77" i="65"/>
  <c r="V77" i="65"/>
  <c r="R77" i="65"/>
  <c r="T77" i="65"/>
  <c r="K42" i="53"/>
  <c r="K48" i="53" s="1"/>
  <c r="K54" i="53" s="1"/>
  <c r="N34" i="53"/>
  <c r="N44" i="53" s="1"/>
  <c r="N50" i="53" s="1"/>
  <c r="M31" i="53"/>
  <c r="M56" i="80"/>
  <c r="J206" i="80"/>
  <c r="J257" i="80"/>
  <c r="J258" i="80"/>
  <c r="Y164" i="41"/>
  <c r="Y166" i="41" s="1"/>
  <c r="Y174" i="41" s="1"/>
  <c r="M141" i="41" l="1"/>
  <c r="N143" i="41"/>
  <c r="AA143" i="41"/>
  <c r="M143" i="41"/>
  <c r="V143" i="41"/>
  <c r="O44" i="53"/>
  <c r="O50" i="53" s="1"/>
  <c r="AF139" i="41"/>
  <c r="O43" i="53"/>
  <c r="O49" i="53" s="1"/>
  <c r="V140" i="41"/>
  <c r="AG141" i="41"/>
  <c r="Z142" i="41"/>
  <c r="T141" i="41"/>
  <c r="V141" i="41"/>
  <c r="J140" i="41"/>
  <c r="U143" i="41"/>
  <c r="K133" i="74"/>
  <c r="O141" i="41"/>
  <c r="V139" i="41"/>
  <c r="X141" i="41"/>
  <c r="M139" i="41"/>
  <c r="X140" i="41"/>
  <c r="X143" i="41"/>
  <c r="AA141" i="41"/>
  <c r="T139" i="41"/>
  <c r="AF140" i="41"/>
  <c r="AE141" i="41"/>
  <c r="H34" i="111"/>
  <c r="U74" i="81" s="1"/>
  <c r="U76" i="81" s="1"/>
  <c r="AE140" i="41"/>
  <c r="AE139" i="41"/>
  <c r="T140" i="41"/>
  <c r="H33" i="111"/>
  <c r="U133" i="74"/>
  <c r="AF143" i="41"/>
  <c r="V136" i="41"/>
  <c r="P141" i="41"/>
  <c r="M140" i="41"/>
  <c r="P143" i="41"/>
  <c r="Y141" i="41"/>
  <c r="S141" i="41"/>
  <c r="J139" i="41"/>
  <c r="AG139" i="41"/>
  <c r="AC140" i="41"/>
  <c r="AD140" i="41"/>
  <c r="J143" i="41"/>
  <c r="Y143" i="41"/>
  <c r="AG143" i="41"/>
  <c r="AA138" i="41"/>
  <c r="AC141" i="41"/>
  <c r="Y139" i="41"/>
  <c r="U139" i="41"/>
  <c r="N141" i="41"/>
  <c r="AF141" i="41"/>
  <c r="P139" i="41"/>
  <c r="O139" i="41"/>
  <c r="U141" i="41"/>
  <c r="AG140" i="41"/>
  <c r="Z143" i="41"/>
  <c r="AE143" i="41"/>
  <c r="AD139" i="41"/>
  <c r="Z139" i="41"/>
  <c r="Y140" i="41"/>
  <c r="AC143" i="41"/>
  <c r="S143" i="41"/>
  <c r="AG137" i="41"/>
  <c r="AD141" i="41"/>
  <c r="Z141" i="41"/>
  <c r="X139" i="41"/>
  <c r="N139" i="41"/>
  <c r="N140" i="41"/>
  <c r="Z140" i="41"/>
  <c r="Z136" i="41"/>
  <c r="AD143" i="41"/>
  <c r="T143" i="41"/>
  <c r="J141" i="41"/>
  <c r="AC139" i="41"/>
  <c r="AA139" i="41"/>
  <c r="O143" i="41"/>
  <c r="U108" i="81"/>
  <c r="T52" i="82" s="1"/>
  <c r="T74" i="81"/>
  <c r="T76" i="81" s="1"/>
  <c r="H38" i="111" a="1"/>
  <c r="H38" i="111" s="1"/>
  <c r="L78" i="74"/>
  <c r="L73" i="74"/>
  <c r="L76" i="74"/>
  <c r="L77" i="74"/>
  <c r="L72" i="74"/>
  <c r="L74" i="74"/>
  <c r="L75" i="74"/>
  <c r="AE136" i="41"/>
  <c r="O136" i="41"/>
  <c r="AG142" i="41"/>
  <c r="U142" i="41"/>
  <c r="S133" i="74"/>
  <c r="S132" i="74"/>
  <c r="AD138" i="41"/>
  <c r="Y138" i="41"/>
  <c r="Q74" i="80"/>
  <c r="Q86" i="80" s="1"/>
  <c r="Q86" i="83"/>
  <c r="Q157" i="83" s="1"/>
  <c r="Q27" i="71" s="1"/>
  <c r="Q132" i="71" s="1"/>
  <c r="Q100" i="80"/>
  <c r="Q112" i="80" s="1"/>
  <c r="Q101" i="83"/>
  <c r="Q189" i="83" s="1"/>
  <c r="Q60" i="71" s="1"/>
  <c r="Q165" i="71" s="1"/>
  <c r="Q71" i="80"/>
  <c r="Q83" i="80" s="1"/>
  <c r="Q83" i="83"/>
  <c r="Q154" i="83" s="1"/>
  <c r="Q24" i="71" s="1"/>
  <c r="Q129" i="71" s="1"/>
  <c r="O20" i="74"/>
  <c r="O204" i="80"/>
  <c r="O206" i="80" s="1"/>
  <c r="Q74" i="74"/>
  <c r="Q72" i="74"/>
  <c r="Q77" i="74"/>
  <c r="Q76" i="74"/>
  <c r="Q73" i="74"/>
  <c r="Q78" i="74"/>
  <c r="Q75" i="74"/>
  <c r="V137" i="41"/>
  <c r="O137" i="41"/>
  <c r="AC137" i="41"/>
  <c r="N133" i="74"/>
  <c r="N132" i="74"/>
  <c r="AF136" i="41"/>
  <c r="AD136" i="41"/>
  <c r="O142" i="41"/>
  <c r="N142" i="41"/>
  <c r="N138" i="41"/>
  <c r="AC138" i="41"/>
  <c r="X138" i="41"/>
  <c r="Q124" i="80"/>
  <c r="Q136" i="80" s="1"/>
  <c r="Q114" i="83"/>
  <c r="Q219" i="83" s="1"/>
  <c r="Q91" i="71" s="1"/>
  <c r="Q196" i="71" s="1"/>
  <c r="Q117" i="80"/>
  <c r="Q129" i="80" s="1"/>
  <c r="Q107" i="83"/>
  <c r="Q212" i="83" s="1"/>
  <c r="Q84" i="71" s="1"/>
  <c r="Q189" i="71" s="1"/>
  <c r="Q120" i="80"/>
  <c r="Q132" i="80" s="1"/>
  <c r="Q110" i="83"/>
  <c r="Q215" i="83" s="1"/>
  <c r="Q87" i="71" s="1"/>
  <c r="Q192" i="71" s="1"/>
  <c r="Q72" i="80"/>
  <c r="Q84" i="80" s="1"/>
  <c r="Q84" i="83"/>
  <c r="Q155" i="83" s="1"/>
  <c r="Q25" i="71" s="1"/>
  <c r="Q130" i="71" s="1"/>
  <c r="O71" i="53"/>
  <c r="O73" i="53" s="1"/>
  <c r="O79" i="53" s="1"/>
  <c r="O85" i="53" s="1"/>
  <c r="O69" i="53"/>
  <c r="N137" i="41"/>
  <c r="M137" i="41"/>
  <c r="J137" i="41"/>
  <c r="M34" i="53"/>
  <c r="M42" i="53" s="1"/>
  <c r="M48" i="53" s="1"/>
  <c r="M54" i="53" s="1"/>
  <c r="P71" i="53"/>
  <c r="P73" i="53" s="1"/>
  <c r="P79" i="53" s="1"/>
  <c r="P85" i="53" s="1"/>
  <c r="P69" i="53"/>
  <c r="N71" i="53"/>
  <c r="N73" i="53" s="1"/>
  <c r="N79" i="53" s="1"/>
  <c r="N85" i="53" s="1"/>
  <c r="N69" i="53"/>
  <c r="Y133" i="74"/>
  <c r="Y132" i="74"/>
  <c r="AC136" i="41"/>
  <c r="AA136" i="41"/>
  <c r="T142" i="41"/>
  <c r="Y142" i="41"/>
  <c r="AF138" i="41"/>
  <c r="S138" i="41"/>
  <c r="AE138" i="41"/>
  <c r="V133" i="74"/>
  <c r="V132" i="74"/>
  <c r="Q122" i="80"/>
  <c r="Q134" i="80" s="1"/>
  <c r="Q112" i="83"/>
  <c r="Q217" i="83" s="1"/>
  <c r="Q89" i="71" s="1"/>
  <c r="Q194" i="71" s="1"/>
  <c r="Q96" i="80"/>
  <c r="Q108" i="80" s="1"/>
  <c r="Q97" i="83"/>
  <c r="Q185" i="83" s="1"/>
  <c r="Q56" i="71" s="1"/>
  <c r="Q161" i="71" s="1"/>
  <c r="Q123" i="80"/>
  <c r="Q135" i="80" s="1"/>
  <c r="Q113" i="83"/>
  <c r="Q218" i="83" s="1"/>
  <c r="Q90" i="71" s="1"/>
  <c r="Q195" i="71" s="1"/>
  <c r="Q78" i="80"/>
  <c r="Q90" i="80" s="1"/>
  <c r="Q90" i="83"/>
  <c r="Q161" i="83" s="1"/>
  <c r="Q31" i="71" s="1"/>
  <c r="Q136" i="71" s="1"/>
  <c r="X137" i="41"/>
  <c r="Y137" i="41"/>
  <c r="W133" i="74"/>
  <c r="W132" i="74"/>
  <c r="O133" i="74"/>
  <c r="O132" i="74"/>
  <c r="P172" i="41"/>
  <c r="P174" i="41" s="1"/>
  <c r="M172" i="41"/>
  <c r="M174" i="41" s="1"/>
  <c r="N172" i="41"/>
  <c r="N174" i="41" s="1"/>
  <c r="O172" i="41"/>
  <c r="O174" i="41" s="1"/>
  <c r="P136" i="41"/>
  <c r="T136" i="41"/>
  <c r="AA142" i="41"/>
  <c r="X142" i="41"/>
  <c r="K77" i="53"/>
  <c r="K83" i="53" s="1"/>
  <c r="J77" i="53"/>
  <c r="J83" i="53" s="1"/>
  <c r="P138" i="41"/>
  <c r="M138" i="41"/>
  <c r="P133" i="74"/>
  <c r="P132" i="74"/>
  <c r="Q76" i="80"/>
  <c r="Q88" i="80" s="1"/>
  <c r="Q88" i="83"/>
  <c r="Q159" i="83" s="1"/>
  <c r="Q29" i="71" s="1"/>
  <c r="Q134" i="71" s="1"/>
  <c r="Q116" i="80"/>
  <c r="Q128" i="80" s="1"/>
  <c r="Q105" i="83"/>
  <c r="Q210" i="83" s="1"/>
  <c r="Q82" i="71" s="1"/>
  <c r="Q187" i="71" s="1"/>
  <c r="Q106" i="83"/>
  <c r="Q211" i="83" s="1"/>
  <c r="Q83" i="71" s="1"/>
  <c r="Q188" i="71" s="1"/>
  <c r="Q119" i="80"/>
  <c r="Q131" i="80" s="1"/>
  <c r="Q109" i="83"/>
  <c r="Q214" i="83" s="1"/>
  <c r="Q86" i="71" s="1"/>
  <c r="Q191" i="71" s="1"/>
  <c r="Q111" i="83"/>
  <c r="Q216" i="83" s="1"/>
  <c r="Q88" i="71" s="1"/>
  <c r="Q193" i="71" s="1"/>
  <c r="Q121" i="80"/>
  <c r="Q133" i="80" s="1"/>
  <c r="T137" i="41"/>
  <c r="AA137" i="41"/>
  <c r="N42" i="53"/>
  <c r="N48" i="53" s="1"/>
  <c r="N54" i="53" s="1"/>
  <c r="M59" i="80"/>
  <c r="M200" i="80" s="1"/>
  <c r="M20" i="74" s="1"/>
  <c r="X133" i="74"/>
  <c r="X132" i="74"/>
  <c r="P140" i="41"/>
  <c r="U140" i="41"/>
  <c r="AA140" i="41"/>
  <c r="Q133" i="74"/>
  <c r="Q132" i="74"/>
  <c r="T133" i="74"/>
  <c r="T132" i="74"/>
  <c r="J136" i="41"/>
  <c r="AG136" i="41"/>
  <c r="P142" i="41"/>
  <c r="AF142" i="41"/>
  <c r="S142" i="41"/>
  <c r="K79" i="53"/>
  <c r="K85" i="53" s="1"/>
  <c r="J79" i="53"/>
  <c r="J85" i="53" s="1"/>
  <c r="Z138" i="41"/>
  <c r="J138" i="41"/>
  <c r="N204" i="80"/>
  <c r="N20" i="74"/>
  <c r="Q70" i="80"/>
  <c r="Q82" i="80" s="1"/>
  <c r="Q81" i="83"/>
  <c r="Q152" i="83" s="1"/>
  <c r="Q82" i="83"/>
  <c r="Q153" i="83" s="1"/>
  <c r="Q23" i="71" s="1"/>
  <c r="Q128" i="71" s="1"/>
  <c r="Q73" i="80"/>
  <c r="Q85" i="80" s="1"/>
  <c r="Q85" i="83"/>
  <c r="Q156" i="83" s="1"/>
  <c r="Q26" i="71" s="1"/>
  <c r="Q131" i="71" s="1"/>
  <c r="Q98" i="80"/>
  <c r="Q110" i="80" s="1"/>
  <c r="Q99" i="83"/>
  <c r="Q187" i="83" s="1"/>
  <c r="Q58" i="71" s="1"/>
  <c r="Q163" i="71" s="1"/>
  <c r="P137" i="41"/>
  <c r="U137" i="41"/>
  <c r="A4" i="22"/>
  <c r="J41" i="55"/>
  <c r="S139" i="41"/>
  <c r="O140" i="41"/>
  <c r="S140" i="41"/>
  <c r="N136" i="41"/>
  <c r="S136" i="41"/>
  <c r="J142" i="41"/>
  <c r="AD142" i="41"/>
  <c r="AE142" i="41"/>
  <c r="O138" i="41"/>
  <c r="U138" i="41"/>
  <c r="Q94" i="80"/>
  <c r="Q106" i="80" s="1"/>
  <c r="Q95" i="83"/>
  <c r="Q183" i="83" s="1"/>
  <c r="Q54" i="71" s="1"/>
  <c r="Q159" i="71" s="1"/>
  <c r="Q118" i="80"/>
  <c r="Q130" i="80" s="1"/>
  <c r="Q108" i="83"/>
  <c r="Q213" i="83" s="1"/>
  <c r="Q85" i="71" s="1"/>
  <c r="Q190" i="71" s="1"/>
  <c r="Q97" i="80"/>
  <c r="Q109" i="80" s="1"/>
  <c r="Q98" i="83"/>
  <c r="Q186" i="83" s="1"/>
  <c r="Q57" i="71" s="1"/>
  <c r="Q162" i="71" s="1"/>
  <c r="AE137" i="41"/>
  <c r="Z137" i="41"/>
  <c r="R133" i="74"/>
  <c r="R132" i="74"/>
  <c r="X136" i="41"/>
  <c r="M136" i="41"/>
  <c r="AC142" i="41"/>
  <c r="M142" i="41"/>
  <c r="T138" i="41"/>
  <c r="V138" i="41"/>
  <c r="J76" i="74"/>
  <c r="J77" i="74"/>
  <c r="J78" i="74"/>
  <c r="J72" i="74"/>
  <c r="J74" i="74"/>
  <c r="J73" i="74"/>
  <c r="J75" i="74"/>
  <c r="N43" i="53"/>
  <c r="N49" i="53" s="1"/>
  <c r="Q96" i="83"/>
  <c r="Q184" i="83" s="1"/>
  <c r="Q55" i="71" s="1"/>
  <c r="Q160" i="71" s="1"/>
  <c r="Q95" i="80"/>
  <c r="Q107" i="80" s="1"/>
  <c r="Q77" i="80"/>
  <c r="Q89" i="80" s="1"/>
  <c r="Q89" i="83"/>
  <c r="Q160" i="83" s="1"/>
  <c r="Q30" i="71" s="1"/>
  <c r="Q135" i="71" s="1"/>
  <c r="Q99" i="80"/>
  <c r="Q111" i="80" s="1"/>
  <c r="Q100" i="83"/>
  <c r="Q188" i="83" s="1"/>
  <c r="Q59" i="71" s="1"/>
  <c r="Q164" i="71" s="1"/>
  <c r="S137" i="41"/>
  <c r="AF137" i="41"/>
  <c r="P43" i="53"/>
  <c r="P49" i="53" s="1"/>
  <c r="P44" i="53"/>
  <c r="P50" i="53" s="1"/>
  <c r="U136" i="41"/>
  <c r="Y136" i="41"/>
  <c r="V142" i="41"/>
  <c r="M133" i="74"/>
  <c r="M132" i="74"/>
  <c r="AG138" i="41"/>
  <c r="Q101" i="80"/>
  <c r="Q113" i="80" s="1"/>
  <c r="Q102" i="83"/>
  <c r="Q190" i="83" s="1"/>
  <c r="Q61" i="71" s="1"/>
  <c r="Q166" i="71" s="1"/>
  <c r="Q93" i="80"/>
  <c r="Q105" i="80" s="1"/>
  <c r="Q93" i="83"/>
  <c r="Q181" i="83" s="1"/>
  <c r="Q52" i="71" s="1"/>
  <c r="Q157" i="71" s="1"/>
  <c r="Q94" i="83"/>
  <c r="Q182" i="83" s="1"/>
  <c r="Q53" i="71" s="1"/>
  <c r="Q158" i="71" s="1"/>
  <c r="Q75" i="80"/>
  <c r="Q87" i="80" s="1"/>
  <c r="Q87" i="83"/>
  <c r="Q158" i="83" s="1"/>
  <c r="Q28" i="71" s="1"/>
  <c r="Q133" i="71" s="1"/>
  <c r="AD137" i="41"/>
  <c r="P20" i="74"/>
  <c r="P204" i="80"/>
  <c r="P206" i="80" s="1"/>
  <c r="N77" i="53" l="1"/>
  <c r="N83" i="53" s="1"/>
  <c r="Z145" i="41"/>
  <c r="Z147" i="41" s="1"/>
  <c r="Z149" i="41" s="1"/>
  <c r="Q149" i="80"/>
  <c r="Q175" i="80" s="1"/>
  <c r="Q276" i="80" s="1"/>
  <c r="Q145" i="80"/>
  <c r="Q171" i="80" s="1"/>
  <c r="Q272" i="80" s="1"/>
  <c r="Q147" i="80"/>
  <c r="Q173" i="80" s="1"/>
  <c r="Q274" i="80" s="1"/>
  <c r="J91" i="53"/>
  <c r="J267" i="53" s="1"/>
  <c r="J78" i="83" s="1"/>
  <c r="J124" i="83" s="1"/>
  <c r="V145" i="41"/>
  <c r="V147" i="41" s="1"/>
  <c r="V149" i="41" s="1"/>
  <c r="Q150" i="80"/>
  <c r="Q176" i="80" s="1"/>
  <c r="P77" i="53"/>
  <c r="P83" i="53" s="1"/>
  <c r="P91" i="53" s="1"/>
  <c r="P267" i="53" s="1"/>
  <c r="P78" i="83" s="1"/>
  <c r="P131" i="83" s="1"/>
  <c r="P131" i="72" s="1"/>
  <c r="P201" i="72" s="1"/>
  <c r="P231" i="72" s="1"/>
  <c r="AF145" i="41"/>
  <c r="AF147" i="41" s="1"/>
  <c r="AF149" i="41" s="1"/>
  <c r="Q148" i="80"/>
  <c r="Q174" i="80" s="1"/>
  <c r="Q275" i="80" s="1"/>
  <c r="K91" i="53"/>
  <c r="K267" i="53" s="1"/>
  <c r="K78" i="83" s="1"/>
  <c r="AC145" i="41"/>
  <c r="AC147" i="41" s="1"/>
  <c r="AC149" i="41" s="1"/>
  <c r="L42" i="53"/>
  <c r="L48" i="53" s="1"/>
  <c r="L54" i="53" s="1"/>
  <c r="X145" i="41"/>
  <c r="X147" i="41" s="1"/>
  <c r="X149" i="41" s="1"/>
  <c r="L107" i="74"/>
  <c r="L139" i="74" s="1"/>
  <c r="J107" i="74"/>
  <c r="J139" i="74" s="1"/>
  <c r="N74" i="74"/>
  <c r="N77" i="74"/>
  <c r="N75" i="74"/>
  <c r="N73" i="74"/>
  <c r="N72" i="74"/>
  <c r="N78" i="74"/>
  <c r="N76" i="74"/>
  <c r="L106" i="74"/>
  <c r="L138" i="74" s="1"/>
  <c r="J106" i="74"/>
  <c r="J138" i="74" s="1"/>
  <c r="M74" i="74"/>
  <c r="M75" i="74"/>
  <c r="M77" i="74"/>
  <c r="M76" i="74"/>
  <c r="M72" i="74"/>
  <c r="M73" i="74"/>
  <c r="M78" i="74"/>
  <c r="M71" i="53"/>
  <c r="M73" i="53" s="1"/>
  <c r="M69" i="53"/>
  <c r="M44" i="53"/>
  <c r="M50" i="53" s="1"/>
  <c r="M43" i="53"/>
  <c r="M49" i="53" s="1"/>
  <c r="L43" i="53"/>
  <c r="L49" i="53" s="1"/>
  <c r="L44" i="53"/>
  <c r="L50" i="53" s="1"/>
  <c r="Q144" i="80"/>
  <c r="Q170" i="80" s="1"/>
  <c r="Q271" i="80" s="1"/>
  <c r="Q146" i="80"/>
  <c r="Q172" i="80" s="1"/>
  <c r="Q273" i="80" s="1"/>
  <c r="J44" i="55"/>
  <c r="A4" i="111"/>
  <c r="L103" i="74"/>
  <c r="L135" i="74" s="1"/>
  <c r="J103" i="74"/>
  <c r="J135" i="74" s="1"/>
  <c r="AG145" i="41"/>
  <c r="AG147" i="41" s="1"/>
  <c r="AG149" i="41" s="1"/>
  <c r="T145" i="41"/>
  <c r="T147" i="41" s="1"/>
  <c r="T149" i="41" s="1"/>
  <c r="N91" i="53"/>
  <c r="N267" i="53" s="1"/>
  <c r="N78" i="83" s="1"/>
  <c r="O145" i="41"/>
  <c r="O147" i="41" s="1"/>
  <c r="O149" i="41" s="1"/>
  <c r="T108" i="81"/>
  <c r="S52" i="82" s="1"/>
  <c r="Y145" i="41"/>
  <c r="Y147" i="41" s="1"/>
  <c r="Y149" i="41" s="1"/>
  <c r="S145" i="41"/>
  <c r="S147" i="41" s="1"/>
  <c r="S149" i="41" s="1"/>
  <c r="J145" i="41"/>
  <c r="J147" i="41" s="1"/>
  <c r="J149" i="41" s="1"/>
  <c r="P145" i="41"/>
  <c r="P147" i="41" s="1"/>
  <c r="P149" i="41" s="1"/>
  <c r="O72" i="74"/>
  <c r="O78" i="74"/>
  <c r="O74" i="74"/>
  <c r="O76" i="74"/>
  <c r="O77" i="74"/>
  <c r="O75" i="74"/>
  <c r="O73" i="74"/>
  <c r="AE145" i="41"/>
  <c r="AE147" i="41" s="1"/>
  <c r="AE149" i="41" s="1"/>
  <c r="AA145" i="41"/>
  <c r="AA147" i="41" s="1"/>
  <c r="AA149" i="41" s="1"/>
  <c r="P74" i="74"/>
  <c r="P73" i="74"/>
  <c r="P78" i="74"/>
  <c r="P75" i="74"/>
  <c r="P72" i="74"/>
  <c r="P77" i="74"/>
  <c r="P76" i="74"/>
  <c r="U145" i="41"/>
  <c r="U147" i="41" s="1"/>
  <c r="U149" i="41" s="1"/>
  <c r="N145" i="41"/>
  <c r="N147" i="41" s="1"/>
  <c r="N149" i="41" s="1"/>
  <c r="Q22" i="71"/>
  <c r="Q127" i="71" s="1"/>
  <c r="P125" i="83"/>
  <c r="P125" i="72" s="1"/>
  <c r="P195" i="72" s="1"/>
  <c r="P225" i="72" s="1"/>
  <c r="J108" i="74"/>
  <c r="J140" i="74" s="1"/>
  <c r="L108" i="74"/>
  <c r="L140" i="74" s="1"/>
  <c r="J123" i="83"/>
  <c r="J129" i="83"/>
  <c r="J129" i="72" s="1"/>
  <c r="J199" i="72" s="1"/>
  <c r="J229" i="72" s="1"/>
  <c r="L104" i="74"/>
  <c r="L136" i="74" s="1"/>
  <c r="J104" i="74"/>
  <c r="J136" i="74" s="1"/>
  <c r="J105" i="74"/>
  <c r="J137" i="74" s="1"/>
  <c r="L105" i="74"/>
  <c r="L137" i="74" s="1"/>
  <c r="J102" i="74"/>
  <c r="J134" i="74" s="1"/>
  <c r="L102" i="74"/>
  <c r="L134" i="74" s="1"/>
  <c r="M145" i="41"/>
  <c r="M147" i="41" s="1"/>
  <c r="M149" i="41" s="1"/>
  <c r="Q142" i="80"/>
  <c r="Q168" i="80" s="1"/>
  <c r="O77" i="53"/>
  <c r="O83" i="53" s="1"/>
  <c r="O91" i="53" s="1"/>
  <c r="O267" i="53" s="1"/>
  <c r="O78" i="83" s="1"/>
  <c r="AD145" i="41"/>
  <c r="AD147" i="41" s="1"/>
  <c r="AD149" i="41" s="1"/>
  <c r="Q143" i="80"/>
  <c r="Q169" i="80" s="1"/>
  <c r="Q270" i="80" s="1"/>
  <c r="J132" i="83" l="1"/>
  <c r="J132" i="72" s="1"/>
  <c r="J202" i="72" s="1"/>
  <c r="J232" i="72" s="1"/>
  <c r="J128" i="83"/>
  <c r="J128" i="72" s="1"/>
  <c r="J198" i="72" s="1"/>
  <c r="J228" i="72" s="1"/>
  <c r="J131" i="83"/>
  <c r="J131" i="72" s="1"/>
  <c r="J201" i="72" s="1"/>
  <c r="J231" i="72" s="1"/>
  <c r="J130" i="83"/>
  <c r="J130" i="72" s="1"/>
  <c r="J200" i="72" s="1"/>
  <c r="J230" i="72" s="1"/>
  <c r="J127" i="83"/>
  <c r="J127" i="72" s="1"/>
  <c r="J197" i="72" s="1"/>
  <c r="J227" i="72" s="1"/>
  <c r="J126" i="83"/>
  <c r="J126" i="72" s="1"/>
  <c r="J196" i="72" s="1"/>
  <c r="J226" i="72" s="1"/>
  <c r="J125" i="83"/>
  <c r="J125" i="72" s="1"/>
  <c r="J195" i="72" s="1"/>
  <c r="J225" i="72" s="1"/>
  <c r="J93" i="53"/>
  <c r="J300" i="53" s="1"/>
  <c r="P132" i="83"/>
  <c r="P132" i="72" s="1"/>
  <c r="P202" i="72" s="1"/>
  <c r="P232" i="72" s="1"/>
  <c r="P129" i="83"/>
  <c r="P129" i="72" s="1"/>
  <c r="P199" i="72" s="1"/>
  <c r="P229" i="72" s="1"/>
  <c r="P127" i="83"/>
  <c r="P127" i="72" s="1"/>
  <c r="P197" i="72" s="1"/>
  <c r="P227" i="72" s="1"/>
  <c r="P126" i="83"/>
  <c r="P126" i="72" s="1"/>
  <c r="P196" i="72" s="1"/>
  <c r="P226" i="72" s="1"/>
  <c r="P130" i="83"/>
  <c r="P130" i="72" s="1"/>
  <c r="P200" i="72" s="1"/>
  <c r="P230" i="72" s="1"/>
  <c r="P123" i="83"/>
  <c r="P124" i="83"/>
  <c r="P128" i="83"/>
  <c r="P128" i="72" s="1"/>
  <c r="P198" i="72" s="1"/>
  <c r="P228" i="72" s="1"/>
  <c r="Q208" i="80"/>
  <c r="P93" i="53"/>
  <c r="AC182" i="41"/>
  <c r="AC155" i="41"/>
  <c r="AC157" i="41" s="1"/>
  <c r="U182" i="41"/>
  <c r="U155" i="41"/>
  <c r="U157" i="41" s="1"/>
  <c r="O182" i="41"/>
  <c r="O155" i="41"/>
  <c r="O157" i="41" s="1"/>
  <c r="AI182" i="41"/>
  <c r="W182" i="41"/>
  <c r="Q182" i="41"/>
  <c r="L182" i="41"/>
  <c r="AN182" i="41"/>
  <c r="AB155" i="41"/>
  <c r="AB157" i="41" s="1"/>
  <c r="AM182" i="41"/>
  <c r="K182" i="41"/>
  <c r="R182" i="41"/>
  <c r="AJ182" i="41"/>
  <c r="AK182" i="41"/>
  <c r="AO182" i="41"/>
  <c r="AB182" i="41"/>
  <c r="AH182" i="41"/>
  <c r="J182" i="41"/>
  <c r="AL182" i="41"/>
  <c r="R155" i="41"/>
  <c r="R157" i="41" s="1"/>
  <c r="R184" i="41" s="1"/>
  <c r="AI155" i="41"/>
  <c r="AI157" i="41" s="1"/>
  <c r="Q155" i="41"/>
  <c r="Q157" i="41" s="1"/>
  <c r="Q184" i="41" s="1"/>
  <c r="L155" i="41"/>
  <c r="L157" i="41" s="1"/>
  <c r="L184" i="41" s="1"/>
  <c r="AO155" i="41"/>
  <c r="AO157" i="41" s="1"/>
  <c r="AM155" i="41"/>
  <c r="AM157" i="41" s="1"/>
  <c r="AM184" i="41" s="1"/>
  <c r="J155" i="41"/>
  <c r="J157" i="41" s="1"/>
  <c r="J184" i="41" s="1"/>
  <c r="K155" i="41"/>
  <c r="K157" i="41" s="1"/>
  <c r="K184" i="41" s="1"/>
  <c r="AL155" i="41"/>
  <c r="AL157" i="41" s="1"/>
  <c r="AH155" i="41"/>
  <c r="AH157" i="41" s="1"/>
  <c r="AK155" i="41"/>
  <c r="AK157" i="41" s="1"/>
  <c r="AK184" i="41" s="1"/>
  <c r="AN155" i="41"/>
  <c r="AN157" i="41" s="1"/>
  <c r="AN184" i="41" s="1"/>
  <c r="W155" i="41"/>
  <c r="W157" i="41" s="1"/>
  <c r="AJ155" i="41"/>
  <c r="AJ157" i="41" s="1"/>
  <c r="Z155" i="41"/>
  <c r="Z157" i="41" s="1"/>
  <c r="Z182" i="41"/>
  <c r="V182" i="41"/>
  <c r="V155" i="41"/>
  <c r="V157" i="41" s="1"/>
  <c r="M182" i="41"/>
  <c r="M155" i="41"/>
  <c r="M157" i="41" s="1"/>
  <c r="Y182" i="41"/>
  <c r="Y155" i="41"/>
  <c r="Y157" i="41" s="1"/>
  <c r="AA182" i="41"/>
  <c r="AA155" i="41"/>
  <c r="AA157" i="41" s="1"/>
  <c r="L77" i="53"/>
  <c r="L83" i="53" s="1"/>
  <c r="M77" i="53"/>
  <c r="M83" i="53" s="1"/>
  <c r="S108" i="74"/>
  <c r="S140" i="74" s="1"/>
  <c r="W108" i="74"/>
  <c r="W140" i="74" s="1"/>
  <c r="K108" i="74"/>
  <c r="K140" i="74" s="1"/>
  <c r="Y108" i="74"/>
  <c r="Y140" i="74" s="1"/>
  <c r="R108" i="74"/>
  <c r="R140" i="74" s="1"/>
  <c r="O108" i="74"/>
  <c r="O140" i="74" s="1"/>
  <c r="N108" i="74"/>
  <c r="N140" i="74" s="1"/>
  <c r="M108" i="74"/>
  <c r="M140" i="74" s="1"/>
  <c r="V108" i="74"/>
  <c r="V140" i="74" s="1"/>
  <c r="X108" i="74"/>
  <c r="X140" i="74" s="1"/>
  <c r="U108" i="74"/>
  <c r="U140" i="74" s="1"/>
  <c r="T108" i="74"/>
  <c r="T140" i="74" s="1"/>
  <c r="P108" i="74"/>
  <c r="P140" i="74" s="1"/>
  <c r="Q108" i="74"/>
  <c r="Q140" i="74" s="1"/>
  <c r="O107" i="74"/>
  <c r="O139" i="74" s="1"/>
  <c r="W107" i="74"/>
  <c r="W139" i="74" s="1"/>
  <c r="X107" i="74"/>
  <c r="X139" i="74" s="1"/>
  <c r="N107" i="74"/>
  <c r="N139" i="74" s="1"/>
  <c r="Q107" i="74"/>
  <c r="Q139" i="74" s="1"/>
  <c r="P107" i="74"/>
  <c r="P139" i="74" s="1"/>
  <c r="S107" i="74"/>
  <c r="S139" i="74" s="1"/>
  <c r="K107" i="74"/>
  <c r="K139" i="74" s="1"/>
  <c r="V107" i="74"/>
  <c r="V139" i="74" s="1"/>
  <c r="T107" i="74"/>
  <c r="T139" i="74" s="1"/>
  <c r="U107" i="74"/>
  <c r="U139" i="74" s="1"/>
  <c r="M107" i="74"/>
  <c r="M139" i="74" s="1"/>
  <c r="R107" i="74"/>
  <c r="R139" i="74" s="1"/>
  <c r="Y107" i="74"/>
  <c r="Y139" i="74" s="1"/>
  <c r="X182" i="41"/>
  <c r="X155" i="41"/>
  <c r="X157" i="41" s="1"/>
  <c r="M79" i="53"/>
  <c r="M85" i="53" s="1"/>
  <c r="L79" i="53"/>
  <c r="L85" i="53" s="1"/>
  <c r="S103" i="74"/>
  <c r="S135" i="74" s="1"/>
  <c r="Q103" i="74"/>
  <c r="Q135" i="74" s="1"/>
  <c r="X103" i="74"/>
  <c r="X135" i="74" s="1"/>
  <c r="V103" i="74"/>
  <c r="V135" i="74" s="1"/>
  <c r="O103" i="74"/>
  <c r="O135" i="74" s="1"/>
  <c r="M103" i="74"/>
  <c r="M135" i="74" s="1"/>
  <c r="W103" i="74"/>
  <c r="W135" i="74" s="1"/>
  <c r="U103" i="74"/>
  <c r="U135" i="74" s="1"/>
  <c r="R103" i="74"/>
  <c r="R135" i="74" s="1"/>
  <c r="N103" i="74"/>
  <c r="N135" i="74" s="1"/>
  <c r="P103" i="74"/>
  <c r="P135" i="74" s="1"/>
  <c r="K103" i="74"/>
  <c r="K135" i="74" s="1"/>
  <c r="T103" i="74"/>
  <c r="T135" i="74" s="1"/>
  <c r="Y103" i="74"/>
  <c r="Y135" i="74" s="1"/>
  <c r="T182" i="41"/>
  <c r="T155" i="41"/>
  <c r="T157" i="41" s="1"/>
  <c r="T184" i="41" s="1"/>
  <c r="O124" i="83"/>
  <c r="O123" i="83"/>
  <c r="O132" i="83"/>
  <c r="O132" i="72" s="1"/>
  <c r="O202" i="72" s="1"/>
  <c r="O232" i="72" s="1"/>
  <c r="O129" i="83"/>
  <c r="O129" i="72" s="1"/>
  <c r="O199" i="72" s="1"/>
  <c r="O229" i="72" s="1"/>
  <c r="O126" i="83"/>
  <c r="O126" i="72" s="1"/>
  <c r="O196" i="72" s="1"/>
  <c r="O226" i="72" s="1"/>
  <c r="O130" i="83"/>
  <c r="O130" i="72" s="1"/>
  <c r="O200" i="72" s="1"/>
  <c r="O230" i="72" s="1"/>
  <c r="O128" i="83"/>
  <c r="O128" i="72" s="1"/>
  <c r="O198" i="72" s="1"/>
  <c r="O228" i="72" s="1"/>
  <c r="O127" i="83"/>
  <c r="O127" i="72" s="1"/>
  <c r="O197" i="72" s="1"/>
  <c r="O227" i="72" s="1"/>
  <c r="O131" i="83"/>
  <c r="O131" i="72" s="1"/>
  <c r="O201" i="72" s="1"/>
  <c r="O231" i="72" s="1"/>
  <c r="O125" i="83"/>
  <c r="O125" i="72" s="1"/>
  <c r="O195" i="72" s="1"/>
  <c r="O225" i="72" s="1"/>
  <c r="N93" i="53"/>
  <c r="W105" i="74"/>
  <c r="W137" i="74" s="1"/>
  <c r="U105" i="74"/>
  <c r="U137" i="74" s="1"/>
  <c r="O105" i="74"/>
  <c r="O137" i="74" s="1"/>
  <c r="M105" i="74"/>
  <c r="M137" i="74" s="1"/>
  <c r="Q105" i="74"/>
  <c r="Q137" i="74" s="1"/>
  <c r="N105" i="74"/>
  <c r="N137" i="74" s="1"/>
  <c r="R105" i="74"/>
  <c r="R137" i="74" s="1"/>
  <c r="V105" i="74"/>
  <c r="V137" i="74" s="1"/>
  <c r="Y105" i="74"/>
  <c r="Y137" i="74" s="1"/>
  <c r="K105" i="74"/>
  <c r="K137" i="74" s="1"/>
  <c r="P105" i="74"/>
  <c r="P137" i="74" s="1"/>
  <c r="X105" i="74"/>
  <c r="X137" i="74" s="1"/>
  <c r="T105" i="74"/>
  <c r="T137" i="74" s="1"/>
  <c r="S105" i="74"/>
  <c r="S137" i="74" s="1"/>
  <c r="AF182" i="41"/>
  <c r="AF155" i="41"/>
  <c r="AF157" i="41" s="1"/>
  <c r="AG182" i="41"/>
  <c r="AG155" i="41"/>
  <c r="AG157" i="41" s="1"/>
  <c r="V102" i="74"/>
  <c r="V134" i="74" s="1"/>
  <c r="S102" i="74"/>
  <c r="S134" i="74" s="1"/>
  <c r="Q102" i="74"/>
  <c r="Q134" i="74" s="1"/>
  <c r="X102" i="74"/>
  <c r="X134" i="74" s="1"/>
  <c r="T102" i="74"/>
  <c r="T134" i="74" s="1"/>
  <c r="W102" i="74"/>
  <c r="W134" i="74" s="1"/>
  <c r="N102" i="74"/>
  <c r="N134" i="74" s="1"/>
  <c r="Y102" i="74"/>
  <c r="Y134" i="74" s="1"/>
  <c r="U102" i="74"/>
  <c r="U134" i="74" s="1"/>
  <c r="P102" i="74"/>
  <c r="P134" i="74" s="1"/>
  <c r="M102" i="74"/>
  <c r="M134" i="74" s="1"/>
  <c r="O102" i="74"/>
  <c r="O134" i="74" s="1"/>
  <c r="R102" i="74"/>
  <c r="R134" i="74" s="1"/>
  <c r="K102" i="74"/>
  <c r="K134" i="74" s="1"/>
  <c r="S182" i="41"/>
  <c r="S155" i="41"/>
  <c r="S157" i="41" s="1"/>
  <c r="Y106" i="74"/>
  <c r="Y138" i="74" s="1"/>
  <c r="M106" i="74"/>
  <c r="M138" i="74" s="1"/>
  <c r="V106" i="74"/>
  <c r="V138" i="74" s="1"/>
  <c r="P106" i="74"/>
  <c r="P138" i="74" s="1"/>
  <c r="N106" i="74"/>
  <c r="N138" i="74" s="1"/>
  <c r="S106" i="74"/>
  <c r="S138" i="74" s="1"/>
  <c r="X106" i="74"/>
  <c r="X138" i="74" s="1"/>
  <c r="T106" i="74"/>
  <c r="T138" i="74" s="1"/>
  <c r="U106" i="74"/>
  <c r="U138" i="74" s="1"/>
  <c r="K106" i="74"/>
  <c r="K138" i="74" s="1"/>
  <c r="W106" i="74"/>
  <c r="W138" i="74" s="1"/>
  <c r="R106" i="74"/>
  <c r="R138" i="74" s="1"/>
  <c r="Q106" i="74"/>
  <c r="Q138" i="74" s="1"/>
  <c r="O106" i="74"/>
  <c r="O138" i="74" s="1"/>
  <c r="R104" i="74"/>
  <c r="R136" i="74" s="1"/>
  <c r="O104" i="74"/>
  <c r="O136" i="74" s="1"/>
  <c r="M104" i="74"/>
  <c r="M136" i="74" s="1"/>
  <c r="U104" i="74"/>
  <c r="U136" i="74" s="1"/>
  <c r="X104" i="74"/>
  <c r="X136" i="74" s="1"/>
  <c r="K104" i="74"/>
  <c r="K136" i="74" s="1"/>
  <c r="S104" i="74"/>
  <c r="S136" i="74" s="1"/>
  <c r="P104" i="74"/>
  <c r="P136" i="74" s="1"/>
  <c r="T104" i="74"/>
  <c r="T136" i="74" s="1"/>
  <c r="W104" i="74"/>
  <c r="W136" i="74" s="1"/>
  <c r="Y104" i="74"/>
  <c r="Y136" i="74" s="1"/>
  <c r="V104" i="74"/>
  <c r="V136" i="74" s="1"/>
  <c r="Q104" i="74"/>
  <c r="Q136" i="74" s="1"/>
  <c r="N104" i="74"/>
  <c r="N136" i="74" s="1"/>
  <c r="J279" i="53"/>
  <c r="J290" i="53"/>
  <c r="J283" i="53"/>
  <c r="AD182" i="41"/>
  <c r="AD155" i="41"/>
  <c r="AD157" i="41" s="1"/>
  <c r="P182" i="41"/>
  <c r="P155" i="41"/>
  <c r="P157" i="41" s="1"/>
  <c r="AE182" i="41"/>
  <c r="AE155" i="41"/>
  <c r="AE157" i="41" s="1"/>
  <c r="Q177" i="80"/>
  <c r="Q269" i="80"/>
  <c r="K123" i="83"/>
  <c r="K124" i="83"/>
  <c r="K125" i="83"/>
  <c r="K125" i="72" s="1"/>
  <c r="K195" i="72" s="1"/>
  <c r="K225" i="72" s="1"/>
  <c r="K130" i="83"/>
  <c r="K130" i="72" s="1"/>
  <c r="K200" i="72" s="1"/>
  <c r="K230" i="72" s="1"/>
  <c r="K132" i="83"/>
  <c r="K132" i="72" s="1"/>
  <c r="K202" i="72" s="1"/>
  <c r="K232" i="72" s="1"/>
  <c r="K128" i="83"/>
  <c r="K128" i="72" s="1"/>
  <c r="K198" i="72" s="1"/>
  <c r="K228" i="72" s="1"/>
  <c r="K126" i="83"/>
  <c r="K126" i="72" s="1"/>
  <c r="K196" i="72" s="1"/>
  <c r="K226" i="72" s="1"/>
  <c r="K127" i="83"/>
  <c r="K127" i="72" s="1"/>
  <c r="K197" i="72" s="1"/>
  <c r="K227" i="72" s="1"/>
  <c r="K129" i="83"/>
  <c r="K129" i="72" s="1"/>
  <c r="K199" i="72" s="1"/>
  <c r="K229" i="72" s="1"/>
  <c r="K131" i="83"/>
  <c r="K131" i="72" s="1"/>
  <c r="K201" i="72" s="1"/>
  <c r="K231" i="72" s="1"/>
  <c r="N182" i="41"/>
  <c r="N155" i="41"/>
  <c r="N157" i="41" s="1"/>
  <c r="N123" i="83"/>
  <c r="N124" i="83"/>
  <c r="N131" i="83"/>
  <c r="N131" i="72" s="1"/>
  <c r="N201" i="72" s="1"/>
  <c r="N231" i="72" s="1"/>
  <c r="N126" i="83"/>
  <c r="N126" i="72" s="1"/>
  <c r="N196" i="72" s="1"/>
  <c r="N226" i="72" s="1"/>
  <c r="N125" i="83"/>
  <c r="N125" i="72" s="1"/>
  <c r="N195" i="72" s="1"/>
  <c r="N225" i="72" s="1"/>
  <c r="N132" i="83"/>
  <c r="N132" i="72" s="1"/>
  <c r="N202" i="72" s="1"/>
  <c r="N232" i="72" s="1"/>
  <c r="N129" i="83"/>
  <c r="N129" i="72" s="1"/>
  <c r="N199" i="72" s="1"/>
  <c r="N229" i="72" s="1"/>
  <c r="N128" i="83"/>
  <c r="N128" i="72" s="1"/>
  <c r="N198" i="72" s="1"/>
  <c r="N228" i="72" s="1"/>
  <c r="N130" i="83"/>
  <c r="N130" i="72" s="1"/>
  <c r="N200" i="72" s="1"/>
  <c r="N230" i="72" s="1"/>
  <c r="N127" i="83"/>
  <c r="N127" i="72" s="1"/>
  <c r="N197" i="72" s="1"/>
  <c r="N227" i="72" s="1"/>
  <c r="O93" i="53"/>
  <c r="K93" i="53"/>
  <c r="J299" i="53" l="1"/>
  <c r="J272" i="53"/>
  <c r="J296" i="53"/>
  <c r="J286" i="53"/>
  <c r="J285" i="53"/>
  <c r="J274" i="53"/>
  <c r="J72" i="80" s="1"/>
  <c r="J84" i="80" s="1"/>
  <c r="J287" i="53"/>
  <c r="J288" i="53"/>
  <c r="J98" i="80" s="1"/>
  <c r="J110" i="80" s="1"/>
  <c r="J277" i="53"/>
  <c r="J284" i="53"/>
  <c r="J275" i="53"/>
  <c r="J289" i="53"/>
  <c r="J278" i="53"/>
  <c r="J280" i="53"/>
  <c r="J90" i="83" s="1"/>
  <c r="J161" i="83" s="1"/>
  <c r="J31" i="71" s="1"/>
  <c r="J136" i="71" s="1"/>
  <c r="J297" i="53"/>
  <c r="J294" i="53"/>
  <c r="J106" i="83" s="1"/>
  <c r="J211" i="83" s="1"/>
  <c r="J83" i="71" s="1"/>
  <c r="J188" i="71" s="1"/>
  <c r="J302" i="53"/>
  <c r="J301" i="53"/>
  <c r="J298" i="53"/>
  <c r="J295" i="53"/>
  <c r="J276" i="53"/>
  <c r="J86" i="83" s="1"/>
  <c r="J157" i="83" s="1"/>
  <c r="J27" i="71" s="1"/>
  <c r="J132" i="71" s="1"/>
  <c r="J291" i="53"/>
  <c r="J102" i="83" s="1"/>
  <c r="J190" i="83" s="1"/>
  <c r="J61" i="71" s="1"/>
  <c r="J166" i="71" s="1"/>
  <c r="J273" i="53"/>
  <c r="J71" i="80" s="1"/>
  <c r="J83" i="80" s="1"/>
  <c r="X184" i="41"/>
  <c r="AA184" i="41"/>
  <c r="W184" i="41"/>
  <c r="M184" i="41"/>
  <c r="AC184" i="41"/>
  <c r="P184" i="41"/>
  <c r="AD184" i="41"/>
  <c r="Y184" i="41"/>
  <c r="AB184" i="41"/>
  <c r="AL184" i="41"/>
  <c r="AE184" i="41"/>
  <c r="Z184" i="41"/>
  <c r="S184" i="41"/>
  <c r="AG184" i="41"/>
  <c r="V184" i="41"/>
  <c r="AH184" i="41"/>
  <c r="AI184" i="41"/>
  <c r="P289" i="53"/>
  <c r="P283" i="53"/>
  <c r="P272" i="53"/>
  <c r="P275" i="53"/>
  <c r="P299" i="53"/>
  <c r="P276" i="53"/>
  <c r="P286" i="53"/>
  <c r="P279" i="53"/>
  <c r="P280" i="53"/>
  <c r="P301" i="53"/>
  <c r="P284" i="53"/>
  <c r="P288" i="53"/>
  <c r="P277" i="53"/>
  <c r="P300" i="53"/>
  <c r="P274" i="53"/>
  <c r="P298" i="53"/>
  <c r="P278" i="53"/>
  <c r="P285" i="53"/>
  <c r="P273" i="53"/>
  <c r="P302" i="53"/>
  <c r="P291" i="53"/>
  <c r="P297" i="53"/>
  <c r="P290" i="53"/>
  <c r="P296" i="53"/>
  <c r="P287" i="53"/>
  <c r="P294" i="53"/>
  <c r="P295" i="53"/>
  <c r="J76" i="80"/>
  <c r="J88" i="80" s="1"/>
  <c r="J88" i="83"/>
  <c r="J159" i="83" s="1"/>
  <c r="J29" i="71" s="1"/>
  <c r="J134" i="71" s="1"/>
  <c r="J74" i="80"/>
  <c r="J86" i="80" s="1"/>
  <c r="J83" i="83"/>
  <c r="J154" i="83" s="1"/>
  <c r="J24" i="71" s="1"/>
  <c r="J129" i="71" s="1"/>
  <c r="J122" i="80"/>
  <c r="J134" i="80" s="1"/>
  <c r="J112" i="83"/>
  <c r="J217" i="83" s="1"/>
  <c r="J89" i="71" s="1"/>
  <c r="J194" i="71" s="1"/>
  <c r="J93" i="80"/>
  <c r="J105" i="80" s="1"/>
  <c r="J93" i="83"/>
  <c r="J181" i="83" s="1"/>
  <c r="J52" i="71" s="1"/>
  <c r="J157" i="71" s="1"/>
  <c r="J94" i="83"/>
  <c r="J182" i="83" s="1"/>
  <c r="J53" i="71" s="1"/>
  <c r="J158" i="71" s="1"/>
  <c r="J100" i="80"/>
  <c r="J112" i="80" s="1"/>
  <c r="J101" i="83"/>
  <c r="J189" i="83" s="1"/>
  <c r="J60" i="71" s="1"/>
  <c r="J165" i="71" s="1"/>
  <c r="J77" i="80"/>
  <c r="J89" i="80" s="1"/>
  <c r="J89" i="83"/>
  <c r="J160" i="83" s="1"/>
  <c r="J30" i="71" s="1"/>
  <c r="J135" i="71" s="1"/>
  <c r="J121" i="80"/>
  <c r="J133" i="80" s="1"/>
  <c r="J111" i="83"/>
  <c r="J216" i="83" s="1"/>
  <c r="J88" i="71" s="1"/>
  <c r="J193" i="71" s="1"/>
  <c r="J70" i="80"/>
  <c r="J81" i="83"/>
  <c r="J152" i="83" s="1"/>
  <c r="J82" i="83"/>
  <c r="J153" i="83" s="1"/>
  <c r="J23" i="71" s="1"/>
  <c r="J128" i="71" s="1"/>
  <c r="J118" i="80"/>
  <c r="J130" i="80" s="1"/>
  <c r="J108" i="83"/>
  <c r="J213" i="83" s="1"/>
  <c r="J85" i="71" s="1"/>
  <c r="J190" i="71" s="1"/>
  <c r="AF184" i="41"/>
  <c r="O301" i="53"/>
  <c r="O290" i="53"/>
  <c r="O285" i="53"/>
  <c r="O279" i="53"/>
  <c r="O278" i="53"/>
  <c r="O296" i="53"/>
  <c r="O275" i="53"/>
  <c r="O287" i="53"/>
  <c r="O288" i="53"/>
  <c r="O297" i="53"/>
  <c r="O272" i="53"/>
  <c r="O284" i="53"/>
  <c r="O300" i="53"/>
  <c r="O273" i="53"/>
  <c r="O277" i="53"/>
  <c r="O283" i="53"/>
  <c r="O295" i="53"/>
  <c r="O280" i="53"/>
  <c r="O298" i="53"/>
  <c r="O294" i="53"/>
  <c r="O291" i="53"/>
  <c r="O299" i="53"/>
  <c r="O274" i="53"/>
  <c r="O276" i="53"/>
  <c r="O302" i="53"/>
  <c r="O286" i="53"/>
  <c r="O289" i="53"/>
  <c r="K290" i="53"/>
  <c r="K294" i="53"/>
  <c r="K287" i="53"/>
  <c r="K283" i="53"/>
  <c r="K273" i="53"/>
  <c r="K295" i="53"/>
  <c r="K299" i="53"/>
  <c r="K286" i="53"/>
  <c r="K275" i="53"/>
  <c r="K285" i="53"/>
  <c r="K301" i="53"/>
  <c r="K302" i="53"/>
  <c r="K274" i="53"/>
  <c r="K284" i="53"/>
  <c r="K288" i="53"/>
  <c r="K272" i="53"/>
  <c r="K300" i="53"/>
  <c r="K291" i="53"/>
  <c r="K278" i="53"/>
  <c r="K289" i="53"/>
  <c r="K279" i="53"/>
  <c r="K298" i="53"/>
  <c r="K277" i="53"/>
  <c r="K296" i="53"/>
  <c r="K297" i="53"/>
  <c r="K280" i="53"/>
  <c r="K276" i="53"/>
  <c r="N184" i="41"/>
  <c r="J97" i="80"/>
  <c r="J109" i="80" s="1"/>
  <c r="J98" i="83"/>
  <c r="J186" i="83" s="1"/>
  <c r="J57" i="71" s="1"/>
  <c r="J162" i="71" s="1"/>
  <c r="J75" i="80"/>
  <c r="J87" i="80" s="1"/>
  <c r="J87" i="83"/>
  <c r="J158" i="83" s="1"/>
  <c r="J28" i="71" s="1"/>
  <c r="J133" i="71" s="1"/>
  <c r="J96" i="80"/>
  <c r="J108" i="80" s="1"/>
  <c r="J97" i="83"/>
  <c r="J185" i="83" s="1"/>
  <c r="J56" i="71" s="1"/>
  <c r="J161" i="71" s="1"/>
  <c r="J96" i="83"/>
  <c r="J184" i="83" s="1"/>
  <c r="J55" i="71" s="1"/>
  <c r="J160" i="71" s="1"/>
  <c r="J95" i="80"/>
  <c r="J107" i="80" s="1"/>
  <c r="J94" i="80"/>
  <c r="J106" i="80" s="1"/>
  <c r="J95" i="83"/>
  <c r="J183" i="83" s="1"/>
  <c r="J54" i="71" s="1"/>
  <c r="J159" i="71" s="1"/>
  <c r="J73" i="80"/>
  <c r="J85" i="80" s="1"/>
  <c r="J85" i="83"/>
  <c r="J156" i="83" s="1"/>
  <c r="J26" i="71" s="1"/>
  <c r="J131" i="71" s="1"/>
  <c r="J99" i="80"/>
  <c r="J111" i="80" s="1"/>
  <c r="J100" i="83"/>
  <c r="J188" i="83" s="1"/>
  <c r="J59" i="71" s="1"/>
  <c r="J164" i="71" s="1"/>
  <c r="M91" i="53"/>
  <c r="M267" i="53" s="1"/>
  <c r="M78" i="83" s="1"/>
  <c r="O184" i="41"/>
  <c r="J119" i="80"/>
  <c r="J131" i="80" s="1"/>
  <c r="J109" i="83"/>
  <c r="J214" i="83" s="1"/>
  <c r="J86" i="71" s="1"/>
  <c r="J191" i="71" s="1"/>
  <c r="L91" i="53"/>
  <c r="J78" i="80"/>
  <c r="J90" i="80" s="1"/>
  <c r="J124" i="80"/>
  <c r="J136" i="80" s="1"/>
  <c r="J114" i="83"/>
  <c r="J219" i="83" s="1"/>
  <c r="J91" i="71" s="1"/>
  <c r="J196" i="71" s="1"/>
  <c r="J123" i="80"/>
  <c r="J135" i="80" s="1"/>
  <c r="J113" i="83"/>
  <c r="J218" i="83" s="1"/>
  <c r="J90" i="71" s="1"/>
  <c r="J195" i="71" s="1"/>
  <c r="J120" i="80"/>
  <c r="J132" i="80" s="1"/>
  <c r="J110" i="83"/>
  <c r="J215" i="83" s="1"/>
  <c r="J87" i="71" s="1"/>
  <c r="J192" i="71" s="1"/>
  <c r="J107" i="83"/>
  <c r="J212" i="83" s="1"/>
  <c r="J84" i="71" s="1"/>
  <c r="J189" i="71" s="1"/>
  <c r="J117" i="80"/>
  <c r="J129" i="80" s="1"/>
  <c r="N277" i="53"/>
  <c r="N299" i="53"/>
  <c r="N280" i="53"/>
  <c r="N289" i="53"/>
  <c r="N285" i="53"/>
  <c r="N286" i="53"/>
  <c r="N272" i="53"/>
  <c r="N275" i="53"/>
  <c r="N276" i="53"/>
  <c r="N279" i="53"/>
  <c r="N302" i="53"/>
  <c r="N278" i="53"/>
  <c r="N273" i="53"/>
  <c r="N274" i="53"/>
  <c r="N295" i="53"/>
  <c r="N288" i="53"/>
  <c r="N294" i="53"/>
  <c r="N291" i="53"/>
  <c r="N300" i="53"/>
  <c r="N283" i="53"/>
  <c r="N290" i="53"/>
  <c r="N284" i="53"/>
  <c r="N297" i="53"/>
  <c r="N301" i="53"/>
  <c r="N296" i="53"/>
  <c r="N287" i="53"/>
  <c r="N298" i="53"/>
  <c r="AJ184" i="41"/>
  <c r="AO184" i="41"/>
  <c r="U184" i="41"/>
  <c r="J101" i="80" l="1"/>
  <c r="J113" i="80" s="1"/>
  <c r="J84" i="83"/>
  <c r="J155" i="83" s="1"/>
  <c r="J25" i="71" s="1"/>
  <c r="J130" i="71" s="1"/>
  <c r="J99" i="83"/>
  <c r="J187" i="83" s="1"/>
  <c r="J58" i="71" s="1"/>
  <c r="J163" i="71" s="1"/>
  <c r="J105" i="83"/>
  <c r="J210" i="83" s="1"/>
  <c r="J82" i="71" s="1"/>
  <c r="J187" i="71" s="1"/>
  <c r="J116" i="80"/>
  <c r="J128" i="80" s="1"/>
  <c r="J147" i="80"/>
  <c r="P97" i="80"/>
  <c r="P109" i="80" s="1"/>
  <c r="P98" i="83"/>
  <c r="P186" i="83" s="1"/>
  <c r="P57" i="71" s="1"/>
  <c r="P162" i="71" s="1"/>
  <c r="P76" i="80"/>
  <c r="P88" i="80" s="1"/>
  <c r="P88" i="83"/>
  <c r="P159" i="83" s="1"/>
  <c r="P29" i="71" s="1"/>
  <c r="P134" i="71" s="1"/>
  <c r="P90" i="83"/>
  <c r="P161" i="83" s="1"/>
  <c r="P31" i="71" s="1"/>
  <c r="P136" i="71" s="1"/>
  <c r="P78" i="80"/>
  <c r="P90" i="80" s="1"/>
  <c r="P99" i="80"/>
  <c r="P111" i="80" s="1"/>
  <c r="P100" i="83"/>
  <c r="P188" i="83" s="1"/>
  <c r="P59" i="71" s="1"/>
  <c r="P164" i="71" s="1"/>
  <c r="P118" i="80"/>
  <c r="P130" i="80" s="1"/>
  <c r="P108" i="83"/>
  <c r="P213" i="83" s="1"/>
  <c r="P85" i="71" s="1"/>
  <c r="P190" i="71" s="1"/>
  <c r="P110" i="83"/>
  <c r="P215" i="83" s="1"/>
  <c r="P87" i="71" s="1"/>
  <c r="P192" i="71" s="1"/>
  <c r="P120" i="80"/>
  <c r="P132" i="80" s="1"/>
  <c r="P77" i="80"/>
  <c r="P89" i="80" s="1"/>
  <c r="P89" i="83"/>
  <c r="P160" i="83" s="1"/>
  <c r="P30" i="71" s="1"/>
  <c r="P135" i="71" s="1"/>
  <c r="P100" i="80"/>
  <c r="P112" i="80" s="1"/>
  <c r="P101" i="83"/>
  <c r="P189" i="83" s="1"/>
  <c r="P60" i="71" s="1"/>
  <c r="P165" i="71" s="1"/>
  <c r="P72" i="80"/>
  <c r="P84" i="80" s="1"/>
  <c r="P84" i="83"/>
  <c r="P155" i="83" s="1"/>
  <c r="P25" i="71" s="1"/>
  <c r="P130" i="71" s="1"/>
  <c r="P96" i="80"/>
  <c r="P108" i="80" s="1"/>
  <c r="P97" i="83"/>
  <c r="P185" i="83" s="1"/>
  <c r="P56" i="71" s="1"/>
  <c r="P161" i="71" s="1"/>
  <c r="P119" i="80"/>
  <c r="P131" i="80" s="1"/>
  <c r="P109" i="83"/>
  <c r="P214" i="83" s="1"/>
  <c r="P86" i="71" s="1"/>
  <c r="P191" i="71" s="1"/>
  <c r="P122" i="80"/>
  <c r="P134" i="80" s="1"/>
  <c r="P112" i="83"/>
  <c r="P217" i="83" s="1"/>
  <c r="P89" i="71" s="1"/>
  <c r="P194" i="71" s="1"/>
  <c r="P74" i="80"/>
  <c r="P86" i="80" s="1"/>
  <c r="P86" i="83"/>
  <c r="P157" i="83" s="1"/>
  <c r="P27" i="71" s="1"/>
  <c r="P132" i="71" s="1"/>
  <c r="J144" i="80"/>
  <c r="J170" i="80" s="1"/>
  <c r="J271" i="80" s="1"/>
  <c r="P101" i="80"/>
  <c r="P113" i="80" s="1"/>
  <c r="P102" i="83"/>
  <c r="P190" i="83" s="1"/>
  <c r="P61" i="71" s="1"/>
  <c r="P166" i="71" s="1"/>
  <c r="P75" i="80"/>
  <c r="P87" i="80" s="1"/>
  <c r="P87" i="83"/>
  <c r="P158" i="83" s="1"/>
  <c r="P28" i="71" s="1"/>
  <c r="P133" i="71" s="1"/>
  <c r="P121" i="80"/>
  <c r="P133" i="80" s="1"/>
  <c r="P111" i="83"/>
  <c r="P216" i="83" s="1"/>
  <c r="P88" i="71" s="1"/>
  <c r="P193" i="71" s="1"/>
  <c r="P114" i="83"/>
  <c r="P219" i="83" s="1"/>
  <c r="P91" i="71" s="1"/>
  <c r="P196" i="71" s="1"/>
  <c r="P124" i="80"/>
  <c r="P136" i="80" s="1"/>
  <c r="P99" i="83"/>
  <c r="P187" i="83" s="1"/>
  <c r="P58" i="71" s="1"/>
  <c r="P163" i="71" s="1"/>
  <c r="P98" i="80"/>
  <c r="P110" i="80" s="1"/>
  <c r="P73" i="80"/>
  <c r="P85" i="80" s="1"/>
  <c r="P85" i="83"/>
  <c r="P156" i="83" s="1"/>
  <c r="P26" i="71" s="1"/>
  <c r="P131" i="71" s="1"/>
  <c r="M93" i="53"/>
  <c r="P117" i="80"/>
  <c r="P129" i="80" s="1"/>
  <c r="P107" i="83"/>
  <c r="P212" i="83" s="1"/>
  <c r="P84" i="71" s="1"/>
  <c r="P189" i="71" s="1"/>
  <c r="P83" i="83"/>
  <c r="P154" i="83" s="1"/>
  <c r="P24" i="71" s="1"/>
  <c r="P129" i="71" s="1"/>
  <c r="P71" i="80"/>
  <c r="P83" i="80" s="1"/>
  <c r="P94" i="80"/>
  <c r="P106" i="80" s="1"/>
  <c r="P95" i="83"/>
  <c r="P183" i="83" s="1"/>
  <c r="P54" i="71" s="1"/>
  <c r="P159" i="71" s="1"/>
  <c r="P70" i="80"/>
  <c r="P82" i="80" s="1"/>
  <c r="P81" i="83"/>
  <c r="P152" i="83" s="1"/>
  <c r="P22" i="71" s="1"/>
  <c r="P127" i="71" s="1"/>
  <c r="P82" i="83"/>
  <c r="P153" i="83" s="1"/>
  <c r="P23" i="71" s="1"/>
  <c r="P128" i="71" s="1"/>
  <c r="J145" i="80"/>
  <c r="J171" i="80" s="1"/>
  <c r="J272" i="80" s="1"/>
  <c r="P105" i="83"/>
  <c r="P210" i="83" s="1"/>
  <c r="P82" i="71" s="1"/>
  <c r="P187" i="71" s="1"/>
  <c r="P116" i="80"/>
  <c r="P128" i="80" s="1"/>
  <c r="P106" i="83"/>
  <c r="P211" i="83" s="1"/>
  <c r="P83" i="71" s="1"/>
  <c r="P188" i="71" s="1"/>
  <c r="P95" i="80"/>
  <c r="P107" i="80" s="1"/>
  <c r="P96" i="83"/>
  <c r="P184" i="83" s="1"/>
  <c r="P55" i="71" s="1"/>
  <c r="P160" i="71" s="1"/>
  <c r="P123" i="80"/>
  <c r="P135" i="80" s="1"/>
  <c r="P113" i="83"/>
  <c r="P218" i="83" s="1"/>
  <c r="P90" i="71" s="1"/>
  <c r="P195" i="71" s="1"/>
  <c r="P93" i="80"/>
  <c r="P105" i="80" s="1"/>
  <c r="P93" i="83"/>
  <c r="P181" i="83" s="1"/>
  <c r="P52" i="71" s="1"/>
  <c r="P157" i="71" s="1"/>
  <c r="P94" i="83"/>
  <c r="P182" i="83" s="1"/>
  <c r="P53" i="71" s="1"/>
  <c r="P158" i="71" s="1"/>
  <c r="N119" i="80"/>
  <c r="N131" i="80" s="1"/>
  <c r="N109" i="83"/>
  <c r="N214" i="83" s="1"/>
  <c r="N86" i="71" s="1"/>
  <c r="N191" i="71" s="1"/>
  <c r="N70" i="80"/>
  <c r="N82" i="80" s="1"/>
  <c r="N81" i="83"/>
  <c r="N152" i="83" s="1"/>
  <c r="N82" i="83"/>
  <c r="N153" i="83" s="1"/>
  <c r="N23" i="71" s="1"/>
  <c r="N128" i="71" s="1"/>
  <c r="K99" i="80"/>
  <c r="K111" i="80" s="1"/>
  <c r="K100" i="83"/>
  <c r="K188" i="83" s="1"/>
  <c r="K59" i="71" s="1"/>
  <c r="K164" i="71" s="1"/>
  <c r="K124" i="80"/>
  <c r="K136" i="80" s="1"/>
  <c r="K114" i="83"/>
  <c r="K219" i="83" s="1"/>
  <c r="K91" i="71" s="1"/>
  <c r="K196" i="71" s="1"/>
  <c r="K93" i="80"/>
  <c r="K105" i="80" s="1"/>
  <c r="K93" i="83"/>
  <c r="K181" i="83" s="1"/>
  <c r="K52" i="71" s="1"/>
  <c r="K157" i="71" s="1"/>
  <c r="K94" i="83"/>
  <c r="K182" i="83" s="1"/>
  <c r="K53" i="71" s="1"/>
  <c r="K158" i="71" s="1"/>
  <c r="O74" i="80"/>
  <c r="O86" i="80" s="1"/>
  <c r="O86" i="83"/>
  <c r="O157" i="83" s="1"/>
  <c r="O27" i="71" s="1"/>
  <c r="O132" i="71" s="1"/>
  <c r="O93" i="83"/>
  <c r="O181" i="83" s="1"/>
  <c r="O52" i="71" s="1"/>
  <c r="O157" i="71" s="1"/>
  <c r="O93" i="80"/>
  <c r="O105" i="80" s="1"/>
  <c r="O94" i="83"/>
  <c r="O182" i="83" s="1"/>
  <c r="O53" i="71" s="1"/>
  <c r="O158" i="71" s="1"/>
  <c r="O97" i="80"/>
  <c r="O109" i="80" s="1"/>
  <c r="O98" i="83"/>
  <c r="O186" i="83" s="1"/>
  <c r="O57" i="71" s="1"/>
  <c r="O162" i="71" s="1"/>
  <c r="J22" i="71"/>
  <c r="J146" i="80"/>
  <c r="N118" i="80"/>
  <c r="N130" i="80" s="1"/>
  <c r="N108" i="83"/>
  <c r="N213" i="83" s="1"/>
  <c r="N85" i="71" s="1"/>
  <c r="N190" i="71" s="1"/>
  <c r="N75" i="80"/>
  <c r="N87" i="80" s="1"/>
  <c r="N87" i="83"/>
  <c r="N158" i="83" s="1"/>
  <c r="N28" i="71" s="1"/>
  <c r="N133" i="71" s="1"/>
  <c r="N94" i="80"/>
  <c r="N106" i="80" s="1"/>
  <c r="N95" i="83"/>
  <c r="N183" i="83" s="1"/>
  <c r="N54" i="71" s="1"/>
  <c r="N159" i="71" s="1"/>
  <c r="M123" i="83"/>
  <c r="M124" i="83"/>
  <c r="M126" i="83"/>
  <c r="M126" i="72" s="1"/>
  <c r="M196" i="72" s="1"/>
  <c r="M226" i="72" s="1"/>
  <c r="M125" i="83"/>
  <c r="M125" i="72" s="1"/>
  <c r="M195" i="72" s="1"/>
  <c r="M225" i="72" s="1"/>
  <c r="M132" i="83"/>
  <c r="M132" i="72" s="1"/>
  <c r="M202" i="72" s="1"/>
  <c r="M232" i="72" s="1"/>
  <c r="M129" i="83"/>
  <c r="M129" i="72" s="1"/>
  <c r="M199" i="72" s="1"/>
  <c r="M229" i="72" s="1"/>
  <c r="M131" i="83"/>
  <c r="M131" i="72" s="1"/>
  <c r="M201" i="72" s="1"/>
  <c r="M231" i="72" s="1"/>
  <c r="M130" i="83"/>
  <c r="M130" i="72" s="1"/>
  <c r="M200" i="72" s="1"/>
  <c r="M230" i="72" s="1"/>
  <c r="M128" i="83"/>
  <c r="M128" i="72" s="1"/>
  <c r="M198" i="72" s="1"/>
  <c r="M228" i="72" s="1"/>
  <c r="M127" i="83"/>
  <c r="M127" i="72" s="1"/>
  <c r="M197" i="72" s="1"/>
  <c r="M227" i="72" s="1"/>
  <c r="K74" i="80"/>
  <c r="K86" i="80" s="1"/>
  <c r="K86" i="83"/>
  <c r="K157" i="83" s="1"/>
  <c r="K27" i="71" s="1"/>
  <c r="K132" i="71" s="1"/>
  <c r="K76" i="80"/>
  <c r="K88" i="80" s="1"/>
  <c r="K88" i="83"/>
  <c r="K159" i="83" s="1"/>
  <c r="K29" i="71" s="1"/>
  <c r="K134" i="71" s="1"/>
  <c r="K123" i="80"/>
  <c r="K135" i="80" s="1"/>
  <c r="K113" i="83"/>
  <c r="K218" i="83" s="1"/>
  <c r="K90" i="71" s="1"/>
  <c r="K195" i="71" s="1"/>
  <c r="K97" i="80"/>
  <c r="K109" i="80" s="1"/>
  <c r="K98" i="83"/>
  <c r="K186" i="83" s="1"/>
  <c r="K57" i="71" s="1"/>
  <c r="K162" i="71" s="1"/>
  <c r="O72" i="80"/>
  <c r="O84" i="80" s="1"/>
  <c r="O84" i="83"/>
  <c r="O155" i="83" s="1"/>
  <c r="O25" i="71" s="1"/>
  <c r="O130" i="71" s="1"/>
  <c r="O75" i="80"/>
  <c r="O87" i="80" s="1"/>
  <c r="O87" i="83"/>
  <c r="O158" i="83" s="1"/>
  <c r="O28" i="71" s="1"/>
  <c r="O133" i="71" s="1"/>
  <c r="O73" i="80"/>
  <c r="O85" i="80" s="1"/>
  <c r="O85" i="83"/>
  <c r="O156" i="83" s="1"/>
  <c r="O26" i="71" s="1"/>
  <c r="O131" i="71" s="1"/>
  <c r="J82" i="80"/>
  <c r="J142" i="80" s="1"/>
  <c r="N116" i="80"/>
  <c r="N128" i="80" s="1"/>
  <c r="N105" i="83"/>
  <c r="N210" i="83" s="1"/>
  <c r="N82" i="71" s="1"/>
  <c r="N187" i="71" s="1"/>
  <c r="N106" i="83"/>
  <c r="N211" i="83" s="1"/>
  <c r="N83" i="71" s="1"/>
  <c r="N188" i="71" s="1"/>
  <c r="N107" i="83"/>
  <c r="N212" i="83" s="1"/>
  <c r="N84" i="71" s="1"/>
  <c r="N189" i="71" s="1"/>
  <c r="N117" i="80"/>
  <c r="N129" i="80" s="1"/>
  <c r="K78" i="80"/>
  <c r="K90" i="80" s="1"/>
  <c r="K90" i="83"/>
  <c r="K161" i="83" s="1"/>
  <c r="K31" i="71" s="1"/>
  <c r="K136" i="71" s="1"/>
  <c r="K101" i="80"/>
  <c r="K113" i="80" s="1"/>
  <c r="K102" i="83"/>
  <c r="K190" i="83" s="1"/>
  <c r="K61" i="71" s="1"/>
  <c r="K166" i="71" s="1"/>
  <c r="K95" i="80"/>
  <c r="K107" i="80" s="1"/>
  <c r="K96" i="83"/>
  <c r="K184" i="83" s="1"/>
  <c r="K55" i="71" s="1"/>
  <c r="K160" i="71" s="1"/>
  <c r="K116" i="80"/>
  <c r="K128" i="80" s="1"/>
  <c r="K106" i="83"/>
  <c r="K211" i="83" s="1"/>
  <c r="K83" i="71" s="1"/>
  <c r="K188" i="71" s="1"/>
  <c r="K105" i="83"/>
  <c r="K210" i="83" s="1"/>
  <c r="K82" i="71" s="1"/>
  <c r="K187" i="71" s="1"/>
  <c r="O121" i="80"/>
  <c r="O133" i="80" s="1"/>
  <c r="O111" i="83"/>
  <c r="O216" i="83" s="1"/>
  <c r="O88" i="71" s="1"/>
  <c r="O193" i="71" s="1"/>
  <c r="O71" i="80"/>
  <c r="O83" i="80" s="1"/>
  <c r="O83" i="83"/>
  <c r="O154" i="83" s="1"/>
  <c r="O24" i="71" s="1"/>
  <c r="O129" i="71" s="1"/>
  <c r="O118" i="80"/>
  <c r="O130" i="80" s="1"/>
  <c r="O108" i="83"/>
  <c r="O213" i="83" s="1"/>
  <c r="O85" i="71" s="1"/>
  <c r="O190" i="71" s="1"/>
  <c r="H186" i="41"/>
  <c r="AJ188" i="41" s="1"/>
  <c r="J173" i="80"/>
  <c r="J274" i="80" s="1"/>
  <c r="K119" i="80"/>
  <c r="K131" i="80" s="1"/>
  <c r="K109" i="83"/>
  <c r="K214" i="83" s="1"/>
  <c r="K86" i="71" s="1"/>
  <c r="K191" i="71" s="1"/>
  <c r="K122" i="80"/>
  <c r="K134" i="80" s="1"/>
  <c r="K112" i="83"/>
  <c r="K217" i="83" s="1"/>
  <c r="K89" i="71" s="1"/>
  <c r="K194" i="71" s="1"/>
  <c r="K73" i="80"/>
  <c r="K85" i="80" s="1"/>
  <c r="K85" i="83"/>
  <c r="K156" i="83" s="1"/>
  <c r="K26" i="71" s="1"/>
  <c r="K131" i="71" s="1"/>
  <c r="K101" i="83"/>
  <c r="K189" i="83" s="1"/>
  <c r="K60" i="71" s="1"/>
  <c r="K165" i="71" s="1"/>
  <c r="K100" i="80"/>
  <c r="K112" i="80" s="1"/>
  <c r="O101" i="80"/>
  <c r="O113" i="80" s="1"/>
  <c r="O102" i="83"/>
  <c r="O190" i="83" s="1"/>
  <c r="O61" i="71" s="1"/>
  <c r="O166" i="71" s="1"/>
  <c r="O122" i="80"/>
  <c r="O134" i="80" s="1"/>
  <c r="O112" i="83"/>
  <c r="O217" i="83" s="1"/>
  <c r="O89" i="71" s="1"/>
  <c r="O194" i="71" s="1"/>
  <c r="O76" i="80"/>
  <c r="O88" i="80" s="1"/>
  <c r="O88" i="83"/>
  <c r="O159" i="83" s="1"/>
  <c r="O29" i="71" s="1"/>
  <c r="O134" i="71" s="1"/>
  <c r="N74" i="80"/>
  <c r="N86" i="80" s="1"/>
  <c r="N86" i="83"/>
  <c r="N157" i="83" s="1"/>
  <c r="N27" i="71" s="1"/>
  <c r="N132" i="71" s="1"/>
  <c r="M286" i="53"/>
  <c r="M273" i="53"/>
  <c r="M284" i="53"/>
  <c r="M272" i="53"/>
  <c r="M294" i="53"/>
  <c r="M275" i="53"/>
  <c r="M291" i="53"/>
  <c r="M278" i="53"/>
  <c r="M279" i="53"/>
  <c r="M298" i="53"/>
  <c r="M302" i="53"/>
  <c r="M289" i="53"/>
  <c r="M299" i="53"/>
  <c r="M297" i="53"/>
  <c r="M300" i="53"/>
  <c r="M296" i="53"/>
  <c r="M301" i="53"/>
  <c r="M280" i="53"/>
  <c r="M288" i="53"/>
  <c r="M283" i="53"/>
  <c r="M277" i="53"/>
  <c r="M285" i="53"/>
  <c r="M290" i="53"/>
  <c r="M295" i="53"/>
  <c r="M287" i="53"/>
  <c r="M276" i="53"/>
  <c r="M274" i="53"/>
  <c r="N83" i="83"/>
  <c r="N154" i="83" s="1"/>
  <c r="N24" i="71" s="1"/>
  <c r="N129" i="71" s="1"/>
  <c r="N71" i="80"/>
  <c r="N83" i="80" s="1"/>
  <c r="N93" i="80"/>
  <c r="N105" i="80" s="1"/>
  <c r="N93" i="83"/>
  <c r="N181" i="83" s="1"/>
  <c r="N52" i="71" s="1"/>
  <c r="N157" i="71" s="1"/>
  <c r="N94" i="83"/>
  <c r="N182" i="83" s="1"/>
  <c r="N53" i="71" s="1"/>
  <c r="N158" i="71" s="1"/>
  <c r="N99" i="80"/>
  <c r="N111" i="80" s="1"/>
  <c r="N100" i="83"/>
  <c r="N188" i="83" s="1"/>
  <c r="N59" i="71" s="1"/>
  <c r="N164" i="71" s="1"/>
  <c r="N122" i="80"/>
  <c r="N134" i="80" s="1"/>
  <c r="N112" i="83"/>
  <c r="N217" i="83" s="1"/>
  <c r="N89" i="71" s="1"/>
  <c r="N194" i="71" s="1"/>
  <c r="N78" i="80"/>
  <c r="N90" i="80" s="1"/>
  <c r="N90" i="83"/>
  <c r="N161" i="83" s="1"/>
  <c r="N31" i="71" s="1"/>
  <c r="N136" i="71" s="1"/>
  <c r="K118" i="80"/>
  <c r="K130" i="80" s="1"/>
  <c r="K108" i="83"/>
  <c r="K213" i="83" s="1"/>
  <c r="K85" i="71" s="1"/>
  <c r="K190" i="71" s="1"/>
  <c r="K70" i="80"/>
  <c r="K82" i="80" s="1"/>
  <c r="K81" i="83"/>
  <c r="K152" i="83" s="1"/>
  <c r="K82" i="83"/>
  <c r="K153" i="83" s="1"/>
  <c r="K23" i="71" s="1"/>
  <c r="K128" i="71" s="1"/>
  <c r="K96" i="80"/>
  <c r="K108" i="80" s="1"/>
  <c r="K97" i="83"/>
  <c r="K185" i="83" s="1"/>
  <c r="K56" i="71" s="1"/>
  <c r="K161" i="71" s="1"/>
  <c r="O116" i="80"/>
  <c r="O128" i="80" s="1"/>
  <c r="O105" i="83"/>
  <c r="O210" i="83" s="1"/>
  <c r="O82" i="71" s="1"/>
  <c r="O187" i="71" s="1"/>
  <c r="O106" i="83"/>
  <c r="O211" i="83" s="1"/>
  <c r="O83" i="71" s="1"/>
  <c r="O188" i="71" s="1"/>
  <c r="O94" i="80"/>
  <c r="O106" i="80" s="1"/>
  <c r="O95" i="83"/>
  <c r="O183" i="83" s="1"/>
  <c r="O54" i="71" s="1"/>
  <c r="O159" i="71" s="1"/>
  <c r="O77" i="80"/>
  <c r="O89" i="80" s="1"/>
  <c r="O89" i="83"/>
  <c r="O160" i="83" s="1"/>
  <c r="O30" i="71" s="1"/>
  <c r="O135" i="71" s="1"/>
  <c r="J143" i="80"/>
  <c r="N72" i="80"/>
  <c r="N84" i="80" s="1"/>
  <c r="N84" i="83"/>
  <c r="N155" i="83" s="1"/>
  <c r="N25" i="71" s="1"/>
  <c r="N130" i="71" s="1"/>
  <c r="N96" i="80"/>
  <c r="N108" i="80" s="1"/>
  <c r="N97" i="83"/>
  <c r="N185" i="83" s="1"/>
  <c r="N56" i="71" s="1"/>
  <c r="N161" i="71" s="1"/>
  <c r="N100" i="80"/>
  <c r="N112" i="80" s="1"/>
  <c r="N101" i="83"/>
  <c r="N189" i="83" s="1"/>
  <c r="N60" i="71" s="1"/>
  <c r="N165" i="71" s="1"/>
  <c r="N95" i="80"/>
  <c r="N107" i="80" s="1"/>
  <c r="N96" i="83"/>
  <c r="N184" i="83" s="1"/>
  <c r="N55" i="71" s="1"/>
  <c r="N160" i="71" s="1"/>
  <c r="N76" i="80"/>
  <c r="N88" i="80" s="1"/>
  <c r="N88" i="83"/>
  <c r="N159" i="83" s="1"/>
  <c r="N29" i="71" s="1"/>
  <c r="N134" i="71" s="1"/>
  <c r="N120" i="80"/>
  <c r="N132" i="80" s="1"/>
  <c r="N110" i="83"/>
  <c r="N215" i="83" s="1"/>
  <c r="N87" i="71" s="1"/>
  <c r="N192" i="71" s="1"/>
  <c r="N124" i="80"/>
  <c r="N136" i="80" s="1"/>
  <c r="N114" i="83"/>
  <c r="N219" i="83" s="1"/>
  <c r="N91" i="71" s="1"/>
  <c r="N196" i="71" s="1"/>
  <c r="N97" i="80"/>
  <c r="N109" i="80" s="1"/>
  <c r="N98" i="83"/>
  <c r="N186" i="83" s="1"/>
  <c r="N57" i="71" s="1"/>
  <c r="N162" i="71" s="1"/>
  <c r="N101" i="80"/>
  <c r="N113" i="80" s="1"/>
  <c r="N102" i="83"/>
  <c r="N190" i="83" s="1"/>
  <c r="N61" i="71" s="1"/>
  <c r="N166" i="71" s="1"/>
  <c r="N77" i="80"/>
  <c r="N89" i="80" s="1"/>
  <c r="N89" i="83"/>
  <c r="N160" i="83" s="1"/>
  <c r="N30" i="71" s="1"/>
  <c r="N135" i="71" s="1"/>
  <c r="N121" i="80"/>
  <c r="N133" i="80" s="1"/>
  <c r="N111" i="83"/>
  <c r="N216" i="83" s="1"/>
  <c r="N88" i="71" s="1"/>
  <c r="N193" i="71" s="1"/>
  <c r="J150" i="80"/>
  <c r="K75" i="80"/>
  <c r="K87" i="80" s="1"/>
  <c r="K87" i="83"/>
  <c r="K158" i="83" s="1"/>
  <c r="K28" i="71" s="1"/>
  <c r="K133" i="71" s="1"/>
  <c r="K98" i="80"/>
  <c r="K110" i="80" s="1"/>
  <c r="K99" i="83"/>
  <c r="K187" i="83" s="1"/>
  <c r="K58" i="71" s="1"/>
  <c r="K163" i="71" s="1"/>
  <c r="K121" i="80"/>
  <c r="K133" i="80" s="1"/>
  <c r="K111" i="83"/>
  <c r="K216" i="83" s="1"/>
  <c r="K88" i="71" s="1"/>
  <c r="K193" i="71" s="1"/>
  <c r="O99" i="80"/>
  <c r="O111" i="80" s="1"/>
  <c r="O100" i="83"/>
  <c r="O188" i="83" s="1"/>
  <c r="O59" i="71" s="1"/>
  <c r="O164" i="71" s="1"/>
  <c r="O110" i="83"/>
  <c r="O215" i="83" s="1"/>
  <c r="O87" i="71" s="1"/>
  <c r="O192" i="71" s="1"/>
  <c r="O120" i="80"/>
  <c r="O132" i="80" s="1"/>
  <c r="O70" i="80"/>
  <c r="O82" i="80" s="1"/>
  <c r="O81" i="83"/>
  <c r="O152" i="83" s="1"/>
  <c r="O82" i="83"/>
  <c r="O153" i="83" s="1"/>
  <c r="O23" i="71" s="1"/>
  <c r="O128" i="71" s="1"/>
  <c r="O95" i="80"/>
  <c r="O107" i="80" s="1"/>
  <c r="O96" i="83"/>
  <c r="O184" i="83" s="1"/>
  <c r="O55" i="71" s="1"/>
  <c r="O160" i="71" s="1"/>
  <c r="K120" i="80"/>
  <c r="K132" i="80" s="1"/>
  <c r="K110" i="83"/>
  <c r="K215" i="83" s="1"/>
  <c r="K87" i="71" s="1"/>
  <c r="K192" i="71" s="1"/>
  <c r="K94" i="80"/>
  <c r="K106" i="80" s="1"/>
  <c r="K95" i="83"/>
  <c r="K183" i="83" s="1"/>
  <c r="K54" i="71" s="1"/>
  <c r="K159" i="71" s="1"/>
  <c r="K117" i="80"/>
  <c r="K129" i="80" s="1"/>
  <c r="K107" i="83"/>
  <c r="K212" i="83" s="1"/>
  <c r="K84" i="71" s="1"/>
  <c r="K189" i="71" s="1"/>
  <c r="O96" i="80"/>
  <c r="O108" i="80" s="1"/>
  <c r="O97" i="83"/>
  <c r="O185" i="83" s="1"/>
  <c r="O56" i="71" s="1"/>
  <c r="O161" i="71" s="1"/>
  <c r="O78" i="80"/>
  <c r="O90" i="80" s="1"/>
  <c r="O90" i="83"/>
  <c r="O161" i="83" s="1"/>
  <c r="O31" i="71" s="1"/>
  <c r="O136" i="71" s="1"/>
  <c r="O119" i="80"/>
  <c r="O131" i="80" s="1"/>
  <c r="O109" i="83"/>
  <c r="O214" i="83" s="1"/>
  <c r="O86" i="71" s="1"/>
  <c r="O191" i="71" s="1"/>
  <c r="O101" i="83"/>
  <c r="O189" i="83" s="1"/>
  <c r="O60" i="71" s="1"/>
  <c r="O165" i="71" s="1"/>
  <c r="O100" i="80"/>
  <c r="O112" i="80" s="1"/>
  <c r="N123" i="80"/>
  <c r="N135" i="80" s="1"/>
  <c r="N113" i="83"/>
  <c r="N218" i="83" s="1"/>
  <c r="N90" i="71" s="1"/>
  <c r="N195" i="71" s="1"/>
  <c r="N98" i="80"/>
  <c r="N110" i="80" s="1"/>
  <c r="N99" i="83"/>
  <c r="N187" i="83" s="1"/>
  <c r="N58" i="71" s="1"/>
  <c r="N163" i="71" s="1"/>
  <c r="N73" i="80"/>
  <c r="N85" i="80" s="1"/>
  <c r="N85" i="83"/>
  <c r="N156" i="83" s="1"/>
  <c r="N26" i="71" s="1"/>
  <c r="N131" i="71" s="1"/>
  <c r="L267" i="53"/>
  <c r="L78" i="83" s="1"/>
  <c r="L93" i="53"/>
  <c r="K77" i="80"/>
  <c r="K89" i="80" s="1"/>
  <c r="K89" i="83"/>
  <c r="K160" i="83" s="1"/>
  <c r="K30" i="71" s="1"/>
  <c r="K135" i="71" s="1"/>
  <c r="K72" i="80"/>
  <c r="K84" i="80" s="1"/>
  <c r="K84" i="83"/>
  <c r="K155" i="83" s="1"/>
  <c r="K25" i="71" s="1"/>
  <c r="K130" i="71" s="1"/>
  <c r="K71" i="80"/>
  <c r="K83" i="80" s="1"/>
  <c r="K83" i="83"/>
  <c r="K154" i="83" s="1"/>
  <c r="K24" i="71" s="1"/>
  <c r="K129" i="71" s="1"/>
  <c r="O124" i="80"/>
  <c r="O136" i="80" s="1"/>
  <c r="O114" i="83"/>
  <c r="O219" i="83" s="1"/>
  <c r="O91" i="71" s="1"/>
  <c r="O196" i="71" s="1"/>
  <c r="O107" i="83"/>
  <c r="O212" i="83" s="1"/>
  <c r="O84" i="71" s="1"/>
  <c r="O189" i="71" s="1"/>
  <c r="O117" i="80"/>
  <c r="O129" i="80" s="1"/>
  <c r="O98" i="80"/>
  <c r="O110" i="80" s="1"/>
  <c r="O99" i="83"/>
  <c r="O187" i="83" s="1"/>
  <c r="O58" i="71" s="1"/>
  <c r="O163" i="71" s="1"/>
  <c r="O123" i="80"/>
  <c r="O135" i="80" s="1"/>
  <c r="O113" i="83"/>
  <c r="O218" i="83" s="1"/>
  <c r="O90" i="71" s="1"/>
  <c r="O195" i="71" s="1"/>
  <c r="J149" i="80"/>
  <c r="J148" i="80"/>
  <c r="N145" i="80" l="1"/>
  <c r="N171" i="80" s="1"/>
  <c r="N272" i="80" s="1"/>
  <c r="P145" i="80"/>
  <c r="P171" i="80" s="1"/>
  <c r="P272" i="80" s="1"/>
  <c r="K144" i="80"/>
  <c r="K170" i="80" s="1"/>
  <c r="K271" i="80" s="1"/>
  <c r="K149" i="80"/>
  <c r="K175" i="80" s="1"/>
  <c r="K276" i="80" s="1"/>
  <c r="N143" i="80"/>
  <c r="N169" i="80" s="1"/>
  <c r="N270" i="80" s="1"/>
  <c r="O142" i="80"/>
  <c r="O168" i="80" s="1"/>
  <c r="K142" i="80"/>
  <c r="K168" i="80" s="1"/>
  <c r="P142" i="80"/>
  <c r="P168" i="80" s="1"/>
  <c r="P269" i="80" s="1"/>
  <c r="P147" i="80"/>
  <c r="P173" i="80" s="1"/>
  <c r="P274" i="80" s="1"/>
  <c r="P150" i="80"/>
  <c r="P149" i="80"/>
  <c r="P175" i="80" s="1"/>
  <c r="P276" i="80" s="1"/>
  <c r="P143" i="80"/>
  <c r="P169" i="80" s="1"/>
  <c r="P270" i="80" s="1"/>
  <c r="P148" i="80"/>
  <c r="P174" i="80" s="1"/>
  <c r="P275" i="80" s="1"/>
  <c r="N148" i="80"/>
  <c r="N174" i="80" s="1"/>
  <c r="N275" i="80" s="1"/>
  <c r="P146" i="80"/>
  <c r="P172" i="80" s="1"/>
  <c r="P273" i="80" s="1"/>
  <c r="P144" i="80"/>
  <c r="P170" i="80" s="1"/>
  <c r="P271" i="80" s="1"/>
  <c r="U188" i="41"/>
  <c r="J169" i="80"/>
  <c r="J270" i="80" s="1"/>
  <c r="N150" i="80"/>
  <c r="M100" i="80"/>
  <c r="M112" i="80" s="1"/>
  <c r="M101" i="83"/>
  <c r="M189" i="83" s="1"/>
  <c r="M60" i="71" s="1"/>
  <c r="M165" i="71" s="1"/>
  <c r="M122" i="80"/>
  <c r="M134" i="80" s="1"/>
  <c r="M112" i="83"/>
  <c r="M217" i="83" s="1"/>
  <c r="M89" i="71" s="1"/>
  <c r="M194" i="71" s="1"/>
  <c r="M101" i="80"/>
  <c r="M113" i="80" s="1"/>
  <c r="M102" i="83"/>
  <c r="M190" i="83" s="1"/>
  <c r="M61" i="71" s="1"/>
  <c r="M166" i="71" s="1"/>
  <c r="N146" i="80"/>
  <c r="N172" i="80" s="1"/>
  <c r="N273" i="80" s="1"/>
  <c r="M120" i="80"/>
  <c r="M132" i="80" s="1"/>
  <c r="M110" i="83"/>
  <c r="M215" i="83" s="1"/>
  <c r="M87" i="71" s="1"/>
  <c r="M192" i="71" s="1"/>
  <c r="L298" i="53"/>
  <c r="L302" i="53"/>
  <c r="L288" i="53"/>
  <c r="L275" i="53"/>
  <c r="L300" i="53"/>
  <c r="L294" i="53"/>
  <c r="L296" i="53"/>
  <c r="L286" i="53"/>
  <c r="L285" i="53"/>
  <c r="L291" i="53"/>
  <c r="L279" i="53"/>
  <c r="L299" i="53"/>
  <c r="L289" i="53"/>
  <c r="L301" i="53"/>
  <c r="L295" i="53"/>
  <c r="L272" i="53"/>
  <c r="L274" i="53"/>
  <c r="L280" i="53"/>
  <c r="L297" i="53"/>
  <c r="L276" i="53"/>
  <c r="L273" i="53"/>
  <c r="L283" i="53"/>
  <c r="L277" i="53"/>
  <c r="L290" i="53"/>
  <c r="L287" i="53"/>
  <c r="L284" i="53"/>
  <c r="L278" i="53"/>
  <c r="H306" i="53" a="1"/>
  <c r="H306" i="53" s="1"/>
  <c r="M96" i="83"/>
  <c r="M184" i="83" s="1"/>
  <c r="M55" i="71" s="1"/>
  <c r="M160" i="71" s="1"/>
  <c r="M95" i="80"/>
  <c r="M107" i="80" s="1"/>
  <c r="M119" i="80"/>
  <c r="M131" i="80" s="1"/>
  <c r="M109" i="83"/>
  <c r="M214" i="83" s="1"/>
  <c r="M86" i="71" s="1"/>
  <c r="M191" i="71" s="1"/>
  <c r="M73" i="80"/>
  <c r="M85" i="80" s="1"/>
  <c r="M85" i="83"/>
  <c r="M156" i="83" s="1"/>
  <c r="M26" i="71" s="1"/>
  <c r="M131" i="71" s="1"/>
  <c r="O143" i="80"/>
  <c r="O169" i="80" s="1"/>
  <c r="O270" i="80" s="1"/>
  <c r="O145" i="80"/>
  <c r="O171" i="80" s="1"/>
  <c r="O272" i="80" s="1"/>
  <c r="O149" i="80"/>
  <c r="O175" i="80" s="1"/>
  <c r="O276" i="80" s="1"/>
  <c r="M75" i="80"/>
  <c r="M87" i="80" s="1"/>
  <c r="M87" i="83"/>
  <c r="M158" i="83" s="1"/>
  <c r="M28" i="71" s="1"/>
  <c r="M133" i="71" s="1"/>
  <c r="M121" i="80"/>
  <c r="M133" i="80" s="1"/>
  <c r="M111" i="83"/>
  <c r="M216" i="83" s="1"/>
  <c r="M88" i="71" s="1"/>
  <c r="M193" i="71" s="1"/>
  <c r="M105" i="83"/>
  <c r="M210" i="83" s="1"/>
  <c r="M82" i="71" s="1"/>
  <c r="M187" i="71" s="1"/>
  <c r="M116" i="80"/>
  <c r="M128" i="80" s="1"/>
  <c r="M106" i="83"/>
  <c r="M211" i="83" s="1"/>
  <c r="M83" i="71" s="1"/>
  <c r="M188" i="71" s="1"/>
  <c r="M78" i="80"/>
  <c r="M90" i="80" s="1"/>
  <c r="M90" i="83"/>
  <c r="M161" i="83" s="1"/>
  <c r="M31" i="71" s="1"/>
  <c r="M136" i="71" s="1"/>
  <c r="J174" i="80"/>
  <c r="J275" i="80" s="1"/>
  <c r="J175" i="80"/>
  <c r="J276" i="80" s="1"/>
  <c r="L123" i="83"/>
  <c r="L124" i="83"/>
  <c r="L127" i="83"/>
  <c r="L127" i="72" s="1"/>
  <c r="L197" i="72" s="1"/>
  <c r="L227" i="72" s="1"/>
  <c r="L131" i="83"/>
  <c r="L131" i="72" s="1"/>
  <c r="L201" i="72" s="1"/>
  <c r="L231" i="72" s="1"/>
  <c r="L128" i="83"/>
  <c r="L128" i="72" s="1"/>
  <c r="L198" i="72" s="1"/>
  <c r="L228" i="72" s="1"/>
  <c r="L129" i="83"/>
  <c r="L129" i="72" s="1"/>
  <c r="L199" i="72" s="1"/>
  <c r="L229" i="72" s="1"/>
  <c r="L125" i="83"/>
  <c r="L125" i="72" s="1"/>
  <c r="L195" i="72" s="1"/>
  <c r="L225" i="72" s="1"/>
  <c r="L126" i="83"/>
  <c r="L126" i="72" s="1"/>
  <c r="L196" i="72" s="1"/>
  <c r="L226" i="72" s="1"/>
  <c r="L132" i="83"/>
  <c r="L132" i="72" s="1"/>
  <c r="L202" i="72" s="1"/>
  <c r="L232" i="72" s="1"/>
  <c r="L130" i="83"/>
  <c r="L130" i="72" s="1"/>
  <c r="L200" i="72" s="1"/>
  <c r="L230" i="72" s="1"/>
  <c r="O22" i="71"/>
  <c r="O127" i="71" s="1"/>
  <c r="N149" i="80"/>
  <c r="N175" i="80" s="1"/>
  <c r="N276" i="80" s="1"/>
  <c r="K22" i="71"/>
  <c r="K127" i="71" s="1"/>
  <c r="M93" i="80"/>
  <c r="M105" i="80" s="1"/>
  <c r="M93" i="83"/>
  <c r="M181" i="83" s="1"/>
  <c r="M52" i="71" s="1"/>
  <c r="M157" i="71" s="1"/>
  <c r="M94" i="83"/>
  <c r="M182" i="83" s="1"/>
  <c r="M53" i="71" s="1"/>
  <c r="M158" i="71" s="1"/>
  <c r="M99" i="80"/>
  <c r="M111" i="80" s="1"/>
  <c r="M100" i="83"/>
  <c r="M188" i="83" s="1"/>
  <c r="M59" i="71" s="1"/>
  <c r="M164" i="71" s="1"/>
  <c r="M82" i="83"/>
  <c r="M153" i="83" s="1"/>
  <c r="M23" i="71" s="1"/>
  <c r="M128" i="71" s="1"/>
  <c r="M70" i="80"/>
  <c r="M82" i="80" s="1"/>
  <c r="M81" i="83"/>
  <c r="M152" i="83" s="1"/>
  <c r="O147" i="80"/>
  <c r="O173" i="80" s="1"/>
  <c r="O274" i="80" s="1"/>
  <c r="K148" i="80"/>
  <c r="K174" i="80" s="1"/>
  <c r="K275" i="80" s="1"/>
  <c r="N147" i="80"/>
  <c r="N173" i="80" s="1"/>
  <c r="N274" i="80" s="1"/>
  <c r="N22" i="71"/>
  <c r="N127" i="71" s="1"/>
  <c r="K143" i="80"/>
  <c r="K169" i="80" s="1"/>
  <c r="K270" i="80" s="1"/>
  <c r="O269" i="80"/>
  <c r="K269" i="80"/>
  <c r="M72" i="80"/>
  <c r="M84" i="80" s="1"/>
  <c r="M84" i="83"/>
  <c r="M155" i="83" s="1"/>
  <c r="M25" i="71" s="1"/>
  <c r="M130" i="71" s="1"/>
  <c r="M98" i="80"/>
  <c r="M110" i="80" s="1"/>
  <c r="M99" i="83"/>
  <c r="M187" i="83" s="1"/>
  <c r="M58" i="71" s="1"/>
  <c r="M163" i="71" s="1"/>
  <c r="M124" i="80"/>
  <c r="M136" i="80" s="1"/>
  <c r="M114" i="83"/>
  <c r="M219" i="83" s="1"/>
  <c r="M91" i="71" s="1"/>
  <c r="M196" i="71" s="1"/>
  <c r="M95" i="83"/>
  <c r="M183" i="83" s="1"/>
  <c r="M54" i="71" s="1"/>
  <c r="M159" i="71" s="1"/>
  <c r="M94" i="80"/>
  <c r="M106" i="80" s="1"/>
  <c r="O148" i="80"/>
  <c r="O174" i="80" s="1"/>
  <c r="O275" i="80" s="1"/>
  <c r="K145" i="80"/>
  <c r="K150" i="80"/>
  <c r="N142" i="80"/>
  <c r="N168" i="80" s="1"/>
  <c r="O144" i="80"/>
  <c r="O170" i="80" s="1"/>
  <c r="O271" i="80" s="1"/>
  <c r="K146" i="80"/>
  <c r="K172" i="80" s="1"/>
  <c r="K273" i="80" s="1"/>
  <c r="M74" i="80"/>
  <c r="M86" i="80" s="1"/>
  <c r="M86" i="83"/>
  <c r="M157" i="83" s="1"/>
  <c r="M27" i="71" s="1"/>
  <c r="M132" i="71" s="1"/>
  <c r="Z188" i="41"/>
  <c r="AC188" i="41"/>
  <c r="K188" i="41"/>
  <c r="AK188" i="41"/>
  <c r="AI188" i="41"/>
  <c r="L188" i="41"/>
  <c r="AB188" i="41"/>
  <c r="X188" i="41"/>
  <c r="R188" i="41"/>
  <c r="S188" i="41"/>
  <c r="AA188" i="41"/>
  <c r="W188" i="41"/>
  <c r="AG188" i="41"/>
  <c r="P188" i="41"/>
  <c r="AM188" i="41"/>
  <c r="AL188" i="41"/>
  <c r="Y188" i="41"/>
  <c r="AD188" i="41"/>
  <c r="AH188" i="41"/>
  <c r="AE188" i="41"/>
  <c r="J188" i="41"/>
  <c r="AN188" i="41"/>
  <c r="Q188" i="41"/>
  <c r="V188" i="41"/>
  <c r="M188" i="41"/>
  <c r="T188" i="41"/>
  <c r="K147" i="80"/>
  <c r="N144" i="80"/>
  <c r="N170" i="80" s="1"/>
  <c r="N271" i="80" s="1"/>
  <c r="M97" i="80"/>
  <c r="M109" i="80" s="1"/>
  <c r="M98" i="83"/>
  <c r="M186" i="83" s="1"/>
  <c r="M57" i="71" s="1"/>
  <c r="M162" i="71" s="1"/>
  <c r="M123" i="80"/>
  <c r="M135" i="80" s="1"/>
  <c r="M113" i="83"/>
  <c r="M218" i="83" s="1"/>
  <c r="M90" i="71" s="1"/>
  <c r="M195" i="71" s="1"/>
  <c r="M77" i="80"/>
  <c r="M89" i="80" s="1"/>
  <c r="M89" i="83"/>
  <c r="M160" i="83" s="1"/>
  <c r="M30" i="71" s="1"/>
  <c r="M135" i="71" s="1"/>
  <c r="M97" i="83"/>
  <c r="M185" i="83" s="1"/>
  <c r="M56" i="71" s="1"/>
  <c r="M161" i="71" s="1"/>
  <c r="M96" i="80"/>
  <c r="M108" i="80" s="1"/>
  <c r="J168" i="80"/>
  <c r="J172" i="80"/>
  <c r="J273" i="80" s="1"/>
  <c r="M71" i="80"/>
  <c r="M83" i="80" s="1"/>
  <c r="M83" i="83"/>
  <c r="M154" i="83" s="1"/>
  <c r="M24" i="71" s="1"/>
  <c r="M129" i="71" s="1"/>
  <c r="O150" i="80"/>
  <c r="J208" i="80"/>
  <c r="J176" i="80"/>
  <c r="AO188" i="41"/>
  <c r="M117" i="80"/>
  <c r="M129" i="80" s="1"/>
  <c r="M107" i="83"/>
  <c r="M212" i="83" s="1"/>
  <c r="M84" i="71" s="1"/>
  <c r="M189" i="71" s="1"/>
  <c r="M118" i="80"/>
  <c r="M130" i="80" s="1"/>
  <c r="M108" i="83"/>
  <c r="M213" i="83" s="1"/>
  <c r="M85" i="71" s="1"/>
  <c r="M190" i="71" s="1"/>
  <c r="M76" i="80"/>
  <c r="M88" i="80" s="1"/>
  <c r="M88" i="83"/>
  <c r="M159" i="83" s="1"/>
  <c r="M29" i="71" s="1"/>
  <c r="M134" i="71" s="1"/>
  <c r="AF188" i="41"/>
  <c r="J127" i="71"/>
  <c r="O146" i="80"/>
  <c r="O172" i="80" s="1"/>
  <c r="O273" i="80" s="1"/>
  <c r="N188" i="41"/>
  <c r="O188" i="41"/>
  <c r="M148" i="80" l="1"/>
  <c r="M174" i="80" s="1"/>
  <c r="M275" i="80" s="1"/>
  <c r="M142" i="80"/>
  <c r="M168" i="80" s="1"/>
  <c r="P208" i="80"/>
  <c r="P176" i="80"/>
  <c r="P177" i="80" s="1"/>
  <c r="L94" i="80"/>
  <c r="L106" i="80" s="1"/>
  <c r="L95" i="83"/>
  <c r="L183" i="83" s="1"/>
  <c r="L54" i="71" s="1"/>
  <c r="L159" i="71" s="1"/>
  <c r="L78" i="80"/>
  <c r="L90" i="80" s="1"/>
  <c r="L90" i="83"/>
  <c r="L161" i="83" s="1"/>
  <c r="L31" i="71" s="1"/>
  <c r="L136" i="71" s="1"/>
  <c r="L101" i="80"/>
  <c r="L113" i="80" s="1"/>
  <c r="L102" i="83"/>
  <c r="L190" i="83" s="1"/>
  <c r="L61" i="71" s="1"/>
  <c r="L166" i="71" s="1"/>
  <c r="L114" i="83"/>
  <c r="L219" i="83" s="1"/>
  <c r="L91" i="71" s="1"/>
  <c r="L196" i="71" s="1"/>
  <c r="L124" i="80"/>
  <c r="L136" i="80" s="1"/>
  <c r="M146" i="80"/>
  <c r="M172" i="80" s="1"/>
  <c r="M273" i="80" s="1"/>
  <c r="K171" i="80"/>
  <c r="M150" i="80"/>
  <c r="M145" i="80"/>
  <c r="M171" i="80" s="1"/>
  <c r="M272" i="80" s="1"/>
  <c r="L97" i="80"/>
  <c r="L109" i="80" s="1"/>
  <c r="L98" i="83"/>
  <c r="L186" i="83" s="1"/>
  <c r="L57" i="71" s="1"/>
  <c r="L162" i="71" s="1"/>
  <c r="L72" i="80"/>
  <c r="L84" i="80" s="1"/>
  <c r="L84" i="83"/>
  <c r="L155" i="83" s="1"/>
  <c r="L25" i="71" s="1"/>
  <c r="L130" i="71" s="1"/>
  <c r="L95" i="80"/>
  <c r="L107" i="80" s="1"/>
  <c r="L96" i="83"/>
  <c r="L184" i="83" s="1"/>
  <c r="L55" i="71" s="1"/>
  <c r="L160" i="71" s="1"/>
  <c r="L110" i="83"/>
  <c r="L215" i="83" s="1"/>
  <c r="L87" i="71" s="1"/>
  <c r="L192" i="71" s="1"/>
  <c r="L120" i="80"/>
  <c r="L132" i="80" s="1"/>
  <c r="M144" i="80"/>
  <c r="M170" i="80" s="1"/>
  <c r="M271" i="80" s="1"/>
  <c r="M147" i="80"/>
  <c r="M173" i="80" s="1"/>
  <c r="M274" i="80" s="1"/>
  <c r="L100" i="80"/>
  <c r="L112" i="80" s="1"/>
  <c r="L101" i="83"/>
  <c r="L189" i="83" s="1"/>
  <c r="L60" i="71" s="1"/>
  <c r="L165" i="71" s="1"/>
  <c r="L70" i="80"/>
  <c r="L81" i="83"/>
  <c r="L152" i="83" s="1"/>
  <c r="L82" i="83"/>
  <c r="L153" i="83" s="1"/>
  <c r="L23" i="71" s="1"/>
  <c r="L128" i="71" s="1"/>
  <c r="L96" i="80"/>
  <c r="L108" i="80" s="1"/>
  <c r="L97" i="83"/>
  <c r="L185" i="83" s="1"/>
  <c r="L56" i="71" s="1"/>
  <c r="L161" i="71" s="1"/>
  <c r="L75" i="80"/>
  <c r="L87" i="80" s="1"/>
  <c r="L87" i="83"/>
  <c r="L158" i="83" s="1"/>
  <c r="L28" i="71" s="1"/>
  <c r="L133" i="71" s="1"/>
  <c r="L117" i="80"/>
  <c r="L129" i="80" s="1"/>
  <c r="L107" i="83"/>
  <c r="L212" i="83" s="1"/>
  <c r="L84" i="71" s="1"/>
  <c r="L189" i="71" s="1"/>
  <c r="L118" i="80"/>
  <c r="L130" i="80" s="1"/>
  <c r="L108" i="83"/>
  <c r="L213" i="83" s="1"/>
  <c r="L85" i="71" s="1"/>
  <c r="L190" i="71" s="1"/>
  <c r="M143" i="80"/>
  <c r="M169" i="80" s="1"/>
  <c r="M270" i="80" s="1"/>
  <c r="M149" i="80"/>
  <c r="M175" i="80" s="1"/>
  <c r="M276" i="80" s="1"/>
  <c r="K173" i="80"/>
  <c r="K274" i="80" s="1"/>
  <c r="L93" i="83"/>
  <c r="L181" i="83" s="1"/>
  <c r="L52" i="71" s="1"/>
  <c r="L157" i="71" s="1"/>
  <c r="L93" i="80"/>
  <c r="L105" i="80" s="1"/>
  <c r="L94" i="83"/>
  <c r="L182" i="83" s="1"/>
  <c r="L53" i="71" s="1"/>
  <c r="L158" i="71" s="1"/>
  <c r="L123" i="80"/>
  <c r="L135" i="80" s="1"/>
  <c r="L113" i="83"/>
  <c r="L218" i="83" s="1"/>
  <c r="L90" i="71" s="1"/>
  <c r="L195" i="71" s="1"/>
  <c r="L116" i="80"/>
  <c r="L128" i="80" s="1"/>
  <c r="L105" i="83"/>
  <c r="L210" i="83" s="1"/>
  <c r="L82" i="71" s="1"/>
  <c r="L187" i="71" s="1"/>
  <c r="L106" i="83"/>
  <c r="L211" i="83" s="1"/>
  <c r="L83" i="71" s="1"/>
  <c r="L188" i="71" s="1"/>
  <c r="N208" i="80"/>
  <c r="N176" i="80"/>
  <c r="N177" i="80" s="1"/>
  <c r="M269" i="80"/>
  <c r="O208" i="80"/>
  <c r="O176" i="80"/>
  <c r="O177" i="80" s="1"/>
  <c r="N269" i="80"/>
  <c r="M22" i="71"/>
  <c r="M127" i="71" s="1"/>
  <c r="L83" i="83"/>
  <c r="L154" i="83" s="1"/>
  <c r="L24" i="71" s="1"/>
  <c r="L129" i="71" s="1"/>
  <c r="L71" i="80"/>
  <c r="L83" i="80" s="1"/>
  <c r="L99" i="80"/>
  <c r="L111" i="80" s="1"/>
  <c r="L100" i="83"/>
  <c r="L188" i="83" s="1"/>
  <c r="L59" i="71" s="1"/>
  <c r="L164" i="71" s="1"/>
  <c r="L122" i="80"/>
  <c r="L134" i="80" s="1"/>
  <c r="L112" i="83"/>
  <c r="L217" i="83" s="1"/>
  <c r="L89" i="71" s="1"/>
  <c r="L194" i="71" s="1"/>
  <c r="J42" i="55"/>
  <c r="A4" i="53"/>
  <c r="L74" i="80"/>
  <c r="L86" i="80" s="1"/>
  <c r="L86" i="83"/>
  <c r="L157" i="83" s="1"/>
  <c r="L27" i="71" s="1"/>
  <c r="L132" i="71" s="1"/>
  <c r="L121" i="80"/>
  <c r="L133" i="80" s="1"/>
  <c r="L111" i="83"/>
  <c r="L216" i="83" s="1"/>
  <c r="L88" i="71" s="1"/>
  <c r="L193" i="71" s="1"/>
  <c r="L85" i="83"/>
  <c r="L156" i="83" s="1"/>
  <c r="L26" i="71" s="1"/>
  <c r="L131" i="71" s="1"/>
  <c r="L73" i="80"/>
  <c r="L85" i="80" s="1"/>
  <c r="J177" i="80"/>
  <c r="J269" i="80"/>
  <c r="K208" i="80"/>
  <c r="K176" i="80"/>
  <c r="L76" i="80"/>
  <c r="L88" i="80" s="1"/>
  <c r="L88" i="83"/>
  <c r="L159" i="83" s="1"/>
  <c r="L29" i="71" s="1"/>
  <c r="L134" i="71" s="1"/>
  <c r="L119" i="80"/>
  <c r="L131" i="80" s="1"/>
  <c r="L109" i="83"/>
  <c r="L214" i="83" s="1"/>
  <c r="L86" i="71" s="1"/>
  <c r="L191" i="71" s="1"/>
  <c r="L77" i="80"/>
  <c r="L89" i="80" s="1"/>
  <c r="L89" i="83"/>
  <c r="L160" i="83" s="1"/>
  <c r="L30" i="71" s="1"/>
  <c r="L135" i="71" s="1"/>
  <c r="L99" i="83"/>
  <c r="L187" i="83" s="1"/>
  <c r="L58" i="71" s="1"/>
  <c r="L163" i="71" s="1"/>
  <c r="L98" i="80"/>
  <c r="L110" i="80" s="1"/>
  <c r="L146" i="80" l="1"/>
  <c r="L143" i="80"/>
  <c r="L22" i="71"/>
  <c r="M208" i="80"/>
  <c r="M176" i="80"/>
  <c r="M177" i="80" s="1"/>
  <c r="L172" i="80"/>
  <c r="L273" i="80" s="1"/>
  <c r="H273" i="80" s="1"/>
  <c r="H158" i="80"/>
  <c r="L82" i="80"/>
  <c r="L142" i="80" s="1"/>
  <c r="L150" i="80"/>
  <c r="K272" i="80"/>
  <c r="K177" i="80"/>
  <c r="L149" i="80"/>
  <c r="L147" i="80"/>
  <c r="L145" i="80"/>
  <c r="L144" i="80"/>
  <c r="L148" i="80"/>
  <c r="L169" i="80" l="1"/>
  <c r="L270" i="80" s="1"/>
  <c r="H270" i="80" s="1"/>
  <c r="H155" i="80"/>
  <c r="L174" i="80"/>
  <c r="L275" i="80" s="1"/>
  <c r="H275" i="80" s="1"/>
  <c r="H160" i="80"/>
  <c r="H210" i="80"/>
  <c r="H234" i="80" s="1"/>
  <c r="L175" i="80"/>
  <c r="L276" i="80" s="1"/>
  <c r="H276" i="80" s="1"/>
  <c r="H161" i="80"/>
  <c r="L170" i="80"/>
  <c r="L271" i="80" s="1"/>
  <c r="H271" i="80" s="1"/>
  <c r="H156" i="80"/>
  <c r="L171" i="80"/>
  <c r="L272" i="80" s="1"/>
  <c r="H272" i="80" s="1"/>
  <c r="H157" i="80"/>
  <c r="L208" i="80"/>
  <c r="L176" i="80"/>
  <c r="H162" i="80"/>
  <c r="L127" i="71"/>
  <c r="L173" i="80"/>
  <c r="L274" i="80" s="1"/>
  <c r="H274" i="80" s="1"/>
  <c r="H159" i="80"/>
  <c r="L168" i="80"/>
  <c r="H154" i="80"/>
  <c r="R247" i="80" l="1"/>
  <c r="S260" i="80"/>
  <c r="T247" i="80"/>
  <c r="Y247" i="80"/>
  <c r="V260" i="80"/>
  <c r="U260" i="80"/>
  <c r="Y260" i="80"/>
  <c r="R260" i="80"/>
  <c r="W260" i="80"/>
  <c r="T260" i="80"/>
  <c r="X260" i="80"/>
  <c r="U247" i="80"/>
  <c r="W247" i="80"/>
  <c r="W277" i="80" s="1"/>
  <c r="V247" i="80"/>
  <c r="S247" i="80"/>
  <c r="S277" i="80" s="1"/>
  <c r="X247" i="80"/>
  <c r="X277" i="80" s="1"/>
  <c r="H32" i="73"/>
  <c r="Q247" i="80"/>
  <c r="J247" i="80"/>
  <c r="N247" i="80"/>
  <c r="N277" i="80" s="1"/>
  <c r="L247" i="80"/>
  <c r="L260" i="80"/>
  <c r="O247" i="80"/>
  <c r="O277" i="80" s="1"/>
  <c r="K247" i="80"/>
  <c r="K277" i="80" s="1"/>
  <c r="P247" i="80"/>
  <c r="P277" i="80" s="1"/>
  <c r="M247" i="80"/>
  <c r="M277" i="80" s="1"/>
  <c r="Q260" i="80"/>
  <c r="J260" i="80"/>
  <c r="J51" i="82" a="1"/>
  <c r="L177" i="80"/>
  <c r="L269" i="80"/>
  <c r="H269" i="80" s="1"/>
  <c r="V277" i="80" l="1"/>
  <c r="L277" i="80"/>
  <c r="U277" i="80"/>
  <c r="Y277" i="80"/>
  <c r="L51" i="82"/>
  <c r="J51" i="82"/>
  <c r="N51" i="82"/>
  <c r="M51" i="82"/>
  <c r="O51" i="82"/>
  <c r="K51" i="82"/>
  <c r="J277" i="80"/>
  <c r="T277" i="80"/>
  <c r="Q277" i="80"/>
  <c r="J171" i="73"/>
  <c r="J231" i="73" s="1"/>
  <c r="L171" i="73"/>
  <c r="L231" i="73" s="1"/>
  <c r="K141" i="73"/>
  <c r="N171" i="73"/>
  <c r="N231" i="73" s="1"/>
  <c r="N141" i="73"/>
  <c r="L141" i="73"/>
  <c r="P141" i="73"/>
  <c r="M141" i="73"/>
  <c r="O141" i="73"/>
  <c r="O171" i="73"/>
  <c r="O231" i="73" s="1"/>
  <c r="P171" i="73"/>
  <c r="P231" i="73" s="1"/>
  <c r="Q171" i="73"/>
  <c r="Q231" i="73" s="1"/>
  <c r="J141" i="73"/>
  <c r="K171" i="73"/>
  <c r="K231" i="73" s="1"/>
  <c r="M171" i="73"/>
  <c r="M231" i="73" s="1"/>
  <c r="Q141" i="73"/>
  <c r="R277" i="80"/>
  <c r="K271" i="73" l="1"/>
  <c r="K34" i="74" s="1"/>
  <c r="K79" i="74" s="1"/>
  <c r="K201" i="73"/>
  <c r="O271" i="73"/>
  <c r="O34" i="74" s="1"/>
  <c r="O79" i="74" s="1"/>
  <c r="O201" i="73"/>
  <c r="Q271" i="73"/>
  <c r="Q34" i="74" s="1"/>
  <c r="Q79" i="74" s="1"/>
  <c r="Q201" i="73"/>
  <c r="P271" i="73"/>
  <c r="P34" i="74" s="1"/>
  <c r="P79" i="74" s="1"/>
  <c r="P201" i="73"/>
  <c r="M271" i="73"/>
  <c r="M34" i="74" s="1"/>
  <c r="M79" i="74" s="1"/>
  <c r="M201" i="73"/>
  <c r="L271" i="73"/>
  <c r="L34" i="74" s="1"/>
  <c r="L79" i="74" s="1"/>
  <c r="L201" i="73"/>
  <c r="J271" i="73"/>
  <c r="J34" i="74" s="1"/>
  <c r="J201" i="73"/>
  <c r="N201" i="73"/>
  <c r="N271" i="73"/>
  <c r="N34" i="74" s="1"/>
  <c r="N79" i="74" s="1"/>
  <c r="H277" i="80"/>
  <c r="H281" i="80" l="1" a="1"/>
  <c r="H281" i="80" s="1"/>
  <c r="K64" i="81" a="1"/>
  <c r="J79" i="74"/>
  <c r="M109" i="74"/>
  <c r="M141" i="74" s="1"/>
  <c r="O109" i="74"/>
  <c r="O141" i="74" s="1"/>
  <c r="R109" i="74"/>
  <c r="R141" i="74" s="1"/>
  <c r="Y109" i="74"/>
  <c r="Y141" i="74" s="1"/>
  <c r="X109" i="74"/>
  <c r="X141" i="74" s="1"/>
  <c r="S109" i="74"/>
  <c r="S141" i="74" s="1"/>
  <c r="V109" i="74"/>
  <c r="V141" i="74" s="1"/>
  <c r="U109" i="74"/>
  <c r="U141" i="74" s="1"/>
  <c r="Q109" i="74"/>
  <c r="Q141" i="74" s="1"/>
  <c r="T109" i="74"/>
  <c r="T141" i="74" s="1"/>
  <c r="K109" i="74"/>
  <c r="K141" i="74" s="1"/>
  <c r="W109" i="74"/>
  <c r="W141" i="74" s="1"/>
  <c r="P109" i="74"/>
  <c r="P141" i="74" s="1"/>
  <c r="N109" i="74"/>
  <c r="N141" i="74" s="1"/>
  <c r="J109" i="74" l="1"/>
  <c r="J141" i="74" s="1"/>
  <c r="L109" i="74"/>
  <c r="L141" i="74" s="1"/>
  <c r="P64" i="81"/>
  <c r="P67" i="81" s="1"/>
  <c r="N64" i="81"/>
  <c r="N67" i="81" s="1"/>
  <c r="K64" i="81"/>
  <c r="S64" i="81"/>
  <c r="S67" i="81" s="1"/>
  <c r="O64" i="81"/>
  <c r="O67" i="81" s="1"/>
  <c r="L64" i="81"/>
  <c r="L67" i="81" s="1"/>
  <c r="Q64" i="81"/>
  <c r="Q67" i="81" s="1"/>
  <c r="R64" i="81"/>
  <c r="R67" i="81" s="1"/>
  <c r="M64" i="81"/>
  <c r="M67" i="81" s="1"/>
  <c r="J43" i="55"/>
  <c r="A4" i="80"/>
  <c r="N73" i="81" l="1"/>
  <c r="N76" i="81" s="1"/>
  <c r="P100" i="81"/>
  <c r="P115" i="81" s="1"/>
  <c r="P73" i="81"/>
  <c r="P76" i="81" s="1"/>
  <c r="M73" i="81"/>
  <c r="M76" i="81" s="1"/>
  <c r="R73" i="81"/>
  <c r="R76" i="81" s="1"/>
  <c r="Q73" i="81"/>
  <c r="Q76" i="81" s="1"/>
  <c r="L73" i="81"/>
  <c r="L76" i="81" s="1"/>
  <c r="O73" i="81"/>
  <c r="O76" i="81" s="1"/>
  <c r="S73" i="81"/>
  <c r="S76" i="81" s="1"/>
  <c r="K67" i="81"/>
  <c r="J65" i="81"/>
  <c r="J67" i="81" s="1"/>
  <c r="J100" i="81" s="1"/>
  <c r="J115" i="81" s="1"/>
  <c r="O78" i="81" l="1"/>
  <c r="O97" i="81" s="1"/>
  <c r="O100" i="81" s="1"/>
  <c r="O115" i="81" s="1"/>
  <c r="O108" i="81"/>
  <c r="N52" i="82" s="1"/>
  <c r="M78" i="81"/>
  <c r="M97" i="81" s="1"/>
  <c r="M100" i="81" s="1"/>
  <c r="M115" i="81" s="1"/>
  <c r="M108" i="81"/>
  <c r="L52" i="82" s="1"/>
  <c r="P78" i="81"/>
  <c r="P97" i="81" s="1"/>
  <c r="P108" i="81"/>
  <c r="O52" i="82" s="1"/>
  <c r="R78" i="81"/>
  <c r="R97" i="81" s="1"/>
  <c r="R100" i="81" s="1"/>
  <c r="R115" i="81" s="1"/>
  <c r="R108" i="81"/>
  <c r="Q52" i="82" s="1"/>
  <c r="L78" i="81"/>
  <c r="L97" i="81" s="1"/>
  <c r="L100" i="81" s="1"/>
  <c r="L115" i="81" s="1"/>
  <c r="K78" i="81"/>
  <c r="L108" i="81"/>
  <c r="H123" i="81"/>
  <c r="H21" i="76" s="1"/>
  <c r="U78" i="81"/>
  <c r="U97" i="81" s="1"/>
  <c r="T78" i="81"/>
  <c r="T97" i="81" s="1"/>
  <c r="Q78" i="81"/>
  <c r="Q97" i="81" s="1"/>
  <c r="Q100" i="81" s="1"/>
  <c r="Q115" i="81" s="1"/>
  <c r="Q108" i="81"/>
  <c r="P52" i="82" s="1"/>
  <c r="N78" i="81"/>
  <c r="N97" i="81" s="1"/>
  <c r="N100" i="81" s="1"/>
  <c r="N115" i="81" s="1"/>
  <c r="N108" i="81"/>
  <c r="M52" i="82" s="1"/>
  <c r="S108" i="81"/>
  <c r="R52" i="82" s="1"/>
  <c r="S78" i="81"/>
  <c r="S97" i="81" s="1"/>
  <c r="S100" i="81" s="1"/>
  <c r="S115" i="81" s="1"/>
  <c r="H35" i="76" l="1"/>
  <c r="K97" i="81"/>
  <c r="K100" i="81" s="1"/>
  <c r="K115" i="81" s="1"/>
  <c r="H127" i="81" a="1"/>
  <c r="H127" i="81" s="1"/>
  <c r="H131" i="81" s="1"/>
  <c r="K52" i="82"/>
  <c r="H19" i="82" a="1"/>
  <c r="H23" i="82" l="1"/>
  <c r="H20" i="82"/>
  <c r="H19" i="82"/>
  <c r="H22" i="82"/>
  <c r="H21" i="82"/>
  <c r="J45" i="55"/>
  <c r="A4" i="81"/>
  <c r="H63" i="72" a="1"/>
  <c r="H30" i="83" a="1"/>
  <c r="H65" i="73" a="1"/>
  <c r="O42" i="76"/>
  <c r="O55" i="74" s="1"/>
  <c r="O156" i="74" s="1"/>
  <c r="W42" i="76"/>
  <c r="W55" i="74" s="1"/>
  <c r="W156" i="74" s="1"/>
  <c r="O43" i="76"/>
  <c r="O56" i="74" s="1"/>
  <c r="O157" i="74" s="1"/>
  <c r="M43" i="76"/>
  <c r="M56" i="74" s="1"/>
  <c r="M157" i="74" s="1"/>
  <c r="L43" i="76"/>
  <c r="L56" i="74" s="1"/>
  <c r="L157" i="74" s="1"/>
  <c r="J42" i="76"/>
  <c r="J55" i="74" s="1"/>
  <c r="J156" i="74" s="1"/>
  <c r="V43" i="76"/>
  <c r="V56" i="74" s="1"/>
  <c r="V157" i="74" s="1"/>
  <c r="S43" i="76"/>
  <c r="S56" i="74" s="1"/>
  <c r="S157" i="74" s="1"/>
  <c r="Q42" i="76"/>
  <c r="R43" i="76"/>
  <c r="R56" i="74" s="1"/>
  <c r="R157" i="74" s="1"/>
  <c r="W43" i="76"/>
  <c r="W56" i="74" s="1"/>
  <c r="W157" i="74" s="1"/>
  <c r="L42" i="76"/>
  <c r="L55" i="74" s="1"/>
  <c r="L156" i="74" s="1"/>
  <c r="N43" i="76"/>
  <c r="N56" i="74" s="1"/>
  <c r="N157" i="74" s="1"/>
  <c r="T42" i="76"/>
  <c r="T55" i="74" s="1"/>
  <c r="T156" i="74" s="1"/>
  <c r="U43" i="76"/>
  <c r="U56" i="74" s="1"/>
  <c r="U157" i="74" s="1"/>
  <c r="K43" i="76"/>
  <c r="K56" i="74" s="1"/>
  <c r="K157" i="74" s="1"/>
  <c r="Q43" i="76"/>
  <c r="V42" i="76"/>
  <c r="V55" i="74" s="1"/>
  <c r="V156" i="74" s="1"/>
  <c r="P42" i="76"/>
  <c r="P55" i="74" s="1"/>
  <c r="P156" i="74" s="1"/>
  <c r="R42" i="76"/>
  <c r="R55" i="74" s="1"/>
  <c r="R156" i="74" s="1"/>
  <c r="X43" i="76"/>
  <c r="X56" i="74" s="1"/>
  <c r="X157" i="74" s="1"/>
  <c r="Y43" i="76"/>
  <c r="Y56" i="74" s="1"/>
  <c r="Y157" i="74" s="1"/>
  <c r="X42" i="76"/>
  <c r="X55" i="74" s="1"/>
  <c r="X156" i="74" s="1"/>
  <c r="Q44" i="76"/>
  <c r="M42" i="76"/>
  <c r="M55" i="74" s="1"/>
  <c r="M156" i="74" s="1"/>
  <c r="T43" i="76"/>
  <c r="T56" i="74" s="1"/>
  <c r="T157" i="74" s="1"/>
  <c r="U42" i="76"/>
  <c r="U55" i="74" s="1"/>
  <c r="U156" i="74" s="1"/>
  <c r="J43" i="76"/>
  <c r="J56" i="74" s="1"/>
  <c r="J157" i="74" s="1"/>
  <c r="Y42" i="76"/>
  <c r="Y55" i="74" s="1"/>
  <c r="Y156" i="74" s="1"/>
  <c r="P43" i="76"/>
  <c r="P56" i="74" s="1"/>
  <c r="P157" i="74" s="1"/>
  <c r="N42" i="76"/>
  <c r="N55" i="74" s="1"/>
  <c r="N156" i="74" s="1"/>
  <c r="S42" i="76"/>
  <c r="S55" i="74" s="1"/>
  <c r="S156" i="74" s="1"/>
  <c r="K42" i="76"/>
  <c r="K55" i="74" s="1"/>
  <c r="K156" i="74" s="1"/>
  <c r="H66" i="72" l="1"/>
  <c r="H65" i="72"/>
  <c r="H63" i="72"/>
  <c r="H71" i="72"/>
  <c r="H64" i="72"/>
  <c r="H68" i="72"/>
  <c r="H70" i="72"/>
  <c r="H67" i="72"/>
  <c r="H72" i="72"/>
  <c r="H69" i="72"/>
  <c r="Q46" i="71"/>
  <c r="Q151" i="71" s="1"/>
  <c r="Q106" i="71"/>
  <c r="Q211" i="71" s="1"/>
  <c r="Q76" i="71"/>
  <c r="Q181" i="71" s="1"/>
  <c r="H48" i="76" a="1"/>
  <c r="H48" i="76" s="1"/>
  <c r="H68" i="73"/>
  <c r="H73" i="73"/>
  <c r="H72" i="73"/>
  <c r="H70" i="73"/>
  <c r="H65" i="73"/>
  <c r="H74" i="73"/>
  <c r="H67" i="73"/>
  <c r="H71" i="73"/>
  <c r="H66" i="73"/>
  <c r="H69" i="73"/>
  <c r="H30" i="83"/>
  <c r="H39" i="83"/>
  <c r="H31" i="83"/>
  <c r="H32" i="83"/>
  <c r="H34" i="83"/>
  <c r="H36" i="83"/>
  <c r="H35" i="83"/>
  <c r="H38" i="83"/>
  <c r="H37" i="83"/>
  <c r="H33" i="83"/>
  <c r="Y179" i="72" l="1"/>
  <c r="Y214" i="72" s="1"/>
  <c r="Y244" i="72" s="1"/>
  <c r="V179" i="72"/>
  <c r="V214" i="72" s="1"/>
  <c r="V244" i="72" s="1"/>
  <c r="W179" i="72"/>
  <c r="W214" i="72" s="1"/>
  <c r="W244" i="72" s="1"/>
  <c r="S179" i="72"/>
  <c r="S214" i="72" s="1"/>
  <c r="S244" i="72" s="1"/>
  <c r="R179" i="72"/>
  <c r="R214" i="72" s="1"/>
  <c r="R244" i="72" s="1"/>
  <c r="U179" i="72"/>
  <c r="U214" i="72" s="1"/>
  <c r="U244" i="72" s="1"/>
  <c r="X179" i="72"/>
  <c r="X214" i="72" s="1"/>
  <c r="X244" i="72" s="1"/>
  <c r="T179" i="72"/>
  <c r="T214" i="72" s="1"/>
  <c r="T244" i="72" s="1"/>
  <c r="J146" i="73"/>
  <c r="K146" i="73"/>
  <c r="L146" i="73"/>
  <c r="M146" i="73"/>
  <c r="L176" i="73"/>
  <c r="L236" i="73" s="1"/>
  <c r="M176" i="73"/>
  <c r="M236" i="73" s="1"/>
  <c r="Q176" i="73"/>
  <c r="Q236" i="73" s="1"/>
  <c r="O176" i="73"/>
  <c r="O236" i="73" s="1"/>
  <c r="N176" i="73"/>
  <c r="N236" i="73" s="1"/>
  <c r="P176" i="73"/>
  <c r="P236" i="73" s="1"/>
  <c r="K176" i="73"/>
  <c r="K236" i="73" s="1"/>
  <c r="N146" i="73"/>
  <c r="O146" i="73"/>
  <c r="Q146" i="73"/>
  <c r="J176" i="73"/>
  <c r="J236" i="73" s="1"/>
  <c r="P146" i="73"/>
  <c r="Y173" i="72"/>
  <c r="Y208" i="72" s="1"/>
  <c r="Y238" i="72" s="1"/>
  <c r="S173" i="72"/>
  <c r="S208" i="72" s="1"/>
  <c r="S238" i="72" s="1"/>
  <c r="X173" i="72"/>
  <c r="X208" i="72" s="1"/>
  <c r="X238" i="72" s="1"/>
  <c r="T173" i="72"/>
  <c r="T208" i="72" s="1"/>
  <c r="T238" i="72" s="1"/>
  <c r="V173" i="72"/>
  <c r="V208" i="72" s="1"/>
  <c r="V238" i="72" s="1"/>
  <c r="W173" i="72"/>
  <c r="W208" i="72" s="1"/>
  <c r="W238" i="72" s="1"/>
  <c r="R173" i="72"/>
  <c r="R208" i="72" s="1"/>
  <c r="R238" i="72" s="1"/>
  <c r="U173" i="72"/>
  <c r="U208" i="72" s="1"/>
  <c r="U238" i="72" s="1"/>
  <c r="V172" i="83"/>
  <c r="V44" i="71" s="1"/>
  <c r="V149" i="71" s="1"/>
  <c r="U143" i="83"/>
  <c r="W172" i="83"/>
  <c r="W44" i="71" s="1"/>
  <c r="W149" i="71" s="1"/>
  <c r="J172" i="83"/>
  <c r="J44" i="71" s="1"/>
  <c r="J149" i="71" s="1"/>
  <c r="T143" i="83"/>
  <c r="W143" i="83"/>
  <c r="P172" i="83"/>
  <c r="P44" i="71" s="1"/>
  <c r="P149" i="71" s="1"/>
  <c r="K143" i="83"/>
  <c r="K145" i="72" s="1"/>
  <c r="K215" i="72" s="1"/>
  <c r="K245" i="72" s="1"/>
  <c r="V201" i="83"/>
  <c r="V74" i="71" s="1"/>
  <c r="V179" i="71" s="1"/>
  <c r="K172" i="83"/>
  <c r="K44" i="71" s="1"/>
  <c r="K149" i="71" s="1"/>
  <c r="X201" i="83"/>
  <c r="X74" i="71" s="1"/>
  <c r="X179" i="71" s="1"/>
  <c r="Y201" i="83"/>
  <c r="Y74" i="71" s="1"/>
  <c r="Y179" i="71" s="1"/>
  <c r="Y230" i="83"/>
  <c r="Y104" i="71" s="1"/>
  <c r="Y209" i="71" s="1"/>
  <c r="L143" i="83"/>
  <c r="L145" i="72" s="1"/>
  <c r="L215" i="72" s="1"/>
  <c r="L245" i="72" s="1"/>
  <c r="U172" i="83"/>
  <c r="U44" i="71" s="1"/>
  <c r="U149" i="71" s="1"/>
  <c r="T172" i="83"/>
  <c r="T44" i="71" s="1"/>
  <c r="T149" i="71" s="1"/>
  <c r="J230" i="83"/>
  <c r="J104" i="71" s="1"/>
  <c r="J209" i="71" s="1"/>
  <c r="S230" i="83"/>
  <c r="S104" i="71" s="1"/>
  <c r="S209" i="71" s="1"/>
  <c r="S172" i="83"/>
  <c r="S44" i="71" s="1"/>
  <c r="S149" i="71" s="1"/>
  <c r="R143" i="83"/>
  <c r="W230" i="83"/>
  <c r="W104" i="71" s="1"/>
  <c r="W209" i="71" s="1"/>
  <c r="Y143" i="83"/>
  <c r="K201" i="83"/>
  <c r="K74" i="71" s="1"/>
  <c r="K179" i="71" s="1"/>
  <c r="S143" i="83"/>
  <c r="T230" i="83"/>
  <c r="T104" i="71" s="1"/>
  <c r="T209" i="71" s="1"/>
  <c r="U230" i="83"/>
  <c r="U104" i="71" s="1"/>
  <c r="U209" i="71" s="1"/>
  <c r="N201" i="83"/>
  <c r="N74" i="71" s="1"/>
  <c r="N179" i="71" s="1"/>
  <c r="N172" i="83"/>
  <c r="N44" i="71" s="1"/>
  <c r="N149" i="71" s="1"/>
  <c r="P230" i="83"/>
  <c r="P104" i="71" s="1"/>
  <c r="P209" i="71" s="1"/>
  <c r="L172" i="83"/>
  <c r="L44" i="71" s="1"/>
  <c r="L149" i="71" s="1"/>
  <c r="X143" i="83"/>
  <c r="V143" i="83"/>
  <c r="X172" i="83"/>
  <c r="X44" i="71" s="1"/>
  <c r="X149" i="71" s="1"/>
  <c r="L230" i="83"/>
  <c r="L104" i="71" s="1"/>
  <c r="L209" i="71" s="1"/>
  <c r="Q201" i="83"/>
  <c r="Q74" i="71" s="1"/>
  <c r="Q179" i="71" s="1"/>
  <c r="Q172" i="83"/>
  <c r="Q44" i="71" s="1"/>
  <c r="Q149" i="71" s="1"/>
  <c r="U201" i="83"/>
  <c r="U74" i="71" s="1"/>
  <c r="U179" i="71" s="1"/>
  <c r="O230" i="83"/>
  <c r="O104" i="71" s="1"/>
  <c r="O209" i="71" s="1"/>
  <c r="O172" i="83"/>
  <c r="O44" i="71" s="1"/>
  <c r="O149" i="71" s="1"/>
  <c r="J201" i="83"/>
  <c r="J74" i="71" s="1"/>
  <c r="J179" i="71" s="1"/>
  <c r="Q230" i="83"/>
  <c r="Q104" i="71" s="1"/>
  <c r="Q209" i="71" s="1"/>
  <c r="S201" i="83"/>
  <c r="S74" i="71" s="1"/>
  <c r="S179" i="71" s="1"/>
  <c r="Y172" i="83"/>
  <c r="Y44" i="71" s="1"/>
  <c r="Y149" i="71" s="1"/>
  <c r="M201" i="83"/>
  <c r="M74" i="71" s="1"/>
  <c r="M179" i="71" s="1"/>
  <c r="L201" i="83"/>
  <c r="L74" i="71" s="1"/>
  <c r="L179" i="71" s="1"/>
  <c r="X230" i="83"/>
  <c r="X104" i="71" s="1"/>
  <c r="X209" i="71" s="1"/>
  <c r="N143" i="83"/>
  <c r="N145" i="72" s="1"/>
  <c r="N215" i="72" s="1"/>
  <c r="N245" i="72" s="1"/>
  <c r="V230" i="83"/>
  <c r="V104" i="71" s="1"/>
  <c r="V209" i="71" s="1"/>
  <c r="O201" i="83"/>
  <c r="O74" i="71" s="1"/>
  <c r="O179" i="71" s="1"/>
  <c r="K230" i="83"/>
  <c r="K104" i="71" s="1"/>
  <c r="K209" i="71" s="1"/>
  <c r="N230" i="83"/>
  <c r="N104" i="71" s="1"/>
  <c r="N209" i="71" s="1"/>
  <c r="M230" i="83"/>
  <c r="M104" i="71" s="1"/>
  <c r="M209" i="71" s="1"/>
  <c r="R172" i="83"/>
  <c r="R44" i="71" s="1"/>
  <c r="R149" i="71" s="1"/>
  <c r="P201" i="83"/>
  <c r="P74" i="71" s="1"/>
  <c r="P179" i="71" s="1"/>
  <c r="M143" i="83"/>
  <c r="M145" i="72" s="1"/>
  <c r="M215" i="72" s="1"/>
  <c r="M245" i="72" s="1"/>
  <c r="W201" i="83"/>
  <c r="W74" i="71" s="1"/>
  <c r="W179" i="71" s="1"/>
  <c r="Q143" i="83"/>
  <c r="Q145" i="72" s="1"/>
  <c r="Q215" i="72" s="1"/>
  <c r="Q245" i="72" s="1"/>
  <c r="P143" i="83"/>
  <c r="P145" i="72" s="1"/>
  <c r="P215" i="72" s="1"/>
  <c r="P245" i="72" s="1"/>
  <c r="O143" i="83"/>
  <c r="O145" i="72" s="1"/>
  <c r="O215" i="72" s="1"/>
  <c r="O245" i="72" s="1"/>
  <c r="M172" i="83"/>
  <c r="M44" i="71" s="1"/>
  <c r="M149" i="71" s="1"/>
  <c r="J143" i="83"/>
  <c r="J145" i="72" s="1"/>
  <c r="J215" i="72" s="1"/>
  <c r="J245" i="72" s="1"/>
  <c r="T201" i="83"/>
  <c r="T74" i="71" s="1"/>
  <c r="T179" i="71" s="1"/>
  <c r="R201" i="83"/>
  <c r="R74" i="71" s="1"/>
  <c r="R179" i="71" s="1"/>
  <c r="R230" i="83"/>
  <c r="R104" i="71" s="1"/>
  <c r="R209" i="71" s="1"/>
  <c r="J185" i="73"/>
  <c r="J245" i="73" s="1"/>
  <c r="M155" i="73"/>
  <c r="O185" i="73"/>
  <c r="O245" i="73" s="1"/>
  <c r="N155" i="73"/>
  <c r="Q155" i="73"/>
  <c r="Q185" i="73"/>
  <c r="Q245" i="73" s="1"/>
  <c r="K155" i="73"/>
  <c r="K185" i="73"/>
  <c r="K245" i="73" s="1"/>
  <c r="N185" i="73"/>
  <c r="N245" i="73" s="1"/>
  <c r="L185" i="73"/>
  <c r="L245" i="73" s="1"/>
  <c r="P155" i="73"/>
  <c r="P185" i="73"/>
  <c r="P245" i="73" s="1"/>
  <c r="L155" i="73"/>
  <c r="J155" i="73"/>
  <c r="O155" i="73"/>
  <c r="M185" i="73"/>
  <c r="M245" i="73" s="1"/>
  <c r="W177" i="72"/>
  <c r="W212" i="72" s="1"/>
  <c r="W242" i="72" s="1"/>
  <c r="U177" i="72"/>
  <c r="U212" i="72" s="1"/>
  <c r="U242" i="72" s="1"/>
  <c r="X177" i="72"/>
  <c r="X212" i="72" s="1"/>
  <c r="X242" i="72" s="1"/>
  <c r="R177" i="72"/>
  <c r="R212" i="72" s="1"/>
  <c r="R242" i="72" s="1"/>
  <c r="Y177" i="72"/>
  <c r="Y212" i="72" s="1"/>
  <c r="Y242" i="72" s="1"/>
  <c r="T177" i="72"/>
  <c r="T212" i="72" s="1"/>
  <c r="T242" i="72" s="1"/>
  <c r="S177" i="72"/>
  <c r="S212" i="72" s="1"/>
  <c r="S242" i="72" s="1"/>
  <c r="V177" i="72"/>
  <c r="V212" i="72" s="1"/>
  <c r="V242" i="72" s="1"/>
  <c r="W228" i="83"/>
  <c r="W102" i="71" s="1"/>
  <c r="W207" i="71" s="1"/>
  <c r="Q199" i="83"/>
  <c r="Q72" i="71" s="1"/>
  <c r="Q177" i="71" s="1"/>
  <c r="V228" i="83"/>
  <c r="V102" i="71" s="1"/>
  <c r="V207" i="71" s="1"/>
  <c r="X199" i="83"/>
  <c r="X72" i="71" s="1"/>
  <c r="X177" i="71" s="1"/>
  <c r="X141" i="83"/>
  <c r="P228" i="83"/>
  <c r="P102" i="71" s="1"/>
  <c r="P207" i="71" s="1"/>
  <c r="M141" i="83"/>
  <c r="M143" i="72" s="1"/>
  <c r="M213" i="72" s="1"/>
  <c r="M243" i="72" s="1"/>
  <c r="P170" i="83"/>
  <c r="P42" i="71" s="1"/>
  <c r="P147" i="71" s="1"/>
  <c r="L199" i="83"/>
  <c r="L72" i="71" s="1"/>
  <c r="L177" i="71" s="1"/>
  <c r="R170" i="83"/>
  <c r="R42" i="71" s="1"/>
  <c r="R147" i="71" s="1"/>
  <c r="U228" i="83"/>
  <c r="U102" i="71" s="1"/>
  <c r="U207" i="71" s="1"/>
  <c r="N170" i="83"/>
  <c r="N42" i="71" s="1"/>
  <c r="N147" i="71" s="1"/>
  <c r="R141" i="83"/>
  <c r="L228" i="83"/>
  <c r="L102" i="71" s="1"/>
  <c r="L207" i="71" s="1"/>
  <c r="K199" i="83"/>
  <c r="K72" i="71" s="1"/>
  <c r="K177" i="71" s="1"/>
  <c r="K228" i="83"/>
  <c r="K102" i="71" s="1"/>
  <c r="K207" i="71" s="1"/>
  <c r="N228" i="83"/>
  <c r="N102" i="71" s="1"/>
  <c r="N207" i="71" s="1"/>
  <c r="S228" i="83"/>
  <c r="S102" i="71" s="1"/>
  <c r="S207" i="71" s="1"/>
  <c r="R199" i="83"/>
  <c r="R72" i="71" s="1"/>
  <c r="R177" i="71" s="1"/>
  <c r="U170" i="83"/>
  <c r="U42" i="71" s="1"/>
  <c r="U147" i="71" s="1"/>
  <c r="L141" i="83"/>
  <c r="L143" i="72" s="1"/>
  <c r="L213" i="72" s="1"/>
  <c r="L243" i="72" s="1"/>
  <c r="S141" i="83"/>
  <c r="O228" i="83"/>
  <c r="O102" i="71" s="1"/>
  <c r="O207" i="71" s="1"/>
  <c r="J199" i="83"/>
  <c r="J72" i="71" s="1"/>
  <c r="J177" i="71" s="1"/>
  <c r="Q228" i="83"/>
  <c r="Q102" i="71" s="1"/>
  <c r="Q207" i="71" s="1"/>
  <c r="P141" i="83"/>
  <c r="P143" i="72" s="1"/>
  <c r="P213" i="72" s="1"/>
  <c r="P243" i="72" s="1"/>
  <c r="Y170" i="83"/>
  <c r="Y42" i="71" s="1"/>
  <c r="Y147" i="71" s="1"/>
  <c r="Y141" i="83"/>
  <c r="T228" i="83"/>
  <c r="T102" i="71" s="1"/>
  <c r="T207" i="71" s="1"/>
  <c r="T199" i="83"/>
  <c r="T72" i="71" s="1"/>
  <c r="T177" i="71" s="1"/>
  <c r="J170" i="83"/>
  <c r="J42" i="71" s="1"/>
  <c r="J147" i="71" s="1"/>
  <c r="X170" i="83"/>
  <c r="X42" i="71" s="1"/>
  <c r="X147" i="71" s="1"/>
  <c r="U141" i="83"/>
  <c r="Q141" i="83"/>
  <c r="Q143" i="72" s="1"/>
  <c r="Q213" i="72" s="1"/>
  <c r="Q243" i="72" s="1"/>
  <c r="N141" i="83"/>
  <c r="N143" i="72" s="1"/>
  <c r="N213" i="72" s="1"/>
  <c r="N243" i="72" s="1"/>
  <c r="N199" i="83"/>
  <c r="N72" i="71" s="1"/>
  <c r="N177" i="71" s="1"/>
  <c r="V141" i="83"/>
  <c r="K170" i="83"/>
  <c r="K42" i="71" s="1"/>
  <c r="K147" i="71" s="1"/>
  <c r="M170" i="83"/>
  <c r="M42" i="71" s="1"/>
  <c r="M147" i="71" s="1"/>
  <c r="V170" i="83"/>
  <c r="V42" i="71" s="1"/>
  <c r="V147" i="71" s="1"/>
  <c r="W170" i="83"/>
  <c r="W42" i="71" s="1"/>
  <c r="W147" i="71" s="1"/>
  <c r="W141" i="83"/>
  <c r="Y228" i="83"/>
  <c r="Y102" i="71" s="1"/>
  <c r="Y207" i="71" s="1"/>
  <c r="O141" i="83"/>
  <c r="O143" i="72" s="1"/>
  <c r="O213" i="72" s="1"/>
  <c r="O243" i="72" s="1"/>
  <c r="T141" i="83"/>
  <c r="J228" i="83"/>
  <c r="J102" i="71" s="1"/>
  <c r="J207" i="71" s="1"/>
  <c r="X228" i="83"/>
  <c r="X102" i="71" s="1"/>
  <c r="X207" i="71" s="1"/>
  <c r="W199" i="83"/>
  <c r="W72" i="71" s="1"/>
  <c r="W177" i="71" s="1"/>
  <c r="P199" i="83"/>
  <c r="P72" i="71" s="1"/>
  <c r="P177" i="71" s="1"/>
  <c r="V199" i="83"/>
  <c r="V72" i="71" s="1"/>
  <c r="V177" i="71" s="1"/>
  <c r="O170" i="83"/>
  <c r="O42" i="71" s="1"/>
  <c r="O147" i="71" s="1"/>
  <c r="U199" i="83"/>
  <c r="U72" i="71" s="1"/>
  <c r="U177" i="71" s="1"/>
  <c r="S170" i="83"/>
  <c r="S42" i="71" s="1"/>
  <c r="S147" i="71" s="1"/>
  <c r="R228" i="83"/>
  <c r="R102" i="71" s="1"/>
  <c r="R207" i="71" s="1"/>
  <c r="O199" i="83"/>
  <c r="O72" i="71" s="1"/>
  <c r="O177" i="71" s="1"/>
  <c r="M199" i="83"/>
  <c r="M72" i="71" s="1"/>
  <c r="M177" i="71" s="1"/>
  <c r="K141" i="83"/>
  <c r="K143" i="72" s="1"/>
  <c r="K213" i="72" s="1"/>
  <c r="K243" i="72" s="1"/>
  <c r="S199" i="83"/>
  <c r="S72" i="71" s="1"/>
  <c r="S177" i="71" s="1"/>
  <c r="Q170" i="83"/>
  <c r="Q42" i="71" s="1"/>
  <c r="Q147" i="71" s="1"/>
  <c r="M228" i="83"/>
  <c r="M102" i="71" s="1"/>
  <c r="M207" i="71" s="1"/>
  <c r="L170" i="83"/>
  <c r="L42" i="71" s="1"/>
  <c r="L147" i="71" s="1"/>
  <c r="Y199" i="83"/>
  <c r="Y72" i="71" s="1"/>
  <c r="Y177" i="71" s="1"/>
  <c r="T170" i="83"/>
  <c r="T42" i="71" s="1"/>
  <c r="T147" i="71" s="1"/>
  <c r="J141" i="83"/>
  <c r="J143" i="72" s="1"/>
  <c r="J213" i="72" s="1"/>
  <c r="J243" i="72" s="1"/>
  <c r="T180" i="72"/>
  <c r="T215" i="72" s="1"/>
  <c r="T245" i="72" s="1"/>
  <c r="V180" i="72"/>
  <c r="V215" i="72" s="1"/>
  <c r="V245" i="72" s="1"/>
  <c r="W180" i="72"/>
  <c r="W215" i="72" s="1"/>
  <c r="W245" i="72" s="1"/>
  <c r="U180" i="72"/>
  <c r="U215" i="72" s="1"/>
  <c r="U245" i="72" s="1"/>
  <c r="Y180" i="72"/>
  <c r="Y215" i="72" s="1"/>
  <c r="Y245" i="72" s="1"/>
  <c r="R180" i="72"/>
  <c r="R215" i="72" s="1"/>
  <c r="R245" i="72" s="1"/>
  <c r="S180" i="72"/>
  <c r="S215" i="72" s="1"/>
  <c r="S245" i="72" s="1"/>
  <c r="X180" i="72"/>
  <c r="X215" i="72" s="1"/>
  <c r="X245" i="72" s="1"/>
  <c r="O169" i="83"/>
  <c r="O41" i="71" s="1"/>
  <c r="O146" i="71" s="1"/>
  <c r="S140" i="83"/>
  <c r="Y140" i="83"/>
  <c r="N198" i="83"/>
  <c r="N71" i="71" s="1"/>
  <c r="N176" i="71" s="1"/>
  <c r="R140" i="83"/>
  <c r="X169" i="83"/>
  <c r="X41" i="71" s="1"/>
  <c r="X146" i="71" s="1"/>
  <c r="N227" i="83"/>
  <c r="N101" i="71" s="1"/>
  <c r="N206" i="71" s="1"/>
  <c r="K140" i="83"/>
  <c r="K142" i="72" s="1"/>
  <c r="K212" i="72" s="1"/>
  <c r="K242" i="72" s="1"/>
  <c r="W227" i="83"/>
  <c r="W101" i="71" s="1"/>
  <c r="W206" i="71" s="1"/>
  <c r="Y198" i="83"/>
  <c r="Y71" i="71" s="1"/>
  <c r="Y176" i="71" s="1"/>
  <c r="M140" i="83"/>
  <c r="M142" i="72" s="1"/>
  <c r="M212" i="72" s="1"/>
  <c r="M242" i="72" s="1"/>
  <c r="R227" i="83"/>
  <c r="R101" i="71" s="1"/>
  <c r="R206" i="71" s="1"/>
  <c r="T140" i="83"/>
  <c r="P198" i="83"/>
  <c r="P71" i="71" s="1"/>
  <c r="P176" i="71" s="1"/>
  <c r="P227" i="83"/>
  <c r="P101" i="71" s="1"/>
  <c r="P206" i="71" s="1"/>
  <c r="M227" i="83"/>
  <c r="M101" i="71" s="1"/>
  <c r="M206" i="71" s="1"/>
  <c r="Y227" i="83"/>
  <c r="Y101" i="71" s="1"/>
  <c r="Y206" i="71" s="1"/>
  <c r="N169" i="83"/>
  <c r="N41" i="71" s="1"/>
  <c r="N146" i="71" s="1"/>
  <c r="S169" i="83"/>
  <c r="S41" i="71" s="1"/>
  <c r="S146" i="71" s="1"/>
  <c r="Y169" i="83"/>
  <c r="Y41" i="71" s="1"/>
  <c r="Y146" i="71" s="1"/>
  <c r="P140" i="83"/>
  <c r="P142" i="72" s="1"/>
  <c r="P212" i="72" s="1"/>
  <c r="P242" i="72" s="1"/>
  <c r="J140" i="83"/>
  <c r="J142" i="72" s="1"/>
  <c r="J212" i="72" s="1"/>
  <c r="J242" i="72" s="1"/>
  <c r="R198" i="83"/>
  <c r="R71" i="71" s="1"/>
  <c r="R176" i="71" s="1"/>
  <c r="O140" i="83"/>
  <c r="O142" i="72" s="1"/>
  <c r="O212" i="72" s="1"/>
  <c r="O242" i="72" s="1"/>
  <c r="L227" i="83"/>
  <c r="L101" i="71" s="1"/>
  <c r="L206" i="71" s="1"/>
  <c r="T198" i="83"/>
  <c r="T71" i="71" s="1"/>
  <c r="T176" i="71" s="1"/>
  <c r="W140" i="83"/>
  <c r="J198" i="83"/>
  <c r="J71" i="71" s="1"/>
  <c r="J176" i="71" s="1"/>
  <c r="T169" i="83"/>
  <c r="T41" i="71" s="1"/>
  <c r="T146" i="71" s="1"/>
  <c r="R169" i="83"/>
  <c r="R41" i="71" s="1"/>
  <c r="R146" i="71" s="1"/>
  <c r="T227" i="83"/>
  <c r="T101" i="71" s="1"/>
  <c r="T206" i="71" s="1"/>
  <c r="O198" i="83"/>
  <c r="O71" i="71" s="1"/>
  <c r="O176" i="71" s="1"/>
  <c r="M198" i="83"/>
  <c r="M71" i="71" s="1"/>
  <c r="M176" i="71" s="1"/>
  <c r="Q198" i="83"/>
  <c r="Q71" i="71" s="1"/>
  <c r="Q176" i="71" s="1"/>
  <c r="J227" i="83"/>
  <c r="J101" i="71" s="1"/>
  <c r="J206" i="71" s="1"/>
  <c r="X227" i="83"/>
  <c r="X101" i="71" s="1"/>
  <c r="X206" i="71" s="1"/>
  <c r="P169" i="83"/>
  <c r="P41" i="71" s="1"/>
  <c r="P146" i="71" s="1"/>
  <c r="W169" i="83"/>
  <c r="W41" i="71" s="1"/>
  <c r="W146" i="71" s="1"/>
  <c r="Q227" i="83"/>
  <c r="Q101" i="71" s="1"/>
  <c r="Q206" i="71" s="1"/>
  <c r="U169" i="83"/>
  <c r="U41" i="71" s="1"/>
  <c r="U146" i="71" s="1"/>
  <c r="L198" i="83"/>
  <c r="L71" i="71" s="1"/>
  <c r="L176" i="71" s="1"/>
  <c r="L169" i="83"/>
  <c r="L41" i="71" s="1"/>
  <c r="L146" i="71" s="1"/>
  <c r="X140" i="83"/>
  <c r="U227" i="83"/>
  <c r="U101" i="71" s="1"/>
  <c r="U206" i="71" s="1"/>
  <c r="K227" i="83"/>
  <c r="K101" i="71" s="1"/>
  <c r="K206" i="71" s="1"/>
  <c r="U198" i="83"/>
  <c r="U71" i="71" s="1"/>
  <c r="U176" i="71" s="1"/>
  <c r="Q140" i="83"/>
  <c r="Q142" i="72" s="1"/>
  <c r="Q212" i="72" s="1"/>
  <c r="Q242" i="72" s="1"/>
  <c r="V140" i="83"/>
  <c r="M169" i="83"/>
  <c r="M41" i="71" s="1"/>
  <c r="M146" i="71" s="1"/>
  <c r="V227" i="83"/>
  <c r="V101" i="71" s="1"/>
  <c r="V206" i="71" s="1"/>
  <c r="X198" i="83"/>
  <c r="X71" i="71" s="1"/>
  <c r="X176" i="71" s="1"/>
  <c r="U140" i="83"/>
  <c r="V198" i="83"/>
  <c r="V71" i="71" s="1"/>
  <c r="V176" i="71" s="1"/>
  <c r="V169" i="83"/>
  <c r="V41" i="71" s="1"/>
  <c r="V146" i="71" s="1"/>
  <c r="O227" i="83"/>
  <c r="O101" i="71" s="1"/>
  <c r="O206" i="71" s="1"/>
  <c r="J169" i="83"/>
  <c r="J41" i="71" s="1"/>
  <c r="J146" i="71" s="1"/>
  <c r="Q169" i="83"/>
  <c r="Q41" i="71" s="1"/>
  <c r="Q146" i="71" s="1"/>
  <c r="N140" i="83"/>
  <c r="N142" i="72" s="1"/>
  <c r="N212" i="72" s="1"/>
  <c r="N242" i="72" s="1"/>
  <c r="K169" i="83"/>
  <c r="K41" i="71" s="1"/>
  <c r="K146" i="71" s="1"/>
  <c r="S198" i="83"/>
  <c r="S71" i="71" s="1"/>
  <c r="S176" i="71" s="1"/>
  <c r="K198" i="83"/>
  <c r="K71" i="71" s="1"/>
  <c r="K176" i="71" s="1"/>
  <c r="S227" i="83"/>
  <c r="S101" i="71" s="1"/>
  <c r="S206" i="71" s="1"/>
  <c r="W198" i="83"/>
  <c r="W71" i="71" s="1"/>
  <c r="W176" i="71" s="1"/>
  <c r="L140" i="83"/>
  <c r="L142" i="72" s="1"/>
  <c r="L212" i="72" s="1"/>
  <c r="L242" i="72" s="1"/>
  <c r="O181" i="73"/>
  <c r="O241" i="73" s="1"/>
  <c r="N181" i="73"/>
  <c r="N241" i="73" s="1"/>
  <c r="J181" i="73"/>
  <c r="J241" i="73" s="1"/>
  <c r="P181" i="73"/>
  <c r="P241" i="73" s="1"/>
  <c r="M181" i="73"/>
  <c r="M241" i="73" s="1"/>
  <c r="Q181" i="73"/>
  <c r="Q241" i="73" s="1"/>
  <c r="K181" i="73"/>
  <c r="K241" i="73" s="1"/>
  <c r="J151" i="73"/>
  <c r="M151" i="73"/>
  <c r="L151" i="73"/>
  <c r="O151" i="73"/>
  <c r="Q151" i="73"/>
  <c r="K151" i="73"/>
  <c r="P151" i="73"/>
  <c r="L181" i="73"/>
  <c r="L241" i="73" s="1"/>
  <c r="N151" i="73"/>
  <c r="K153" i="73"/>
  <c r="P153" i="73"/>
  <c r="O153" i="73"/>
  <c r="J183" i="73"/>
  <c r="J243" i="73" s="1"/>
  <c r="K183" i="73"/>
  <c r="K243" i="73" s="1"/>
  <c r="Q183" i="73"/>
  <c r="Q243" i="73" s="1"/>
  <c r="Q153" i="73"/>
  <c r="J153" i="73"/>
  <c r="L183" i="73"/>
  <c r="L243" i="73" s="1"/>
  <c r="M153" i="73"/>
  <c r="N183" i="73"/>
  <c r="N243" i="73" s="1"/>
  <c r="N153" i="73"/>
  <c r="O183" i="73"/>
  <c r="O243" i="73" s="1"/>
  <c r="M183" i="73"/>
  <c r="M243" i="73" s="1"/>
  <c r="L153" i="73"/>
  <c r="P183" i="73"/>
  <c r="P243" i="73" s="1"/>
  <c r="X166" i="83"/>
  <c r="X38" i="71" s="1"/>
  <c r="X143" i="71" s="1"/>
  <c r="S137" i="83"/>
  <c r="M137" i="83"/>
  <c r="M139" i="72" s="1"/>
  <c r="M209" i="72" s="1"/>
  <c r="M239" i="72" s="1"/>
  <c r="U224" i="83"/>
  <c r="U98" i="71" s="1"/>
  <c r="U203" i="71" s="1"/>
  <c r="X137" i="83"/>
  <c r="Q166" i="83"/>
  <c r="Q38" i="71" s="1"/>
  <c r="Q143" i="71" s="1"/>
  <c r="Y137" i="83"/>
  <c r="V137" i="83"/>
  <c r="M224" i="83"/>
  <c r="M98" i="71" s="1"/>
  <c r="M203" i="71" s="1"/>
  <c r="K137" i="83"/>
  <c r="K139" i="72" s="1"/>
  <c r="K209" i="72" s="1"/>
  <c r="K239" i="72" s="1"/>
  <c r="P137" i="83"/>
  <c r="P139" i="72" s="1"/>
  <c r="P209" i="72" s="1"/>
  <c r="P239" i="72" s="1"/>
  <c r="R137" i="83"/>
  <c r="N224" i="83"/>
  <c r="N98" i="71" s="1"/>
  <c r="N203" i="71" s="1"/>
  <c r="S166" i="83"/>
  <c r="S38" i="71" s="1"/>
  <c r="S143" i="71" s="1"/>
  <c r="L166" i="83"/>
  <c r="L38" i="71" s="1"/>
  <c r="L143" i="71" s="1"/>
  <c r="O166" i="83"/>
  <c r="O38" i="71" s="1"/>
  <c r="O143" i="71" s="1"/>
  <c r="W195" i="83"/>
  <c r="W68" i="71" s="1"/>
  <c r="W173" i="71" s="1"/>
  <c r="Y224" i="83"/>
  <c r="Y98" i="71" s="1"/>
  <c r="Y203" i="71" s="1"/>
  <c r="P224" i="83"/>
  <c r="P98" i="71" s="1"/>
  <c r="P203" i="71" s="1"/>
  <c r="Q224" i="83"/>
  <c r="Q98" i="71" s="1"/>
  <c r="Q203" i="71" s="1"/>
  <c r="R195" i="83"/>
  <c r="R68" i="71" s="1"/>
  <c r="R173" i="71" s="1"/>
  <c r="Y195" i="83"/>
  <c r="Y68" i="71" s="1"/>
  <c r="Y173" i="71" s="1"/>
  <c r="V195" i="83"/>
  <c r="V68" i="71" s="1"/>
  <c r="V173" i="71" s="1"/>
  <c r="J224" i="83"/>
  <c r="J98" i="71" s="1"/>
  <c r="J203" i="71" s="1"/>
  <c r="X224" i="83"/>
  <c r="X98" i="71" s="1"/>
  <c r="X203" i="71" s="1"/>
  <c r="T195" i="83"/>
  <c r="T68" i="71" s="1"/>
  <c r="T173" i="71" s="1"/>
  <c r="O195" i="83"/>
  <c r="O68" i="71" s="1"/>
  <c r="O173" i="71" s="1"/>
  <c r="K224" i="83"/>
  <c r="K98" i="71" s="1"/>
  <c r="K203" i="71" s="1"/>
  <c r="V166" i="83"/>
  <c r="V38" i="71" s="1"/>
  <c r="V143" i="71" s="1"/>
  <c r="S224" i="83"/>
  <c r="S98" i="71" s="1"/>
  <c r="S203" i="71" s="1"/>
  <c r="Q137" i="83"/>
  <c r="Q139" i="72" s="1"/>
  <c r="Q209" i="72" s="1"/>
  <c r="Q239" i="72" s="1"/>
  <c r="U195" i="83"/>
  <c r="U68" i="71" s="1"/>
  <c r="U173" i="71" s="1"/>
  <c r="Q195" i="83"/>
  <c r="Q68" i="71" s="1"/>
  <c r="Q173" i="71" s="1"/>
  <c r="T137" i="83"/>
  <c r="L195" i="83"/>
  <c r="L68" i="71" s="1"/>
  <c r="L173" i="71" s="1"/>
  <c r="R224" i="83"/>
  <c r="R98" i="71" s="1"/>
  <c r="R203" i="71" s="1"/>
  <c r="J195" i="83"/>
  <c r="J68" i="71" s="1"/>
  <c r="J173" i="71" s="1"/>
  <c r="U137" i="83"/>
  <c r="M166" i="83"/>
  <c r="M38" i="71" s="1"/>
  <c r="M143" i="71" s="1"/>
  <c r="P166" i="83"/>
  <c r="P38" i="71" s="1"/>
  <c r="P143" i="71" s="1"/>
  <c r="P195" i="83"/>
  <c r="P68" i="71" s="1"/>
  <c r="P173" i="71" s="1"/>
  <c r="M195" i="83"/>
  <c r="M68" i="71" s="1"/>
  <c r="M173" i="71" s="1"/>
  <c r="W137" i="83"/>
  <c r="L224" i="83"/>
  <c r="L98" i="71" s="1"/>
  <c r="L203" i="71" s="1"/>
  <c r="X195" i="83"/>
  <c r="X68" i="71" s="1"/>
  <c r="X173" i="71" s="1"/>
  <c r="W224" i="83"/>
  <c r="W98" i="71" s="1"/>
  <c r="W203" i="71" s="1"/>
  <c r="T166" i="83"/>
  <c r="T38" i="71" s="1"/>
  <c r="T143" i="71" s="1"/>
  <c r="K195" i="83"/>
  <c r="K68" i="71" s="1"/>
  <c r="K173" i="71" s="1"/>
  <c r="T224" i="83"/>
  <c r="T98" i="71" s="1"/>
  <c r="T203" i="71" s="1"/>
  <c r="K166" i="83"/>
  <c r="K38" i="71" s="1"/>
  <c r="K143" i="71" s="1"/>
  <c r="N166" i="83"/>
  <c r="N38" i="71" s="1"/>
  <c r="N143" i="71" s="1"/>
  <c r="O137" i="83"/>
  <c r="O139" i="72" s="1"/>
  <c r="O209" i="72" s="1"/>
  <c r="O239" i="72" s="1"/>
  <c r="R166" i="83"/>
  <c r="R38" i="71" s="1"/>
  <c r="R143" i="71" s="1"/>
  <c r="J166" i="83"/>
  <c r="J38" i="71" s="1"/>
  <c r="J143" i="71" s="1"/>
  <c r="Y166" i="83"/>
  <c r="Y38" i="71" s="1"/>
  <c r="Y143" i="71" s="1"/>
  <c r="V224" i="83"/>
  <c r="V98" i="71" s="1"/>
  <c r="V203" i="71" s="1"/>
  <c r="O224" i="83"/>
  <c r="O98" i="71" s="1"/>
  <c r="O203" i="71" s="1"/>
  <c r="S195" i="83"/>
  <c r="S68" i="71" s="1"/>
  <c r="S173" i="71" s="1"/>
  <c r="N137" i="83"/>
  <c r="N139" i="72" s="1"/>
  <c r="N209" i="72" s="1"/>
  <c r="N239" i="72" s="1"/>
  <c r="U166" i="83"/>
  <c r="U38" i="71" s="1"/>
  <c r="U143" i="71" s="1"/>
  <c r="N195" i="83"/>
  <c r="N68" i="71" s="1"/>
  <c r="N173" i="71" s="1"/>
  <c r="L137" i="83"/>
  <c r="L139" i="72" s="1"/>
  <c r="L209" i="72" s="1"/>
  <c r="L239" i="72" s="1"/>
  <c r="J137" i="83"/>
  <c r="J139" i="72" s="1"/>
  <c r="J209" i="72" s="1"/>
  <c r="J239" i="72" s="1"/>
  <c r="W166" i="83"/>
  <c r="W38" i="71" s="1"/>
  <c r="W143" i="71" s="1"/>
  <c r="O184" i="73"/>
  <c r="O244" i="73" s="1"/>
  <c r="Q184" i="73"/>
  <c r="Q244" i="73" s="1"/>
  <c r="Q154" i="73"/>
  <c r="N184" i="73"/>
  <c r="N244" i="73" s="1"/>
  <c r="K184" i="73"/>
  <c r="K244" i="73" s="1"/>
  <c r="N154" i="73"/>
  <c r="K154" i="73"/>
  <c r="M154" i="73"/>
  <c r="O154" i="73"/>
  <c r="J184" i="73"/>
  <c r="J244" i="73" s="1"/>
  <c r="M184" i="73"/>
  <c r="M244" i="73" s="1"/>
  <c r="P154" i="73"/>
  <c r="L154" i="73"/>
  <c r="J154" i="73"/>
  <c r="P184" i="73"/>
  <c r="P244" i="73" s="1"/>
  <c r="L184" i="73"/>
  <c r="L244" i="73" s="1"/>
  <c r="W172" i="72"/>
  <c r="W207" i="72" s="1"/>
  <c r="W237" i="72" s="1"/>
  <c r="Y172" i="72"/>
  <c r="Y207" i="72" s="1"/>
  <c r="Y237" i="72" s="1"/>
  <c r="U172" i="72"/>
  <c r="U207" i="72" s="1"/>
  <c r="U237" i="72" s="1"/>
  <c r="X172" i="72"/>
  <c r="X207" i="72" s="1"/>
  <c r="X237" i="72" s="1"/>
  <c r="R172" i="72"/>
  <c r="R207" i="72" s="1"/>
  <c r="R237" i="72" s="1"/>
  <c r="T172" i="72"/>
  <c r="T207" i="72" s="1"/>
  <c r="T237" i="72" s="1"/>
  <c r="V172" i="72"/>
  <c r="V207" i="72" s="1"/>
  <c r="V237" i="72" s="1"/>
  <c r="S172" i="72"/>
  <c r="S207" i="72" s="1"/>
  <c r="S237" i="72" s="1"/>
  <c r="K226" i="83"/>
  <c r="K100" i="71" s="1"/>
  <c r="K205" i="71" s="1"/>
  <c r="L226" i="83"/>
  <c r="L100" i="71" s="1"/>
  <c r="L205" i="71" s="1"/>
  <c r="N139" i="83"/>
  <c r="N141" i="72" s="1"/>
  <c r="N211" i="72" s="1"/>
  <c r="N241" i="72" s="1"/>
  <c r="T139" i="83"/>
  <c r="J139" i="83"/>
  <c r="J141" i="72" s="1"/>
  <c r="J211" i="72" s="1"/>
  <c r="J241" i="72" s="1"/>
  <c r="N226" i="83"/>
  <c r="N100" i="71" s="1"/>
  <c r="N205" i="71" s="1"/>
  <c r="Y139" i="83"/>
  <c r="N197" i="83"/>
  <c r="N70" i="71" s="1"/>
  <c r="N175" i="71" s="1"/>
  <c r="X226" i="83"/>
  <c r="X100" i="71" s="1"/>
  <c r="X205" i="71" s="1"/>
  <c r="T226" i="83"/>
  <c r="T100" i="71" s="1"/>
  <c r="T205" i="71" s="1"/>
  <c r="J226" i="83"/>
  <c r="J100" i="71" s="1"/>
  <c r="J205" i="71" s="1"/>
  <c r="R226" i="83"/>
  <c r="R100" i="71" s="1"/>
  <c r="R205" i="71" s="1"/>
  <c r="Q139" i="83"/>
  <c r="Q141" i="72" s="1"/>
  <c r="Q211" i="72" s="1"/>
  <c r="Q241" i="72" s="1"/>
  <c r="W197" i="83"/>
  <c r="W70" i="71" s="1"/>
  <c r="W175" i="71" s="1"/>
  <c r="X139" i="83"/>
  <c r="X168" i="83"/>
  <c r="X40" i="71" s="1"/>
  <c r="X145" i="71" s="1"/>
  <c r="X197" i="83"/>
  <c r="X70" i="71" s="1"/>
  <c r="X175" i="71" s="1"/>
  <c r="V226" i="83"/>
  <c r="V100" i="71" s="1"/>
  <c r="V205" i="71" s="1"/>
  <c r="J168" i="83"/>
  <c r="J40" i="71" s="1"/>
  <c r="J145" i="71" s="1"/>
  <c r="S168" i="83"/>
  <c r="S40" i="71" s="1"/>
  <c r="S145" i="71" s="1"/>
  <c r="P139" i="83"/>
  <c r="P141" i="72" s="1"/>
  <c r="P211" i="72" s="1"/>
  <c r="P241" i="72" s="1"/>
  <c r="L197" i="83"/>
  <c r="L70" i="71" s="1"/>
  <c r="L175" i="71" s="1"/>
  <c r="M226" i="83"/>
  <c r="M100" i="71" s="1"/>
  <c r="M205" i="71" s="1"/>
  <c r="V197" i="83"/>
  <c r="V70" i="71" s="1"/>
  <c r="V175" i="71" s="1"/>
  <c r="R197" i="83"/>
  <c r="R70" i="71" s="1"/>
  <c r="R175" i="71" s="1"/>
  <c r="U197" i="83"/>
  <c r="U70" i="71" s="1"/>
  <c r="U175" i="71" s="1"/>
  <c r="L168" i="83"/>
  <c r="L40" i="71" s="1"/>
  <c r="L145" i="71" s="1"/>
  <c r="S139" i="83"/>
  <c r="Q226" i="83"/>
  <c r="Q100" i="71" s="1"/>
  <c r="Q205" i="71" s="1"/>
  <c r="Q168" i="83"/>
  <c r="Q40" i="71" s="1"/>
  <c r="Q145" i="71" s="1"/>
  <c r="P168" i="83"/>
  <c r="P40" i="71" s="1"/>
  <c r="P145" i="71" s="1"/>
  <c r="W168" i="83"/>
  <c r="W40" i="71" s="1"/>
  <c r="W145" i="71" s="1"/>
  <c r="O197" i="83"/>
  <c r="O70" i="71" s="1"/>
  <c r="O175" i="71" s="1"/>
  <c r="T197" i="83"/>
  <c r="T70" i="71" s="1"/>
  <c r="T175" i="71" s="1"/>
  <c r="U226" i="83"/>
  <c r="U100" i="71" s="1"/>
  <c r="U205" i="71" s="1"/>
  <c r="Y197" i="83"/>
  <c r="Y70" i="71" s="1"/>
  <c r="Y175" i="71" s="1"/>
  <c r="Y226" i="83"/>
  <c r="Y100" i="71" s="1"/>
  <c r="Y205" i="71" s="1"/>
  <c r="V139" i="83"/>
  <c r="O226" i="83"/>
  <c r="O100" i="71" s="1"/>
  <c r="O205" i="71" s="1"/>
  <c r="S226" i="83"/>
  <c r="S100" i="71" s="1"/>
  <c r="S205" i="71" s="1"/>
  <c r="W139" i="83"/>
  <c r="M168" i="83"/>
  <c r="M40" i="71" s="1"/>
  <c r="M145" i="71" s="1"/>
  <c r="O139" i="83"/>
  <c r="O141" i="72" s="1"/>
  <c r="O211" i="72" s="1"/>
  <c r="O241" i="72" s="1"/>
  <c r="S197" i="83"/>
  <c r="S70" i="71" s="1"/>
  <c r="S175" i="71" s="1"/>
  <c r="P197" i="83"/>
  <c r="P70" i="71" s="1"/>
  <c r="P175" i="71" s="1"/>
  <c r="L139" i="83"/>
  <c r="L141" i="72" s="1"/>
  <c r="L211" i="72" s="1"/>
  <c r="L241" i="72" s="1"/>
  <c r="Y168" i="83"/>
  <c r="Y40" i="71" s="1"/>
  <c r="Y145" i="71" s="1"/>
  <c r="O168" i="83"/>
  <c r="O40" i="71" s="1"/>
  <c r="O145" i="71" s="1"/>
  <c r="V168" i="83"/>
  <c r="V40" i="71" s="1"/>
  <c r="V145" i="71" s="1"/>
  <c r="U139" i="83"/>
  <c r="R168" i="83"/>
  <c r="R40" i="71" s="1"/>
  <c r="R145" i="71" s="1"/>
  <c r="R139" i="83"/>
  <c r="W226" i="83"/>
  <c r="W100" i="71" s="1"/>
  <c r="W205" i="71" s="1"/>
  <c r="K197" i="83"/>
  <c r="K70" i="71" s="1"/>
  <c r="K175" i="71" s="1"/>
  <c r="Q197" i="83"/>
  <c r="Q70" i="71" s="1"/>
  <c r="Q175" i="71" s="1"/>
  <c r="M139" i="83"/>
  <c r="M141" i="72" s="1"/>
  <c r="M211" i="72" s="1"/>
  <c r="M241" i="72" s="1"/>
  <c r="N168" i="83"/>
  <c r="N40" i="71" s="1"/>
  <c r="N145" i="71" s="1"/>
  <c r="U168" i="83"/>
  <c r="U40" i="71" s="1"/>
  <c r="U145" i="71" s="1"/>
  <c r="K168" i="83"/>
  <c r="K40" i="71" s="1"/>
  <c r="K145" i="71" s="1"/>
  <c r="T168" i="83"/>
  <c r="T40" i="71" s="1"/>
  <c r="T145" i="71" s="1"/>
  <c r="J197" i="83"/>
  <c r="J70" i="71" s="1"/>
  <c r="J175" i="71" s="1"/>
  <c r="P226" i="83"/>
  <c r="P100" i="71" s="1"/>
  <c r="P205" i="71" s="1"/>
  <c r="M197" i="83"/>
  <c r="M70" i="71" s="1"/>
  <c r="M175" i="71" s="1"/>
  <c r="K139" i="83"/>
  <c r="K141" i="72" s="1"/>
  <c r="K211" i="72" s="1"/>
  <c r="K241" i="72" s="1"/>
  <c r="M150" i="73"/>
  <c r="K150" i="73"/>
  <c r="N150" i="73"/>
  <c r="K180" i="73"/>
  <c r="K240" i="73" s="1"/>
  <c r="J180" i="73"/>
  <c r="J240" i="73" s="1"/>
  <c r="Q150" i="73"/>
  <c r="N180" i="73"/>
  <c r="N240" i="73" s="1"/>
  <c r="L150" i="73"/>
  <c r="J150" i="73"/>
  <c r="O180" i="73"/>
  <c r="O240" i="73" s="1"/>
  <c r="P150" i="73"/>
  <c r="L180" i="73"/>
  <c r="L240" i="73" s="1"/>
  <c r="Q180" i="73"/>
  <c r="Q240" i="73" s="1"/>
  <c r="P180" i="73"/>
  <c r="P240" i="73" s="1"/>
  <c r="O150" i="73"/>
  <c r="M180" i="73"/>
  <c r="M240" i="73" s="1"/>
  <c r="J223" i="83"/>
  <c r="J97" i="71" s="1"/>
  <c r="J202" i="71" s="1"/>
  <c r="S136" i="83"/>
  <c r="X223" i="83"/>
  <c r="X97" i="71" s="1"/>
  <c r="X202" i="71" s="1"/>
  <c r="X194" i="83"/>
  <c r="X67" i="71" s="1"/>
  <c r="X172" i="71" s="1"/>
  <c r="Q194" i="83"/>
  <c r="Q67" i="71" s="1"/>
  <c r="Q172" i="71" s="1"/>
  <c r="U136" i="83"/>
  <c r="T136" i="83"/>
  <c r="Q165" i="83"/>
  <c r="Q37" i="71" s="1"/>
  <c r="Q142" i="71" s="1"/>
  <c r="R223" i="83"/>
  <c r="R97" i="71" s="1"/>
  <c r="R202" i="71" s="1"/>
  <c r="J194" i="83"/>
  <c r="J67" i="71" s="1"/>
  <c r="J172" i="71" s="1"/>
  <c r="Y165" i="83"/>
  <c r="Y37" i="71" s="1"/>
  <c r="Y142" i="71" s="1"/>
  <c r="W194" i="83"/>
  <c r="W67" i="71" s="1"/>
  <c r="W172" i="71" s="1"/>
  <c r="P194" i="83"/>
  <c r="P67" i="71" s="1"/>
  <c r="P172" i="71" s="1"/>
  <c r="O223" i="83"/>
  <c r="O97" i="71" s="1"/>
  <c r="O202" i="71" s="1"/>
  <c r="V223" i="83"/>
  <c r="V97" i="71" s="1"/>
  <c r="V202" i="71" s="1"/>
  <c r="P223" i="83"/>
  <c r="P97" i="71" s="1"/>
  <c r="P202" i="71" s="1"/>
  <c r="K136" i="83"/>
  <c r="K138" i="72" s="1"/>
  <c r="K208" i="72" s="1"/>
  <c r="K238" i="72" s="1"/>
  <c r="V165" i="83"/>
  <c r="V37" i="71" s="1"/>
  <c r="V142" i="71" s="1"/>
  <c r="Y136" i="83"/>
  <c r="R136" i="83"/>
  <c r="M136" i="83"/>
  <c r="M138" i="72" s="1"/>
  <c r="M208" i="72" s="1"/>
  <c r="M238" i="72" s="1"/>
  <c r="S194" i="83"/>
  <c r="S67" i="71" s="1"/>
  <c r="S172" i="71" s="1"/>
  <c r="L194" i="83"/>
  <c r="L67" i="71" s="1"/>
  <c r="L172" i="71" s="1"/>
  <c r="P165" i="83"/>
  <c r="P37" i="71" s="1"/>
  <c r="P142" i="71" s="1"/>
  <c r="J165" i="83"/>
  <c r="J37" i="71" s="1"/>
  <c r="J142" i="71" s="1"/>
  <c r="L165" i="83"/>
  <c r="L37" i="71" s="1"/>
  <c r="L142" i="71" s="1"/>
  <c r="P136" i="83"/>
  <c r="P138" i="72" s="1"/>
  <c r="P208" i="72" s="1"/>
  <c r="P238" i="72" s="1"/>
  <c r="W223" i="83"/>
  <c r="W97" i="71" s="1"/>
  <c r="W202" i="71" s="1"/>
  <c r="V136" i="83"/>
  <c r="T165" i="83"/>
  <c r="T37" i="71" s="1"/>
  <c r="T142" i="71" s="1"/>
  <c r="S165" i="83"/>
  <c r="S37" i="71" s="1"/>
  <c r="S142" i="71" s="1"/>
  <c r="W165" i="83"/>
  <c r="W37" i="71" s="1"/>
  <c r="W142" i="71" s="1"/>
  <c r="T194" i="83"/>
  <c r="T67" i="71" s="1"/>
  <c r="T172" i="71" s="1"/>
  <c r="K165" i="83"/>
  <c r="K37" i="71" s="1"/>
  <c r="K142" i="71" s="1"/>
  <c r="U223" i="83"/>
  <c r="U97" i="71" s="1"/>
  <c r="U202" i="71" s="1"/>
  <c r="R165" i="83"/>
  <c r="R37" i="71" s="1"/>
  <c r="R142" i="71" s="1"/>
  <c r="T223" i="83"/>
  <c r="T97" i="71" s="1"/>
  <c r="T202" i="71" s="1"/>
  <c r="Q136" i="83"/>
  <c r="Q138" i="72" s="1"/>
  <c r="Q208" i="72" s="1"/>
  <c r="Q238" i="72" s="1"/>
  <c r="X136" i="83"/>
  <c r="M194" i="83"/>
  <c r="M67" i="71" s="1"/>
  <c r="M172" i="71" s="1"/>
  <c r="O165" i="83"/>
  <c r="O37" i="71" s="1"/>
  <c r="O142" i="71" s="1"/>
  <c r="W136" i="83"/>
  <c r="Y194" i="83"/>
  <c r="Y67" i="71" s="1"/>
  <c r="Y172" i="71" s="1"/>
  <c r="O136" i="83"/>
  <c r="O138" i="72" s="1"/>
  <c r="O208" i="72" s="1"/>
  <c r="O238" i="72" s="1"/>
  <c r="Y223" i="83"/>
  <c r="Y97" i="71" s="1"/>
  <c r="Y202" i="71" s="1"/>
  <c r="K223" i="83"/>
  <c r="K97" i="71" s="1"/>
  <c r="K202" i="71" s="1"/>
  <c r="N165" i="83"/>
  <c r="N37" i="71" s="1"/>
  <c r="N142" i="71" s="1"/>
  <c r="M223" i="83"/>
  <c r="M97" i="71" s="1"/>
  <c r="M202" i="71" s="1"/>
  <c r="R194" i="83"/>
  <c r="R67" i="71" s="1"/>
  <c r="R172" i="71" s="1"/>
  <c r="N136" i="83"/>
  <c r="N138" i="72" s="1"/>
  <c r="N208" i="72" s="1"/>
  <c r="N238" i="72" s="1"/>
  <c r="O194" i="83"/>
  <c r="O67" i="71" s="1"/>
  <c r="O172" i="71" s="1"/>
  <c r="V194" i="83"/>
  <c r="V67" i="71" s="1"/>
  <c r="V172" i="71" s="1"/>
  <c r="L136" i="83"/>
  <c r="L138" i="72" s="1"/>
  <c r="L208" i="72" s="1"/>
  <c r="L238" i="72" s="1"/>
  <c r="N223" i="83"/>
  <c r="N97" i="71" s="1"/>
  <c r="N202" i="71" s="1"/>
  <c r="L223" i="83"/>
  <c r="L97" i="71" s="1"/>
  <c r="L202" i="71" s="1"/>
  <c r="Q223" i="83"/>
  <c r="Q97" i="71" s="1"/>
  <c r="Q202" i="71" s="1"/>
  <c r="J136" i="83"/>
  <c r="J138" i="72" s="1"/>
  <c r="J208" i="72" s="1"/>
  <c r="J238" i="72" s="1"/>
  <c r="X165" i="83"/>
  <c r="X37" i="71" s="1"/>
  <c r="X142" i="71" s="1"/>
  <c r="N194" i="83"/>
  <c r="N67" i="71" s="1"/>
  <c r="N172" i="71" s="1"/>
  <c r="K194" i="83"/>
  <c r="K67" i="71" s="1"/>
  <c r="K172" i="71" s="1"/>
  <c r="S223" i="83"/>
  <c r="S97" i="71" s="1"/>
  <c r="S202" i="71" s="1"/>
  <c r="U165" i="83"/>
  <c r="U37" i="71" s="1"/>
  <c r="U142" i="71" s="1"/>
  <c r="M165" i="83"/>
  <c r="M37" i="71" s="1"/>
  <c r="M142" i="71" s="1"/>
  <c r="U194" i="83"/>
  <c r="U67" i="71" s="1"/>
  <c r="U172" i="71" s="1"/>
  <c r="Q177" i="73"/>
  <c r="Q237" i="73" s="1"/>
  <c r="M177" i="73"/>
  <c r="M237" i="73" s="1"/>
  <c r="L177" i="73"/>
  <c r="L237" i="73" s="1"/>
  <c r="O177" i="73"/>
  <c r="O237" i="73" s="1"/>
  <c r="O147" i="73"/>
  <c r="Q147" i="73"/>
  <c r="J177" i="73"/>
  <c r="J237" i="73" s="1"/>
  <c r="N177" i="73"/>
  <c r="N237" i="73" s="1"/>
  <c r="N147" i="73"/>
  <c r="P147" i="73"/>
  <c r="P177" i="73"/>
  <c r="P237" i="73" s="1"/>
  <c r="L147" i="73"/>
  <c r="M147" i="73"/>
  <c r="K177" i="73"/>
  <c r="K237" i="73" s="1"/>
  <c r="J147" i="73"/>
  <c r="K147" i="73"/>
  <c r="L179" i="73"/>
  <c r="L239" i="73" s="1"/>
  <c r="Q149" i="73"/>
  <c r="N179" i="73"/>
  <c r="N239" i="73" s="1"/>
  <c r="O149" i="73"/>
  <c r="P179" i="73"/>
  <c r="P239" i="73" s="1"/>
  <c r="K149" i="73"/>
  <c r="J149" i="73"/>
  <c r="Q179" i="73"/>
  <c r="Q239" i="73" s="1"/>
  <c r="M149" i="73"/>
  <c r="O179" i="73"/>
  <c r="O239" i="73" s="1"/>
  <c r="N149" i="73"/>
  <c r="M179" i="73"/>
  <c r="M239" i="73" s="1"/>
  <c r="L149" i="73"/>
  <c r="K179" i="73"/>
  <c r="K239" i="73" s="1"/>
  <c r="P149" i="73"/>
  <c r="J179" i="73"/>
  <c r="J239" i="73" s="1"/>
  <c r="X178" i="72"/>
  <c r="X213" i="72" s="1"/>
  <c r="X243" i="72" s="1"/>
  <c r="Y178" i="72"/>
  <c r="Y213" i="72" s="1"/>
  <c r="Y243" i="72" s="1"/>
  <c r="R178" i="72"/>
  <c r="R213" i="72" s="1"/>
  <c r="R243" i="72" s="1"/>
  <c r="W178" i="72"/>
  <c r="W213" i="72" s="1"/>
  <c r="W243" i="72" s="1"/>
  <c r="U178" i="72"/>
  <c r="U213" i="72" s="1"/>
  <c r="U243" i="72" s="1"/>
  <c r="V178" i="72"/>
  <c r="V213" i="72" s="1"/>
  <c r="V243" i="72" s="1"/>
  <c r="S178" i="72"/>
  <c r="S213" i="72" s="1"/>
  <c r="S243" i="72" s="1"/>
  <c r="T178" i="72"/>
  <c r="T213" i="72" s="1"/>
  <c r="T243" i="72" s="1"/>
  <c r="W174" i="72"/>
  <c r="W209" i="72" s="1"/>
  <c r="W239" i="72" s="1"/>
  <c r="Y174" i="72"/>
  <c r="Y209" i="72" s="1"/>
  <c r="Y239" i="72" s="1"/>
  <c r="T174" i="72"/>
  <c r="T209" i="72" s="1"/>
  <c r="T239" i="72" s="1"/>
  <c r="S174" i="72"/>
  <c r="S209" i="72" s="1"/>
  <c r="S239" i="72" s="1"/>
  <c r="U174" i="72"/>
  <c r="U209" i="72" s="1"/>
  <c r="U239" i="72" s="1"/>
  <c r="X174" i="72"/>
  <c r="X209" i="72" s="1"/>
  <c r="X239" i="72" s="1"/>
  <c r="V174" i="72"/>
  <c r="V209" i="72" s="1"/>
  <c r="V239" i="72" s="1"/>
  <c r="R174" i="72"/>
  <c r="R209" i="72" s="1"/>
  <c r="R239" i="72" s="1"/>
  <c r="J47" i="55"/>
  <c r="A4" i="76"/>
  <c r="X167" i="83"/>
  <c r="X39" i="71" s="1"/>
  <c r="X144" i="71" s="1"/>
  <c r="X138" i="83"/>
  <c r="M196" i="83"/>
  <c r="M69" i="71" s="1"/>
  <c r="M174" i="71" s="1"/>
  <c r="R138" i="83"/>
  <c r="Y167" i="83"/>
  <c r="Y39" i="71" s="1"/>
  <c r="Y144" i="71" s="1"/>
  <c r="O196" i="83"/>
  <c r="O69" i="71" s="1"/>
  <c r="O174" i="71" s="1"/>
  <c r="R225" i="83"/>
  <c r="R99" i="71" s="1"/>
  <c r="R204" i="71" s="1"/>
  <c r="S167" i="83"/>
  <c r="S39" i="71" s="1"/>
  <c r="S144" i="71" s="1"/>
  <c r="V167" i="83"/>
  <c r="V39" i="71" s="1"/>
  <c r="V144" i="71" s="1"/>
  <c r="K225" i="83"/>
  <c r="K99" i="71" s="1"/>
  <c r="K204" i="71" s="1"/>
  <c r="V138" i="83"/>
  <c r="U138" i="83"/>
  <c r="Q225" i="83"/>
  <c r="Q99" i="71" s="1"/>
  <c r="Q204" i="71" s="1"/>
  <c r="J138" i="83"/>
  <c r="J140" i="72" s="1"/>
  <c r="J210" i="72" s="1"/>
  <c r="J240" i="72" s="1"/>
  <c r="K138" i="83"/>
  <c r="K140" i="72" s="1"/>
  <c r="K210" i="72" s="1"/>
  <c r="K240" i="72" s="1"/>
  <c r="O225" i="83"/>
  <c r="O99" i="71" s="1"/>
  <c r="O204" i="71" s="1"/>
  <c r="M225" i="83"/>
  <c r="M99" i="71" s="1"/>
  <c r="M204" i="71" s="1"/>
  <c r="M167" i="83"/>
  <c r="M39" i="71" s="1"/>
  <c r="M144" i="71" s="1"/>
  <c r="T167" i="83"/>
  <c r="T39" i="71" s="1"/>
  <c r="T144" i="71" s="1"/>
  <c r="Q167" i="83"/>
  <c r="Q39" i="71" s="1"/>
  <c r="Q144" i="71" s="1"/>
  <c r="Y138" i="83"/>
  <c r="L196" i="83"/>
  <c r="L69" i="71" s="1"/>
  <c r="L174" i="71" s="1"/>
  <c r="T225" i="83"/>
  <c r="T99" i="71" s="1"/>
  <c r="T204" i="71" s="1"/>
  <c r="S138" i="83"/>
  <c r="Y196" i="83"/>
  <c r="Y69" i="71" s="1"/>
  <c r="Y174" i="71" s="1"/>
  <c r="N167" i="83"/>
  <c r="N39" i="71" s="1"/>
  <c r="N144" i="71" s="1"/>
  <c r="T196" i="83"/>
  <c r="T69" i="71" s="1"/>
  <c r="T174" i="71" s="1"/>
  <c r="O138" i="83"/>
  <c r="O140" i="72" s="1"/>
  <c r="O210" i="72" s="1"/>
  <c r="O240" i="72" s="1"/>
  <c r="L225" i="83"/>
  <c r="L99" i="71" s="1"/>
  <c r="L204" i="71" s="1"/>
  <c r="W225" i="83"/>
  <c r="W99" i="71" s="1"/>
  <c r="W204" i="71" s="1"/>
  <c r="Y225" i="83"/>
  <c r="Y99" i="71" s="1"/>
  <c r="Y204" i="71" s="1"/>
  <c r="M138" i="83"/>
  <c r="M140" i="72" s="1"/>
  <c r="M210" i="72" s="1"/>
  <c r="M240" i="72" s="1"/>
  <c r="U196" i="83"/>
  <c r="U69" i="71" s="1"/>
  <c r="U174" i="71" s="1"/>
  <c r="K196" i="83"/>
  <c r="K69" i="71" s="1"/>
  <c r="K174" i="71" s="1"/>
  <c r="U225" i="83"/>
  <c r="U99" i="71" s="1"/>
  <c r="U204" i="71" s="1"/>
  <c r="Q196" i="83"/>
  <c r="Q69" i="71" s="1"/>
  <c r="Q174" i="71" s="1"/>
  <c r="P225" i="83"/>
  <c r="P99" i="71" s="1"/>
  <c r="P204" i="71" s="1"/>
  <c r="O167" i="83"/>
  <c r="O39" i="71" s="1"/>
  <c r="O144" i="71" s="1"/>
  <c r="Q138" i="83"/>
  <c r="Q140" i="72" s="1"/>
  <c r="Q210" i="72" s="1"/>
  <c r="Q240" i="72" s="1"/>
  <c r="T138" i="83"/>
  <c r="S225" i="83"/>
  <c r="S99" i="71" s="1"/>
  <c r="S204" i="71" s="1"/>
  <c r="L167" i="83"/>
  <c r="L39" i="71" s="1"/>
  <c r="L144" i="71" s="1"/>
  <c r="W167" i="83"/>
  <c r="W39" i="71" s="1"/>
  <c r="W144" i="71" s="1"/>
  <c r="N196" i="83"/>
  <c r="N69" i="71" s="1"/>
  <c r="N174" i="71" s="1"/>
  <c r="N225" i="83"/>
  <c r="N99" i="71" s="1"/>
  <c r="N204" i="71" s="1"/>
  <c r="P167" i="83"/>
  <c r="P39" i="71" s="1"/>
  <c r="P144" i="71" s="1"/>
  <c r="J196" i="83"/>
  <c r="J69" i="71" s="1"/>
  <c r="J174" i="71" s="1"/>
  <c r="P196" i="83"/>
  <c r="P69" i="71" s="1"/>
  <c r="P174" i="71" s="1"/>
  <c r="W138" i="83"/>
  <c r="R167" i="83"/>
  <c r="R39" i="71" s="1"/>
  <c r="R144" i="71" s="1"/>
  <c r="W196" i="83"/>
  <c r="W69" i="71" s="1"/>
  <c r="W174" i="71" s="1"/>
  <c r="N138" i="83"/>
  <c r="N140" i="72" s="1"/>
  <c r="N210" i="72" s="1"/>
  <c r="N240" i="72" s="1"/>
  <c r="J167" i="83"/>
  <c r="J39" i="71" s="1"/>
  <c r="J144" i="71" s="1"/>
  <c r="P138" i="83"/>
  <c r="P140" i="72" s="1"/>
  <c r="P210" i="72" s="1"/>
  <c r="P240" i="72" s="1"/>
  <c r="R196" i="83"/>
  <c r="R69" i="71" s="1"/>
  <c r="R174" i="71" s="1"/>
  <c r="L138" i="83"/>
  <c r="L140" i="72" s="1"/>
  <c r="L210" i="72" s="1"/>
  <c r="L240" i="72" s="1"/>
  <c r="V225" i="83"/>
  <c r="V99" i="71" s="1"/>
  <c r="V204" i="71" s="1"/>
  <c r="X225" i="83"/>
  <c r="X99" i="71" s="1"/>
  <c r="X204" i="71" s="1"/>
  <c r="S196" i="83"/>
  <c r="S69" i="71" s="1"/>
  <c r="S174" i="71" s="1"/>
  <c r="X196" i="83"/>
  <c r="X69" i="71" s="1"/>
  <c r="X174" i="71" s="1"/>
  <c r="U167" i="83"/>
  <c r="U39" i="71" s="1"/>
  <c r="U144" i="71" s="1"/>
  <c r="K167" i="83"/>
  <c r="K39" i="71" s="1"/>
  <c r="K144" i="71" s="1"/>
  <c r="J225" i="83"/>
  <c r="J99" i="71" s="1"/>
  <c r="J204" i="71" s="1"/>
  <c r="V196" i="83"/>
  <c r="V69" i="71" s="1"/>
  <c r="V174" i="71" s="1"/>
  <c r="X202" i="83"/>
  <c r="X75" i="71" s="1"/>
  <c r="X180" i="71" s="1"/>
  <c r="Q144" i="83"/>
  <c r="Q146" i="72" s="1"/>
  <c r="Q216" i="72" s="1"/>
  <c r="Q246" i="72" s="1"/>
  <c r="Q202" i="83"/>
  <c r="Q75" i="71" s="1"/>
  <c r="Q180" i="71" s="1"/>
  <c r="X231" i="83"/>
  <c r="X105" i="71" s="1"/>
  <c r="X210" i="71" s="1"/>
  <c r="Q173" i="83"/>
  <c r="Q45" i="71" s="1"/>
  <c r="Q150" i="71" s="1"/>
  <c r="J173" i="83"/>
  <c r="J45" i="71" s="1"/>
  <c r="J150" i="71" s="1"/>
  <c r="O144" i="83"/>
  <c r="O146" i="72" s="1"/>
  <c r="O216" i="72" s="1"/>
  <c r="O246" i="72" s="1"/>
  <c r="O173" i="83"/>
  <c r="O45" i="71" s="1"/>
  <c r="O150" i="71" s="1"/>
  <c r="L202" i="83"/>
  <c r="L75" i="71" s="1"/>
  <c r="L180" i="71" s="1"/>
  <c r="N202" i="83"/>
  <c r="N75" i="71" s="1"/>
  <c r="N180" i="71" s="1"/>
  <c r="R144" i="83"/>
  <c r="Y144" i="83"/>
  <c r="W144" i="83"/>
  <c r="T202" i="83"/>
  <c r="T75" i="71" s="1"/>
  <c r="T180" i="71" s="1"/>
  <c r="M173" i="83"/>
  <c r="M45" i="71" s="1"/>
  <c r="M150" i="71" s="1"/>
  <c r="V173" i="83"/>
  <c r="V45" i="71" s="1"/>
  <c r="V150" i="71" s="1"/>
  <c r="N231" i="83"/>
  <c r="N105" i="71" s="1"/>
  <c r="N210" i="71" s="1"/>
  <c r="W202" i="83"/>
  <c r="W75" i="71" s="1"/>
  <c r="W180" i="71" s="1"/>
  <c r="T144" i="83"/>
  <c r="Q231" i="83"/>
  <c r="Q105" i="71" s="1"/>
  <c r="Q210" i="71" s="1"/>
  <c r="J231" i="83"/>
  <c r="J105" i="71" s="1"/>
  <c r="J210" i="71" s="1"/>
  <c r="T173" i="83"/>
  <c r="T45" i="71" s="1"/>
  <c r="T150" i="71" s="1"/>
  <c r="V231" i="83"/>
  <c r="V105" i="71" s="1"/>
  <c r="V210" i="71" s="1"/>
  <c r="V202" i="83"/>
  <c r="V75" i="71" s="1"/>
  <c r="V180" i="71" s="1"/>
  <c r="X173" i="83"/>
  <c r="X45" i="71" s="1"/>
  <c r="X150" i="71" s="1"/>
  <c r="W173" i="83"/>
  <c r="W45" i="71" s="1"/>
  <c r="W150" i="71" s="1"/>
  <c r="T231" i="83"/>
  <c r="T105" i="71" s="1"/>
  <c r="T210" i="71" s="1"/>
  <c r="Y173" i="83"/>
  <c r="Y45" i="71" s="1"/>
  <c r="Y150" i="71" s="1"/>
  <c r="L173" i="83"/>
  <c r="L45" i="71" s="1"/>
  <c r="L150" i="71" s="1"/>
  <c r="M231" i="83"/>
  <c r="M105" i="71" s="1"/>
  <c r="M210" i="71" s="1"/>
  <c r="R202" i="83"/>
  <c r="R75" i="71" s="1"/>
  <c r="R180" i="71" s="1"/>
  <c r="U231" i="83"/>
  <c r="U105" i="71" s="1"/>
  <c r="U210" i="71" s="1"/>
  <c r="P202" i="83"/>
  <c r="P75" i="71" s="1"/>
  <c r="P180" i="71" s="1"/>
  <c r="X144" i="83"/>
  <c r="R231" i="83"/>
  <c r="R105" i="71" s="1"/>
  <c r="R210" i="71" s="1"/>
  <c r="S173" i="83"/>
  <c r="S45" i="71" s="1"/>
  <c r="S150" i="71" s="1"/>
  <c r="K173" i="83"/>
  <c r="K45" i="71" s="1"/>
  <c r="K150" i="71" s="1"/>
  <c r="S231" i="83"/>
  <c r="S105" i="71" s="1"/>
  <c r="S210" i="71" s="1"/>
  <c r="S144" i="83"/>
  <c r="L231" i="83"/>
  <c r="L105" i="71" s="1"/>
  <c r="L210" i="71" s="1"/>
  <c r="N144" i="83"/>
  <c r="N146" i="72" s="1"/>
  <c r="N216" i="72" s="1"/>
  <c r="N246" i="72" s="1"/>
  <c r="M202" i="83"/>
  <c r="M75" i="71" s="1"/>
  <c r="M180" i="71" s="1"/>
  <c r="K231" i="83"/>
  <c r="K105" i="71" s="1"/>
  <c r="K210" i="71" s="1"/>
  <c r="U173" i="83"/>
  <c r="U45" i="71" s="1"/>
  <c r="U150" i="71" s="1"/>
  <c r="R173" i="83"/>
  <c r="R45" i="71" s="1"/>
  <c r="R150" i="71" s="1"/>
  <c r="P231" i="83"/>
  <c r="P105" i="71" s="1"/>
  <c r="P210" i="71" s="1"/>
  <c r="L144" i="83"/>
  <c r="L146" i="72" s="1"/>
  <c r="L216" i="72" s="1"/>
  <c r="L246" i="72" s="1"/>
  <c r="U202" i="83"/>
  <c r="U75" i="71" s="1"/>
  <c r="U180" i="71" s="1"/>
  <c r="J202" i="83"/>
  <c r="J75" i="71" s="1"/>
  <c r="J180" i="71" s="1"/>
  <c r="U144" i="83"/>
  <c r="V144" i="83"/>
  <c r="O231" i="83"/>
  <c r="O105" i="71" s="1"/>
  <c r="O210" i="71" s="1"/>
  <c r="W231" i="83"/>
  <c r="W105" i="71" s="1"/>
  <c r="W210" i="71" s="1"/>
  <c r="N173" i="83"/>
  <c r="N45" i="71" s="1"/>
  <c r="N150" i="71" s="1"/>
  <c r="P144" i="83"/>
  <c r="P146" i="72" s="1"/>
  <c r="P216" i="72" s="1"/>
  <c r="P246" i="72" s="1"/>
  <c r="Y231" i="83"/>
  <c r="Y105" i="71" s="1"/>
  <c r="Y210" i="71" s="1"/>
  <c r="S202" i="83"/>
  <c r="S75" i="71" s="1"/>
  <c r="S180" i="71" s="1"/>
  <c r="Y202" i="83"/>
  <c r="Y75" i="71" s="1"/>
  <c r="Y180" i="71" s="1"/>
  <c r="K202" i="83"/>
  <c r="K75" i="71" s="1"/>
  <c r="K180" i="71" s="1"/>
  <c r="O202" i="83"/>
  <c r="O75" i="71" s="1"/>
  <c r="O180" i="71" s="1"/>
  <c r="M144" i="83"/>
  <c r="M146" i="72" s="1"/>
  <c r="M216" i="72" s="1"/>
  <c r="M246" i="72" s="1"/>
  <c r="P173" i="83"/>
  <c r="P45" i="71" s="1"/>
  <c r="P150" i="71" s="1"/>
  <c r="J144" i="83"/>
  <c r="J146" i="72" s="1"/>
  <c r="J216" i="72" s="1"/>
  <c r="J246" i="72" s="1"/>
  <c r="K144" i="83"/>
  <c r="K146" i="72" s="1"/>
  <c r="K216" i="72" s="1"/>
  <c r="K246" i="72" s="1"/>
  <c r="K152" i="73"/>
  <c r="L182" i="73"/>
  <c r="L242" i="73" s="1"/>
  <c r="L152" i="73"/>
  <c r="N182" i="73"/>
  <c r="N242" i="73" s="1"/>
  <c r="P152" i="73"/>
  <c r="O182" i="73"/>
  <c r="O242" i="73" s="1"/>
  <c r="N152" i="73"/>
  <c r="M152" i="73"/>
  <c r="M182" i="73"/>
  <c r="M242" i="73" s="1"/>
  <c r="P182" i="73"/>
  <c r="P242" i="73" s="1"/>
  <c r="J152" i="73"/>
  <c r="Q182" i="73"/>
  <c r="Q242" i="73" s="1"/>
  <c r="J182" i="73"/>
  <c r="J242" i="73" s="1"/>
  <c r="K182" i="73"/>
  <c r="K242" i="73" s="1"/>
  <c r="O152" i="73"/>
  <c r="Q152" i="73"/>
  <c r="T181" i="72"/>
  <c r="T216" i="72" s="1"/>
  <c r="T246" i="72" s="1"/>
  <c r="S181" i="72"/>
  <c r="S216" i="72" s="1"/>
  <c r="S246" i="72" s="1"/>
  <c r="U181" i="72"/>
  <c r="U216" i="72" s="1"/>
  <c r="U246" i="72" s="1"/>
  <c r="X181" i="72"/>
  <c r="X216" i="72" s="1"/>
  <c r="X246" i="72" s="1"/>
  <c r="W181" i="72"/>
  <c r="W216" i="72" s="1"/>
  <c r="W246" i="72" s="1"/>
  <c r="Y181" i="72"/>
  <c r="Y216" i="72" s="1"/>
  <c r="Y246" i="72" s="1"/>
  <c r="R181" i="72"/>
  <c r="R216" i="72" s="1"/>
  <c r="R246" i="72" s="1"/>
  <c r="V181" i="72"/>
  <c r="V216" i="72" s="1"/>
  <c r="V246" i="72" s="1"/>
  <c r="Y175" i="72"/>
  <c r="Y210" i="72" s="1"/>
  <c r="Y240" i="72" s="1"/>
  <c r="V175" i="72"/>
  <c r="V210" i="72" s="1"/>
  <c r="V240" i="72" s="1"/>
  <c r="R175" i="72"/>
  <c r="R210" i="72" s="1"/>
  <c r="R240" i="72" s="1"/>
  <c r="S175" i="72"/>
  <c r="S210" i="72" s="1"/>
  <c r="S240" i="72" s="1"/>
  <c r="W175" i="72"/>
  <c r="W210" i="72" s="1"/>
  <c r="W240" i="72" s="1"/>
  <c r="X175" i="72"/>
  <c r="X210" i="72" s="1"/>
  <c r="X240" i="72" s="1"/>
  <c r="T175" i="72"/>
  <c r="T210" i="72" s="1"/>
  <c r="T240" i="72" s="1"/>
  <c r="U175" i="72"/>
  <c r="U210" i="72" s="1"/>
  <c r="U240" i="72" s="1"/>
  <c r="X200" i="83"/>
  <c r="X73" i="71" s="1"/>
  <c r="X178" i="71" s="1"/>
  <c r="Q142" i="83"/>
  <c r="Q144" i="72" s="1"/>
  <c r="Q214" i="72" s="1"/>
  <c r="Q244" i="72" s="1"/>
  <c r="L200" i="83"/>
  <c r="L73" i="71" s="1"/>
  <c r="L178" i="71" s="1"/>
  <c r="J200" i="83"/>
  <c r="J73" i="71" s="1"/>
  <c r="J178" i="71" s="1"/>
  <c r="P171" i="83"/>
  <c r="P43" i="71" s="1"/>
  <c r="P148" i="71" s="1"/>
  <c r="S142" i="83"/>
  <c r="N229" i="83"/>
  <c r="N103" i="71" s="1"/>
  <c r="N208" i="71" s="1"/>
  <c r="M171" i="83"/>
  <c r="M43" i="71" s="1"/>
  <c r="M148" i="71" s="1"/>
  <c r="V229" i="83"/>
  <c r="V103" i="71" s="1"/>
  <c r="V208" i="71" s="1"/>
  <c r="Y200" i="83"/>
  <c r="Y73" i="71" s="1"/>
  <c r="Y178" i="71" s="1"/>
  <c r="P142" i="83"/>
  <c r="P144" i="72" s="1"/>
  <c r="P214" i="72" s="1"/>
  <c r="P244" i="72" s="1"/>
  <c r="K171" i="83"/>
  <c r="K43" i="71" s="1"/>
  <c r="K148" i="71" s="1"/>
  <c r="S171" i="83"/>
  <c r="S43" i="71" s="1"/>
  <c r="S148" i="71" s="1"/>
  <c r="X229" i="83"/>
  <c r="X103" i="71" s="1"/>
  <c r="X208" i="71" s="1"/>
  <c r="W200" i="83"/>
  <c r="W73" i="71" s="1"/>
  <c r="W178" i="71" s="1"/>
  <c r="N171" i="83"/>
  <c r="N43" i="71" s="1"/>
  <c r="N148" i="71" s="1"/>
  <c r="P200" i="83"/>
  <c r="P73" i="71" s="1"/>
  <c r="P178" i="71" s="1"/>
  <c r="W142" i="83"/>
  <c r="N200" i="83"/>
  <c r="N73" i="71" s="1"/>
  <c r="N178" i="71" s="1"/>
  <c r="U142" i="83"/>
  <c r="K142" i="83"/>
  <c r="K144" i="72" s="1"/>
  <c r="K214" i="72" s="1"/>
  <c r="K244" i="72" s="1"/>
  <c r="J171" i="83"/>
  <c r="J43" i="71" s="1"/>
  <c r="J148" i="71" s="1"/>
  <c r="W171" i="83"/>
  <c r="W43" i="71" s="1"/>
  <c r="W148" i="71" s="1"/>
  <c r="P229" i="83"/>
  <c r="P103" i="71" s="1"/>
  <c r="P208" i="71" s="1"/>
  <c r="M142" i="83"/>
  <c r="M144" i="72" s="1"/>
  <c r="M214" i="72" s="1"/>
  <c r="M244" i="72" s="1"/>
  <c r="N142" i="83"/>
  <c r="N144" i="72" s="1"/>
  <c r="N214" i="72" s="1"/>
  <c r="N244" i="72" s="1"/>
  <c r="L229" i="83"/>
  <c r="L103" i="71" s="1"/>
  <c r="L208" i="71" s="1"/>
  <c r="M229" i="83"/>
  <c r="M103" i="71" s="1"/>
  <c r="M208" i="71" s="1"/>
  <c r="T200" i="83"/>
  <c r="T73" i="71" s="1"/>
  <c r="T178" i="71" s="1"/>
  <c r="X142" i="83"/>
  <c r="V171" i="83"/>
  <c r="V43" i="71" s="1"/>
  <c r="V148" i="71" s="1"/>
  <c r="X171" i="83"/>
  <c r="X43" i="71" s="1"/>
  <c r="X148" i="71" s="1"/>
  <c r="Y229" i="83"/>
  <c r="Y103" i="71" s="1"/>
  <c r="Y208" i="71" s="1"/>
  <c r="R200" i="83"/>
  <c r="R73" i="71" s="1"/>
  <c r="R178" i="71" s="1"/>
  <c r="V200" i="83"/>
  <c r="V73" i="71" s="1"/>
  <c r="V178" i="71" s="1"/>
  <c r="T171" i="83"/>
  <c r="T43" i="71" s="1"/>
  <c r="T148" i="71" s="1"/>
  <c r="W229" i="83"/>
  <c r="W103" i="71" s="1"/>
  <c r="W208" i="71" s="1"/>
  <c r="T229" i="83"/>
  <c r="T103" i="71" s="1"/>
  <c r="T208" i="71" s="1"/>
  <c r="S229" i="83"/>
  <c r="S103" i="71" s="1"/>
  <c r="S208" i="71" s="1"/>
  <c r="T142" i="83"/>
  <c r="Y171" i="83"/>
  <c r="Y43" i="71" s="1"/>
  <c r="Y148" i="71" s="1"/>
  <c r="O171" i="83"/>
  <c r="O43" i="71" s="1"/>
  <c r="O148" i="71" s="1"/>
  <c r="Q229" i="83"/>
  <c r="Q103" i="71" s="1"/>
  <c r="Q208" i="71" s="1"/>
  <c r="J142" i="83"/>
  <c r="J144" i="72" s="1"/>
  <c r="J214" i="72" s="1"/>
  <c r="J244" i="72" s="1"/>
  <c r="L171" i="83"/>
  <c r="L43" i="71" s="1"/>
  <c r="L148" i="71" s="1"/>
  <c r="U200" i="83"/>
  <c r="U73" i="71" s="1"/>
  <c r="U178" i="71" s="1"/>
  <c r="M200" i="83"/>
  <c r="M73" i="71" s="1"/>
  <c r="M178" i="71" s="1"/>
  <c r="Y142" i="83"/>
  <c r="O142" i="83"/>
  <c r="O144" i="72" s="1"/>
  <c r="O214" i="72" s="1"/>
  <c r="O244" i="72" s="1"/>
  <c r="R171" i="83"/>
  <c r="R43" i="71" s="1"/>
  <c r="R148" i="71" s="1"/>
  <c r="Q200" i="83"/>
  <c r="Q73" i="71" s="1"/>
  <c r="Q178" i="71" s="1"/>
  <c r="O200" i="83"/>
  <c r="O73" i="71" s="1"/>
  <c r="O178" i="71" s="1"/>
  <c r="Q171" i="83"/>
  <c r="Q43" i="71" s="1"/>
  <c r="Q148" i="71" s="1"/>
  <c r="J229" i="83"/>
  <c r="J103" i="71" s="1"/>
  <c r="J208" i="71" s="1"/>
  <c r="U171" i="83"/>
  <c r="U43" i="71" s="1"/>
  <c r="U148" i="71" s="1"/>
  <c r="V142" i="83"/>
  <c r="U229" i="83"/>
  <c r="U103" i="71" s="1"/>
  <c r="U208" i="71" s="1"/>
  <c r="L142" i="83"/>
  <c r="L144" i="72" s="1"/>
  <c r="L214" i="72" s="1"/>
  <c r="L244" i="72" s="1"/>
  <c r="R142" i="83"/>
  <c r="R229" i="83"/>
  <c r="R103" i="71" s="1"/>
  <c r="R208" i="71" s="1"/>
  <c r="S200" i="83"/>
  <c r="S73" i="71" s="1"/>
  <c r="S178" i="71" s="1"/>
  <c r="K229" i="83"/>
  <c r="K103" i="71" s="1"/>
  <c r="K208" i="71" s="1"/>
  <c r="O229" i="83"/>
  <c r="O103" i="71" s="1"/>
  <c r="O208" i="71" s="1"/>
  <c r="K200" i="83"/>
  <c r="K73" i="71" s="1"/>
  <c r="K178" i="71" s="1"/>
  <c r="J193" i="83"/>
  <c r="J66" i="71" s="1"/>
  <c r="J171" i="71" s="1"/>
  <c r="J135" i="83"/>
  <c r="J137" i="72" s="1"/>
  <c r="J207" i="72" s="1"/>
  <c r="J237" i="72" s="1"/>
  <c r="P222" i="83"/>
  <c r="P96" i="71" s="1"/>
  <c r="P201" i="71" s="1"/>
  <c r="P164" i="83"/>
  <c r="V135" i="83"/>
  <c r="L193" i="83"/>
  <c r="L66" i="71" s="1"/>
  <c r="L171" i="71" s="1"/>
  <c r="U135" i="83"/>
  <c r="Q222" i="83"/>
  <c r="Q96" i="71" s="1"/>
  <c r="Q201" i="71" s="1"/>
  <c r="L135" i="83"/>
  <c r="L137" i="72" s="1"/>
  <c r="L207" i="72" s="1"/>
  <c r="L237" i="72" s="1"/>
  <c r="M193" i="83"/>
  <c r="M66" i="71" s="1"/>
  <c r="M171" i="71" s="1"/>
  <c r="N164" i="83"/>
  <c r="K164" i="83"/>
  <c r="J222" i="83"/>
  <c r="J96" i="71" s="1"/>
  <c r="J201" i="71" s="1"/>
  <c r="Q164" i="83"/>
  <c r="M164" i="83"/>
  <c r="W193" i="83"/>
  <c r="W66" i="71" s="1"/>
  <c r="W171" i="71" s="1"/>
  <c r="W135" i="83"/>
  <c r="T135" i="83"/>
  <c r="X135" i="83"/>
  <c r="N193" i="83"/>
  <c r="N66" i="71" s="1"/>
  <c r="N171" i="71" s="1"/>
  <c r="S222" i="83"/>
  <c r="S96" i="71" s="1"/>
  <c r="S201" i="71" s="1"/>
  <c r="T164" i="83"/>
  <c r="T222" i="83"/>
  <c r="T96" i="71" s="1"/>
  <c r="T201" i="71" s="1"/>
  <c r="P135" i="83"/>
  <c r="P137" i="72" s="1"/>
  <c r="P207" i="72" s="1"/>
  <c r="P237" i="72" s="1"/>
  <c r="L164" i="83"/>
  <c r="P193" i="83"/>
  <c r="P66" i="71" s="1"/>
  <c r="P171" i="71" s="1"/>
  <c r="Y164" i="83"/>
  <c r="O164" i="83"/>
  <c r="R135" i="83"/>
  <c r="V193" i="83"/>
  <c r="V66" i="71" s="1"/>
  <c r="V171" i="71" s="1"/>
  <c r="L222" i="83"/>
  <c r="L96" i="71" s="1"/>
  <c r="L201" i="71" s="1"/>
  <c r="Y135" i="83"/>
  <c r="S135" i="83"/>
  <c r="V222" i="83"/>
  <c r="V96" i="71" s="1"/>
  <c r="V201" i="71" s="1"/>
  <c r="Y222" i="83"/>
  <c r="Y96" i="71" s="1"/>
  <c r="Y201" i="71" s="1"/>
  <c r="K222" i="83"/>
  <c r="K96" i="71" s="1"/>
  <c r="K201" i="71" s="1"/>
  <c r="S193" i="83"/>
  <c r="S66" i="71" s="1"/>
  <c r="S171" i="71" s="1"/>
  <c r="O135" i="83"/>
  <c r="O137" i="72" s="1"/>
  <c r="O207" i="72" s="1"/>
  <c r="O237" i="72" s="1"/>
  <c r="Y193" i="83"/>
  <c r="Y66" i="71" s="1"/>
  <c r="Y171" i="71" s="1"/>
  <c r="U164" i="83"/>
  <c r="O222" i="83"/>
  <c r="O96" i="71" s="1"/>
  <c r="O201" i="71" s="1"/>
  <c r="R193" i="83"/>
  <c r="R66" i="71" s="1"/>
  <c r="R171" i="71" s="1"/>
  <c r="T193" i="83"/>
  <c r="T66" i="71" s="1"/>
  <c r="T171" i="71" s="1"/>
  <c r="N222" i="83"/>
  <c r="N96" i="71" s="1"/>
  <c r="N201" i="71" s="1"/>
  <c r="U222" i="83"/>
  <c r="U96" i="71" s="1"/>
  <c r="U201" i="71" s="1"/>
  <c r="W164" i="83"/>
  <c r="J164" i="83"/>
  <c r="R164" i="83"/>
  <c r="M135" i="83"/>
  <c r="M137" i="72" s="1"/>
  <c r="M207" i="72" s="1"/>
  <c r="M237" i="72" s="1"/>
  <c r="W222" i="83"/>
  <c r="W96" i="71" s="1"/>
  <c r="W201" i="71" s="1"/>
  <c r="O193" i="83"/>
  <c r="O66" i="71" s="1"/>
  <c r="O171" i="71" s="1"/>
  <c r="N135" i="83"/>
  <c r="N137" i="72" s="1"/>
  <c r="N207" i="72" s="1"/>
  <c r="N237" i="72" s="1"/>
  <c r="X164" i="83"/>
  <c r="S164" i="83"/>
  <c r="K135" i="83"/>
  <c r="K137" i="72" s="1"/>
  <c r="K207" i="72" s="1"/>
  <c r="K237" i="72" s="1"/>
  <c r="M222" i="83"/>
  <c r="M96" i="71" s="1"/>
  <c r="M201" i="71" s="1"/>
  <c r="X193" i="83"/>
  <c r="X66" i="71" s="1"/>
  <c r="X171" i="71" s="1"/>
  <c r="X222" i="83"/>
  <c r="X96" i="71" s="1"/>
  <c r="X201" i="71" s="1"/>
  <c r="V164" i="83"/>
  <c r="Q135" i="83"/>
  <c r="Q137" i="72" s="1"/>
  <c r="Q207" i="72" s="1"/>
  <c r="Q237" i="72" s="1"/>
  <c r="R222" i="83"/>
  <c r="R96" i="71" s="1"/>
  <c r="R201" i="71" s="1"/>
  <c r="Q193" i="83"/>
  <c r="Q66" i="71" s="1"/>
  <c r="Q171" i="71" s="1"/>
  <c r="K193" i="83"/>
  <c r="K66" i="71" s="1"/>
  <c r="K171" i="71" s="1"/>
  <c r="U193" i="83"/>
  <c r="U66" i="71" s="1"/>
  <c r="U171" i="71" s="1"/>
  <c r="P148" i="73"/>
  <c r="K148" i="73"/>
  <c r="N148" i="73"/>
  <c r="P178" i="73"/>
  <c r="P238" i="73" s="1"/>
  <c r="J148" i="73"/>
  <c r="J178" i="73"/>
  <c r="J238" i="73" s="1"/>
  <c r="M148" i="73"/>
  <c r="O148" i="73"/>
  <c r="L148" i="73"/>
  <c r="M178" i="73"/>
  <c r="M238" i="73" s="1"/>
  <c r="N178" i="73"/>
  <c r="N238" i="73" s="1"/>
  <c r="Q178" i="73"/>
  <c r="Q238" i="73" s="1"/>
  <c r="Q148" i="73"/>
  <c r="L178" i="73"/>
  <c r="L238" i="73" s="1"/>
  <c r="O178" i="73"/>
  <c r="O238" i="73" s="1"/>
  <c r="K178" i="73"/>
  <c r="K238" i="73" s="1"/>
  <c r="X176" i="72"/>
  <c r="X211" i="72" s="1"/>
  <c r="X241" i="72" s="1"/>
  <c r="U176" i="72"/>
  <c r="U211" i="72" s="1"/>
  <c r="U241" i="72" s="1"/>
  <c r="T176" i="72"/>
  <c r="T211" i="72" s="1"/>
  <c r="T241" i="72" s="1"/>
  <c r="W176" i="72"/>
  <c r="W211" i="72" s="1"/>
  <c r="W241" i="72" s="1"/>
  <c r="S176" i="72"/>
  <c r="S211" i="72" s="1"/>
  <c r="S241" i="72" s="1"/>
  <c r="R176" i="72"/>
  <c r="R211" i="72" s="1"/>
  <c r="R241" i="72" s="1"/>
  <c r="Y176" i="72"/>
  <c r="Y211" i="72" s="1"/>
  <c r="Y241" i="72" s="1"/>
  <c r="V176" i="72"/>
  <c r="V211" i="72" s="1"/>
  <c r="V241" i="72" s="1"/>
  <c r="O219" i="71" l="1"/>
  <c r="O22" i="41" s="1"/>
  <c r="J218" i="71"/>
  <c r="J21" i="41" s="1"/>
  <c r="J41" i="41" s="1"/>
  <c r="U218" i="71"/>
  <c r="U21" i="41" s="1"/>
  <c r="AK41" i="41" s="1"/>
  <c r="M219" i="71"/>
  <c r="M22" i="41" s="1"/>
  <c r="Q42" i="41" s="1"/>
  <c r="Q22" i="65" s="1"/>
  <c r="X218" i="71"/>
  <c r="X21" i="41" s="1"/>
  <c r="AN41" i="41" s="1"/>
  <c r="U219" i="71"/>
  <c r="U22" i="41" s="1"/>
  <c r="AK42" i="41" s="1"/>
  <c r="AK77" i="41" s="1"/>
  <c r="S219" i="71"/>
  <c r="S22" i="41" s="1"/>
  <c r="AI42" i="41" s="1"/>
  <c r="AI77" i="41" s="1"/>
  <c r="Q250" i="72"/>
  <c r="Q26" i="41" s="1"/>
  <c r="AG46" i="41" s="1"/>
  <c r="AG26" i="65" s="1"/>
  <c r="AG116" i="65" s="1"/>
  <c r="N219" i="71"/>
  <c r="N22" i="41" s="1"/>
  <c r="V42" i="41" s="1"/>
  <c r="V219" i="71"/>
  <c r="V22" i="41" s="1"/>
  <c r="AL42" i="41" s="1"/>
  <c r="AL77" i="41" s="1"/>
  <c r="P218" i="71"/>
  <c r="P21" i="41" s="1"/>
  <c r="AF41" i="41" s="1"/>
  <c r="M218" i="71"/>
  <c r="M21" i="41" s="1"/>
  <c r="Q41" i="41" s="1"/>
  <c r="N250" i="72"/>
  <c r="N26" i="41" s="1"/>
  <c r="T46" i="41" s="1"/>
  <c r="T219" i="71"/>
  <c r="T22" i="41" s="1"/>
  <c r="AJ42" i="41" s="1"/>
  <c r="AJ77" i="41" s="1"/>
  <c r="J219" i="71"/>
  <c r="J22" i="41" s="1"/>
  <c r="J42" i="41" s="1"/>
  <c r="J22" i="65" s="1"/>
  <c r="K219" i="71"/>
  <c r="K22" i="41" s="1"/>
  <c r="K42" i="41" s="1"/>
  <c r="K22" i="65" s="1"/>
  <c r="O257" i="73"/>
  <c r="O25" i="41" s="1"/>
  <c r="T42" i="41"/>
  <c r="P210" i="73"/>
  <c r="P280" i="73"/>
  <c r="P43" i="74" s="1"/>
  <c r="P88" i="74" s="1"/>
  <c r="X250" i="72"/>
  <c r="X26" i="41" s="1"/>
  <c r="AN46" i="41" s="1"/>
  <c r="N281" i="73"/>
  <c r="N44" i="74" s="1"/>
  <c r="N89" i="74" s="1"/>
  <c r="N211" i="73"/>
  <c r="N278" i="73"/>
  <c r="N41" i="74" s="1"/>
  <c r="N86" i="74" s="1"/>
  <c r="N208" i="73"/>
  <c r="V239" i="83"/>
  <c r="V36" i="71"/>
  <c r="V141" i="71" s="1"/>
  <c r="V217" i="71" s="1"/>
  <c r="V20" i="41" s="1"/>
  <c r="AL40" i="41" s="1"/>
  <c r="O218" i="71"/>
  <c r="O21" i="41" s="1"/>
  <c r="T218" i="71"/>
  <c r="T21" i="41" s="1"/>
  <c r="AJ41" i="41" s="1"/>
  <c r="Y219" i="71"/>
  <c r="Y22" i="41" s="1"/>
  <c r="AO42" i="41" s="1"/>
  <c r="Y239" i="83"/>
  <c r="Y36" i="71"/>
  <c r="Y141" i="71" s="1"/>
  <c r="Y217" i="71" s="1"/>
  <c r="Y20" i="41" s="1"/>
  <c r="AO40" i="41" s="1"/>
  <c r="N218" i="71"/>
  <c r="N21" i="41" s="1"/>
  <c r="K36" i="71"/>
  <c r="K141" i="71" s="1"/>
  <c r="K217" i="71" s="1"/>
  <c r="K20" i="41" s="1"/>
  <c r="K40" i="41" s="1"/>
  <c r="K239" i="83"/>
  <c r="P36" i="71"/>
  <c r="P141" i="71" s="1"/>
  <c r="P217" i="71" s="1"/>
  <c r="P20" i="41" s="1"/>
  <c r="P239" i="83"/>
  <c r="K207" i="73"/>
  <c r="K277" i="73"/>
  <c r="K40" i="74" s="1"/>
  <c r="K85" i="74" s="1"/>
  <c r="K210" i="73"/>
  <c r="K280" i="73"/>
  <c r="K43" i="74" s="1"/>
  <c r="K88" i="74" s="1"/>
  <c r="U250" i="72"/>
  <c r="U26" i="41" s="1"/>
  <c r="AK46" i="41" s="1"/>
  <c r="L214" i="73"/>
  <c r="L284" i="73"/>
  <c r="L47" i="74" s="1"/>
  <c r="L92" i="74" s="1"/>
  <c r="M215" i="73"/>
  <c r="M285" i="73"/>
  <c r="M48" i="74" s="1"/>
  <c r="M93" i="74" s="1"/>
  <c r="J257" i="73"/>
  <c r="J25" i="41" s="1"/>
  <c r="J45" i="41" s="1"/>
  <c r="Q257" i="73"/>
  <c r="Q25" i="41" s="1"/>
  <c r="AG45" i="41" s="1"/>
  <c r="P212" i="73"/>
  <c r="P282" i="73"/>
  <c r="P45" i="74" s="1"/>
  <c r="P90" i="74" s="1"/>
  <c r="N210" i="73"/>
  <c r="N280" i="73"/>
  <c r="N43" i="74" s="1"/>
  <c r="N88" i="74" s="1"/>
  <c r="J284" i="73"/>
  <c r="J47" i="74" s="1"/>
  <c r="J92" i="74" s="1"/>
  <c r="J214" i="73"/>
  <c r="N284" i="73"/>
  <c r="N47" i="74" s="1"/>
  <c r="N92" i="74" s="1"/>
  <c r="N214" i="73"/>
  <c r="J281" i="73"/>
  <c r="J44" i="74" s="1"/>
  <c r="J89" i="74" s="1"/>
  <c r="J211" i="73"/>
  <c r="P285" i="73"/>
  <c r="P48" i="74" s="1"/>
  <c r="P93" i="74" s="1"/>
  <c r="P215" i="73"/>
  <c r="K208" i="73"/>
  <c r="K278" i="73"/>
  <c r="K41" i="74" s="1"/>
  <c r="K86" i="74" s="1"/>
  <c r="X219" i="71"/>
  <c r="X22" i="41" s="1"/>
  <c r="AN42" i="41" s="1"/>
  <c r="W219" i="71"/>
  <c r="W22" i="41" s="1"/>
  <c r="AM42" i="41" s="1"/>
  <c r="R218" i="71"/>
  <c r="R21" i="41" s="1"/>
  <c r="AH41" i="41" s="1"/>
  <c r="AL22" i="65"/>
  <c r="AE41" i="41"/>
  <c r="AD41" i="41"/>
  <c r="AC41" i="41"/>
  <c r="AB41" i="41"/>
  <c r="N36" i="71"/>
  <c r="N141" i="71" s="1"/>
  <c r="N217" i="71" s="1"/>
  <c r="N20" i="41" s="1"/>
  <c r="N239" i="83"/>
  <c r="P219" i="71"/>
  <c r="P22" i="41" s="1"/>
  <c r="J212" i="73"/>
  <c r="J282" i="73"/>
  <c r="J45" i="74" s="1"/>
  <c r="J90" i="74" s="1"/>
  <c r="L212" i="73"/>
  <c r="L282" i="73"/>
  <c r="L45" i="74" s="1"/>
  <c r="L90" i="74" s="1"/>
  <c r="P279" i="73"/>
  <c r="P42" i="74" s="1"/>
  <c r="P87" i="74" s="1"/>
  <c r="P209" i="73"/>
  <c r="J279" i="73"/>
  <c r="J42" i="74" s="1"/>
  <c r="J87" i="74" s="1"/>
  <c r="J209" i="73"/>
  <c r="J207" i="73"/>
  <c r="J277" i="73"/>
  <c r="J40" i="74" s="1"/>
  <c r="J85" i="74" s="1"/>
  <c r="J210" i="73"/>
  <c r="J280" i="73"/>
  <c r="J43" i="74" s="1"/>
  <c r="J88" i="74" s="1"/>
  <c r="M280" i="73"/>
  <c r="M43" i="74" s="1"/>
  <c r="M88" i="74" s="1"/>
  <c r="M210" i="73"/>
  <c r="Y250" i="72"/>
  <c r="Y26" i="41" s="1"/>
  <c r="AO46" i="41" s="1"/>
  <c r="P214" i="73"/>
  <c r="P284" i="73"/>
  <c r="P47" i="74" s="1"/>
  <c r="P92" i="74" s="1"/>
  <c r="N283" i="73"/>
  <c r="N46" i="74" s="1"/>
  <c r="N91" i="74" s="1"/>
  <c r="N213" i="73"/>
  <c r="P281" i="73"/>
  <c r="P44" i="74" s="1"/>
  <c r="P89" i="74" s="1"/>
  <c r="P211" i="73"/>
  <c r="Q206" i="73"/>
  <c r="Q276" i="73"/>
  <c r="Q39" i="74" s="1"/>
  <c r="Q84" i="74" s="1"/>
  <c r="M257" i="73"/>
  <c r="M25" i="41" s="1"/>
  <c r="Q45" i="41" s="1"/>
  <c r="Q214" i="73"/>
  <c r="Q284" i="73"/>
  <c r="Q47" i="74" s="1"/>
  <c r="Q92" i="74" s="1"/>
  <c r="O213" i="73"/>
  <c r="O283" i="73"/>
  <c r="O46" i="74" s="1"/>
  <c r="O91" i="74" s="1"/>
  <c r="K281" i="73"/>
  <c r="K44" i="74" s="1"/>
  <c r="K89" i="74" s="1"/>
  <c r="K211" i="73"/>
  <c r="O276" i="73"/>
  <c r="O39" i="74" s="1"/>
  <c r="O84" i="74" s="1"/>
  <c r="O206" i="73"/>
  <c r="L257" i="73"/>
  <c r="L25" i="41" s="1"/>
  <c r="R46" i="41"/>
  <c r="U46" i="41"/>
  <c r="S46" i="41"/>
  <c r="O36" i="71"/>
  <c r="O141" i="71" s="1"/>
  <c r="O217" i="71" s="1"/>
  <c r="O20" i="41" s="1"/>
  <c r="O239" i="83"/>
  <c r="M279" i="73"/>
  <c r="M42" i="74" s="1"/>
  <c r="M87" i="74" s="1"/>
  <c r="M209" i="73"/>
  <c r="P278" i="73"/>
  <c r="P41" i="74" s="1"/>
  <c r="P86" i="74" s="1"/>
  <c r="P208" i="73"/>
  <c r="AA42" i="41"/>
  <c r="X42" i="41"/>
  <c r="Y42" i="41"/>
  <c r="Z42" i="41"/>
  <c r="W42" i="41"/>
  <c r="L36" i="71"/>
  <c r="L141" i="71" s="1"/>
  <c r="L217" i="71" s="1"/>
  <c r="L20" i="41" s="1"/>
  <c r="L239" i="83"/>
  <c r="J250" i="72"/>
  <c r="J26" i="41" s="1"/>
  <c r="J46" i="41" s="1"/>
  <c r="Q207" i="73"/>
  <c r="Q277" i="73"/>
  <c r="Q40" i="74" s="1"/>
  <c r="Q85" i="74" s="1"/>
  <c r="O278" i="73"/>
  <c r="O41" i="74" s="1"/>
  <c r="O86" i="74" s="1"/>
  <c r="O208" i="73"/>
  <c r="AK76" i="41"/>
  <c r="AK21" i="65"/>
  <c r="Q77" i="41"/>
  <c r="R239" i="83"/>
  <c r="R36" i="71"/>
  <c r="R141" i="71" s="1"/>
  <c r="R217" i="71" s="1"/>
  <c r="R20" i="41" s="1"/>
  <c r="AH40" i="41" s="1"/>
  <c r="U36" i="71"/>
  <c r="U141" i="71" s="1"/>
  <c r="U217" i="71" s="1"/>
  <c r="U20" i="41" s="1"/>
  <c r="AK40" i="41" s="1"/>
  <c r="U239" i="83"/>
  <c r="P250" i="72"/>
  <c r="P26" i="41" s="1"/>
  <c r="L250" i="72"/>
  <c r="L26" i="41" s="1"/>
  <c r="J21" i="65"/>
  <c r="J76" i="41"/>
  <c r="K212" i="73"/>
  <c r="K282" i="73"/>
  <c r="K45" i="74" s="1"/>
  <c r="K90" i="74" s="1"/>
  <c r="L209" i="73"/>
  <c r="L279" i="73"/>
  <c r="L42" i="74" s="1"/>
  <c r="L87" i="74" s="1"/>
  <c r="M277" i="73"/>
  <c r="M40" i="74" s="1"/>
  <c r="M85" i="74" s="1"/>
  <c r="M207" i="73"/>
  <c r="O277" i="73"/>
  <c r="O40" i="74" s="1"/>
  <c r="O85" i="74" s="1"/>
  <c r="O207" i="73"/>
  <c r="O280" i="73"/>
  <c r="O43" i="74" s="1"/>
  <c r="O88" i="74" s="1"/>
  <c r="O210" i="73"/>
  <c r="S250" i="72"/>
  <c r="S26" i="41" s="1"/>
  <c r="AI46" i="41" s="1"/>
  <c r="W250" i="72"/>
  <c r="W26" i="41" s="1"/>
  <c r="AM46" i="41" s="1"/>
  <c r="M283" i="73"/>
  <c r="M46" i="74" s="1"/>
  <c r="M91" i="74" s="1"/>
  <c r="M213" i="73"/>
  <c r="P283" i="73"/>
  <c r="P46" i="74" s="1"/>
  <c r="P91" i="74" s="1"/>
  <c r="P213" i="73"/>
  <c r="Q281" i="73"/>
  <c r="Q44" i="74" s="1"/>
  <c r="Q89" i="74" s="1"/>
  <c r="Q211" i="73"/>
  <c r="O285" i="73"/>
  <c r="O48" i="74" s="1"/>
  <c r="O93" i="74" s="1"/>
  <c r="O215" i="73"/>
  <c r="K285" i="73"/>
  <c r="K48" i="74" s="1"/>
  <c r="K93" i="74" s="1"/>
  <c r="K215" i="73"/>
  <c r="N276" i="73"/>
  <c r="N39" i="74" s="1"/>
  <c r="N84" i="74" s="1"/>
  <c r="N206" i="73"/>
  <c r="M206" i="73"/>
  <c r="M276" i="73"/>
  <c r="M39" i="74" s="1"/>
  <c r="M84" i="74" s="1"/>
  <c r="H237" i="83" a="1"/>
  <c r="H237" i="83" s="1"/>
  <c r="W218" i="71"/>
  <c r="W21" i="41" s="1"/>
  <c r="AM41" i="41" s="1"/>
  <c r="Q219" i="71"/>
  <c r="Q22" i="41" s="1"/>
  <c r="AG42" i="41" s="1"/>
  <c r="Q282" i="73"/>
  <c r="Q45" i="74" s="1"/>
  <c r="Q90" i="74" s="1"/>
  <c r="Q212" i="73"/>
  <c r="M282" i="73"/>
  <c r="M45" i="74" s="1"/>
  <c r="M90" i="74" s="1"/>
  <c r="M212" i="73"/>
  <c r="O279" i="73"/>
  <c r="O42" i="74" s="1"/>
  <c r="O87" i="74" s="1"/>
  <c r="O209" i="73"/>
  <c r="L277" i="73"/>
  <c r="L40" i="74" s="1"/>
  <c r="L85" i="74" s="1"/>
  <c r="L207" i="73"/>
  <c r="Q280" i="73"/>
  <c r="Q43" i="74" s="1"/>
  <c r="Q88" i="74" s="1"/>
  <c r="Q210" i="73"/>
  <c r="V250" i="72"/>
  <c r="V26" i="41" s="1"/>
  <c r="AL46" i="41" s="1"/>
  <c r="O284" i="73"/>
  <c r="O47" i="74" s="1"/>
  <c r="O92" i="74" s="1"/>
  <c r="O214" i="73"/>
  <c r="K283" i="73"/>
  <c r="K46" i="74" s="1"/>
  <c r="K91" i="74" s="1"/>
  <c r="K213" i="73"/>
  <c r="O281" i="73"/>
  <c r="O44" i="74" s="1"/>
  <c r="O89" i="74" s="1"/>
  <c r="O211" i="73"/>
  <c r="J215" i="73"/>
  <c r="J285" i="73"/>
  <c r="J48" i="74" s="1"/>
  <c r="J93" i="74" s="1"/>
  <c r="K257" i="73"/>
  <c r="K25" i="41" s="1"/>
  <c r="K45" i="41" s="1"/>
  <c r="L276" i="73"/>
  <c r="L39" i="74" s="1"/>
  <c r="L84" i="74" s="1"/>
  <c r="L206" i="73"/>
  <c r="K77" i="41"/>
  <c r="AN76" i="41"/>
  <c r="AN21" i="65"/>
  <c r="Q21" i="65"/>
  <c r="Q76" i="41"/>
  <c r="K279" i="73"/>
  <c r="K42" i="74" s="1"/>
  <c r="K87" i="74" s="1"/>
  <c r="K209" i="73"/>
  <c r="M208" i="73"/>
  <c r="M278" i="73"/>
  <c r="M41" i="74" s="1"/>
  <c r="M86" i="74" s="1"/>
  <c r="K218" i="71"/>
  <c r="K21" i="41" s="1"/>
  <c r="K41" i="41" s="1"/>
  <c r="J36" i="71"/>
  <c r="J239" i="83"/>
  <c r="L219" i="71"/>
  <c r="L22" i="41" s="1"/>
  <c r="Q218" i="71"/>
  <c r="Q21" i="41" s="1"/>
  <c r="AG41" i="41" s="1"/>
  <c r="O250" i="72"/>
  <c r="O26" i="41" s="1"/>
  <c r="V218" i="71"/>
  <c r="V21" i="41" s="1"/>
  <c r="AL41" i="41" s="1"/>
  <c r="M36" i="71"/>
  <c r="M141" i="71" s="1"/>
  <c r="M217" i="71" s="1"/>
  <c r="M20" i="41" s="1"/>
  <c r="Q40" i="41" s="1"/>
  <c r="M239" i="83"/>
  <c r="O212" i="73"/>
  <c r="O282" i="73"/>
  <c r="O45" i="74" s="1"/>
  <c r="O90" i="74" s="1"/>
  <c r="N282" i="73"/>
  <c r="N45" i="74" s="1"/>
  <c r="N90" i="74" s="1"/>
  <c r="N212" i="73"/>
  <c r="N209" i="73"/>
  <c r="N279" i="73"/>
  <c r="N42" i="74" s="1"/>
  <c r="N87" i="74" s="1"/>
  <c r="T250" i="72"/>
  <c r="T26" i="41" s="1"/>
  <c r="AJ46" i="41" s="1"/>
  <c r="M284" i="73"/>
  <c r="M47" i="74" s="1"/>
  <c r="M92" i="74" s="1"/>
  <c r="M214" i="73"/>
  <c r="J213" i="73"/>
  <c r="J283" i="73"/>
  <c r="J46" i="74" s="1"/>
  <c r="J91" i="74" s="1"/>
  <c r="L281" i="73"/>
  <c r="L44" i="74" s="1"/>
  <c r="L89" i="74" s="1"/>
  <c r="L211" i="73"/>
  <c r="L285" i="73"/>
  <c r="L48" i="74" s="1"/>
  <c r="L93" i="74" s="1"/>
  <c r="L215" i="73"/>
  <c r="Q215" i="73"/>
  <c r="Q285" i="73"/>
  <c r="Q48" i="74" s="1"/>
  <c r="Q93" i="74" s="1"/>
  <c r="P257" i="73"/>
  <c r="P25" i="41" s="1"/>
  <c r="K276" i="73"/>
  <c r="K39" i="74" s="1"/>
  <c r="K84" i="74" s="1"/>
  <c r="K206" i="73"/>
  <c r="J77" i="41"/>
  <c r="N207" i="73"/>
  <c r="N277" i="73"/>
  <c r="N40" i="74" s="1"/>
  <c r="N85" i="74" s="1"/>
  <c r="L278" i="73"/>
  <c r="L41" i="74" s="1"/>
  <c r="L86" i="74" s="1"/>
  <c r="L208" i="73"/>
  <c r="M250" i="72"/>
  <c r="M26" i="41" s="1"/>
  <c r="Q46" i="41" s="1"/>
  <c r="L280" i="73"/>
  <c r="L43" i="74" s="1"/>
  <c r="L88" i="74" s="1"/>
  <c r="L210" i="73"/>
  <c r="K250" i="72"/>
  <c r="K26" i="41" s="1"/>
  <c r="K46" i="41" s="1"/>
  <c r="Y218" i="71"/>
  <c r="Y21" i="41" s="1"/>
  <c r="AO41" i="41" s="1"/>
  <c r="S239" i="83"/>
  <c r="S36" i="71"/>
  <c r="S141" i="71" s="1"/>
  <c r="S217" i="71" s="1"/>
  <c r="S20" i="41" s="1"/>
  <c r="AI40" i="41" s="1"/>
  <c r="W239" i="83"/>
  <c r="W36" i="71"/>
  <c r="W141" i="71" s="1"/>
  <c r="W217" i="71" s="1"/>
  <c r="W20" i="41" s="1"/>
  <c r="AM40" i="41" s="1"/>
  <c r="Q278" i="73"/>
  <c r="Q41" i="74" s="1"/>
  <c r="Q86" i="74" s="1"/>
  <c r="Q208" i="73"/>
  <c r="J208" i="73"/>
  <c r="J278" i="73"/>
  <c r="J41" i="74" s="1"/>
  <c r="J86" i="74" s="1"/>
  <c r="R219" i="71"/>
  <c r="R22" i="41" s="1"/>
  <c r="AH42" i="41" s="1"/>
  <c r="X239" i="83"/>
  <c r="X36" i="71"/>
  <c r="X141" i="71" s="1"/>
  <c r="X217" i="71" s="1"/>
  <c r="X20" i="41" s="1"/>
  <c r="AN40" i="41" s="1"/>
  <c r="AK22" i="65"/>
  <c r="S218" i="71"/>
  <c r="S21" i="41" s="1"/>
  <c r="AI41" i="41" s="1"/>
  <c r="T239" i="83"/>
  <c r="T36" i="71"/>
  <c r="T141" i="71" s="1"/>
  <c r="T217" i="71" s="1"/>
  <c r="T20" i="41" s="1"/>
  <c r="AJ40" i="41" s="1"/>
  <c r="Q36" i="71"/>
  <c r="Q141" i="71" s="1"/>
  <c r="Q217" i="71" s="1"/>
  <c r="Q20" i="41" s="1"/>
  <c r="AG40" i="41" s="1"/>
  <c r="Q239" i="83"/>
  <c r="L218" i="71"/>
  <c r="L21" i="41" s="1"/>
  <c r="Q209" i="73"/>
  <c r="Q279" i="73"/>
  <c r="Q42" i="74" s="1"/>
  <c r="Q87" i="74" s="1"/>
  <c r="P277" i="73"/>
  <c r="P40" i="74" s="1"/>
  <c r="P85" i="74" s="1"/>
  <c r="P207" i="73"/>
  <c r="R250" i="72"/>
  <c r="R26" i="41" s="1"/>
  <c r="AH46" i="41" s="1"/>
  <c r="K214" i="73"/>
  <c r="K284" i="73"/>
  <c r="K47" i="74" s="1"/>
  <c r="K92" i="74" s="1"/>
  <c r="L213" i="73"/>
  <c r="L283" i="73"/>
  <c r="L46" i="74" s="1"/>
  <c r="L91" i="74" s="1"/>
  <c r="Q283" i="73"/>
  <c r="Q46" i="74" s="1"/>
  <c r="Q91" i="74" s="1"/>
  <c r="Q213" i="73"/>
  <c r="M211" i="73"/>
  <c r="M281" i="73"/>
  <c r="M44" i="74" s="1"/>
  <c r="M89" i="74" s="1"/>
  <c r="N215" i="73"/>
  <c r="N285" i="73"/>
  <c r="N48" i="74" s="1"/>
  <c r="N93" i="74" s="1"/>
  <c r="P206" i="73"/>
  <c r="P276" i="73"/>
  <c r="P39" i="74" s="1"/>
  <c r="P84" i="74" s="1"/>
  <c r="N257" i="73"/>
  <c r="N25" i="41" s="1"/>
  <c r="J206" i="73"/>
  <c r="J276" i="73"/>
  <c r="J39" i="74" s="1"/>
  <c r="AI22" i="65" l="1"/>
  <c r="AG81" i="41"/>
  <c r="R42" i="41"/>
  <c r="H254" i="72" a="1"/>
  <c r="H254" i="72" s="1"/>
  <c r="A4" i="72" s="1"/>
  <c r="S42" i="41"/>
  <c r="U42" i="41"/>
  <c r="U77" i="41" s="1"/>
  <c r="V46" i="41"/>
  <c r="V26" i="65" s="1"/>
  <c r="V116" i="65" s="1"/>
  <c r="AJ22" i="65"/>
  <c r="K256" i="73"/>
  <c r="K24" i="41" s="1"/>
  <c r="K44" i="41" s="1"/>
  <c r="AH81" i="41"/>
  <c r="AH26" i="65"/>
  <c r="AH116" i="65" s="1"/>
  <c r="AJ81" i="41"/>
  <c r="AJ26" i="65"/>
  <c r="AJ116" i="65" s="1"/>
  <c r="K21" i="65"/>
  <c r="K76" i="41"/>
  <c r="R26" i="65"/>
  <c r="R116" i="65" s="1"/>
  <c r="R81" i="41"/>
  <c r="J118" i="74"/>
  <c r="J150" i="74" s="1"/>
  <c r="L118" i="74"/>
  <c r="L150" i="74" s="1"/>
  <c r="AC21" i="65"/>
  <c r="AC76" i="41"/>
  <c r="AN77" i="41"/>
  <c r="AN22" i="65"/>
  <c r="AD40" i="41"/>
  <c r="AC40" i="41"/>
  <c r="AF40" i="41"/>
  <c r="AE40" i="41"/>
  <c r="AB40" i="41"/>
  <c r="AA41" i="41"/>
  <c r="Z41" i="41"/>
  <c r="Y41" i="41"/>
  <c r="X41" i="41"/>
  <c r="W41" i="41"/>
  <c r="J256" i="73"/>
  <c r="J24" i="41" s="1"/>
  <c r="J44" i="41" s="1"/>
  <c r="AI76" i="41"/>
  <c r="AI21" i="65"/>
  <c r="M46" i="41"/>
  <c r="L46" i="41"/>
  <c r="N46" i="41"/>
  <c r="O46" i="41"/>
  <c r="P46" i="41"/>
  <c r="M40" i="41"/>
  <c r="P40" i="41"/>
  <c r="O40" i="41"/>
  <c r="N40" i="41"/>
  <c r="L40" i="41"/>
  <c r="T26" i="65"/>
  <c r="T116" i="65" s="1"/>
  <c r="T81" i="41"/>
  <c r="AD21" i="65"/>
  <c r="AD76" i="41"/>
  <c r="X116" i="74"/>
  <c r="X148" i="74" s="1"/>
  <c r="S116" i="74"/>
  <c r="S148" i="74" s="1"/>
  <c r="V116" i="74"/>
  <c r="V148" i="74" s="1"/>
  <c r="O116" i="74"/>
  <c r="O148" i="74" s="1"/>
  <c r="W116" i="74"/>
  <c r="W148" i="74" s="1"/>
  <c r="M116" i="74"/>
  <c r="M148" i="74" s="1"/>
  <c r="P116" i="74"/>
  <c r="P148" i="74" s="1"/>
  <c r="T116" i="74"/>
  <c r="T148" i="74" s="1"/>
  <c r="U116" i="74"/>
  <c r="U148" i="74" s="1"/>
  <c r="Y116" i="74"/>
  <c r="Y148" i="74" s="1"/>
  <c r="K116" i="74"/>
  <c r="K148" i="74" s="1"/>
  <c r="R116" i="74"/>
  <c r="R148" i="74" s="1"/>
  <c r="Q116" i="74"/>
  <c r="Q148" i="74" s="1"/>
  <c r="N116" i="74"/>
  <c r="N148" i="74" s="1"/>
  <c r="AL20" i="65"/>
  <c r="AL75" i="41"/>
  <c r="J116" i="74"/>
  <c r="J148" i="74" s="1"/>
  <c r="L116" i="74"/>
  <c r="L148" i="74" s="1"/>
  <c r="J141" i="71"/>
  <c r="J217" i="71" s="1"/>
  <c r="J20" i="41" s="1"/>
  <c r="J40" i="41" s="1"/>
  <c r="J84" i="74"/>
  <c r="T45" i="41"/>
  <c r="U45" i="41"/>
  <c r="V45" i="41"/>
  <c r="R45" i="41"/>
  <c r="S45" i="41"/>
  <c r="W22" i="65"/>
  <c r="W77" i="41"/>
  <c r="P45" i="41"/>
  <c r="N45" i="41"/>
  <c r="L45" i="41"/>
  <c r="M45" i="41"/>
  <c r="O45" i="41"/>
  <c r="L115" i="74"/>
  <c r="L147" i="74" s="1"/>
  <c r="J115" i="74"/>
  <c r="J147" i="74" s="1"/>
  <c r="J120" i="74"/>
  <c r="J152" i="74" s="1"/>
  <c r="L120" i="74"/>
  <c r="L152" i="74" s="1"/>
  <c r="AE21" i="65"/>
  <c r="AE76" i="41"/>
  <c r="L122" i="74"/>
  <c r="L154" i="74" s="1"/>
  <c r="J122" i="74"/>
  <c r="J154" i="74" s="1"/>
  <c r="AG127" i="65"/>
  <c r="AG156" i="65" s="1"/>
  <c r="AG136" i="65"/>
  <c r="AG165" i="65" s="1"/>
  <c r="AG145" i="65"/>
  <c r="AG174" i="65" s="1"/>
  <c r="AG38" i="82"/>
  <c r="AK81" i="41"/>
  <c r="AK26" i="65"/>
  <c r="AK116" i="65" s="1"/>
  <c r="AK127" i="65" s="1"/>
  <c r="AK156" i="65" s="1"/>
  <c r="K20" i="65"/>
  <c r="K75" i="41"/>
  <c r="R22" i="65"/>
  <c r="R77" i="41"/>
  <c r="AF21" i="65"/>
  <c r="AF76" i="41"/>
  <c r="AG25" i="65"/>
  <c r="AG115" i="65" s="1"/>
  <c r="AG80" i="41"/>
  <c r="Q118" i="74"/>
  <c r="Q150" i="74" s="1"/>
  <c r="S118" i="74"/>
  <c r="S150" i="74" s="1"/>
  <c r="W118" i="74"/>
  <c r="W150" i="74" s="1"/>
  <c r="Y118" i="74"/>
  <c r="Y150" i="74" s="1"/>
  <c r="N118" i="74"/>
  <c r="N150" i="74" s="1"/>
  <c r="T118" i="74"/>
  <c r="T150" i="74" s="1"/>
  <c r="U118" i="74"/>
  <c r="U150" i="74" s="1"/>
  <c r="R118" i="74"/>
  <c r="R150" i="74" s="1"/>
  <c r="V118" i="74"/>
  <c r="V150" i="74" s="1"/>
  <c r="M118" i="74"/>
  <c r="M150" i="74" s="1"/>
  <c r="K118" i="74"/>
  <c r="K150" i="74" s="1"/>
  <c r="X118" i="74"/>
  <c r="X150" i="74" s="1"/>
  <c r="P118" i="74"/>
  <c r="P150" i="74" s="1"/>
  <c r="O118" i="74"/>
  <c r="O150" i="74" s="1"/>
  <c r="V41" i="41"/>
  <c r="S41" i="41"/>
  <c r="U41" i="41"/>
  <c r="R41" i="41"/>
  <c r="T41" i="41"/>
  <c r="T22" i="65"/>
  <c r="T77" i="41"/>
  <c r="AI81" i="41"/>
  <c r="AI26" i="65"/>
  <c r="AI116" i="65" s="1"/>
  <c r="AK75" i="41"/>
  <c r="AK20" i="65"/>
  <c r="Y22" i="65"/>
  <c r="Y77" i="41"/>
  <c r="X40" i="41"/>
  <c r="Z40" i="41"/>
  <c r="Y40" i="41"/>
  <c r="AA40" i="41"/>
  <c r="W40" i="41"/>
  <c r="Q25" i="65"/>
  <c r="Q115" i="65" s="1"/>
  <c r="Q80" i="41"/>
  <c r="AE42" i="41"/>
  <c r="AF42" i="41"/>
  <c r="AC42" i="41"/>
  <c r="AD42" i="41"/>
  <c r="AB42" i="41"/>
  <c r="J25" i="65"/>
  <c r="J115" i="65" s="1"/>
  <c r="J80" i="41"/>
  <c r="AO75" i="41"/>
  <c r="AO20" i="65"/>
  <c r="S22" i="65"/>
  <c r="S77" i="41"/>
  <c r="AO76" i="41"/>
  <c r="AO21" i="65"/>
  <c r="K24" i="65"/>
  <c r="K114" i="65" s="1"/>
  <c r="K79" i="41"/>
  <c r="S123" i="74"/>
  <c r="S155" i="74" s="1"/>
  <c r="P123" i="74"/>
  <c r="P155" i="74" s="1"/>
  <c r="M123" i="74"/>
  <c r="M155" i="74" s="1"/>
  <c r="T123" i="74"/>
  <c r="T155" i="74" s="1"/>
  <c r="U123" i="74"/>
  <c r="U155" i="74" s="1"/>
  <c r="O123" i="74"/>
  <c r="O155" i="74" s="1"/>
  <c r="X123" i="74"/>
  <c r="X155" i="74" s="1"/>
  <c r="K123" i="74"/>
  <c r="K155" i="74" s="1"/>
  <c r="Q123" i="74"/>
  <c r="Q155" i="74" s="1"/>
  <c r="W123" i="74"/>
  <c r="W155" i="74" s="1"/>
  <c r="V123" i="74"/>
  <c r="V155" i="74" s="1"/>
  <c r="R123" i="74"/>
  <c r="R155" i="74" s="1"/>
  <c r="Y123" i="74"/>
  <c r="Y155" i="74" s="1"/>
  <c r="N123" i="74"/>
  <c r="N155" i="74" s="1"/>
  <c r="AM75" i="41"/>
  <c r="AM20" i="65"/>
  <c r="S114" i="74"/>
  <c r="S146" i="74" s="1"/>
  <c r="M114" i="74"/>
  <c r="M146" i="74" s="1"/>
  <c r="K114" i="74"/>
  <c r="K146" i="74" s="1"/>
  <c r="T114" i="74"/>
  <c r="T146" i="74" s="1"/>
  <c r="R114" i="74"/>
  <c r="R146" i="74" s="1"/>
  <c r="V114" i="74"/>
  <c r="V146" i="74" s="1"/>
  <c r="Y114" i="74"/>
  <c r="Y146" i="74" s="1"/>
  <c r="U114" i="74"/>
  <c r="U146" i="74" s="1"/>
  <c r="W114" i="74"/>
  <c r="W146" i="74" s="1"/>
  <c r="Q114" i="74"/>
  <c r="Q146" i="74" s="1"/>
  <c r="P114" i="74"/>
  <c r="P146" i="74" s="1"/>
  <c r="N114" i="74"/>
  <c r="N146" i="74" s="1"/>
  <c r="O114" i="74"/>
  <c r="O146" i="74" s="1"/>
  <c r="X114" i="74"/>
  <c r="X146" i="74" s="1"/>
  <c r="L256" i="73"/>
  <c r="L24" i="41" s="1"/>
  <c r="AM76" i="41"/>
  <c r="AM21" i="65"/>
  <c r="P256" i="73"/>
  <c r="P24" i="41" s="1"/>
  <c r="AN20" i="65"/>
  <c r="AN75" i="41"/>
  <c r="AD45" i="41"/>
  <c r="AC45" i="41"/>
  <c r="AF45" i="41"/>
  <c r="AB45" i="41"/>
  <c r="AE45" i="41"/>
  <c r="U117" i="74"/>
  <c r="U149" i="74" s="1"/>
  <c r="Y117" i="74"/>
  <c r="Y149" i="74" s="1"/>
  <c r="Q117" i="74"/>
  <c r="Q149" i="74" s="1"/>
  <c r="V117" i="74"/>
  <c r="V149" i="74" s="1"/>
  <c r="W117" i="74"/>
  <c r="W149" i="74" s="1"/>
  <c r="T117" i="74"/>
  <c r="T149" i="74" s="1"/>
  <c r="N117" i="74"/>
  <c r="N149" i="74" s="1"/>
  <c r="X117" i="74"/>
  <c r="X149" i="74" s="1"/>
  <c r="O117" i="74"/>
  <c r="O149" i="74" s="1"/>
  <c r="M117" i="74"/>
  <c r="M149" i="74" s="1"/>
  <c r="R117" i="74"/>
  <c r="R149" i="74" s="1"/>
  <c r="P117" i="74"/>
  <c r="P149" i="74" s="1"/>
  <c r="K117" i="74"/>
  <c r="K149" i="74" s="1"/>
  <c r="S117" i="74"/>
  <c r="S149" i="74" s="1"/>
  <c r="S121" i="74"/>
  <c r="S153" i="74" s="1"/>
  <c r="O121" i="74"/>
  <c r="O153" i="74" s="1"/>
  <c r="T121" i="74"/>
  <c r="T153" i="74" s="1"/>
  <c r="Q121" i="74"/>
  <c r="Q153" i="74" s="1"/>
  <c r="P121" i="74"/>
  <c r="P153" i="74" s="1"/>
  <c r="M121" i="74"/>
  <c r="M153" i="74" s="1"/>
  <c r="W121" i="74"/>
  <c r="W153" i="74" s="1"/>
  <c r="R121" i="74"/>
  <c r="R153" i="74" s="1"/>
  <c r="V121" i="74"/>
  <c r="V153" i="74" s="1"/>
  <c r="N121" i="74"/>
  <c r="N153" i="74" s="1"/>
  <c r="Y121" i="74"/>
  <c r="Y153" i="74" s="1"/>
  <c r="X121" i="74"/>
  <c r="X153" i="74" s="1"/>
  <c r="U121" i="74"/>
  <c r="U153" i="74" s="1"/>
  <c r="K121" i="74"/>
  <c r="K153" i="74" s="1"/>
  <c r="Q122" i="74"/>
  <c r="Q154" i="74" s="1"/>
  <c r="X122" i="74"/>
  <c r="X154" i="74" s="1"/>
  <c r="O122" i="74"/>
  <c r="O154" i="74" s="1"/>
  <c r="R122" i="74"/>
  <c r="R154" i="74" s="1"/>
  <c r="S122" i="74"/>
  <c r="S154" i="74" s="1"/>
  <c r="K122" i="74"/>
  <c r="K154" i="74" s="1"/>
  <c r="M122" i="74"/>
  <c r="M154" i="74" s="1"/>
  <c r="Y122" i="74"/>
  <c r="Y154" i="74" s="1"/>
  <c r="W122" i="74"/>
  <c r="W154" i="74" s="1"/>
  <c r="N122" i="74"/>
  <c r="N154" i="74" s="1"/>
  <c r="V122" i="74"/>
  <c r="V154" i="74" s="1"/>
  <c r="T122" i="74"/>
  <c r="T154" i="74" s="1"/>
  <c r="P122" i="74"/>
  <c r="P154" i="74" s="1"/>
  <c r="U122" i="74"/>
  <c r="U154" i="74" s="1"/>
  <c r="AI75" i="41"/>
  <c r="AI20" i="65"/>
  <c r="P42" i="41"/>
  <c r="O42" i="41"/>
  <c r="N42" i="41"/>
  <c r="M42" i="41"/>
  <c r="L42" i="41"/>
  <c r="K25" i="65"/>
  <c r="K115" i="65" s="1"/>
  <c r="K80" i="41"/>
  <c r="P120" i="74"/>
  <c r="P152" i="74" s="1"/>
  <c r="V120" i="74"/>
  <c r="V152" i="74" s="1"/>
  <c r="O120" i="74"/>
  <c r="O152" i="74" s="1"/>
  <c r="X120" i="74"/>
  <c r="X152" i="74" s="1"/>
  <c r="R120" i="74"/>
  <c r="R152" i="74" s="1"/>
  <c r="N120" i="74"/>
  <c r="N152" i="74" s="1"/>
  <c r="K120" i="74"/>
  <c r="K152" i="74" s="1"/>
  <c r="T120" i="74"/>
  <c r="T152" i="74" s="1"/>
  <c r="S120" i="74"/>
  <c r="S152" i="74" s="1"/>
  <c r="Y120" i="74"/>
  <c r="Y152" i="74" s="1"/>
  <c r="W120" i="74"/>
  <c r="W152" i="74" s="1"/>
  <c r="M120" i="74"/>
  <c r="M152" i="74" s="1"/>
  <c r="Q120" i="74"/>
  <c r="Q152" i="74" s="1"/>
  <c r="U120" i="74"/>
  <c r="U152" i="74" s="1"/>
  <c r="AH75" i="41"/>
  <c r="AH20" i="65"/>
  <c r="X22" i="65"/>
  <c r="X77" i="41"/>
  <c r="S26" i="65"/>
  <c r="S116" i="65" s="1"/>
  <c r="S81" i="41"/>
  <c r="AO26" i="65"/>
  <c r="AO116" i="65" s="1"/>
  <c r="AO127" i="65" s="1"/>
  <c r="AO156" i="65" s="1"/>
  <c r="AO81" i="41"/>
  <c r="J117" i="74"/>
  <c r="J149" i="74" s="1"/>
  <c r="L117" i="74"/>
  <c r="L149" i="74" s="1"/>
  <c r="O115" i="74"/>
  <c r="O147" i="74" s="1"/>
  <c r="K115" i="74"/>
  <c r="K147" i="74" s="1"/>
  <c r="N115" i="74"/>
  <c r="N147" i="74" s="1"/>
  <c r="X115" i="74"/>
  <c r="X147" i="74" s="1"/>
  <c r="R115" i="74"/>
  <c r="R147" i="74" s="1"/>
  <c r="Q115" i="74"/>
  <c r="Q147" i="74" s="1"/>
  <c r="T115" i="74"/>
  <c r="T147" i="74" s="1"/>
  <c r="S115" i="74"/>
  <c r="S147" i="74" s="1"/>
  <c r="V115" i="74"/>
  <c r="V147" i="74" s="1"/>
  <c r="Y115" i="74"/>
  <c r="Y147" i="74" s="1"/>
  <c r="W115" i="74"/>
  <c r="W147" i="74" s="1"/>
  <c r="U115" i="74"/>
  <c r="U147" i="74" s="1"/>
  <c r="P115" i="74"/>
  <c r="P147" i="74" s="1"/>
  <c r="M115" i="74"/>
  <c r="M147" i="74" s="1"/>
  <c r="Q20" i="65"/>
  <c r="Q75" i="41"/>
  <c r="K26" i="65"/>
  <c r="K116" i="65" s="1"/>
  <c r="K81" i="41"/>
  <c r="AL76" i="41"/>
  <c r="AL21" i="65"/>
  <c r="AG22" i="65"/>
  <c r="AG77" i="41"/>
  <c r="AF46" i="41"/>
  <c r="AC46" i="41"/>
  <c r="AB46" i="41"/>
  <c r="AD46" i="41"/>
  <c r="AE46" i="41"/>
  <c r="Q26" i="65"/>
  <c r="Q116" i="65" s="1"/>
  <c r="Q81" i="41"/>
  <c r="J121" i="74"/>
  <c r="J153" i="74" s="1"/>
  <c r="L121" i="74"/>
  <c r="L153" i="74" s="1"/>
  <c r="Y46" i="41"/>
  <c r="X46" i="41"/>
  <c r="W46" i="41"/>
  <c r="AA46" i="41"/>
  <c r="Z46" i="41"/>
  <c r="AM26" i="65"/>
  <c r="AM116" i="65" s="1"/>
  <c r="AM127" i="65" s="1"/>
  <c r="AM156" i="65" s="1"/>
  <c r="AM81" i="41"/>
  <c r="Z22" i="65"/>
  <c r="Z77" i="41"/>
  <c r="O256" i="73"/>
  <c r="O24" i="41" s="1"/>
  <c r="M41" i="41"/>
  <c r="P41" i="41"/>
  <c r="N41" i="41"/>
  <c r="L41" i="41"/>
  <c r="O41" i="41"/>
  <c r="AG21" i="65"/>
  <c r="AG76" i="41"/>
  <c r="AG20" i="65"/>
  <c r="AG75" i="41"/>
  <c r="AH77" i="41"/>
  <c r="AH22" i="65"/>
  <c r="H239" i="83"/>
  <c r="H241" i="83" s="1"/>
  <c r="M256" i="73"/>
  <c r="M24" i="41" s="1"/>
  <c r="Q44" i="41" s="1"/>
  <c r="AA22" i="65"/>
  <c r="AA77" i="41"/>
  <c r="N119" i="74"/>
  <c r="N151" i="74" s="1"/>
  <c r="T119" i="74"/>
  <c r="T151" i="74" s="1"/>
  <c r="K119" i="74"/>
  <c r="K151" i="74" s="1"/>
  <c r="Y119" i="74"/>
  <c r="Y151" i="74" s="1"/>
  <c r="V119" i="74"/>
  <c r="V151" i="74" s="1"/>
  <c r="U119" i="74"/>
  <c r="U151" i="74" s="1"/>
  <c r="S119" i="74"/>
  <c r="S151" i="74" s="1"/>
  <c r="Q119" i="74"/>
  <c r="Q151" i="74" s="1"/>
  <c r="W119" i="74"/>
  <c r="W151" i="74" s="1"/>
  <c r="X119" i="74"/>
  <c r="X151" i="74" s="1"/>
  <c r="M119" i="74"/>
  <c r="M151" i="74" s="1"/>
  <c r="R119" i="74"/>
  <c r="R151" i="74" s="1"/>
  <c r="P119" i="74"/>
  <c r="P151" i="74" s="1"/>
  <c r="O119" i="74"/>
  <c r="O151" i="74" s="1"/>
  <c r="Q256" i="73"/>
  <c r="Q24" i="41" s="1"/>
  <c r="AG44" i="41" s="1"/>
  <c r="S40" i="41"/>
  <c r="T40" i="41"/>
  <c r="V40" i="41"/>
  <c r="U40" i="41"/>
  <c r="R40" i="41"/>
  <c r="AH21" i="65"/>
  <c r="AH76" i="41"/>
  <c r="J119" i="74"/>
  <c r="J151" i="74" s="1"/>
  <c r="L119" i="74"/>
  <c r="L151" i="74" s="1"/>
  <c r="AO22" i="65"/>
  <c r="AO77" i="41"/>
  <c r="V22" i="65"/>
  <c r="V77" i="41"/>
  <c r="AJ75" i="41"/>
  <c r="AJ20" i="65"/>
  <c r="J123" i="74"/>
  <c r="J155" i="74" s="1"/>
  <c r="L123" i="74"/>
  <c r="L155" i="74" s="1"/>
  <c r="AL81" i="41"/>
  <c r="AL26" i="65"/>
  <c r="AL116" i="65" s="1"/>
  <c r="N256" i="73"/>
  <c r="N24" i="41" s="1"/>
  <c r="J26" i="65"/>
  <c r="J116" i="65" s="1"/>
  <c r="J81" i="41"/>
  <c r="U26" i="65"/>
  <c r="U116" i="65" s="1"/>
  <c r="U81" i="41"/>
  <c r="AB21" i="65"/>
  <c r="AB76" i="41"/>
  <c r="AM77" i="41"/>
  <c r="AM22" i="65"/>
  <c r="AJ76" i="41"/>
  <c r="AJ21" i="65"/>
  <c r="AN81" i="41"/>
  <c r="AN26" i="65"/>
  <c r="AN116" i="65" s="1"/>
  <c r="Y45" i="41"/>
  <c r="W45" i="41"/>
  <c r="Z45" i="41"/>
  <c r="AA45" i="41"/>
  <c r="X45" i="41"/>
  <c r="J50" i="55" l="1"/>
  <c r="V81" i="41"/>
  <c r="U22" i="65"/>
  <c r="H291" i="73" a="1"/>
  <c r="H291" i="73" s="1"/>
  <c r="H295" i="73" s="1"/>
  <c r="J49" i="55" s="1"/>
  <c r="X161" i="74"/>
  <c r="X23" i="41" s="1"/>
  <c r="AN43" i="41" s="1"/>
  <c r="V136" i="65"/>
  <c r="V165" i="65" s="1"/>
  <c r="V38" i="82"/>
  <c r="V145" i="65"/>
  <c r="V174" i="65" s="1"/>
  <c r="V127" i="65"/>
  <c r="V156" i="65" s="1"/>
  <c r="N21" i="65"/>
  <c r="N76" i="41"/>
  <c r="Z26" i="65"/>
  <c r="Z116" i="65" s="1"/>
  <c r="Z81" i="41"/>
  <c r="Q38" i="82"/>
  <c r="Q127" i="65"/>
  <c r="Q156" i="65" s="1"/>
  <c r="Q145" i="65"/>
  <c r="Q174" i="65" s="1"/>
  <c r="Q136" i="65"/>
  <c r="Q165" i="65" s="1"/>
  <c r="L22" i="65"/>
  <c r="L77" i="41"/>
  <c r="AB44" i="41"/>
  <c r="AC44" i="41"/>
  <c r="AE44" i="41"/>
  <c r="AD44" i="41"/>
  <c r="AF44" i="41"/>
  <c r="M161" i="74"/>
  <c r="M23" i="41" s="1"/>
  <c r="Q43" i="41" s="1"/>
  <c r="AC22" i="65"/>
  <c r="AC77" i="41"/>
  <c r="Z20" i="65"/>
  <c r="Z75" i="41"/>
  <c r="N25" i="65"/>
  <c r="N115" i="65" s="1"/>
  <c r="N80" i="41"/>
  <c r="U25" i="65"/>
  <c r="U115" i="65" s="1"/>
  <c r="U80" i="41"/>
  <c r="M20" i="65"/>
  <c r="M75" i="41"/>
  <c r="AB20" i="65"/>
  <c r="AB75" i="41"/>
  <c r="X25" i="65"/>
  <c r="X115" i="65" s="1"/>
  <c r="X80" i="41"/>
  <c r="J127" i="65"/>
  <c r="J156" i="65" s="1"/>
  <c r="J38" i="82"/>
  <c r="J136" i="65"/>
  <c r="J165" i="65" s="1"/>
  <c r="J145" i="65"/>
  <c r="J174" i="65" s="1"/>
  <c r="P21" i="65"/>
  <c r="P76" i="41"/>
  <c r="AA26" i="65"/>
  <c r="AA116" i="65" s="1"/>
  <c r="AA81" i="41"/>
  <c r="AE26" i="65"/>
  <c r="AE116" i="65" s="1"/>
  <c r="AE81" i="41"/>
  <c r="AO61" i="105"/>
  <c r="AO101" i="105" s="1"/>
  <c r="M22" i="65"/>
  <c r="M77" i="41"/>
  <c r="AE25" i="65"/>
  <c r="AE115" i="65" s="1"/>
  <c r="AE80" i="41"/>
  <c r="W161" i="74"/>
  <c r="W23" i="41" s="1"/>
  <c r="AM43" i="41" s="1"/>
  <c r="S161" i="74"/>
  <c r="S23" i="41" s="1"/>
  <c r="AI43" i="41" s="1"/>
  <c r="Q161" i="74"/>
  <c r="Q23" i="41" s="1"/>
  <c r="AG43" i="41" s="1"/>
  <c r="AF22" i="65"/>
  <c r="AF77" i="41"/>
  <c r="X20" i="65"/>
  <c r="X75" i="41"/>
  <c r="P25" i="65"/>
  <c r="P115" i="65" s="1"/>
  <c r="P80" i="41"/>
  <c r="T25" i="65"/>
  <c r="T115" i="65" s="1"/>
  <c r="T80" i="41"/>
  <c r="AE20" i="65"/>
  <c r="AE75" i="41"/>
  <c r="P26" i="65"/>
  <c r="P116" i="65" s="1"/>
  <c r="P81" i="41"/>
  <c r="J24" i="65"/>
  <c r="J114" i="65" s="1"/>
  <c r="J79" i="41"/>
  <c r="AF20" i="65"/>
  <c r="AF75" i="41"/>
  <c r="AA25" i="65"/>
  <c r="AA115" i="65" s="1"/>
  <c r="AA80" i="41"/>
  <c r="M21" i="65"/>
  <c r="M76" i="41"/>
  <c r="W26" i="65"/>
  <c r="W116" i="65" s="1"/>
  <c r="W81" i="41"/>
  <c r="AD26" i="65"/>
  <c r="AD116" i="65" s="1"/>
  <c r="AD81" i="41"/>
  <c r="N22" i="65"/>
  <c r="N77" i="41"/>
  <c r="AB25" i="65"/>
  <c r="AB115" i="65" s="1"/>
  <c r="AB80" i="41"/>
  <c r="U161" i="74"/>
  <c r="U23" i="41" s="1"/>
  <c r="AK43" i="41" s="1"/>
  <c r="AE22" i="65"/>
  <c r="AE77" i="41"/>
  <c r="T21" i="65"/>
  <c r="T76" i="41"/>
  <c r="AG79" i="105"/>
  <c r="Z25" i="65"/>
  <c r="Z115" i="65" s="1"/>
  <c r="Z80" i="41"/>
  <c r="V44" i="41"/>
  <c r="S44" i="41"/>
  <c r="T44" i="41"/>
  <c r="U44" i="41"/>
  <c r="R44" i="41"/>
  <c r="R20" i="65"/>
  <c r="R75" i="41"/>
  <c r="Q24" i="65"/>
  <c r="Q114" i="65" s="1"/>
  <c r="Q79" i="41"/>
  <c r="X44" i="41"/>
  <c r="AA44" i="41"/>
  <c r="Z44" i="41"/>
  <c r="W44" i="41"/>
  <c r="Y44" i="41"/>
  <c r="X26" i="65"/>
  <c r="X116" i="65" s="1"/>
  <c r="X81" i="41"/>
  <c r="AB26" i="65"/>
  <c r="AB116" i="65" s="1"/>
  <c r="AB81" i="41"/>
  <c r="K127" i="65"/>
  <c r="K156" i="65" s="1"/>
  <c r="K38" i="82"/>
  <c r="K145" i="65"/>
  <c r="K174" i="65" s="1"/>
  <c r="K136" i="65"/>
  <c r="K165" i="65" s="1"/>
  <c r="S145" i="65"/>
  <c r="S174" i="65" s="1"/>
  <c r="S136" i="65"/>
  <c r="S165" i="65" s="1"/>
  <c r="S38" i="82"/>
  <c r="S127" i="65"/>
  <c r="S156" i="65" s="1"/>
  <c r="O22" i="65"/>
  <c r="O77" i="41"/>
  <c r="AF25" i="65"/>
  <c r="AF115" i="65" s="1"/>
  <c r="AF80" i="41"/>
  <c r="N44" i="41"/>
  <c r="P44" i="41"/>
  <c r="M44" i="41"/>
  <c r="L44" i="41"/>
  <c r="O44" i="41"/>
  <c r="Y161" i="74"/>
  <c r="Y23" i="41" s="1"/>
  <c r="AO43" i="41" s="1"/>
  <c r="K125" i="65"/>
  <c r="K154" i="65" s="1"/>
  <c r="K134" i="65"/>
  <c r="K163" i="65" s="1"/>
  <c r="K36" i="82"/>
  <c r="K143" i="65"/>
  <c r="K172" i="65" s="1"/>
  <c r="R21" i="65"/>
  <c r="R76" i="41"/>
  <c r="AG70" i="105"/>
  <c r="L114" i="74"/>
  <c r="L146" i="74" s="1"/>
  <c r="L161" i="74" s="1"/>
  <c r="L23" i="41" s="1"/>
  <c r="J114" i="74"/>
  <c r="T127" i="65"/>
  <c r="T156" i="65" s="1"/>
  <c r="T38" i="82"/>
  <c r="T136" i="65"/>
  <c r="T165" i="65" s="1"/>
  <c r="T145" i="65"/>
  <c r="T174" i="65" s="1"/>
  <c r="O26" i="65"/>
  <c r="O116" i="65" s="1"/>
  <c r="O81" i="41"/>
  <c r="W21" i="65"/>
  <c r="W76" i="41"/>
  <c r="AC20" i="65"/>
  <c r="AC75" i="41"/>
  <c r="H223" i="71" a="1"/>
  <c r="H223" i="71" s="1"/>
  <c r="L20" i="65"/>
  <c r="L75" i="41"/>
  <c r="N26" i="65"/>
  <c r="N116" i="65" s="1"/>
  <c r="N81" i="41"/>
  <c r="X21" i="65"/>
  <c r="X76" i="41"/>
  <c r="AD20" i="65"/>
  <c r="AD75" i="41"/>
  <c r="AJ38" i="82"/>
  <c r="AJ145" i="65"/>
  <c r="AJ174" i="65" s="1"/>
  <c r="AJ136" i="65"/>
  <c r="AJ165" i="65" s="1"/>
  <c r="AJ127" i="65"/>
  <c r="AJ156" i="65" s="1"/>
  <c r="Y26" i="65"/>
  <c r="Y116" i="65" s="1"/>
  <c r="Y81" i="41"/>
  <c r="P22" i="65"/>
  <c r="P77" i="41"/>
  <c r="AC25" i="65"/>
  <c r="AC115" i="65" s="1"/>
  <c r="AC80" i="41"/>
  <c r="J37" i="82"/>
  <c r="J144" i="65"/>
  <c r="J173" i="65" s="1"/>
  <c r="J135" i="65"/>
  <c r="J164" i="65" s="1"/>
  <c r="J126" i="65"/>
  <c r="J155" i="65" s="1"/>
  <c r="Y25" i="65"/>
  <c r="Y115" i="65" s="1"/>
  <c r="Y80" i="41"/>
  <c r="V20" i="65"/>
  <c r="V75" i="41"/>
  <c r="AF26" i="65"/>
  <c r="AF116" i="65" s="1"/>
  <c r="AF81" i="41"/>
  <c r="AD25" i="65"/>
  <c r="AD115" i="65" s="1"/>
  <c r="AD80" i="41"/>
  <c r="O161" i="74"/>
  <c r="O23" i="41" s="1"/>
  <c r="R161" i="74"/>
  <c r="R23" i="41" s="1"/>
  <c r="AH43" i="41" s="1"/>
  <c r="W20" i="65"/>
  <c r="W75" i="41"/>
  <c r="S21" i="65"/>
  <c r="S76" i="41"/>
  <c r="O25" i="65"/>
  <c r="O115" i="65" s="1"/>
  <c r="O80" i="41"/>
  <c r="S25" i="65"/>
  <c r="S115" i="65" s="1"/>
  <c r="S80" i="41"/>
  <c r="J20" i="65"/>
  <c r="J75" i="41"/>
  <c r="N20" i="65"/>
  <c r="N75" i="41"/>
  <c r="L26" i="65"/>
  <c r="L116" i="65" s="1"/>
  <c r="L81" i="41"/>
  <c r="Y21" i="65"/>
  <c r="Y76" i="41"/>
  <c r="R38" i="82"/>
  <c r="R127" i="65"/>
  <c r="R156" i="65" s="1"/>
  <c r="R136" i="65"/>
  <c r="R165" i="65" s="1"/>
  <c r="R145" i="65"/>
  <c r="R174" i="65" s="1"/>
  <c r="AG24" i="65"/>
  <c r="AG114" i="65" s="1"/>
  <c r="AG79" i="41"/>
  <c r="U20" i="65"/>
  <c r="U75" i="41"/>
  <c r="AC26" i="65"/>
  <c r="AC116" i="65" s="1"/>
  <c r="AC81" i="41"/>
  <c r="AN78" i="41"/>
  <c r="AN82" i="41" s="1"/>
  <c r="AN23" i="65"/>
  <c r="Q144" i="65"/>
  <c r="Q173" i="65" s="1"/>
  <c r="Q37" i="82"/>
  <c r="Q135" i="65"/>
  <c r="Q164" i="65" s="1"/>
  <c r="Q126" i="65"/>
  <c r="Q155" i="65" s="1"/>
  <c r="U21" i="65"/>
  <c r="U76" i="41"/>
  <c r="AL38" i="82"/>
  <c r="AN127" i="65"/>
  <c r="AN156" i="65" s="1"/>
  <c r="AN145" i="65"/>
  <c r="AN174" i="65" s="1"/>
  <c r="T161" i="74"/>
  <c r="T23" i="41" s="1"/>
  <c r="AJ43" i="41" s="1"/>
  <c r="AB22" i="65"/>
  <c r="AB77" i="41"/>
  <c r="AA20" i="65"/>
  <c r="AA75" i="41"/>
  <c r="AI38" i="82"/>
  <c r="AI145" i="65"/>
  <c r="AI174" i="65" s="1"/>
  <c r="AI127" i="65"/>
  <c r="AI156" i="65" s="1"/>
  <c r="V21" i="65"/>
  <c r="V76" i="41"/>
  <c r="AG37" i="82"/>
  <c r="AG144" i="65"/>
  <c r="AG173" i="65" s="1"/>
  <c r="AG135" i="65"/>
  <c r="AG164" i="65" s="1"/>
  <c r="AG126" i="65"/>
  <c r="AG155" i="65" s="1"/>
  <c r="M25" i="65"/>
  <c r="M115" i="65" s="1"/>
  <c r="M80" i="41"/>
  <c r="R25" i="65"/>
  <c r="R115" i="65" s="1"/>
  <c r="R80" i="41"/>
  <c r="O20" i="65"/>
  <c r="O75" i="41"/>
  <c r="M26" i="65"/>
  <c r="M116" i="65" s="1"/>
  <c r="M81" i="41"/>
  <c r="Z21" i="65"/>
  <c r="Z76" i="41"/>
  <c r="AH127" i="65"/>
  <c r="AH156" i="65" s="1"/>
  <c r="AH136" i="65"/>
  <c r="AH165" i="65" s="1"/>
  <c r="AH145" i="65"/>
  <c r="AH174" i="65" s="1"/>
  <c r="AH38" i="82"/>
  <c r="W25" i="65"/>
  <c r="W115" i="65" s="1"/>
  <c r="W80" i="41"/>
  <c r="AK38" i="82"/>
  <c r="AL127" i="65"/>
  <c r="AL156" i="65" s="1"/>
  <c r="AL145" i="65"/>
  <c r="AL174" i="65" s="1"/>
  <c r="V161" i="74"/>
  <c r="V23" i="41" s="1"/>
  <c r="AL43" i="41" s="1"/>
  <c r="AG61" i="105"/>
  <c r="AG101" i="105" s="1"/>
  <c r="T20" i="65"/>
  <c r="T75" i="41"/>
  <c r="O21" i="65"/>
  <c r="O76" i="41"/>
  <c r="N161" i="74"/>
  <c r="N23" i="41" s="1"/>
  <c r="U136" i="65"/>
  <c r="U165" i="65" s="1"/>
  <c r="U127" i="65"/>
  <c r="U156" i="65" s="1"/>
  <c r="U145" i="65"/>
  <c r="U174" i="65" s="1"/>
  <c r="U38" i="82"/>
  <c r="S20" i="65"/>
  <c r="S75" i="41"/>
  <c r="A4" i="83"/>
  <c r="J46" i="55"/>
  <c r="L21" i="65"/>
  <c r="L76" i="41"/>
  <c r="AM61" i="105"/>
  <c r="AM101" i="105" s="1"/>
  <c r="K126" i="65"/>
  <c r="K155" i="65" s="1"/>
  <c r="K135" i="65"/>
  <c r="K164" i="65" s="1"/>
  <c r="K144" i="65"/>
  <c r="K173" i="65" s="1"/>
  <c r="K37" i="82"/>
  <c r="P161" i="74"/>
  <c r="P23" i="41" s="1"/>
  <c r="K161" i="74"/>
  <c r="K23" i="41" s="1"/>
  <c r="K43" i="41" s="1"/>
  <c r="AD22" i="65"/>
  <c r="AD77" i="41"/>
  <c r="Y20" i="65"/>
  <c r="Y75" i="41"/>
  <c r="AK61" i="105"/>
  <c r="AK101" i="105" s="1"/>
  <c r="L25" i="65"/>
  <c r="L115" i="65" s="1"/>
  <c r="L80" i="41"/>
  <c r="V25" i="65"/>
  <c r="V115" i="65" s="1"/>
  <c r="V80" i="41"/>
  <c r="P20" i="65"/>
  <c r="P75" i="41"/>
  <c r="AA21" i="65"/>
  <c r="AA76" i="41"/>
  <c r="A4" i="73" l="1"/>
  <c r="H80" i="41"/>
  <c r="H81" i="41"/>
  <c r="AE43" i="41"/>
  <c r="AF43" i="41"/>
  <c r="AD43" i="41"/>
  <c r="AC43" i="41"/>
  <c r="AB43" i="41"/>
  <c r="M38" i="82"/>
  <c r="M136" i="65"/>
  <c r="M165" i="65" s="1"/>
  <c r="M145" i="65"/>
  <c r="M174" i="65" s="1"/>
  <c r="M127" i="65"/>
  <c r="M156" i="65" s="1"/>
  <c r="AN79" i="105"/>
  <c r="AJ79" i="105"/>
  <c r="K68" i="105"/>
  <c r="S79" i="105"/>
  <c r="X38" i="82"/>
  <c r="X127" i="65"/>
  <c r="X156" i="65" s="1"/>
  <c r="X145" i="65"/>
  <c r="X174" i="65" s="1"/>
  <c r="Q143" i="65"/>
  <c r="Q172" i="65" s="1"/>
  <c r="Q125" i="65"/>
  <c r="Q154" i="65" s="1"/>
  <c r="Q134" i="65"/>
  <c r="Q163" i="65" s="1"/>
  <c r="Q36" i="82"/>
  <c r="X144" i="65"/>
  <c r="X173" i="65" s="1"/>
  <c r="X37" i="82"/>
  <c r="X126" i="65"/>
  <c r="X155" i="65" s="1"/>
  <c r="U126" i="65"/>
  <c r="U155" i="65" s="1"/>
  <c r="U144" i="65"/>
  <c r="U173" i="65" s="1"/>
  <c r="U135" i="65"/>
  <c r="U164" i="65" s="1"/>
  <c r="U37" i="82"/>
  <c r="H77" i="41"/>
  <c r="Z145" i="65"/>
  <c r="Z174" i="65" s="1"/>
  <c r="Z127" i="65"/>
  <c r="Z156" i="65" s="1"/>
  <c r="Z38" i="82"/>
  <c r="AL78" i="41"/>
  <c r="AL82" i="41" s="1"/>
  <c r="AL23" i="65"/>
  <c r="AH79" i="105"/>
  <c r="AG69" i="105"/>
  <c r="AN61" i="105"/>
  <c r="AN101" i="105" s="1"/>
  <c r="Q60" i="105"/>
  <c r="Q100" i="105" s="1"/>
  <c r="AC145" i="65"/>
  <c r="AC174" i="65" s="1"/>
  <c r="AC127" i="65"/>
  <c r="AC156" i="65" s="1"/>
  <c r="AC38" i="82"/>
  <c r="R61" i="105"/>
  <c r="R101" i="105" s="1"/>
  <c r="H75" i="41"/>
  <c r="AC37" i="82"/>
  <c r="AC144" i="65"/>
  <c r="AC173" i="65" s="1"/>
  <c r="AC126" i="65"/>
  <c r="AC155" i="65" s="1"/>
  <c r="T79" i="105"/>
  <c r="K59" i="105"/>
  <c r="K99" i="105" s="1"/>
  <c r="K70" i="105"/>
  <c r="Y24" i="65"/>
  <c r="Y114" i="65" s="1"/>
  <c r="Y79" i="41"/>
  <c r="Z126" i="65"/>
  <c r="Z155" i="65" s="1"/>
  <c r="Z144" i="65"/>
  <c r="Z173" i="65" s="1"/>
  <c r="Z37" i="82"/>
  <c r="P38" i="82"/>
  <c r="P136" i="65"/>
  <c r="P165" i="65" s="1"/>
  <c r="P145" i="65"/>
  <c r="P174" i="65" s="1"/>
  <c r="P127" i="65"/>
  <c r="P156" i="65" s="1"/>
  <c r="T144" i="65"/>
  <c r="T173" i="65" s="1"/>
  <c r="T126" i="65"/>
  <c r="T155" i="65" s="1"/>
  <c r="T135" i="65"/>
  <c r="T164" i="65" s="1"/>
  <c r="T37" i="82"/>
  <c r="A4" i="71"/>
  <c r="J48" i="55"/>
  <c r="T70" i="105"/>
  <c r="AF37" i="82"/>
  <c r="AF126" i="65"/>
  <c r="AF155" i="65" s="1"/>
  <c r="AF144" i="65"/>
  <c r="AF173" i="65" s="1"/>
  <c r="K79" i="105"/>
  <c r="W24" i="65"/>
  <c r="W114" i="65" s="1"/>
  <c r="W79" i="41"/>
  <c r="AG199" i="105"/>
  <c r="AG121" i="105"/>
  <c r="AK78" i="41"/>
  <c r="AK82" i="41" s="1"/>
  <c r="AK23" i="65"/>
  <c r="W127" i="65"/>
  <c r="W156" i="65" s="1"/>
  <c r="W38" i="82"/>
  <c r="W145" i="65"/>
  <c r="W174" i="65" s="1"/>
  <c r="AA126" i="65"/>
  <c r="AA155" i="65" s="1"/>
  <c r="AA144" i="65"/>
  <c r="AA173" i="65" s="1"/>
  <c r="AA37" i="82"/>
  <c r="AG23" i="65"/>
  <c r="AG78" i="41"/>
  <c r="AG82" i="41" s="1"/>
  <c r="N126" i="65"/>
  <c r="N155" i="65" s="1"/>
  <c r="N37" i="82"/>
  <c r="N135" i="65"/>
  <c r="N164" i="65" s="1"/>
  <c r="N144" i="65"/>
  <c r="N173" i="65" s="1"/>
  <c r="Q23" i="65"/>
  <c r="Q78" i="41"/>
  <c r="Q82" i="41" s="1"/>
  <c r="Y126" i="65"/>
  <c r="Y155" i="65" s="1"/>
  <c r="Y37" i="82"/>
  <c r="Y144" i="65"/>
  <c r="Y173" i="65" s="1"/>
  <c r="AO23" i="65"/>
  <c r="AO78" i="41"/>
  <c r="AO82" i="41" s="1"/>
  <c r="Z24" i="65"/>
  <c r="Z114" i="65" s="1"/>
  <c r="Z79" i="41"/>
  <c r="R24" i="65"/>
  <c r="R114" i="65" s="1"/>
  <c r="R79" i="41"/>
  <c r="P37" i="82"/>
  <c r="P135" i="65"/>
  <c r="P164" i="65" s="1"/>
  <c r="P126" i="65"/>
  <c r="P155" i="65" s="1"/>
  <c r="P144" i="65"/>
  <c r="P173" i="65" s="1"/>
  <c r="AI78" i="41"/>
  <c r="AI82" i="41" s="1"/>
  <c r="AI23" i="65"/>
  <c r="J79" i="105"/>
  <c r="AF24" i="65"/>
  <c r="AF114" i="65" s="1"/>
  <c r="AF79" i="41"/>
  <c r="Q70" i="105"/>
  <c r="R70" i="105"/>
  <c r="O127" i="65"/>
  <c r="O156" i="65" s="1"/>
  <c r="O136" i="65"/>
  <c r="O165" i="65" s="1"/>
  <c r="O38" i="82"/>
  <c r="O145" i="65"/>
  <c r="O174" i="65" s="1"/>
  <c r="AD127" i="65"/>
  <c r="AD156" i="65" s="1"/>
  <c r="AD38" i="82"/>
  <c r="AD145" i="65"/>
  <c r="AD174" i="65" s="1"/>
  <c r="R144" i="65"/>
  <c r="R173" i="65" s="1"/>
  <c r="R37" i="82"/>
  <c r="R135" i="65"/>
  <c r="R164" i="65" s="1"/>
  <c r="R126" i="65"/>
  <c r="R155" i="65" s="1"/>
  <c r="Q78" i="105"/>
  <c r="J60" i="105"/>
  <c r="J100" i="105" s="1"/>
  <c r="T61" i="105"/>
  <c r="T101" i="105" s="1"/>
  <c r="O24" i="65"/>
  <c r="O114" i="65" s="1"/>
  <c r="O79" i="41"/>
  <c r="K61" i="105"/>
  <c r="K101" i="105" s="1"/>
  <c r="AA24" i="65"/>
  <c r="AA114" i="65" s="1"/>
  <c r="AA79" i="41"/>
  <c r="U24" i="65"/>
  <c r="U114" i="65" s="1"/>
  <c r="U79" i="41"/>
  <c r="AB144" i="65"/>
  <c r="AB173" i="65" s="1"/>
  <c r="AB126" i="65"/>
  <c r="AB155" i="65" s="1"/>
  <c r="AB37" i="82"/>
  <c r="AM78" i="41"/>
  <c r="AM82" i="41" s="1"/>
  <c r="AM23" i="65"/>
  <c r="J70" i="105"/>
  <c r="AD24" i="65"/>
  <c r="AD114" i="65" s="1"/>
  <c r="AD79" i="41"/>
  <c r="Q79" i="105"/>
  <c r="V61" i="105"/>
  <c r="V101" i="105" s="1"/>
  <c r="X43" i="41"/>
  <c r="Z43" i="41"/>
  <c r="W43" i="41"/>
  <c r="Y43" i="41"/>
  <c r="AA43" i="41"/>
  <c r="AG111" i="105"/>
  <c r="AG188" i="105"/>
  <c r="N24" i="65"/>
  <c r="N114" i="65" s="1"/>
  <c r="N79" i="41"/>
  <c r="U79" i="105"/>
  <c r="AH70" i="105"/>
  <c r="K69" i="105"/>
  <c r="U70" i="105"/>
  <c r="K60" i="105"/>
  <c r="K100" i="105" s="1"/>
  <c r="T43" i="41"/>
  <c r="V43" i="41"/>
  <c r="S43" i="41"/>
  <c r="U43" i="41"/>
  <c r="R43" i="41"/>
  <c r="AJ78" i="41"/>
  <c r="AJ82" i="41" s="1"/>
  <c r="AJ23" i="65"/>
  <c r="S37" i="82"/>
  <c r="S135" i="65"/>
  <c r="S164" i="65" s="1"/>
  <c r="S144" i="65"/>
  <c r="S173" i="65" s="1"/>
  <c r="S126" i="65"/>
  <c r="S155" i="65" s="1"/>
  <c r="J69" i="105"/>
  <c r="Y145" i="65"/>
  <c r="Y174" i="65" s="1"/>
  <c r="Y38" i="82"/>
  <c r="Y127" i="65"/>
  <c r="Y156" i="65" s="1"/>
  <c r="J146" i="74"/>
  <c r="J161" i="74" s="1"/>
  <c r="J23" i="41" s="1"/>
  <c r="J43" i="41" s="1"/>
  <c r="H165" i="74" a="1"/>
  <c r="H165" i="74" s="1"/>
  <c r="L24" i="65"/>
  <c r="L114" i="65" s="1"/>
  <c r="L79" i="41"/>
  <c r="S61" i="105"/>
  <c r="S101" i="105" s="1"/>
  <c r="X24" i="65"/>
  <c r="X114" i="65" s="1"/>
  <c r="X79" i="41"/>
  <c r="T24" i="65"/>
  <c r="T114" i="65" s="1"/>
  <c r="T79" i="41"/>
  <c r="AE38" i="82"/>
  <c r="AE145" i="65"/>
  <c r="AE174" i="65" s="1"/>
  <c r="AE127" i="65"/>
  <c r="AE156" i="65" s="1"/>
  <c r="AE24" i="65"/>
  <c r="AE114" i="65" s="1"/>
  <c r="AE79" i="41"/>
  <c r="Q61" i="105"/>
  <c r="Q101" i="105" s="1"/>
  <c r="V79" i="105"/>
  <c r="AG78" i="105"/>
  <c r="Q69" i="105"/>
  <c r="H76" i="41"/>
  <c r="AL61" i="105"/>
  <c r="AL101" i="105" s="1"/>
  <c r="W37" i="82"/>
  <c r="W126" i="65"/>
  <c r="W155" i="65" s="1"/>
  <c r="W144" i="65"/>
  <c r="W173" i="65" s="1"/>
  <c r="M135" i="65"/>
  <c r="M164" i="65" s="1"/>
  <c r="M37" i="82"/>
  <c r="M144" i="65"/>
  <c r="M173" i="65" s="1"/>
  <c r="M126" i="65"/>
  <c r="M155" i="65" s="1"/>
  <c r="AI61" i="105"/>
  <c r="AI101" i="105" s="1"/>
  <c r="AG143" i="65"/>
  <c r="AG172" i="65" s="1"/>
  <c r="AG36" i="82"/>
  <c r="AG134" i="65"/>
  <c r="AG163" i="65" s="1"/>
  <c r="AG125" i="65"/>
  <c r="AG154" i="65" s="1"/>
  <c r="L145" i="65"/>
  <c r="L174" i="65" s="1"/>
  <c r="L136" i="65"/>
  <c r="L165" i="65" s="1"/>
  <c r="L127" i="65"/>
  <c r="L156" i="65" s="1"/>
  <c r="L38" i="82"/>
  <c r="AF127" i="65"/>
  <c r="AF156" i="65" s="1"/>
  <c r="AF145" i="65"/>
  <c r="AF174" i="65" s="1"/>
  <c r="AF38" i="82"/>
  <c r="J78" i="105"/>
  <c r="AJ61" i="105"/>
  <c r="AJ101" i="105" s="1"/>
  <c r="P43" i="41"/>
  <c r="N43" i="41"/>
  <c r="O43" i="41"/>
  <c r="M43" i="41"/>
  <c r="L43" i="41"/>
  <c r="K77" i="105"/>
  <c r="M24" i="65"/>
  <c r="M114" i="65" s="1"/>
  <c r="M79" i="41"/>
  <c r="AB127" i="65"/>
  <c r="AB156" i="65" s="1"/>
  <c r="AB145" i="65"/>
  <c r="AB174" i="65" s="1"/>
  <c r="AB38" i="82"/>
  <c r="S24" i="65"/>
  <c r="S114" i="65" s="1"/>
  <c r="S79" i="41"/>
  <c r="J61" i="105"/>
  <c r="J101" i="105" s="1"/>
  <c r="AC24" i="65"/>
  <c r="AC114" i="65" s="1"/>
  <c r="AC79" i="41"/>
  <c r="L126" i="65"/>
  <c r="L155" i="65" s="1"/>
  <c r="L37" i="82"/>
  <c r="L135" i="65"/>
  <c r="L164" i="65" s="1"/>
  <c r="L144" i="65"/>
  <c r="L173" i="65" s="1"/>
  <c r="AG60" i="105"/>
  <c r="AG100" i="105" s="1"/>
  <c r="AL79" i="105"/>
  <c r="AD144" i="65"/>
  <c r="AD173" i="65" s="1"/>
  <c r="AD126" i="65"/>
  <c r="AD155" i="65" s="1"/>
  <c r="AD37" i="82"/>
  <c r="K78" i="105"/>
  <c r="U61" i="105"/>
  <c r="U101" i="105" s="1"/>
  <c r="AH61" i="105"/>
  <c r="AH101" i="105" s="1"/>
  <c r="V135" i="65"/>
  <c r="V164" i="65" s="1"/>
  <c r="V144" i="65"/>
  <c r="V173" i="65" s="1"/>
  <c r="V126" i="65"/>
  <c r="V155" i="65" s="1"/>
  <c r="V37" i="82"/>
  <c r="K23" i="65"/>
  <c r="K78" i="41"/>
  <c r="K82" i="41" s="1"/>
  <c r="AI79" i="105"/>
  <c r="AI121" i="105" s="1"/>
  <c r="R79" i="105"/>
  <c r="O135" i="65"/>
  <c r="O164" i="65" s="1"/>
  <c r="O37" i="82"/>
  <c r="O144" i="65"/>
  <c r="O173" i="65" s="1"/>
  <c r="O126" i="65"/>
  <c r="O155" i="65" s="1"/>
  <c r="AH78" i="41"/>
  <c r="AH82" i="41" s="1"/>
  <c r="AH23" i="65"/>
  <c r="AJ70" i="105"/>
  <c r="N127" i="65"/>
  <c r="N156" i="65" s="1"/>
  <c r="N145" i="65"/>
  <c r="N174" i="65" s="1"/>
  <c r="N38" i="82"/>
  <c r="N136" i="65"/>
  <c r="N165" i="65" s="1"/>
  <c r="P24" i="65"/>
  <c r="P114" i="65" s="1"/>
  <c r="P79" i="41"/>
  <c r="S70" i="105"/>
  <c r="V24" i="65"/>
  <c r="V114" i="65" s="1"/>
  <c r="V79" i="41"/>
  <c r="J125" i="65"/>
  <c r="J154" i="65" s="1"/>
  <c r="J36" i="82"/>
  <c r="J134" i="65"/>
  <c r="J163" i="65" s="1"/>
  <c r="J143" i="65"/>
  <c r="J172" i="65" s="1"/>
  <c r="AE37" i="82"/>
  <c r="AE126" i="65"/>
  <c r="AE155" i="65" s="1"/>
  <c r="AE144" i="65"/>
  <c r="AE173" i="65" s="1"/>
  <c r="AA145" i="65"/>
  <c r="AA174" i="65" s="1"/>
  <c r="AA127" i="65"/>
  <c r="AA156" i="65" s="1"/>
  <c r="AA38" i="82"/>
  <c r="AB24" i="65"/>
  <c r="AB114" i="65" s="1"/>
  <c r="AB79" i="41"/>
  <c r="V70" i="105"/>
  <c r="H79" i="41" l="1"/>
  <c r="J51" i="55"/>
  <c r="A4" i="74"/>
  <c r="U188" i="105"/>
  <c r="U111" i="105"/>
  <c r="Z23" i="65"/>
  <c r="Z78" i="41"/>
  <c r="Z82" i="41" s="1"/>
  <c r="R111" i="105"/>
  <c r="R188" i="105"/>
  <c r="R134" i="65"/>
  <c r="R163" i="65" s="1"/>
  <c r="R143" i="65"/>
  <c r="R172" i="65" s="1"/>
  <c r="R125" i="65"/>
  <c r="R154" i="65" s="1"/>
  <c r="R36" i="82"/>
  <c r="N69" i="105"/>
  <c r="AA60" i="105"/>
  <c r="AA100" i="105" s="1"/>
  <c r="T111" i="105"/>
  <c r="T188" i="105"/>
  <c r="AC78" i="105"/>
  <c r="AC61" i="105"/>
  <c r="AC101" i="105" s="1"/>
  <c r="Z61" i="105"/>
  <c r="Z101" i="105" s="1"/>
  <c r="X60" i="105"/>
  <c r="X100" i="105" s="1"/>
  <c r="X79" i="105"/>
  <c r="M70" i="105"/>
  <c r="J68" i="105"/>
  <c r="L60" i="105"/>
  <c r="L100" i="105" s="1"/>
  <c r="AG77" i="105"/>
  <c r="W78" i="105"/>
  <c r="V121" i="105"/>
  <c r="V199" i="105"/>
  <c r="AE61" i="105"/>
  <c r="AE101" i="105" s="1"/>
  <c r="T143" i="65"/>
  <c r="T172" i="65" s="1"/>
  <c r="T134" i="65"/>
  <c r="T163" i="65" s="1"/>
  <c r="T125" i="65"/>
  <c r="T154" i="65" s="1"/>
  <c r="T36" i="82"/>
  <c r="J23" i="65"/>
  <c r="AB222" i="41" a="1"/>
  <c r="AB222" i="41" s="1"/>
  <c r="AB224" i="41" s="1"/>
  <c r="Q222" i="41" a="1"/>
  <c r="Q222" i="41" s="1"/>
  <c r="Q224" i="41" s="1"/>
  <c r="K222" i="41" a="1"/>
  <c r="K222" i="41" s="1"/>
  <c r="K224" i="41" s="1"/>
  <c r="W222" i="41" a="1"/>
  <c r="W222" i="41" s="1"/>
  <c r="W224" i="41" s="1"/>
  <c r="AK222" i="41" a="1"/>
  <c r="AK222" i="41" s="1"/>
  <c r="AK224" i="41" s="1"/>
  <c r="AI222" i="41" a="1"/>
  <c r="AI222" i="41" s="1"/>
  <c r="AI224" i="41" s="1"/>
  <c r="R222" i="41" a="1"/>
  <c r="R222" i="41" s="1"/>
  <c r="R224" i="41" s="1"/>
  <c r="AO222" i="41" a="1"/>
  <c r="AO222" i="41" s="1"/>
  <c r="AO224" i="41" s="1"/>
  <c r="L222" i="41" a="1"/>
  <c r="L222" i="41" s="1"/>
  <c r="L224" i="41" s="1"/>
  <c r="AN222" i="41" a="1"/>
  <c r="AN222" i="41" s="1"/>
  <c r="AN224" i="41" s="1"/>
  <c r="AM222" i="41" a="1"/>
  <c r="AM222" i="41" s="1"/>
  <c r="AM224" i="41" s="1"/>
  <c r="AL222" i="41" a="1"/>
  <c r="AL222" i="41" s="1"/>
  <c r="AL224" i="41" s="1"/>
  <c r="AJ222" i="41" a="1"/>
  <c r="AJ222" i="41" s="1"/>
  <c r="AJ224" i="41" s="1"/>
  <c r="AH222" i="41" a="1"/>
  <c r="AH222" i="41" s="1"/>
  <c r="AH224" i="41" s="1"/>
  <c r="J78" i="41"/>
  <c r="Z222" i="41" a="1"/>
  <c r="Z222" i="41" s="1"/>
  <c r="V222" i="41" a="1"/>
  <c r="V222" i="41" s="1"/>
  <c r="T222" i="41" a="1"/>
  <c r="T222" i="41" s="1"/>
  <c r="N222" i="41" a="1"/>
  <c r="N222" i="41" s="1"/>
  <c r="P222" i="41" a="1"/>
  <c r="P222" i="41" s="1"/>
  <c r="X222" i="41" a="1"/>
  <c r="X222" i="41" s="1"/>
  <c r="AF222" i="41" a="1"/>
  <c r="AF222" i="41" s="1"/>
  <c r="AC222" i="41" a="1"/>
  <c r="AC222" i="41" s="1"/>
  <c r="AA222" i="41" a="1"/>
  <c r="AA222" i="41" s="1"/>
  <c r="AE222" i="41" a="1"/>
  <c r="AE222" i="41" s="1"/>
  <c r="S222" i="41" a="1"/>
  <c r="S222" i="41" s="1"/>
  <c r="Y222" i="41" a="1"/>
  <c r="Y222" i="41" s="1"/>
  <c r="M222" i="41" a="1"/>
  <c r="M222" i="41" s="1"/>
  <c r="AD222" i="41" a="1"/>
  <c r="AD222" i="41" s="1"/>
  <c r="U222" i="41" a="1"/>
  <c r="U222" i="41" s="1"/>
  <c r="O222" i="41" a="1"/>
  <c r="O222" i="41" s="1"/>
  <c r="J222" i="41" a="1"/>
  <c r="J222" i="41" s="1"/>
  <c r="AG222" i="41" a="1"/>
  <c r="AG222" i="41" s="1"/>
  <c r="AG224" i="41" s="1"/>
  <c r="S60" i="105"/>
  <c r="S100" i="105" s="1"/>
  <c r="R23" i="65"/>
  <c r="R78" i="41"/>
  <c r="R82" i="41" s="1"/>
  <c r="N125" i="65"/>
  <c r="N154" i="65" s="1"/>
  <c r="N36" i="82"/>
  <c r="N143" i="65"/>
  <c r="N172" i="65" s="1"/>
  <c r="N134" i="65"/>
  <c r="N163" i="65" s="1"/>
  <c r="X23" i="65"/>
  <c r="X78" i="41"/>
  <c r="X82" i="41" s="1"/>
  <c r="J111" i="105"/>
  <c r="J188" i="105"/>
  <c r="AB60" i="105"/>
  <c r="AB100" i="105" s="1"/>
  <c r="R78" i="105"/>
  <c r="AD61" i="105"/>
  <c r="AD101" i="105" s="1"/>
  <c r="Y78" i="105"/>
  <c r="W79" i="105"/>
  <c r="T69" i="105"/>
  <c r="Z78" i="105"/>
  <c r="AC79" i="105"/>
  <c r="Z79" i="105"/>
  <c r="X61" i="105"/>
  <c r="X101" i="105" s="1"/>
  <c r="AB125" i="65"/>
  <c r="AB154" i="65" s="1"/>
  <c r="AB36" i="82"/>
  <c r="AB143" i="65"/>
  <c r="AB172" i="65" s="1"/>
  <c r="K119" i="105"/>
  <c r="K197" i="105"/>
  <c r="AF61" i="105"/>
  <c r="AF101" i="105" s="1"/>
  <c r="P125" i="65"/>
  <c r="P154" i="65" s="1"/>
  <c r="P143" i="65"/>
  <c r="P172" i="65" s="1"/>
  <c r="P36" i="82"/>
  <c r="P134" i="65"/>
  <c r="P163" i="65" s="1"/>
  <c r="R199" i="105"/>
  <c r="R121" i="105"/>
  <c r="K120" i="105"/>
  <c r="K198" i="105"/>
  <c r="AL199" i="105"/>
  <c r="AL121" i="105"/>
  <c r="W60" i="105"/>
  <c r="W100" i="105" s="1"/>
  <c r="AE79" i="105"/>
  <c r="S78" i="105"/>
  <c r="U23" i="65"/>
  <c r="U78" i="41"/>
  <c r="U82" i="41" s="1"/>
  <c r="AB78" i="105"/>
  <c r="O79" i="105"/>
  <c r="Z36" i="82"/>
  <c r="Z143" i="65"/>
  <c r="Z172" i="65" s="1"/>
  <c r="Z125" i="65"/>
  <c r="Z154" i="65" s="1"/>
  <c r="N60" i="105"/>
  <c r="N100" i="105" s="1"/>
  <c r="W143" i="65"/>
  <c r="W172" i="65" s="1"/>
  <c r="W125" i="65"/>
  <c r="W154" i="65" s="1"/>
  <c r="W36" i="82"/>
  <c r="T60" i="105"/>
  <c r="T100" i="105" s="1"/>
  <c r="Z60" i="105"/>
  <c r="Z100" i="105" s="1"/>
  <c r="T121" i="105"/>
  <c r="T199" i="105"/>
  <c r="AH199" i="105"/>
  <c r="AH121" i="105"/>
  <c r="X78" i="105"/>
  <c r="X36" i="82"/>
  <c r="X143" i="65"/>
  <c r="X172" i="65" s="1"/>
  <c r="X125" i="65"/>
  <c r="X154" i="65" s="1"/>
  <c r="Y61" i="105"/>
  <c r="Y101" i="105" s="1"/>
  <c r="S69" i="105"/>
  <c r="S23" i="65"/>
  <c r="S78" i="41"/>
  <c r="S82" i="41" s="1"/>
  <c r="K110" i="105"/>
  <c r="K187" i="105"/>
  <c r="AH111" i="105"/>
  <c r="AH188" i="105"/>
  <c r="O125" i="65"/>
  <c r="O154" i="65" s="1"/>
  <c r="O143" i="65"/>
  <c r="O172" i="65" s="1"/>
  <c r="O36" i="82"/>
  <c r="O134" i="65"/>
  <c r="O163" i="65" s="1"/>
  <c r="Q111" i="105"/>
  <c r="Q188" i="105"/>
  <c r="P78" i="105"/>
  <c r="Y60" i="105"/>
  <c r="Y100" i="105" s="1"/>
  <c r="W61" i="105"/>
  <c r="W101" i="105" s="1"/>
  <c r="K199" i="105"/>
  <c r="K121" i="105"/>
  <c r="T78" i="105"/>
  <c r="S199" i="105"/>
  <c r="S121" i="105"/>
  <c r="AB23" i="65"/>
  <c r="AB78" i="41"/>
  <c r="AB82" i="41" s="1"/>
  <c r="O69" i="105"/>
  <c r="M143" i="65"/>
  <c r="M172" i="65" s="1"/>
  <c r="M134" i="65"/>
  <c r="M163" i="65" s="1"/>
  <c r="M36" i="82"/>
  <c r="M125" i="65"/>
  <c r="M154" i="65" s="1"/>
  <c r="AF79" i="105"/>
  <c r="J59" i="105"/>
  <c r="J99" i="105" s="1"/>
  <c r="S134" i="65"/>
  <c r="S163" i="65" s="1"/>
  <c r="S125" i="65"/>
  <c r="S154" i="65" s="1"/>
  <c r="S36" i="82"/>
  <c r="S143" i="65"/>
  <c r="S172" i="65" s="1"/>
  <c r="L23" i="65"/>
  <c r="L78" i="41"/>
  <c r="L82" i="41" s="1"/>
  <c r="L61" i="105"/>
  <c r="L101" i="105" s="1"/>
  <c r="AA79" i="105"/>
  <c r="V78" i="105"/>
  <c r="M23" i="65"/>
  <c r="M78" i="41"/>
  <c r="M82" i="41" s="1"/>
  <c r="L70" i="105"/>
  <c r="M60" i="105"/>
  <c r="M100" i="105" s="1"/>
  <c r="Q187" i="105"/>
  <c r="Q110" i="105"/>
  <c r="V23" i="65"/>
  <c r="V78" i="41"/>
  <c r="V82" i="41" s="1"/>
  <c r="U125" i="65"/>
  <c r="U154" i="65" s="1"/>
  <c r="U134" i="65"/>
  <c r="U163" i="65" s="1"/>
  <c r="U36" i="82"/>
  <c r="U143" i="65"/>
  <c r="U172" i="65" s="1"/>
  <c r="Q120" i="105"/>
  <c r="Q198" i="105"/>
  <c r="O70" i="105"/>
  <c r="P60" i="105"/>
  <c r="P100" i="105" s="1"/>
  <c r="P61" i="105"/>
  <c r="P101" i="105" s="1"/>
  <c r="AN199" i="105"/>
  <c r="AN121" i="105"/>
  <c r="AC23" i="65"/>
  <c r="AC78" i="41"/>
  <c r="AC82" i="41" s="1"/>
  <c r="N79" i="105"/>
  <c r="O60" i="105"/>
  <c r="O100" i="105" s="1"/>
  <c r="V69" i="105"/>
  <c r="AB79" i="105"/>
  <c r="O23" i="65"/>
  <c r="O78" i="41"/>
  <c r="O82" i="41" s="1"/>
  <c r="J120" i="105"/>
  <c r="J198" i="105"/>
  <c r="L79" i="105"/>
  <c r="M78" i="105"/>
  <c r="Y79" i="105"/>
  <c r="T23" i="65"/>
  <c r="T78" i="41"/>
  <c r="T82" i="41" s="1"/>
  <c r="U121" i="105"/>
  <c r="U199" i="105"/>
  <c r="AA23" i="65"/>
  <c r="AA78" i="41"/>
  <c r="AA82" i="41" s="1"/>
  <c r="Q199" i="105"/>
  <c r="Q121" i="105"/>
  <c r="O61" i="105"/>
  <c r="O101" i="105" s="1"/>
  <c r="P69" i="105"/>
  <c r="AF78" i="105"/>
  <c r="P79" i="105"/>
  <c r="Y143" i="65"/>
  <c r="Y172" i="65" s="1"/>
  <c r="Y36" i="82"/>
  <c r="Y125" i="65"/>
  <c r="Y154" i="65" s="1"/>
  <c r="U69" i="105"/>
  <c r="Q68" i="105"/>
  <c r="K109" i="105"/>
  <c r="K186" i="105"/>
  <c r="AD23" i="65"/>
  <c r="AD78" i="41"/>
  <c r="AD82" i="41" s="1"/>
  <c r="AA61" i="105"/>
  <c r="AA101" i="105" s="1"/>
  <c r="V60" i="105"/>
  <c r="V100" i="105" s="1"/>
  <c r="AC36" i="82"/>
  <c r="AC125" i="65"/>
  <c r="AC154" i="65" s="1"/>
  <c r="AC143" i="65"/>
  <c r="AC172" i="65" s="1"/>
  <c r="AE78" i="105"/>
  <c r="V188" i="105"/>
  <c r="V111" i="105"/>
  <c r="AE60" i="105"/>
  <c r="AE100" i="105" s="1"/>
  <c r="V125" i="65"/>
  <c r="V154" i="65" s="1"/>
  <c r="V134" i="65"/>
  <c r="V163" i="65" s="1"/>
  <c r="V143" i="65"/>
  <c r="V172" i="65" s="1"/>
  <c r="V36" i="82"/>
  <c r="N61" i="105"/>
  <c r="N101" i="105" s="1"/>
  <c r="O78" i="105"/>
  <c r="AD60" i="105"/>
  <c r="AD100" i="105" s="1"/>
  <c r="L78" i="105"/>
  <c r="AB61" i="105"/>
  <c r="AB101" i="105" s="1"/>
  <c r="N23" i="65"/>
  <c r="N78" i="41"/>
  <c r="N82" i="41" s="1"/>
  <c r="AG59" i="105"/>
  <c r="AG99" i="105" s="1"/>
  <c r="AG198" i="105"/>
  <c r="AG120" i="105"/>
  <c r="AE143" i="65"/>
  <c r="AE172" i="65" s="1"/>
  <c r="AE36" i="82"/>
  <c r="AE125" i="65"/>
  <c r="AE154" i="65" s="1"/>
  <c r="J187" i="105"/>
  <c r="J110" i="105"/>
  <c r="Y23" i="65"/>
  <c r="Y78" i="41"/>
  <c r="Y82" i="41" s="1"/>
  <c r="AA125" i="65"/>
  <c r="AA154" i="65" s="1"/>
  <c r="AA143" i="65"/>
  <c r="AA172" i="65" s="1"/>
  <c r="AA36" i="82"/>
  <c r="R60" i="105"/>
  <c r="R100" i="105" s="1"/>
  <c r="AF36" i="82"/>
  <c r="AF125" i="65"/>
  <c r="AF154" i="65" s="1"/>
  <c r="AF143" i="65"/>
  <c r="AF172" i="65" s="1"/>
  <c r="AF60" i="105"/>
  <c r="AF100" i="105" s="1"/>
  <c r="P70" i="105"/>
  <c r="K188" i="105"/>
  <c r="K111" i="105"/>
  <c r="U78" i="105"/>
  <c r="Q59" i="105"/>
  <c r="Q99" i="105" s="1"/>
  <c r="M61" i="105"/>
  <c r="M101" i="105" s="1"/>
  <c r="AF23" i="65"/>
  <c r="AF78" i="41"/>
  <c r="AF82" i="41" s="1"/>
  <c r="J77" i="105"/>
  <c r="N70" i="105"/>
  <c r="S188" i="105"/>
  <c r="S111" i="105"/>
  <c r="AJ111" i="105"/>
  <c r="AJ188" i="105"/>
  <c r="AD78" i="105"/>
  <c r="L69" i="105"/>
  <c r="P23" i="65"/>
  <c r="P78" i="41"/>
  <c r="P82" i="41" s="1"/>
  <c r="AG68" i="105"/>
  <c r="M69" i="105"/>
  <c r="L143" i="65"/>
  <c r="L172" i="65" s="1"/>
  <c r="L134" i="65"/>
  <c r="L163" i="65" s="1"/>
  <c r="L36" i="82"/>
  <c r="L125" i="65"/>
  <c r="L154" i="65" s="1"/>
  <c r="W23" i="65"/>
  <c r="W78" i="41"/>
  <c r="W82" i="41" s="1"/>
  <c r="AD143" i="65"/>
  <c r="AD172" i="65" s="1"/>
  <c r="AD36" i="82"/>
  <c r="AD125" i="65"/>
  <c r="AD154" i="65" s="1"/>
  <c r="R69" i="105"/>
  <c r="AD79" i="105"/>
  <c r="J199" i="105"/>
  <c r="J121" i="105"/>
  <c r="N78" i="105"/>
  <c r="AA78" i="105"/>
  <c r="AC60" i="105"/>
  <c r="AC100" i="105" s="1"/>
  <c r="AG110" i="105"/>
  <c r="AG187" i="105"/>
  <c r="U60" i="105"/>
  <c r="U100" i="105" s="1"/>
  <c r="Q77" i="105"/>
  <c r="AJ121" i="105"/>
  <c r="AJ199" i="105"/>
  <c r="M79" i="105"/>
  <c r="AE23" i="65"/>
  <c r="AE78" i="41"/>
  <c r="AE82" i="41" s="1"/>
  <c r="H100" i="105" l="1"/>
  <c r="H101" i="105"/>
  <c r="X120" i="105"/>
  <c r="X198" i="105"/>
  <c r="R110" i="105"/>
  <c r="R187" i="105"/>
  <c r="M199" i="105"/>
  <c r="M121" i="105"/>
  <c r="L68" i="105"/>
  <c r="AD59" i="105"/>
  <c r="AD99" i="105" s="1"/>
  <c r="V68" i="105"/>
  <c r="P121" i="105"/>
  <c r="P199" i="105"/>
  <c r="U68" i="105"/>
  <c r="L111" i="105"/>
  <c r="L188" i="105"/>
  <c r="AA199" i="105"/>
  <c r="AA121" i="105"/>
  <c r="S77" i="105"/>
  <c r="O68" i="105"/>
  <c r="X77" i="105"/>
  <c r="P77" i="105"/>
  <c r="AB59" i="105"/>
  <c r="AB99" i="105" s="1"/>
  <c r="AL415" i="41"/>
  <c r="AL35" i="65" s="1"/>
  <c r="AL113" i="65" s="1"/>
  <c r="AL226" i="41"/>
  <c r="AL228" i="41" s="1"/>
  <c r="W415" i="41"/>
  <c r="W35" i="65" s="1"/>
  <c r="W113" i="65" s="1"/>
  <c r="W226" i="41"/>
  <c r="W228" i="41" s="1"/>
  <c r="T77" i="105"/>
  <c r="N198" i="105"/>
  <c r="N120" i="105"/>
  <c r="P111" i="105"/>
  <c r="P188" i="105"/>
  <c r="L77" i="105"/>
  <c r="M187" i="105"/>
  <c r="M110" i="105"/>
  <c r="AD120" i="105"/>
  <c r="AD198" i="105"/>
  <c r="J197" i="105"/>
  <c r="J119" i="105"/>
  <c r="U198" i="105"/>
  <c r="U120" i="105"/>
  <c r="V59" i="105"/>
  <c r="V99" i="105" s="1"/>
  <c r="Q186" i="105"/>
  <c r="Q109" i="105"/>
  <c r="Y121" i="105"/>
  <c r="Y199" i="105"/>
  <c r="U59" i="105"/>
  <c r="U99" i="105" s="1"/>
  <c r="Z59" i="105"/>
  <c r="Z99" i="105" s="1"/>
  <c r="P59" i="105"/>
  <c r="P99" i="105" s="1"/>
  <c r="T187" i="105"/>
  <c r="T110" i="105"/>
  <c r="AM226" i="41"/>
  <c r="AM228" i="41" s="1"/>
  <c r="AM415" i="41"/>
  <c r="AM35" i="65" s="1"/>
  <c r="AM113" i="65" s="1"/>
  <c r="AM124" i="65" s="1"/>
  <c r="AM153" i="65" s="1"/>
  <c r="K415" i="41"/>
  <c r="K35" i="65" s="1"/>
  <c r="K113" i="65" s="1"/>
  <c r="K226" i="41"/>
  <c r="K228" i="41" s="1"/>
  <c r="AG197" i="105"/>
  <c r="AG119" i="105"/>
  <c r="AN415" i="41"/>
  <c r="AN35" i="65" s="1"/>
  <c r="AN113" i="65" s="1"/>
  <c r="AN226" i="41"/>
  <c r="AN228" i="41" s="1"/>
  <c r="Q226" i="41"/>
  <c r="Q228" i="41" s="1"/>
  <c r="Q415" i="41"/>
  <c r="Q35" i="65" s="1"/>
  <c r="Q113" i="65" s="1"/>
  <c r="M111" i="105"/>
  <c r="M188" i="105"/>
  <c r="N187" i="105"/>
  <c r="N110" i="105"/>
  <c r="AF198" i="105"/>
  <c r="AF120" i="105"/>
  <c r="M59" i="105"/>
  <c r="M99" i="105" s="1"/>
  <c r="Z77" i="105"/>
  <c r="Q197" i="105"/>
  <c r="Q119" i="105"/>
  <c r="AD199" i="105"/>
  <c r="AD121" i="105"/>
  <c r="AG109" i="105"/>
  <c r="AG186" i="105"/>
  <c r="AF59" i="105"/>
  <c r="AF99" i="105" s="1"/>
  <c r="AE59" i="105"/>
  <c r="AE99" i="105" s="1"/>
  <c r="AC59" i="105"/>
  <c r="AC99" i="105" s="1"/>
  <c r="U110" i="105"/>
  <c r="U187" i="105"/>
  <c r="M198" i="105"/>
  <c r="M120" i="105"/>
  <c r="AB121" i="105"/>
  <c r="AB199" i="105"/>
  <c r="N121" i="105"/>
  <c r="N199" i="105"/>
  <c r="S68" i="105"/>
  <c r="O59" i="105"/>
  <c r="O99" i="105" s="1"/>
  <c r="S110" i="105"/>
  <c r="S187" i="105"/>
  <c r="Z199" i="105"/>
  <c r="Z121" i="105"/>
  <c r="W199" i="105"/>
  <c r="W121" i="105"/>
  <c r="N77" i="105"/>
  <c r="AG226" i="41"/>
  <c r="AG228" i="41" s="1"/>
  <c r="AG415" i="41"/>
  <c r="AG35" i="65" s="1"/>
  <c r="AG113" i="65" s="1"/>
  <c r="L415" i="41"/>
  <c r="L35" i="65" s="1"/>
  <c r="L113" i="65" s="1"/>
  <c r="L226" i="41"/>
  <c r="L228" i="41" s="1"/>
  <c r="AB415" i="41"/>
  <c r="AB35" i="65" s="1"/>
  <c r="AB113" i="65" s="1"/>
  <c r="AB226" i="41"/>
  <c r="AB228" i="41" s="1"/>
  <c r="AA77" i="105"/>
  <c r="M68" i="105"/>
  <c r="T198" i="105"/>
  <c r="T120" i="105"/>
  <c r="P120" i="105"/>
  <c r="P198" i="105"/>
  <c r="O121" i="105"/>
  <c r="O199" i="105"/>
  <c r="AE199" i="105"/>
  <c r="AE121" i="105"/>
  <c r="AO415" i="41"/>
  <c r="AO35" i="65" s="1"/>
  <c r="AO113" i="65" s="1"/>
  <c r="AO124" i="65" s="1"/>
  <c r="AO153" i="65" s="1"/>
  <c r="AO226" i="41"/>
  <c r="AO228" i="41" s="1"/>
  <c r="X199" i="105"/>
  <c r="X121" i="105"/>
  <c r="AC120" i="105"/>
  <c r="AC198" i="105"/>
  <c r="O198" i="105"/>
  <c r="O120" i="105"/>
  <c r="R120" i="105"/>
  <c r="R198" i="105"/>
  <c r="L59" i="105"/>
  <c r="L99" i="105" s="1"/>
  <c r="N111" i="105"/>
  <c r="N188" i="105"/>
  <c r="AA59" i="105"/>
  <c r="AA99" i="105" s="1"/>
  <c r="AE77" i="105"/>
  <c r="Y59" i="105"/>
  <c r="Y99" i="105" s="1"/>
  <c r="P187" i="105"/>
  <c r="P110" i="105"/>
  <c r="L121" i="105"/>
  <c r="L199" i="105"/>
  <c r="M77" i="105"/>
  <c r="W59" i="105"/>
  <c r="W99" i="105" s="1"/>
  <c r="AC199" i="105"/>
  <c r="AC121" i="105"/>
  <c r="Y120" i="105"/>
  <c r="Y198" i="105"/>
  <c r="N59" i="105"/>
  <c r="N99" i="105" s="1"/>
  <c r="H78" i="41"/>
  <c r="J82" i="41"/>
  <c r="H82" i="41" s="1"/>
  <c r="R415" i="41"/>
  <c r="R35" i="65" s="1"/>
  <c r="R113" i="65" s="1"/>
  <c r="R226" i="41"/>
  <c r="R228" i="41" s="1"/>
  <c r="J186" i="105"/>
  <c r="J109" i="105"/>
  <c r="R59" i="105"/>
  <c r="R99" i="105" s="1"/>
  <c r="O111" i="105"/>
  <c r="O188" i="105"/>
  <c r="S59" i="105"/>
  <c r="S99" i="105" s="1"/>
  <c r="S120" i="105"/>
  <c r="S198" i="105"/>
  <c r="L120" i="105"/>
  <c r="L198" i="105"/>
  <c r="AE120" i="105"/>
  <c r="AE198" i="105"/>
  <c r="V110" i="105"/>
  <c r="V187" i="105"/>
  <c r="U77" i="105"/>
  <c r="V120" i="105"/>
  <c r="V198" i="105"/>
  <c r="AF121" i="105"/>
  <c r="AF199" i="105"/>
  <c r="O187" i="105"/>
  <c r="O110" i="105"/>
  <c r="W77" i="105"/>
  <c r="AB120" i="105"/>
  <c r="AB198" i="105"/>
  <c r="P68" i="105"/>
  <c r="AB77" i="105"/>
  <c r="AH415" i="41"/>
  <c r="AH35" i="65" s="1"/>
  <c r="AH113" i="65" s="1"/>
  <c r="AH226" i="41"/>
  <c r="AH228" i="41" s="1"/>
  <c r="AI226" i="41"/>
  <c r="AI228" i="41" s="1"/>
  <c r="AI415" i="41"/>
  <c r="AI35" i="65" s="1"/>
  <c r="AI113" i="65" s="1"/>
  <c r="T59" i="105"/>
  <c r="T99" i="105" s="1"/>
  <c r="R77" i="105"/>
  <c r="AD77" i="105"/>
  <c r="AF77" i="105"/>
  <c r="AC77" i="105"/>
  <c r="O77" i="105"/>
  <c r="N68" i="105"/>
  <c r="AA198" i="105"/>
  <c r="AA120" i="105"/>
  <c r="L187" i="105"/>
  <c r="L110" i="105"/>
  <c r="V77" i="105"/>
  <c r="Y77" i="105"/>
  <c r="X59" i="105"/>
  <c r="X99" i="105" s="1"/>
  <c r="Z198" i="105"/>
  <c r="Z120" i="105"/>
  <c r="AJ415" i="41"/>
  <c r="AJ35" i="65" s="1"/>
  <c r="AJ113" i="65" s="1"/>
  <c r="AJ226" i="41"/>
  <c r="AJ228" i="41" s="1"/>
  <c r="AK415" i="41"/>
  <c r="AK35" i="65" s="1"/>
  <c r="AK113" i="65" s="1"/>
  <c r="AK124" i="65" s="1"/>
  <c r="AK153" i="65" s="1"/>
  <c r="AK226" i="41"/>
  <c r="AK228" i="41" s="1"/>
  <c r="T68" i="105"/>
  <c r="W120" i="105"/>
  <c r="W198" i="105"/>
  <c r="R68" i="105"/>
  <c r="H111" i="105" l="1"/>
  <c r="H121" i="105"/>
  <c r="H110" i="105"/>
  <c r="H120" i="105"/>
  <c r="H99" i="105"/>
  <c r="AB142" i="65"/>
  <c r="AB171" i="65" s="1"/>
  <c r="AB124" i="65"/>
  <c r="AB153" i="65" s="1"/>
  <c r="AB35" i="82"/>
  <c r="W142" i="65"/>
  <c r="W171" i="65" s="1"/>
  <c r="W35" i="82"/>
  <c r="W124" i="65"/>
  <c r="W153" i="65" s="1"/>
  <c r="U197" i="105"/>
  <c r="U119" i="105"/>
  <c r="R142" i="65"/>
  <c r="R171" i="65" s="1"/>
  <c r="R35" i="82"/>
  <c r="R133" i="65"/>
  <c r="R162" i="65" s="1"/>
  <c r="R124" i="65"/>
  <c r="R153" i="65" s="1"/>
  <c r="AF197" i="105"/>
  <c r="AF119" i="105"/>
  <c r="AB197" i="105"/>
  <c r="AB119" i="105"/>
  <c r="AG124" i="65"/>
  <c r="AG153" i="65" s="1"/>
  <c r="AG142" i="65"/>
  <c r="AG171" i="65" s="1"/>
  <c r="AG133" i="65"/>
  <c r="AG162" i="65" s="1"/>
  <c r="AG35" i="82"/>
  <c r="W424" i="41"/>
  <c r="W237" i="41"/>
  <c r="P197" i="105"/>
  <c r="P119" i="105"/>
  <c r="M197" i="105"/>
  <c r="M119" i="105"/>
  <c r="M109" i="105"/>
  <c r="M186" i="105"/>
  <c r="AG424" i="41"/>
  <c r="AG237" i="41"/>
  <c r="AG293" i="41"/>
  <c r="AG295" i="41" s="1"/>
  <c r="Q133" i="65"/>
  <c r="Q162" i="65" s="1"/>
  <c r="Q142" i="65"/>
  <c r="Q171" i="65" s="1"/>
  <c r="Q35" i="82"/>
  <c r="Q124" i="65"/>
  <c r="Q153" i="65" s="1"/>
  <c r="K424" i="41"/>
  <c r="K237" i="41"/>
  <c r="AB293" i="41"/>
  <c r="AB295" i="41" s="1"/>
  <c r="K293" i="41"/>
  <c r="K295" i="41" s="1"/>
  <c r="AK293" i="41"/>
  <c r="AK295" i="41" s="1"/>
  <c r="R293" i="41"/>
  <c r="R295" i="41" s="1"/>
  <c r="L293" i="41"/>
  <c r="L295" i="41" s="1"/>
  <c r="AI293" i="41"/>
  <c r="AI295" i="41" s="1"/>
  <c r="AM293" i="41"/>
  <c r="AM295" i="41" s="1"/>
  <c r="AO293" i="41"/>
  <c r="AO295" i="41" s="1"/>
  <c r="AH293" i="41"/>
  <c r="AH295" i="41" s="1"/>
  <c r="Q293" i="41"/>
  <c r="Q295" i="41" s="1"/>
  <c r="AJ293" i="41"/>
  <c r="AJ295" i="41" s="1"/>
  <c r="W293" i="41"/>
  <c r="W295" i="41" s="1"/>
  <c r="AL293" i="41"/>
  <c r="AL295" i="41" s="1"/>
  <c r="AN293" i="41"/>
  <c r="AN295" i="41" s="1"/>
  <c r="AB424" i="41"/>
  <c r="AB237" i="41"/>
  <c r="N197" i="105"/>
  <c r="N119" i="105"/>
  <c r="Q424" i="41"/>
  <c r="Q237" i="41"/>
  <c r="K133" i="65"/>
  <c r="K162" i="65" s="1"/>
  <c r="K142" i="65"/>
  <c r="K171" i="65" s="1"/>
  <c r="K124" i="65"/>
  <c r="K153" i="65" s="1"/>
  <c r="K35" i="82"/>
  <c r="AL424" i="41"/>
  <c r="AL237" i="41"/>
  <c r="X119" i="105"/>
  <c r="X197" i="105"/>
  <c r="N186" i="105"/>
  <c r="N109" i="105"/>
  <c r="P186" i="105"/>
  <c r="P109" i="105"/>
  <c r="AI424" i="41"/>
  <c r="AI237" i="41"/>
  <c r="R424" i="41"/>
  <c r="R237" i="41"/>
  <c r="AN424" i="41"/>
  <c r="AN237" i="41"/>
  <c r="AM58" i="105"/>
  <c r="AM98" i="105" s="1"/>
  <c r="L197" i="105"/>
  <c r="L119" i="105"/>
  <c r="AL124" i="65"/>
  <c r="AL153" i="65" s="1"/>
  <c r="AK35" i="82"/>
  <c r="AL142" i="65"/>
  <c r="AL171" i="65" s="1"/>
  <c r="V109" i="105"/>
  <c r="V186" i="105"/>
  <c r="AK424" i="41"/>
  <c r="AK237" i="41"/>
  <c r="AK58" i="105"/>
  <c r="AK98" i="105" s="1"/>
  <c r="AD119" i="105"/>
  <c r="AD197" i="105"/>
  <c r="AE197" i="105"/>
  <c r="AE119" i="105"/>
  <c r="AJ424" i="41"/>
  <c r="AJ237" i="41"/>
  <c r="AJ142" i="65"/>
  <c r="AJ171" i="65" s="1"/>
  <c r="AJ124" i="65"/>
  <c r="AJ153" i="65" s="1"/>
  <c r="AJ35" i="82"/>
  <c r="AJ133" i="65"/>
  <c r="AJ162" i="65" s="1"/>
  <c r="O197" i="105"/>
  <c r="O119" i="105"/>
  <c r="R197" i="105"/>
  <c r="R119" i="105"/>
  <c r="AH424" i="41"/>
  <c r="AH237" i="41"/>
  <c r="AO424" i="41"/>
  <c r="AO237" i="41"/>
  <c r="L424" i="41"/>
  <c r="L237" i="41"/>
  <c r="S109" i="105"/>
  <c r="S186" i="105"/>
  <c r="AN142" i="65"/>
  <c r="AN171" i="65" s="1"/>
  <c r="AN124" i="65"/>
  <c r="AN153" i="65" s="1"/>
  <c r="AL35" i="82"/>
  <c r="AM424" i="41"/>
  <c r="AM237" i="41"/>
  <c r="O186" i="105"/>
  <c r="O109" i="105"/>
  <c r="AI35" i="82"/>
  <c r="AI142" i="65"/>
  <c r="AI171" i="65" s="1"/>
  <c r="AI124" i="65"/>
  <c r="AI153" i="65" s="1"/>
  <c r="L142" i="65"/>
  <c r="L171" i="65" s="1"/>
  <c r="L35" i="82"/>
  <c r="L133" i="65"/>
  <c r="L162" i="65" s="1"/>
  <c r="L124" i="65"/>
  <c r="L153" i="65" s="1"/>
  <c r="AH133" i="65"/>
  <c r="AH162" i="65" s="1"/>
  <c r="AH142" i="65"/>
  <c r="AH171" i="65" s="1"/>
  <c r="AH35" i="82"/>
  <c r="AH124" i="65"/>
  <c r="AH153" i="65" s="1"/>
  <c r="H85" i="105"/>
  <c r="H128" i="105" s="1"/>
  <c r="H84" i="41"/>
  <c r="AO58" i="105"/>
  <c r="AO98" i="105" s="1"/>
  <c r="U186" i="105"/>
  <c r="U109" i="105"/>
  <c r="AA197" i="105"/>
  <c r="AA119" i="105"/>
  <c r="Z119" i="105"/>
  <c r="Z197" i="105"/>
  <c r="T119" i="105"/>
  <c r="T197" i="105"/>
  <c r="S197" i="105"/>
  <c r="S119" i="105"/>
  <c r="R109" i="105"/>
  <c r="R186" i="105"/>
  <c r="V197" i="105"/>
  <c r="V119" i="105"/>
  <c r="AC119" i="105"/>
  <c r="AC197" i="105"/>
  <c r="W119" i="105"/>
  <c r="W197" i="105"/>
  <c r="T109" i="105"/>
  <c r="T186" i="105"/>
  <c r="Y197" i="105"/>
  <c r="Y119" i="105"/>
  <c r="L186" i="105"/>
  <c r="L109" i="105"/>
  <c r="H109" i="105" l="1"/>
  <c r="H119" i="105"/>
  <c r="AJ58" i="105"/>
  <c r="AJ98" i="105" s="1"/>
  <c r="AH76" i="105"/>
  <c r="AJ268" i="41"/>
  <c r="AJ272" i="41"/>
  <c r="AJ250" i="41"/>
  <c r="AJ251" i="41"/>
  <c r="AJ269" i="41"/>
  <c r="AJ273" i="41"/>
  <c r="AJ267" i="41"/>
  <c r="AJ249" i="41"/>
  <c r="AJ274" i="41"/>
  <c r="AJ405" i="41"/>
  <c r="AJ414" i="41" s="1"/>
  <c r="AJ34" i="65" s="1"/>
  <c r="AJ112" i="65" s="1"/>
  <c r="AJ404" i="41"/>
  <c r="AJ413" i="41" s="1"/>
  <c r="AJ33" i="65" s="1"/>
  <c r="AJ111" i="65" s="1"/>
  <c r="AJ403" i="41"/>
  <c r="AJ412" i="41" s="1"/>
  <c r="AJ32" i="65" s="1"/>
  <c r="AJ110" i="65" s="1"/>
  <c r="AH67" i="105"/>
  <c r="AN76" i="105"/>
  <c r="AL76" i="105"/>
  <c r="K67" i="105"/>
  <c r="Q67" i="105"/>
  <c r="L76" i="105"/>
  <c r="W76" i="105"/>
  <c r="AN58" i="105"/>
  <c r="AN98" i="105" s="1"/>
  <c r="AN267" i="41"/>
  <c r="AN272" i="41"/>
  <c r="AN269" i="41"/>
  <c r="AN250" i="41"/>
  <c r="AN273" i="41"/>
  <c r="AN274" i="41"/>
  <c r="AN249" i="41"/>
  <c r="AN403" i="41"/>
  <c r="AN412" i="41" s="1"/>
  <c r="AN32" i="65" s="1"/>
  <c r="AN110" i="65" s="1"/>
  <c r="AN251" i="41"/>
  <c r="AN268" i="41"/>
  <c r="AN404" i="41"/>
  <c r="AN413" i="41" s="1"/>
  <c r="AN33" i="65" s="1"/>
  <c r="AN111" i="65" s="1"/>
  <c r="AN405" i="41"/>
  <c r="AN414" i="41" s="1"/>
  <c r="AN34" i="65" s="1"/>
  <c r="AN112" i="65" s="1"/>
  <c r="L58" i="105"/>
  <c r="L98" i="105" s="1"/>
  <c r="AL273" i="41"/>
  <c r="AL268" i="41"/>
  <c r="AL267" i="41"/>
  <c r="AL249" i="41"/>
  <c r="AL272" i="41"/>
  <c r="AL251" i="41"/>
  <c r="AL274" i="41"/>
  <c r="AL269" i="41"/>
  <c r="AL250" i="41"/>
  <c r="AL404" i="41"/>
  <c r="AL413" i="41" s="1"/>
  <c r="AL33" i="65" s="1"/>
  <c r="AL111" i="65" s="1"/>
  <c r="AL405" i="41"/>
  <c r="AL414" i="41" s="1"/>
  <c r="AL34" i="65" s="1"/>
  <c r="AL112" i="65" s="1"/>
  <c r="AL403" i="41"/>
  <c r="AL412" i="41" s="1"/>
  <c r="AL32" i="65" s="1"/>
  <c r="AL110" i="65" s="1"/>
  <c r="Q274" i="41"/>
  <c r="Q269" i="41"/>
  <c r="Q249" i="41"/>
  <c r="Q272" i="41"/>
  <c r="Q267" i="41"/>
  <c r="Q273" i="41"/>
  <c r="Q268" i="41"/>
  <c r="Q250" i="41"/>
  <c r="Q251" i="41"/>
  <c r="Q405" i="41"/>
  <c r="Q414" i="41" s="1"/>
  <c r="Q34" i="65" s="1"/>
  <c r="Q112" i="65" s="1"/>
  <c r="Q403" i="41"/>
  <c r="Q412" i="41" s="1"/>
  <c r="Q32" i="65" s="1"/>
  <c r="Q110" i="65" s="1"/>
  <c r="Q404" i="41"/>
  <c r="Q413" i="41" s="1"/>
  <c r="Q33" i="65" s="1"/>
  <c r="Q111" i="65" s="1"/>
  <c r="K251" i="41"/>
  <c r="K273" i="41"/>
  <c r="K272" i="41"/>
  <c r="K268" i="41"/>
  <c r="K274" i="41"/>
  <c r="K249" i="41"/>
  <c r="K267" i="41"/>
  <c r="K250" i="41"/>
  <c r="K269" i="41"/>
  <c r="K404" i="41"/>
  <c r="K413" i="41" s="1"/>
  <c r="K33" i="65" s="1"/>
  <c r="K111" i="65" s="1"/>
  <c r="K405" i="41"/>
  <c r="K414" i="41" s="1"/>
  <c r="K34" i="65" s="1"/>
  <c r="K112" i="65" s="1"/>
  <c r="K403" i="41"/>
  <c r="K412" i="41" s="1"/>
  <c r="K32" i="65" s="1"/>
  <c r="K110" i="65" s="1"/>
  <c r="AG67" i="105"/>
  <c r="AK272" i="41"/>
  <c r="AK249" i="41"/>
  <c r="AK274" i="41"/>
  <c r="AK267" i="41"/>
  <c r="AK251" i="41"/>
  <c r="AK273" i="41"/>
  <c r="AK250" i="41"/>
  <c r="AK403" i="41"/>
  <c r="AK412" i="41" s="1"/>
  <c r="AK32" i="65" s="1"/>
  <c r="AK110" i="65" s="1"/>
  <c r="AK121" i="65" s="1"/>
  <c r="AK150" i="65" s="1"/>
  <c r="AK269" i="41"/>
  <c r="AK268" i="41"/>
  <c r="AK405" i="41"/>
  <c r="AK414" i="41" s="1"/>
  <c r="AK34" i="65" s="1"/>
  <c r="AK112" i="65" s="1"/>
  <c r="AK123" i="65" s="1"/>
  <c r="AK152" i="65" s="1"/>
  <c r="AK404" i="41"/>
  <c r="AK413" i="41" s="1"/>
  <c r="AK33" i="65" s="1"/>
  <c r="AK111" i="65" s="1"/>
  <c r="AK122" i="65" s="1"/>
  <c r="AK151" i="65" s="1"/>
  <c r="W272" i="41"/>
  <c r="W268" i="41"/>
  <c r="W249" i="41"/>
  <c r="W273" i="41"/>
  <c r="W250" i="41"/>
  <c r="W251" i="41"/>
  <c r="W274" i="41"/>
  <c r="W267" i="41"/>
  <c r="W269" i="41"/>
  <c r="W405" i="41"/>
  <c r="W414" i="41" s="1"/>
  <c r="W34" i="65" s="1"/>
  <c r="W112" i="65" s="1"/>
  <c r="W403" i="41"/>
  <c r="W412" i="41" s="1"/>
  <c r="W32" i="65" s="1"/>
  <c r="W110" i="65" s="1"/>
  <c r="W404" i="41"/>
  <c r="W413" i="41" s="1"/>
  <c r="W33" i="65" s="1"/>
  <c r="W111" i="65" s="1"/>
  <c r="L67" i="105"/>
  <c r="AM267" i="41"/>
  <c r="AM268" i="41"/>
  <c r="AM249" i="41"/>
  <c r="AM272" i="41"/>
  <c r="AM250" i="41"/>
  <c r="AM251" i="41"/>
  <c r="AM269" i="41"/>
  <c r="AM273" i="41"/>
  <c r="AM274" i="41"/>
  <c r="AM405" i="41"/>
  <c r="AM414" i="41" s="1"/>
  <c r="AM34" i="65" s="1"/>
  <c r="AM112" i="65" s="1"/>
  <c r="AM123" i="65" s="1"/>
  <c r="AM152" i="65" s="1"/>
  <c r="AM403" i="41"/>
  <c r="AM412" i="41" s="1"/>
  <c r="AM32" i="65" s="1"/>
  <c r="AM110" i="65" s="1"/>
  <c r="AM121" i="65" s="1"/>
  <c r="AM150" i="65" s="1"/>
  <c r="AM404" i="41"/>
  <c r="AM413" i="41" s="1"/>
  <c r="AM33" i="65" s="1"/>
  <c r="AM111" i="65" s="1"/>
  <c r="AM122" i="65" s="1"/>
  <c r="AM151" i="65" s="1"/>
  <c r="AL58" i="105"/>
  <c r="AL98" i="105" s="1"/>
  <c r="AG249" i="41"/>
  <c r="AG269" i="41"/>
  <c r="AG250" i="41"/>
  <c r="AG268" i="41"/>
  <c r="AG267" i="41"/>
  <c r="AG251" i="41"/>
  <c r="AG273" i="41"/>
  <c r="AG278" i="41" s="1"/>
  <c r="AG283" i="41" s="1"/>
  <c r="AG274" i="41"/>
  <c r="AG279" i="41" s="1"/>
  <c r="AG284" i="41" s="1"/>
  <c r="AG362" i="41" s="1"/>
  <c r="AG364" i="41" s="1"/>
  <c r="AG366" i="41" s="1"/>
  <c r="AG368" i="41" s="1"/>
  <c r="AG393" i="41" s="1"/>
  <c r="AG272" i="41"/>
  <c r="AG277" i="41" s="1"/>
  <c r="AG282" i="41" s="1"/>
  <c r="AG404" i="41"/>
  <c r="AG403" i="41"/>
  <c r="AG405" i="41"/>
  <c r="AG76" i="105"/>
  <c r="R58" i="105"/>
  <c r="R98" i="105" s="1"/>
  <c r="W58" i="105"/>
  <c r="W98" i="105" s="1"/>
  <c r="AJ190" i="41"/>
  <c r="AL190" i="41"/>
  <c r="AH190" i="41"/>
  <c r="R190" i="41"/>
  <c r="K190" i="41"/>
  <c r="AN190" i="41"/>
  <c r="AI190" i="41"/>
  <c r="AK190" i="41"/>
  <c r="W190" i="41"/>
  <c r="AB190" i="41"/>
  <c r="AM190" i="41"/>
  <c r="AO190" i="41"/>
  <c r="Q190" i="41"/>
  <c r="L190" i="41"/>
  <c r="AE190" i="41"/>
  <c r="AE196" i="41" s="1"/>
  <c r="AE198" i="41" s="1"/>
  <c r="AG190" i="41"/>
  <c r="AG205" i="41" s="1"/>
  <c r="AG207" i="41" s="1"/>
  <c r="U190" i="41"/>
  <c r="U196" i="41" s="1"/>
  <c r="U198" i="41" s="1"/>
  <c r="P190" i="41"/>
  <c r="P196" i="41" s="1"/>
  <c r="P198" i="41" s="1"/>
  <c r="AA190" i="41"/>
  <c r="AA196" i="41" s="1"/>
  <c r="AA198" i="41" s="1"/>
  <c r="T190" i="41"/>
  <c r="T196" i="41" s="1"/>
  <c r="T198" i="41" s="1"/>
  <c r="AF190" i="41"/>
  <c r="AF196" i="41" s="1"/>
  <c r="AF198" i="41" s="1"/>
  <c r="O190" i="41"/>
  <c r="O196" i="41" s="1"/>
  <c r="O198" i="41" s="1"/>
  <c r="N190" i="41"/>
  <c r="N196" i="41" s="1"/>
  <c r="N198" i="41" s="1"/>
  <c r="AC190" i="41"/>
  <c r="AC196" i="41" s="1"/>
  <c r="AC198" i="41" s="1"/>
  <c r="S190" i="41"/>
  <c r="S196" i="41" s="1"/>
  <c r="S198" i="41" s="1"/>
  <c r="Y190" i="41"/>
  <c r="Y196" i="41" s="1"/>
  <c r="Y198" i="41" s="1"/>
  <c r="AD190" i="41"/>
  <c r="AD196" i="41" s="1"/>
  <c r="AD198" i="41" s="1"/>
  <c r="J190" i="41"/>
  <c r="M190" i="41"/>
  <c r="M196" i="41" s="1"/>
  <c r="M198" i="41" s="1"/>
  <c r="X190" i="41"/>
  <c r="X196" i="41" s="1"/>
  <c r="X198" i="41" s="1"/>
  <c r="V190" i="41"/>
  <c r="V196" i="41" s="1"/>
  <c r="V198" i="41" s="1"/>
  <c r="H88" i="105"/>
  <c r="H131" i="105" s="1"/>
  <c r="Z190" i="41"/>
  <c r="Z196" i="41" s="1"/>
  <c r="Z198" i="41" s="1"/>
  <c r="L267" i="41"/>
  <c r="L250" i="41"/>
  <c r="L251" i="41"/>
  <c r="L269" i="41"/>
  <c r="L249" i="41"/>
  <c r="L268" i="41"/>
  <c r="L272" i="41"/>
  <c r="L274" i="41"/>
  <c r="L273" i="41"/>
  <c r="L405" i="41"/>
  <c r="L414" i="41" s="1"/>
  <c r="L34" i="65" s="1"/>
  <c r="L112" i="65" s="1"/>
  <c r="L404" i="41"/>
  <c r="L413" i="41" s="1"/>
  <c r="L33" i="65" s="1"/>
  <c r="L111" i="65" s="1"/>
  <c r="L403" i="41"/>
  <c r="L412" i="41" s="1"/>
  <c r="L32" i="65" s="1"/>
  <c r="L110" i="65" s="1"/>
  <c r="AH250" i="41"/>
  <c r="AH274" i="41"/>
  <c r="AH251" i="41"/>
  <c r="AH269" i="41"/>
  <c r="AH268" i="41"/>
  <c r="AH249" i="41"/>
  <c r="AH272" i="41"/>
  <c r="AH267" i="41"/>
  <c r="AH273" i="41"/>
  <c r="AH403" i="41"/>
  <c r="AH412" i="41" s="1"/>
  <c r="AH32" i="65" s="1"/>
  <c r="AH110" i="65" s="1"/>
  <c r="AH405" i="41"/>
  <c r="AH414" i="41" s="1"/>
  <c r="AH34" i="65" s="1"/>
  <c r="AH112" i="65" s="1"/>
  <c r="AH404" i="41"/>
  <c r="AH413" i="41" s="1"/>
  <c r="AH33" i="65" s="1"/>
  <c r="AH111" i="65" s="1"/>
  <c r="AJ67" i="105"/>
  <c r="R251" i="41"/>
  <c r="R250" i="41"/>
  <c r="R268" i="41"/>
  <c r="R267" i="41"/>
  <c r="R272" i="41"/>
  <c r="R269" i="41"/>
  <c r="R273" i="41"/>
  <c r="R403" i="41"/>
  <c r="R412" i="41" s="1"/>
  <c r="R32" i="65" s="1"/>
  <c r="R110" i="65" s="1"/>
  <c r="R249" i="41"/>
  <c r="R274" i="41"/>
  <c r="R404" i="41"/>
  <c r="R413" i="41" s="1"/>
  <c r="R33" i="65" s="1"/>
  <c r="R111" i="65" s="1"/>
  <c r="R405" i="41"/>
  <c r="R414" i="41" s="1"/>
  <c r="R34" i="65" s="1"/>
  <c r="R112" i="65" s="1"/>
  <c r="AG58" i="105"/>
  <c r="AG98" i="105" s="1"/>
  <c r="R67" i="105"/>
  <c r="AI58" i="105"/>
  <c r="AI98" i="105" s="1"/>
  <c r="Q58" i="105"/>
  <c r="Q98" i="105" s="1"/>
  <c r="R76" i="105"/>
  <c r="AI76" i="105"/>
  <c r="AI118" i="105" s="1"/>
  <c r="AJ76" i="105"/>
  <c r="K58" i="105"/>
  <c r="K98" i="105" s="1"/>
  <c r="AB58" i="105"/>
  <c r="AB98" i="105" s="1"/>
  <c r="AH58" i="105"/>
  <c r="AH98" i="105" s="1"/>
  <c r="AO267" i="41"/>
  <c r="AO403" i="41"/>
  <c r="AO412" i="41" s="1"/>
  <c r="AO32" i="65" s="1"/>
  <c r="AO110" i="65" s="1"/>
  <c r="AO121" i="65" s="1"/>
  <c r="AO150" i="65" s="1"/>
  <c r="AO274" i="41"/>
  <c r="AO272" i="41"/>
  <c r="AO249" i="41"/>
  <c r="AO251" i="41"/>
  <c r="AO250" i="41"/>
  <c r="AO269" i="41"/>
  <c r="AO273" i="41"/>
  <c r="AO268" i="41"/>
  <c r="AO404" i="41"/>
  <c r="AO413" i="41" s="1"/>
  <c r="AO33" i="65" s="1"/>
  <c r="AO111" i="65" s="1"/>
  <c r="AO122" i="65" s="1"/>
  <c r="AO151" i="65" s="1"/>
  <c r="AO405" i="41"/>
  <c r="AO414" i="41" s="1"/>
  <c r="AO34" i="65" s="1"/>
  <c r="AO112" i="65" s="1"/>
  <c r="AO123" i="65" s="1"/>
  <c r="AO152" i="65" s="1"/>
  <c r="AI268" i="41"/>
  <c r="AI249" i="41"/>
  <c r="AI274" i="41"/>
  <c r="AI251" i="41"/>
  <c r="AI272" i="41"/>
  <c r="AI273" i="41"/>
  <c r="AI269" i="41"/>
  <c r="AI250" i="41"/>
  <c r="AI267" i="41"/>
  <c r="AI405" i="41"/>
  <c r="AI414" i="41" s="1"/>
  <c r="AI34" i="65" s="1"/>
  <c r="AI112" i="65" s="1"/>
  <c r="AI404" i="41"/>
  <c r="AI413" i="41" s="1"/>
  <c r="AI33" i="65" s="1"/>
  <c r="AI111" i="65" s="1"/>
  <c r="AI403" i="41"/>
  <c r="AI412" i="41" s="1"/>
  <c r="AI32" i="65" s="1"/>
  <c r="AI110" i="65" s="1"/>
  <c r="K76" i="105"/>
  <c r="AB274" i="41"/>
  <c r="AB272" i="41"/>
  <c r="AB250" i="41"/>
  <c r="AB249" i="41"/>
  <c r="AB268" i="41"/>
  <c r="AB251" i="41"/>
  <c r="AB267" i="41"/>
  <c r="AB269" i="41"/>
  <c r="AB405" i="41"/>
  <c r="AB414" i="41" s="1"/>
  <c r="AB34" i="65" s="1"/>
  <c r="AB112" i="65" s="1"/>
  <c r="AB273" i="41"/>
  <c r="AB403" i="41"/>
  <c r="AB412" i="41" s="1"/>
  <c r="AB32" i="65" s="1"/>
  <c r="AB110" i="65" s="1"/>
  <c r="AB404" i="41"/>
  <c r="AB413" i="41" s="1"/>
  <c r="AB33" i="65" s="1"/>
  <c r="AB111" i="65" s="1"/>
  <c r="Q76" i="105"/>
  <c r="AB76" i="105"/>
  <c r="AG414" i="41" l="1"/>
  <c r="AG34" i="65" s="1"/>
  <c r="AG112" i="65" s="1"/>
  <c r="AG412" i="41"/>
  <c r="AG32" i="65" s="1"/>
  <c r="AG110" i="65" s="1"/>
  <c r="AG121" i="65" s="1"/>
  <c r="AG150" i="65" s="1"/>
  <c r="K196" i="105"/>
  <c r="K118" i="105"/>
  <c r="AK55" i="105"/>
  <c r="AK95" i="105" s="1"/>
  <c r="L139" i="65"/>
  <c r="L168" i="65" s="1"/>
  <c r="L130" i="65"/>
  <c r="L159" i="65" s="1"/>
  <c r="L32" i="82"/>
  <c r="L121" i="65"/>
  <c r="L150" i="65" s="1"/>
  <c r="AI139" i="65"/>
  <c r="AI168" i="65" s="1"/>
  <c r="AI121" i="65"/>
  <c r="AI150" i="65" s="1"/>
  <c r="AI32" i="82"/>
  <c r="L131" i="65"/>
  <c r="L160" i="65" s="1"/>
  <c r="L33" i="82"/>
  <c r="L122" i="65"/>
  <c r="L151" i="65" s="1"/>
  <c r="L140" i="65"/>
  <c r="L169" i="65" s="1"/>
  <c r="J196" i="41"/>
  <c r="J198" i="41" s="1"/>
  <c r="T224" i="41"/>
  <c r="T415" i="41" s="1"/>
  <c r="T35" i="65" s="1"/>
  <c r="T113" i="65" s="1"/>
  <c r="AG196" i="105"/>
  <c r="AG118" i="105"/>
  <c r="AM56" i="105"/>
  <c r="AM96" i="105" s="1"/>
  <c r="W141" i="65"/>
  <c r="W170" i="65" s="1"/>
  <c r="W34" i="82"/>
  <c r="W123" i="65"/>
  <c r="W152" i="65" s="1"/>
  <c r="K32" i="82"/>
  <c r="K130" i="65"/>
  <c r="K159" i="65" s="1"/>
  <c r="K139" i="65"/>
  <c r="K168" i="65" s="1"/>
  <c r="K121" i="65"/>
  <c r="K150" i="65" s="1"/>
  <c r="AK32" i="82"/>
  <c r="AL121" i="65"/>
  <c r="AL150" i="65" s="1"/>
  <c r="AL139" i="65"/>
  <c r="AL168" i="65" s="1"/>
  <c r="W196" i="105"/>
  <c r="W118" i="105"/>
  <c r="AL196" i="105"/>
  <c r="AL118" i="105"/>
  <c r="AJ139" i="65"/>
  <c r="AJ168" i="65" s="1"/>
  <c r="AJ121" i="65"/>
  <c r="AJ150" i="65" s="1"/>
  <c r="AJ32" i="82"/>
  <c r="AJ130" i="65"/>
  <c r="AJ159" i="65" s="1"/>
  <c r="M224" i="41"/>
  <c r="M415" i="41" s="1"/>
  <c r="M35" i="65" s="1"/>
  <c r="M113" i="65" s="1"/>
  <c r="Q196" i="105"/>
  <c r="Q118" i="105"/>
  <c r="AO55" i="105"/>
  <c r="AO95" i="105" s="1"/>
  <c r="X224" i="41"/>
  <c r="X415" i="41" s="1"/>
  <c r="X35" i="65" s="1"/>
  <c r="X113" i="65" s="1"/>
  <c r="AF224" i="41"/>
  <c r="AF415" i="41" s="1"/>
  <c r="AF35" i="65" s="1"/>
  <c r="AF113" i="65" s="1"/>
  <c r="R130" i="65"/>
  <c r="R159" i="65" s="1"/>
  <c r="R32" i="82"/>
  <c r="R121" i="65"/>
  <c r="R150" i="65" s="1"/>
  <c r="R139" i="65"/>
  <c r="R168" i="65" s="1"/>
  <c r="AA224" i="41"/>
  <c r="AA415" i="41" s="1"/>
  <c r="AA35" i="65" s="1"/>
  <c r="AA113" i="65" s="1"/>
  <c r="P224" i="41"/>
  <c r="P415" i="41" s="1"/>
  <c r="P35" i="65" s="1"/>
  <c r="P113" i="65" s="1"/>
  <c r="AM57" i="105"/>
  <c r="AM97" i="105" s="1"/>
  <c r="K140" i="65"/>
  <c r="K169" i="65" s="1"/>
  <c r="K122" i="65"/>
  <c r="K151" i="65" s="1"/>
  <c r="K33" i="82"/>
  <c r="K131" i="65"/>
  <c r="K160" i="65" s="1"/>
  <c r="AN278" i="41"/>
  <c r="AN283" i="41" s="1"/>
  <c r="AI278" i="41"/>
  <c r="AI283" i="41" s="1"/>
  <c r="W278" i="41"/>
  <c r="W283" i="41" s="1"/>
  <c r="AK278" i="41"/>
  <c r="AK283" i="41" s="1"/>
  <c r="AM278" i="41"/>
  <c r="AM283" i="41" s="1"/>
  <c r="R278" i="41"/>
  <c r="R283" i="41" s="1"/>
  <c r="AJ278" i="41"/>
  <c r="AJ283" i="41" s="1"/>
  <c r="AL278" i="41"/>
  <c r="AL283" i="41" s="1"/>
  <c r="K278" i="41"/>
  <c r="K283" i="41" s="1"/>
  <c r="AH278" i="41"/>
  <c r="AH283" i="41" s="1"/>
  <c r="Q278" i="41"/>
  <c r="Q283" i="41" s="1"/>
  <c r="AO278" i="41"/>
  <c r="AO283" i="41" s="1"/>
  <c r="L278" i="41"/>
  <c r="L283" i="41" s="1"/>
  <c r="AB278" i="41"/>
  <c r="AB283" i="41" s="1"/>
  <c r="AK33" i="82"/>
  <c r="AL140" i="65"/>
  <c r="AL169" i="65" s="1"/>
  <c r="AL122" i="65"/>
  <c r="AL151" i="65" s="1"/>
  <c r="AN141" i="65"/>
  <c r="AN170" i="65" s="1"/>
  <c r="AN123" i="65"/>
  <c r="AN152" i="65" s="1"/>
  <c r="AL34" i="82"/>
  <c r="L118" i="105"/>
  <c r="L196" i="105"/>
  <c r="AJ34" i="82"/>
  <c r="AJ132" i="65"/>
  <c r="AJ161" i="65" s="1"/>
  <c r="AJ141" i="65"/>
  <c r="AJ170" i="65" s="1"/>
  <c r="AJ123" i="65"/>
  <c r="AJ152" i="65" s="1"/>
  <c r="AJ118" i="105"/>
  <c r="AJ196" i="105"/>
  <c r="AI140" i="65"/>
  <c r="AI169" i="65" s="1"/>
  <c r="AI33" i="82"/>
  <c r="AI122" i="65"/>
  <c r="AI151" i="65" s="1"/>
  <c r="R185" i="105"/>
  <c r="R108" i="105"/>
  <c r="AJ108" i="105"/>
  <c r="AJ185" i="105"/>
  <c r="L123" i="65"/>
  <c r="L152" i="65" s="1"/>
  <c r="L34" i="82"/>
  <c r="L141" i="65"/>
  <c r="L170" i="65" s="1"/>
  <c r="L132" i="65"/>
  <c r="L161" i="65" s="1"/>
  <c r="AD224" i="41"/>
  <c r="AD415" i="41" s="1"/>
  <c r="AD35" i="65" s="1"/>
  <c r="AD113" i="65" s="1"/>
  <c r="AI123" i="65"/>
  <c r="AI152" i="65" s="1"/>
  <c r="AI34" i="82"/>
  <c r="AI141" i="65"/>
  <c r="AI170" i="65" s="1"/>
  <c r="Y224" i="41"/>
  <c r="Y415" i="41" s="1"/>
  <c r="Y35" i="65" s="1"/>
  <c r="Y113" i="65" s="1"/>
  <c r="AG132" i="65"/>
  <c r="AG161" i="65" s="1"/>
  <c r="AG123" i="65"/>
  <c r="AG152" i="65" s="1"/>
  <c r="AG141" i="65"/>
  <c r="AG170" i="65" s="1"/>
  <c r="AG34" i="82"/>
  <c r="AK56" i="105"/>
  <c r="AK96" i="105" s="1"/>
  <c r="AB139" i="65"/>
  <c r="AB168" i="65" s="1"/>
  <c r="AB32" i="82"/>
  <c r="AB121" i="65"/>
  <c r="AB150" i="65" s="1"/>
  <c r="R118" i="105"/>
  <c r="R196" i="105"/>
  <c r="AH140" i="65"/>
  <c r="AH169" i="65" s="1"/>
  <c r="AH33" i="82"/>
  <c r="AH122" i="65"/>
  <c r="AH151" i="65" s="1"/>
  <c r="AH131" i="65"/>
  <c r="AH160" i="65" s="1"/>
  <c r="Z224" i="41"/>
  <c r="Z415" i="41" s="1"/>
  <c r="Z35" i="65" s="1"/>
  <c r="Z113" i="65" s="1"/>
  <c r="S224" i="41"/>
  <c r="S415" i="41" s="1"/>
  <c r="S35" i="65" s="1"/>
  <c r="S113" i="65" s="1"/>
  <c r="U224" i="41"/>
  <c r="U415" i="41" s="1"/>
  <c r="U35" i="65" s="1"/>
  <c r="U113" i="65" s="1"/>
  <c r="AG130" i="65"/>
  <c r="AG159" i="65" s="1"/>
  <c r="AG139" i="65"/>
  <c r="AG168" i="65" s="1"/>
  <c r="AG32" i="82"/>
  <c r="AK57" i="105"/>
  <c r="AK97" i="105" s="1"/>
  <c r="AN140" i="65"/>
  <c r="AN169" i="65" s="1"/>
  <c r="AN122" i="65"/>
  <c r="AN151" i="65" s="1"/>
  <c r="AL33" i="82"/>
  <c r="AN196" i="105"/>
  <c r="AN118" i="105"/>
  <c r="O224" i="41"/>
  <c r="O415" i="41" s="1"/>
  <c r="O35" i="65" s="1"/>
  <c r="O113" i="65" s="1"/>
  <c r="W140" i="65"/>
  <c r="W169" i="65" s="1"/>
  <c r="W33" i="82"/>
  <c r="W122" i="65"/>
  <c r="W151" i="65" s="1"/>
  <c r="AM55" i="105"/>
  <c r="AM95" i="105" s="1"/>
  <c r="K132" i="65"/>
  <c r="K161" i="65" s="1"/>
  <c r="K123" i="65"/>
  <c r="K152" i="65" s="1"/>
  <c r="K34" i="82"/>
  <c r="K141" i="65"/>
  <c r="K170" i="65" s="1"/>
  <c r="AM277" i="41"/>
  <c r="AM282" i="41" s="1"/>
  <c r="AN277" i="41"/>
  <c r="AN282" i="41" s="1"/>
  <c r="AK277" i="41"/>
  <c r="AK282" i="41" s="1"/>
  <c r="AI277" i="41"/>
  <c r="AI282" i="41" s="1"/>
  <c r="R277" i="41"/>
  <c r="R282" i="41" s="1"/>
  <c r="W277" i="41"/>
  <c r="W282" i="41" s="1"/>
  <c r="L277" i="41"/>
  <c r="L282" i="41" s="1"/>
  <c r="AH277" i="41"/>
  <c r="AH282" i="41" s="1"/>
  <c r="K277" i="41"/>
  <c r="K282" i="41" s="1"/>
  <c r="AO277" i="41"/>
  <c r="AO282" i="41" s="1"/>
  <c r="AL277" i="41"/>
  <c r="AL282" i="41" s="1"/>
  <c r="Q277" i="41"/>
  <c r="Q282" i="41" s="1"/>
  <c r="AB277" i="41"/>
  <c r="AB282" i="41" s="1"/>
  <c r="AJ277" i="41"/>
  <c r="AJ282" i="41" s="1"/>
  <c r="AK34" i="82"/>
  <c r="AL141" i="65"/>
  <c r="AL170" i="65" s="1"/>
  <c r="AL123" i="65"/>
  <c r="AL152" i="65" s="1"/>
  <c r="AJ140" i="65"/>
  <c r="AJ169" i="65" s="1"/>
  <c r="AJ122" i="65"/>
  <c r="AJ151" i="65" s="1"/>
  <c r="AJ131" i="65"/>
  <c r="AJ160" i="65" s="1"/>
  <c r="AJ33" i="82"/>
  <c r="AB140" i="65"/>
  <c r="AB169" i="65" s="1"/>
  <c r="AB122" i="65"/>
  <c r="AB151" i="65" s="1"/>
  <c r="AB33" i="82"/>
  <c r="AO57" i="105"/>
  <c r="AO97" i="105" s="1"/>
  <c r="AH34" i="82"/>
  <c r="AH141" i="65"/>
  <c r="AH170" i="65" s="1"/>
  <c r="AH132" i="65"/>
  <c r="AH161" i="65" s="1"/>
  <c r="AH123" i="65"/>
  <c r="AH152" i="65" s="1"/>
  <c r="AC224" i="41"/>
  <c r="AC415" i="41" s="1"/>
  <c r="AC35" i="65" s="1"/>
  <c r="AC113" i="65" s="1"/>
  <c r="AG413" i="41"/>
  <c r="AG33" i="65" s="1"/>
  <c r="AG111" i="65" s="1"/>
  <c r="L185" i="105"/>
  <c r="L108" i="105"/>
  <c r="Q131" i="65"/>
  <c r="Q160" i="65" s="1"/>
  <c r="Q140" i="65"/>
  <c r="Q169" i="65" s="1"/>
  <c r="Q33" i="82"/>
  <c r="Q122" i="65"/>
  <c r="Q151" i="65" s="1"/>
  <c r="Q185" i="105"/>
  <c r="Q108" i="105"/>
  <c r="AH185" i="105"/>
  <c r="AH108" i="105"/>
  <c r="AH118" i="105"/>
  <c r="AH196" i="105"/>
  <c r="AB196" i="105"/>
  <c r="AB118" i="105"/>
  <c r="R131" i="65"/>
  <c r="R160" i="65" s="1"/>
  <c r="R122" i="65"/>
  <c r="R151" i="65" s="1"/>
  <c r="R140" i="65"/>
  <c r="R169" i="65" s="1"/>
  <c r="R33" i="82"/>
  <c r="AB123" i="65"/>
  <c r="AB152" i="65" s="1"/>
  <c r="AB141" i="65"/>
  <c r="AB170" i="65" s="1"/>
  <c r="AB34" i="82"/>
  <c r="AO56" i="105"/>
  <c r="AO96" i="105" s="1"/>
  <c r="R34" i="82"/>
  <c r="R132" i="65"/>
  <c r="R161" i="65" s="1"/>
  <c r="R141" i="65"/>
  <c r="R170" i="65" s="1"/>
  <c r="R123" i="65"/>
  <c r="R152" i="65" s="1"/>
  <c r="AH32" i="82"/>
  <c r="AH130" i="65"/>
  <c r="AH159" i="65" s="1"/>
  <c r="AH139" i="65"/>
  <c r="AH168" i="65" s="1"/>
  <c r="AH121" i="65"/>
  <c r="AH150" i="65" s="1"/>
  <c r="V224" i="41"/>
  <c r="V415" i="41" s="1"/>
  <c r="V35" i="65" s="1"/>
  <c r="V113" i="65" s="1"/>
  <c r="N224" i="41"/>
  <c r="N415" i="41" s="1"/>
  <c r="N35" i="65" s="1"/>
  <c r="N113" i="65" s="1"/>
  <c r="AE224" i="41"/>
  <c r="AE415" i="41" s="1"/>
  <c r="AE35" i="65" s="1"/>
  <c r="AE113" i="65" s="1"/>
  <c r="AG298" i="41"/>
  <c r="Q130" i="65"/>
  <c r="Q159" i="65" s="1"/>
  <c r="Q139" i="65"/>
  <c r="Q168" i="65" s="1"/>
  <c r="Q32" i="82"/>
  <c r="Q121" i="65"/>
  <c r="Q150" i="65" s="1"/>
  <c r="AG108" i="105"/>
  <c r="AG185" i="105"/>
  <c r="Q34" i="82"/>
  <c r="Q132" i="65"/>
  <c r="Q161" i="65" s="1"/>
  <c r="Q141" i="65"/>
  <c r="Q170" i="65" s="1"/>
  <c r="Q123" i="65"/>
  <c r="Q152" i="65" s="1"/>
  <c r="AL32" i="82"/>
  <c r="AN139" i="65"/>
  <c r="AN168" i="65" s="1"/>
  <c r="AN121" i="65"/>
  <c r="AN150" i="65" s="1"/>
  <c r="K185" i="105"/>
  <c r="K108" i="105"/>
  <c r="AG330" i="41"/>
  <c r="AG332" i="41" s="1"/>
  <c r="AG334" i="41" s="1"/>
  <c r="AG336" i="41" s="1"/>
  <c r="AG392" i="41" s="1"/>
  <c r="W139" i="65"/>
  <c r="W168" i="65" s="1"/>
  <c r="W32" i="82"/>
  <c r="W121" i="65"/>
  <c r="W150" i="65" s="1"/>
  <c r="W279" i="41"/>
  <c r="W284" i="41" s="1"/>
  <c r="W362" i="41" s="1"/>
  <c r="K279" i="41"/>
  <c r="K284" i="41" s="1"/>
  <c r="K362" i="41" s="1"/>
  <c r="AL279" i="41"/>
  <c r="AL284" i="41" s="1"/>
  <c r="AL362" i="41" s="1"/>
  <c r="AB279" i="41"/>
  <c r="AB284" i="41" s="1"/>
  <c r="AB362" i="41" s="1"/>
  <c r="AH279" i="41"/>
  <c r="AH284" i="41" s="1"/>
  <c r="AH362" i="41" s="1"/>
  <c r="AK279" i="41"/>
  <c r="AK284" i="41" s="1"/>
  <c r="AK362" i="41" s="1"/>
  <c r="R279" i="41"/>
  <c r="R284" i="41" s="1"/>
  <c r="R362" i="41" s="1"/>
  <c r="AN279" i="41"/>
  <c r="AN284" i="41" s="1"/>
  <c r="AN362" i="41" s="1"/>
  <c r="AJ279" i="41"/>
  <c r="AJ284" i="41" s="1"/>
  <c r="AJ362" i="41" s="1"/>
  <c r="AM279" i="41"/>
  <c r="AM284" i="41" s="1"/>
  <c r="AM362" i="41" s="1"/>
  <c r="Q279" i="41"/>
  <c r="Q284" i="41" s="1"/>
  <c r="Q362" i="41" s="1"/>
  <c r="L279" i="41"/>
  <c r="L284" i="41" s="1"/>
  <c r="L362" i="41" s="1"/>
  <c r="AI279" i="41"/>
  <c r="AI284" i="41" s="1"/>
  <c r="AI362" i="41" s="1"/>
  <c r="AO279" i="41"/>
  <c r="AO284" i="41" s="1"/>
  <c r="AO362" i="41" s="1"/>
  <c r="Y226" i="41" l="1"/>
  <c r="Y228" i="41" s="1"/>
  <c r="Y237" i="41" s="1"/>
  <c r="AE226" i="41"/>
  <c r="AE228" i="41" s="1"/>
  <c r="AI298" i="41"/>
  <c r="AI304" i="41" s="1"/>
  <c r="AI391" i="41" s="1"/>
  <c r="AI395" i="41" s="1"/>
  <c r="AM102" i="105"/>
  <c r="Q330" i="41"/>
  <c r="AH330" i="41"/>
  <c r="AI330" i="41"/>
  <c r="AK102" i="105"/>
  <c r="AO298" i="41"/>
  <c r="AO304" i="41" s="1"/>
  <c r="AO391" i="41" s="1"/>
  <c r="AO395" i="41" s="1"/>
  <c r="AN298" i="41"/>
  <c r="AN304" i="41" s="1"/>
  <c r="AN391" i="41" s="1"/>
  <c r="AN395" i="41" s="1"/>
  <c r="S226" i="41"/>
  <c r="S228" i="41" s="1"/>
  <c r="S237" i="41" s="1"/>
  <c r="AD226" i="41"/>
  <c r="AD228" i="41" s="1"/>
  <c r="AD424" i="41" s="1"/>
  <c r="AL330" i="41"/>
  <c r="AC226" i="41"/>
  <c r="AC228" i="41" s="1"/>
  <c r="AC424" i="41" s="1"/>
  <c r="Z226" i="41"/>
  <c r="Z228" i="41" s="1"/>
  <c r="AN55" i="105"/>
  <c r="AN95" i="105" s="1"/>
  <c r="AB75" i="105"/>
  <c r="AJ74" i="105"/>
  <c r="AB57" i="105"/>
  <c r="AB97" i="105" s="1"/>
  <c r="R66" i="105"/>
  <c r="AC293" i="41"/>
  <c r="AC295" i="41" s="1"/>
  <c r="L298" i="41"/>
  <c r="L304" i="41" s="1"/>
  <c r="L391" i="41" s="1"/>
  <c r="L395" i="41" s="1"/>
  <c r="O133" i="65"/>
  <c r="O162" i="65" s="1"/>
  <c r="O124" i="65"/>
  <c r="O153" i="65" s="1"/>
  <c r="O142" i="65"/>
  <c r="O171" i="65" s="1"/>
  <c r="O35" i="82"/>
  <c r="S424" i="41"/>
  <c r="AG57" i="105"/>
  <c r="AG97" i="105" s="1"/>
  <c r="AL74" i="105"/>
  <c r="AA124" i="65"/>
  <c r="AA153" i="65" s="1"/>
  <c r="AA35" i="82"/>
  <c r="AA142" i="65"/>
  <c r="AA171" i="65" s="1"/>
  <c r="X35" i="82"/>
  <c r="X124" i="65"/>
  <c r="X153" i="65" s="1"/>
  <c r="X142" i="65"/>
  <c r="X171" i="65" s="1"/>
  <c r="AJ64" i="105"/>
  <c r="AL73" i="105"/>
  <c r="W73" i="105"/>
  <c r="Q75" i="105"/>
  <c r="Q73" i="105"/>
  <c r="V226" i="41"/>
  <c r="V228" i="41" s="1"/>
  <c r="R56" i="105"/>
  <c r="R96" i="105" s="1"/>
  <c r="AH57" i="105"/>
  <c r="AH97" i="105" s="1"/>
  <c r="AB74" i="105"/>
  <c r="AJ298" i="41"/>
  <c r="AJ304" i="41" s="1"/>
  <c r="AJ391" i="41" s="1"/>
  <c r="AJ395" i="41" s="1"/>
  <c r="W298" i="41"/>
  <c r="W304" i="41" s="1"/>
  <c r="W391" i="41" s="1"/>
  <c r="W395" i="41" s="1"/>
  <c r="K57" i="105"/>
  <c r="K97" i="105" s="1"/>
  <c r="O226" i="41"/>
  <c r="O228" i="41" s="1"/>
  <c r="Z124" i="65"/>
  <c r="Z153" i="65" s="1"/>
  <c r="Z142" i="65"/>
  <c r="Z171" i="65" s="1"/>
  <c r="Z35" i="82"/>
  <c r="AB55" i="105"/>
  <c r="AB95" i="105" s="1"/>
  <c r="AG66" i="105"/>
  <c r="L66" i="105"/>
  <c r="AI56" i="105"/>
  <c r="AI96" i="105" s="1"/>
  <c r="AJ330" i="41"/>
  <c r="AA226" i="41"/>
  <c r="AA228" i="41" s="1"/>
  <c r="X226" i="41"/>
  <c r="X228" i="41" s="1"/>
  <c r="AL55" i="105"/>
  <c r="AL95" i="105" s="1"/>
  <c r="W75" i="105"/>
  <c r="J224" i="41"/>
  <c r="L55" i="105"/>
  <c r="L95" i="105" s="1"/>
  <c r="U142" i="65"/>
  <c r="U171" i="65" s="1"/>
  <c r="U133" i="65"/>
  <c r="U162" i="65" s="1"/>
  <c r="U124" i="65"/>
  <c r="U153" i="65" s="1"/>
  <c r="U35" i="82"/>
  <c r="AN73" i="105"/>
  <c r="Q57" i="105"/>
  <c r="Q97" i="105" s="1"/>
  <c r="V124" i="65"/>
  <c r="V153" i="65" s="1"/>
  <c r="V35" i="82"/>
  <c r="V133" i="65"/>
  <c r="V162" i="65" s="1"/>
  <c r="V142" i="65"/>
  <c r="V171" i="65" s="1"/>
  <c r="R74" i="105"/>
  <c r="Q56" i="105"/>
  <c r="Q96" i="105" s="1"/>
  <c r="AB56" i="105"/>
  <c r="AB96" i="105" s="1"/>
  <c r="AJ66" i="105"/>
  <c r="K65" i="105"/>
  <c r="Q66" i="105"/>
  <c r="Q64" i="105"/>
  <c r="AH55" i="105"/>
  <c r="AH95" i="105" s="1"/>
  <c r="R65" i="105"/>
  <c r="Q74" i="105"/>
  <c r="AH66" i="105"/>
  <c r="AB298" i="41"/>
  <c r="AB304" i="41" s="1"/>
  <c r="AB391" i="41" s="1"/>
  <c r="AB395" i="41" s="1"/>
  <c r="R298" i="41"/>
  <c r="R304" i="41" s="1"/>
  <c r="R391" i="41" s="1"/>
  <c r="R395" i="41" s="1"/>
  <c r="K66" i="105"/>
  <c r="AG73" i="105"/>
  <c r="Z424" i="41"/>
  <c r="Z237" i="41"/>
  <c r="Y142" i="65"/>
  <c r="Y171" i="65" s="1"/>
  <c r="Y124" i="65"/>
  <c r="Y153" i="65" s="1"/>
  <c r="Y35" i="82"/>
  <c r="L75" i="105"/>
  <c r="AB330" i="41"/>
  <c r="R330" i="41"/>
  <c r="K56" i="105"/>
  <c r="K96" i="105" s="1"/>
  <c r="R73" i="105"/>
  <c r="AO102" i="105"/>
  <c r="AJ55" i="105"/>
  <c r="AJ95" i="105" s="1"/>
  <c r="L74" i="105"/>
  <c r="AE424" i="41"/>
  <c r="AE237" i="41"/>
  <c r="AE293" i="41"/>
  <c r="AE295" i="41" s="1"/>
  <c r="AN56" i="105"/>
  <c r="AN96" i="105" s="1"/>
  <c r="AG304" i="41"/>
  <c r="AG391" i="41" s="1"/>
  <c r="AG300" i="41"/>
  <c r="AG302" i="41" s="1"/>
  <c r="AH73" i="105"/>
  <c r="AH75" i="105"/>
  <c r="Q298" i="41"/>
  <c r="Q304" i="41" s="1"/>
  <c r="Q391" i="41" s="1"/>
  <c r="Q395" i="41" s="1"/>
  <c r="AH65" i="105"/>
  <c r="AM330" i="41"/>
  <c r="R55" i="105"/>
  <c r="R95" i="105" s="1"/>
  <c r="AJ73" i="105"/>
  <c r="K55" i="105"/>
  <c r="K95" i="105" s="1"/>
  <c r="L56" i="105"/>
  <c r="L96" i="105" s="1"/>
  <c r="L64" i="105"/>
  <c r="Q65" i="105"/>
  <c r="AJ65" i="105"/>
  <c r="AG55" i="105"/>
  <c r="AG95" i="105" s="1"/>
  <c r="AB73" i="105"/>
  <c r="Y424" i="41"/>
  <c r="AI74" i="105"/>
  <c r="AI116" i="105" s="1"/>
  <c r="L330" i="41"/>
  <c r="K74" i="105"/>
  <c r="AE124" i="65"/>
  <c r="AE153" i="65" s="1"/>
  <c r="AE142" i="65"/>
  <c r="AE171" i="65" s="1"/>
  <c r="AE35" i="82"/>
  <c r="AH64" i="105"/>
  <c r="AJ56" i="105"/>
  <c r="AJ96" i="105" s="1"/>
  <c r="AL298" i="41"/>
  <c r="AL304" i="41" s="1"/>
  <c r="AL391" i="41" s="1"/>
  <c r="AL395" i="41" s="1"/>
  <c r="AK298" i="41"/>
  <c r="AK304" i="41" s="1"/>
  <c r="AK391" i="41" s="1"/>
  <c r="AK395" i="41" s="1"/>
  <c r="AG64" i="105"/>
  <c r="AH56" i="105"/>
  <c r="AH96" i="105" s="1"/>
  <c r="AI75" i="105"/>
  <c r="AI117" i="105" s="1"/>
  <c r="L57" i="105"/>
  <c r="L97" i="105" s="1"/>
  <c r="AO330" i="41"/>
  <c r="AK330" i="41"/>
  <c r="K73" i="105"/>
  <c r="L73" i="105"/>
  <c r="AM364" i="41"/>
  <c r="AM366" i="41" s="1"/>
  <c r="AM368" i="41" s="1"/>
  <c r="AM393" i="41" s="1"/>
  <c r="AI364" i="41"/>
  <c r="AI366" i="41" s="1"/>
  <c r="AI368" i="41" s="1"/>
  <c r="AI393" i="41" s="1"/>
  <c r="K364" i="41"/>
  <c r="K366" i="41" s="1"/>
  <c r="K368" i="41" s="1"/>
  <c r="K393" i="41" s="1"/>
  <c r="AN364" i="41"/>
  <c r="AN366" i="41" s="1"/>
  <c r="AN368" i="41" s="1"/>
  <c r="AN393" i="41" s="1"/>
  <c r="Q364" i="41"/>
  <c r="Q366" i="41" s="1"/>
  <c r="Q368" i="41" s="1"/>
  <c r="Q393" i="41" s="1"/>
  <c r="R364" i="41"/>
  <c r="R366" i="41" s="1"/>
  <c r="R368" i="41" s="1"/>
  <c r="R393" i="41" s="1"/>
  <c r="AK364" i="41"/>
  <c r="AK366" i="41" s="1"/>
  <c r="AK368" i="41" s="1"/>
  <c r="AK393" i="41" s="1"/>
  <c r="W364" i="41"/>
  <c r="W366" i="41" s="1"/>
  <c r="W368" i="41" s="1"/>
  <c r="W393" i="41" s="1"/>
  <c r="L364" i="41"/>
  <c r="L366" i="41" s="1"/>
  <c r="L368" i="41" s="1"/>
  <c r="L393" i="41" s="1"/>
  <c r="AO364" i="41"/>
  <c r="AO366" i="41" s="1"/>
  <c r="AO368" i="41" s="1"/>
  <c r="AO393" i="41" s="1"/>
  <c r="AB364" i="41"/>
  <c r="AB366" i="41" s="1"/>
  <c r="AB368" i="41" s="1"/>
  <c r="AB393" i="41" s="1"/>
  <c r="AH364" i="41"/>
  <c r="AH366" i="41" s="1"/>
  <c r="AH368" i="41" s="1"/>
  <c r="AH393" i="41" s="1"/>
  <c r="AL364" i="41"/>
  <c r="AL366" i="41" s="1"/>
  <c r="AL368" i="41" s="1"/>
  <c r="AL393" i="41" s="1"/>
  <c r="AJ364" i="41"/>
  <c r="AJ366" i="41" s="1"/>
  <c r="AJ368" i="41" s="1"/>
  <c r="AJ393" i="41" s="1"/>
  <c r="W56" i="105"/>
  <c r="W96" i="105" s="1"/>
  <c r="AN57" i="105"/>
  <c r="AN97" i="105" s="1"/>
  <c r="W330" i="41"/>
  <c r="R64" i="105"/>
  <c r="K64" i="105"/>
  <c r="L65" i="105"/>
  <c r="K298" i="41"/>
  <c r="U226" i="41"/>
  <c r="U228" i="41" s="1"/>
  <c r="AI57" i="105"/>
  <c r="AI97" i="105" s="1"/>
  <c r="P142" i="65"/>
  <c r="P171" i="65" s="1"/>
  <c r="P133" i="65"/>
  <c r="P162" i="65" s="1"/>
  <c r="P124" i="65"/>
  <c r="P153" i="65" s="1"/>
  <c r="P35" i="82"/>
  <c r="M142" i="65"/>
  <c r="M171" i="65" s="1"/>
  <c r="M133" i="65"/>
  <c r="M162" i="65" s="1"/>
  <c r="M124" i="65"/>
  <c r="M153" i="65" s="1"/>
  <c r="M35" i="82"/>
  <c r="T124" i="65"/>
  <c r="T153" i="65" s="1"/>
  <c r="T133" i="65"/>
  <c r="T162" i="65" s="1"/>
  <c r="T142" i="65"/>
  <c r="T171" i="65" s="1"/>
  <c r="T35" i="82"/>
  <c r="N142" i="65"/>
  <c r="N171" i="65" s="1"/>
  <c r="N133" i="65"/>
  <c r="N162" i="65" s="1"/>
  <c r="N124" i="65"/>
  <c r="N153" i="65" s="1"/>
  <c r="N35" i="82"/>
  <c r="R57" i="105"/>
  <c r="R97" i="105" s="1"/>
  <c r="AG122" i="65"/>
  <c r="AG151" i="65" s="1"/>
  <c r="AG33" i="82"/>
  <c r="AG131" i="65"/>
  <c r="AG160" i="65" s="1"/>
  <c r="AG140" i="65"/>
  <c r="AG169" i="65" s="1"/>
  <c r="AL57" i="105"/>
  <c r="AL97" i="105" s="1"/>
  <c r="AM298" i="41"/>
  <c r="AM304" i="41" s="1"/>
  <c r="AM391" i="41" s="1"/>
  <c r="AM395" i="41" s="1"/>
  <c r="AN74" i="105"/>
  <c r="AH74" i="105"/>
  <c r="AJ57" i="105"/>
  <c r="AJ97" i="105" s="1"/>
  <c r="AN75" i="105"/>
  <c r="AF142" i="65"/>
  <c r="AF171" i="65" s="1"/>
  <c r="AF124" i="65"/>
  <c r="AF153" i="65" s="1"/>
  <c r="AF35" i="82"/>
  <c r="W55" i="105"/>
  <c r="W95" i="105" s="1"/>
  <c r="Q55" i="105"/>
  <c r="Q95" i="105" s="1"/>
  <c r="N226" i="41"/>
  <c r="N228" i="41" s="1"/>
  <c r="R75" i="105"/>
  <c r="AC142" i="65"/>
  <c r="AC171" i="65" s="1"/>
  <c r="AC124" i="65"/>
  <c r="AC153" i="65" s="1"/>
  <c r="AC35" i="82"/>
  <c r="AL75" i="105"/>
  <c r="AH298" i="41"/>
  <c r="AH304" i="41" s="1"/>
  <c r="AH391" i="41" s="1"/>
  <c r="AH395" i="41" s="1"/>
  <c r="K75" i="105"/>
  <c r="W74" i="105"/>
  <c r="S35" i="82"/>
  <c r="S133" i="65"/>
  <c r="S162" i="65" s="1"/>
  <c r="S142" i="65"/>
  <c r="S171" i="65" s="1"/>
  <c r="S124" i="65"/>
  <c r="S153" i="65" s="1"/>
  <c r="AG75" i="105"/>
  <c r="AD124" i="65"/>
  <c r="AD153" i="65" s="1"/>
  <c r="AD142" i="65"/>
  <c r="AD171" i="65" s="1"/>
  <c r="AD35" i="82"/>
  <c r="AJ75" i="105"/>
  <c r="AL56" i="105"/>
  <c r="AL96" i="105" s="1"/>
  <c r="K330" i="41"/>
  <c r="AN330" i="41"/>
  <c r="P226" i="41"/>
  <c r="P228" i="41" s="1"/>
  <c r="AF226" i="41"/>
  <c r="AF228" i="41" s="1"/>
  <c r="M226" i="41"/>
  <c r="M228" i="41" s="1"/>
  <c r="W57" i="105"/>
  <c r="W97" i="105" s="1"/>
  <c r="T226" i="41"/>
  <c r="T228" i="41" s="1"/>
  <c r="AI55" i="105"/>
  <c r="AI95" i="105" s="1"/>
  <c r="AI73" i="105"/>
  <c r="AI115" i="105" s="1"/>
  <c r="X293" i="41" l="1"/>
  <c r="X295" i="41" s="1"/>
  <c r="AI102" i="105"/>
  <c r="AI172" i="105" s="1"/>
  <c r="AI64" i="82" s="1"/>
  <c r="AC237" i="41"/>
  <c r="AC273" i="41" s="1"/>
  <c r="AC278" i="41" s="1"/>
  <c r="AC283" i="41" s="1"/>
  <c r="AD293" i="41"/>
  <c r="AD295" i="41" s="1"/>
  <c r="AD237" i="41"/>
  <c r="AH102" i="105"/>
  <c r="R102" i="105"/>
  <c r="S76" i="105"/>
  <c r="AH105" i="105"/>
  <c r="AH182" i="105"/>
  <c r="N424" i="41"/>
  <c r="N237" i="41"/>
  <c r="N293" i="41"/>
  <c r="N295" i="41" s="1"/>
  <c r="T58" i="105"/>
  <c r="T98" i="105" s="1"/>
  <c r="L183" i="105"/>
  <c r="L106" i="105"/>
  <c r="AD58" i="105"/>
  <c r="AD98" i="105" s="1"/>
  <c r="AC76" i="105"/>
  <c r="W102" i="105"/>
  <c r="AG74" i="105"/>
  <c r="L115" i="105"/>
  <c r="L193" i="105"/>
  <c r="AE58" i="105"/>
  <c r="AE98" i="105" s="1"/>
  <c r="AH106" i="105"/>
  <c r="AH183" i="105"/>
  <c r="AE274" i="41"/>
  <c r="AE279" i="41" s="1"/>
  <c r="AE284" i="41" s="1"/>
  <c r="AE362" i="41" s="1"/>
  <c r="AE364" i="41" s="1"/>
  <c r="AE366" i="41" s="1"/>
  <c r="AE368" i="41" s="1"/>
  <c r="AE393" i="41" s="1"/>
  <c r="AE267" i="41"/>
  <c r="AE269" i="41"/>
  <c r="AE272" i="41"/>
  <c r="AE277" i="41" s="1"/>
  <c r="AE282" i="41" s="1"/>
  <c r="AE403" i="41"/>
  <c r="AE412" i="41" s="1"/>
  <c r="AE32" i="65" s="1"/>
  <c r="AE110" i="65" s="1"/>
  <c r="AE273" i="41"/>
  <c r="AE278" i="41" s="1"/>
  <c r="AE283" i="41" s="1"/>
  <c r="AE405" i="41"/>
  <c r="AE414" i="41" s="1"/>
  <c r="AE34" i="65" s="1"/>
  <c r="AE112" i="65" s="1"/>
  <c r="AE250" i="41"/>
  <c r="AE251" i="41"/>
  <c r="AE268" i="41"/>
  <c r="AE249" i="41"/>
  <c r="AE404" i="41"/>
  <c r="AE413" i="41" s="1"/>
  <c r="AE33" i="65" s="1"/>
  <c r="AE111" i="65" s="1"/>
  <c r="AG193" i="105"/>
  <c r="AG115" i="105"/>
  <c r="Q194" i="105"/>
  <c r="Q116" i="105"/>
  <c r="Q184" i="105"/>
  <c r="Q107" i="105"/>
  <c r="L102" i="105"/>
  <c r="X424" i="41"/>
  <c r="X237" i="41"/>
  <c r="AL115" i="105"/>
  <c r="AL193" i="105"/>
  <c r="S269" i="41"/>
  <c r="S274" i="41"/>
  <c r="S268" i="41"/>
  <c r="S251" i="41"/>
  <c r="S272" i="41"/>
  <c r="S249" i="41"/>
  <c r="S267" i="41"/>
  <c r="S405" i="41"/>
  <c r="S414" i="41" s="1"/>
  <c r="S34" i="65" s="1"/>
  <c r="S112" i="65" s="1"/>
  <c r="S273" i="41"/>
  <c r="S250" i="41"/>
  <c r="S404" i="41"/>
  <c r="S413" i="41" s="1"/>
  <c r="S33" i="65" s="1"/>
  <c r="S111" i="65" s="1"/>
  <c r="S403" i="41"/>
  <c r="S412" i="41" s="1"/>
  <c r="S32" i="65" s="1"/>
  <c r="S110" i="65" s="1"/>
  <c r="AJ117" i="105"/>
  <c r="AJ195" i="105"/>
  <c r="AG182" i="105"/>
  <c r="AG105" i="105"/>
  <c r="S67" i="105"/>
  <c r="T76" i="105"/>
  <c r="R332" i="41"/>
  <c r="R334" i="41" s="1"/>
  <c r="R336" i="41" s="1"/>
  <c r="R392" i="41" s="1"/>
  <c r="AJ332" i="41"/>
  <c r="AJ334" i="41" s="1"/>
  <c r="AJ336" i="41" s="1"/>
  <c r="AJ392" i="41" s="1"/>
  <c r="K332" i="41"/>
  <c r="K334" i="41" s="1"/>
  <c r="K336" i="41" s="1"/>
  <c r="K392" i="41" s="1"/>
  <c r="AB332" i="41"/>
  <c r="AB334" i="41" s="1"/>
  <c r="AB336" i="41" s="1"/>
  <c r="AB392" i="41" s="1"/>
  <c r="AM332" i="41"/>
  <c r="AM334" i="41" s="1"/>
  <c r="AM336" i="41" s="1"/>
  <c r="AM392" i="41" s="1"/>
  <c r="W332" i="41"/>
  <c r="W334" i="41" s="1"/>
  <c r="W336" i="41" s="1"/>
  <c r="W392" i="41" s="1"/>
  <c r="AK332" i="41"/>
  <c r="AK334" i="41" s="1"/>
  <c r="AK336" i="41" s="1"/>
  <c r="AK392" i="41" s="1"/>
  <c r="AH332" i="41"/>
  <c r="AH334" i="41" s="1"/>
  <c r="AH336" i="41" s="1"/>
  <c r="AH392" i="41" s="1"/>
  <c r="Q332" i="41"/>
  <c r="Q334" i="41" s="1"/>
  <c r="Q336" i="41" s="1"/>
  <c r="Q392" i="41" s="1"/>
  <c r="L332" i="41"/>
  <c r="L334" i="41" s="1"/>
  <c r="L336" i="41" s="1"/>
  <c r="L392" i="41" s="1"/>
  <c r="AL332" i="41"/>
  <c r="AL334" i="41" s="1"/>
  <c r="AL336" i="41" s="1"/>
  <c r="AL392" i="41" s="1"/>
  <c r="AN332" i="41"/>
  <c r="AN334" i="41" s="1"/>
  <c r="AN336" i="41" s="1"/>
  <c r="AN392" i="41" s="1"/>
  <c r="AI332" i="41"/>
  <c r="AI334" i="41" s="1"/>
  <c r="AI336" i="41" s="1"/>
  <c r="AI392" i="41" s="1"/>
  <c r="AO332" i="41"/>
  <c r="AO334" i="41" s="1"/>
  <c r="AO336" i="41" s="1"/>
  <c r="AO392" i="41" s="1"/>
  <c r="AG117" i="105"/>
  <c r="AG195" i="105"/>
  <c r="K195" i="105"/>
  <c r="K117" i="105"/>
  <c r="AH116" i="105"/>
  <c r="AH194" i="105"/>
  <c r="AG65" i="105"/>
  <c r="N58" i="105"/>
  <c r="N98" i="105" s="1"/>
  <c r="M58" i="105"/>
  <c r="M98" i="105" s="1"/>
  <c r="K182" i="105"/>
  <c r="K105" i="105"/>
  <c r="K194" i="105"/>
  <c r="K116" i="105"/>
  <c r="AJ106" i="105"/>
  <c r="AJ183" i="105"/>
  <c r="K102" i="105"/>
  <c r="R115" i="105"/>
  <c r="R193" i="105"/>
  <c r="V76" i="105"/>
  <c r="AA424" i="41"/>
  <c r="AA237" i="41"/>
  <c r="AB102" i="105"/>
  <c r="V424" i="41"/>
  <c r="V237" i="41"/>
  <c r="V293" i="41"/>
  <c r="V295" i="41" s="1"/>
  <c r="AA293" i="41"/>
  <c r="AA295" i="41" s="1"/>
  <c r="AA58" i="105"/>
  <c r="AA98" i="105" s="1"/>
  <c r="T424" i="41"/>
  <c r="T237" i="41"/>
  <c r="Y293" i="41"/>
  <c r="Y295" i="41" s="1"/>
  <c r="T293" i="41"/>
  <c r="T295" i="41" s="1"/>
  <c r="N67" i="105"/>
  <c r="M67" i="105"/>
  <c r="U424" i="41"/>
  <c r="U237" i="41"/>
  <c r="U293" i="41"/>
  <c r="U295" i="41" s="1"/>
  <c r="Z293" i="41"/>
  <c r="Z295" i="41" s="1"/>
  <c r="K193" i="105"/>
  <c r="K200" i="105" s="1"/>
  <c r="K115" i="105"/>
  <c r="AB193" i="105"/>
  <c r="AB115" i="105"/>
  <c r="Y58" i="105"/>
  <c r="Y98" i="105" s="1"/>
  <c r="K107" i="105"/>
  <c r="K184" i="105"/>
  <c r="R106" i="105"/>
  <c r="R183" i="105"/>
  <c r="K183" i="105"/>
  <c r="K106" i="105"/>
  <c r="V67" i="105"/>
  <c r="U58" i="105"/>
  <c r="U98" i="105" s="1"/>
  <c r="J415" i="41"/>
  <c r="J35" i="65" s="1"/>
  <c r="J113" i="65" s="1"/>
  <c r="Q193" i="105"/>
  <c r="Q115" i="105"/>
  <c r="AJ182" i="105"/>
  <c r="AJ105" i="105"/>
  <c r="AL194" i="105"/>
  <c r="AL116" i="105"/>
  <c r="AC274" i="41"/>
  <c r="AC279" i="41" s="1"/>
  <c r="AC284" i="41" s="1"/>
  <c r="AC362" i="41" s="1"/>
  <c r="AC364" i="41" s="1"/>
  <c r="AC366" i="41" s="1"/>
  <c r="AC368" i="41" s="1"/>
  <c r="AC393" i="41" s="1"/>
  <c r="AC272" i="41"/>
  <c r="AC277" i="41" s="1"/>
  <c r="AC282" i="41" s="1"/>
  <c r="AC250" i="41"/>
  <c r="AC269" i="41"/>
  <c r="AC251" i="41"/>
  <c r="AC267" i="41"/>
  <c r="AC249" i="41"/>
  <c r="AC268" i="41"/>
  <c r="AC405" i="41"/>
  <c r="AC414" i="41" s="1"/>
  <c r="AC34" i="65" s="1"/>
  <c r="AC112" i="65" s="1"/>
  <c r="AC404" i="41"/>
  <c r="AC413" i="41" s="1"/>
  <c r="AC33" i="65" s="1"/>
  <c r="AC111" i="65" s="1"/>
  <c r="AJ194" i="105"/>
  <c r="AJ116" i="105"/>
  <c r="AF76" i="105"/>
  <c r="AN195" i="105"/>
  <c r="AN117" i="105"/>
  <c r="P58" i="105"/>
  <c r="P98" i="105" s="1"/>
  <c r="P424" i="41"/>
  <c r="P237" i="41"/>
  <c r="P293" i="41"/>
  <c r="P295" i="41" s="1"/>
  <c r="AD76" i="105"/>
  <c r="W194" i="105"/>
  <c r="W116" i="105"/>
  <c r="P76" i="105"/>
  <c r="S58" i="105"/>
  <c r="S98" i="105" s="1"/>
  <c r="R117" i="105"/>
  <c r="R195" i="105"/>
  <c r="AF58" i="105"/>
  <c r="AF98" i="105" s="1"/>
  <c r="AN194" i="105"/>
  <c r="AN116" i="105"/>
  <c r="AG56" i="105"/>
  <c r="AG96" i="105" s="1"/>
  <c r="AG102" i="105" s="1"/>
  <c r="N76" i="105"/>
  <c r="M76" i="105"/>
  <c r="K304" i="41"/>
  <c r="K391" i="41" s="1"/>
  <c r="K395" i="41" s="1"/>
  <c r="Q300" i="41"/>
  <c r="Q302" i="41" s="1"/>
  <c r="AH300" i="41"/>
  <c r="AH302" i="41" s="1"/>
  <c r="W300" i="41"/>
  <c r="W302" i="41" s="1"/>
  <c r="AJ300" i="41"/>
  <c r="AJ302" i="41" s="1"/>
  <c r="AK300" i="41"/>
  <c r="AK302" i="41" s="1"/>
  <c r="L300" i="41"/>
  <c r="L302" i="41" s="1"/>
  <c r="AN300" i="41"/>
  <c r="AN302" i="41" s="1"/>
  <c r="AL300" i="41"/>
  <c r="AL302" i="41" s="1"/>
  <c r="R300" i="41"/>
  <c r="R302" i="41" s="1"/>
  <c r="AM300" i="41"/>
  <c r="AM302" i="41" s="1"/>
  <c r="AO300" i="41"/>
  <c r="AO302" i="41" s="1"/>
  <c r="K300" i="41"/>
  <c r="K302" i="41" s="1"/>
  <c r="AI300" i="41"/>
  <c r="AI302" i="41" s="1"/>
  <c r="AB300" i="41"/>
  <c r="AB302" i="41" s="1"/>
  <c r="R182" i="105"/>
  <c r="R105" i="105"/>
  <c r="Q106" i="105"/>
  <c r="Q183" i="105"/>
  <c r="AJ193" i="105"/>
  <c r="AJ115" i="105"/>
  <c r="AH117" i="105"/>
  <c r="AH195" i="105"/>
  <c r="Y76" i="105"/>
  <c r="U67" i="105"/>
  <c r="J226" i="41"/>
  <c r="J228" i="41" s="1"/>
  <c r="AB194" i="105"/>
  <c r="AB116" i="105"/>
  <c r="L116" i="105"/>
  <c r="L194" i="105"/>
  <c r="Z251" i="41"/>
  <c r="Z274" i="41"/>
  <c r="Z268" i="41"/>
  <c r="Z249" i="41"/>
  <c r="Z269" i="41"/>
  <c r="Z250" i="41"/>
  <c r="Z273" i="41"/>
  <c r="Z267" i="41"/>
  <c r="Z272" i="41"/>
  <c r="Z404" i="41"/>
  <c r="Z413" i="41" s="1"/>
  <c r="Z33" i="65" s="1"/>
  <c r="Z111" i="65" s="1"/>
  <c r="Z403" i="41"/>
  <c r="Z412" i="41" s="1"/>
  <c r="Z32" i="65" s="1"/>
  <c r="Z110" i="65" s="1"/>
  <c r="Z405" i="41"/>
  <c r="Z414" i="41" s="1"/>
  <c r="Z34" i="65" s="1"/>
  <c r="Z112" i="65" s="1"/>
  <c r="AH174" i="105"/>
  <c r="AH65" i="82" s="1"/>
  <c r="AH172" i="105"/>
  <c r="AH64" i="82" s="1"/>
  <c r="AH146" i="105"/>
  <c r="AH63" i="82" s="1"/>
  <c r="AH140" i="105"/>
  <c r="AJ107" i="105"/>
  <c r="AJ184" i="105"/>
  <c r="V58" i="105"/>
  <c r="V98" i="105" s="1"/>
  <c r="U76" i="105"/>
  <c r="W195" i="105"/>
  <c r="W117" i="105"/>
  <c r="Z76" i="105"/>
  <c r="Q195" i="105"/>
  <c r="Q117" i="105"/>
  <c r="X76" i="105"/>
  <c r="AB195" i="105"/>
  <c r="AB117" i="105"/>
  <c r="L105" i="105"/>
  <c r="L182" i="105"/>
  <c r="L107" i="105"/>
  <c r="L184" i="105"/>
  <c r="Z58" i="105"/>
  <c r="Z98" i="105" s="1"/>
  <c r="X58" i="105"/>
  <c r="X98" i="105" s="1"/>
  <c r="O76" i="105"/>
  <c r="M424" i="41"/>
  <c r="M237" i="41"/>
  <c r="M293" i="41"/>
  <c r="M295" i="41" s="1"/>
  <c r="R140" i="105"/>
  <c r="R146" i="105"/>
  <c r="R63" i="82" s="1"/>
  <c r="R174" i="105"/>
  <c r="R65" i="82" s="1"/>
  <c r="R172" i="105"/>
  <c r="R64" i="82" s="1"/>
  <c r="AI122" i="105"/>
  <c r="AF424" i="41"/>
  <c r="AF237" i="41"/>
  <c r="AF293" i="41"/>
  <c r="AF295" i="41" s="1"/>
  <c r="Q102" i="105"/>
  <c r="T67" i="105"/>
  <c r="P67" i="105"/>
  <c r="Y274" i="41"/>
  <c r="Y251" i="41"/>
  <c r="Y273" i="41"/>
  <c r="Y268" i="41"/>
  <c r="Y250" i="41"/>
  <c r="Y272" i="41"/>
  <c r="Y269" i="41"/>
  <c r="Y249" i="41"/>
  <c r="Y267" i="41"/>
  <c r="Y404" i="41"/>
  <c r="Y413" i="41" s="1"/>
  <c r="Y33" i="65" s="1"/>
  <c r="Y111" i="65" s="1"/>
  <c r="Y403" i="41"/>
  <c r="Y412" i="41" s="1"/>
  <c r="Y32" i="65" s="1"/>
  <c r="Y110" i="65" s="1"/>
  <c r="Y405" i="41"/>
  <c r="Y414" i="41" s="1"/>
  <c r="Y34" i="65" s="1"/>
  <c r="Y112" i="65" s="1"/>
  <c r="AJ102" i="105"/>
  <c r="AH107" i="105"/>
  <c r="AH184" i="105"/>
  <c r="Q105" i="105"/>
  <c r="Q112" i="105" s="1"/>
  <c r="Q182" i="105"/>
  <c r="AL102" i="105"/>
  <c r="O424" i="41"/>
  <c r="O237" i="41"/>
  <c r="O293" i="41"/>
  <c r="O295" i="41" s="1"/>
  <c r="W115" i="105"/>
  <c r="W193" i="105"/>
  <c r="W200" i="105" s="1"/>
  <c r="S293" i="41"/>
  <c r="S295" i="41" s="1"/>
  <c r="O58" i="105"/>
  <c r="O98" i="105" s="1"/>
  <c r="R184" i="105"/>
  <c r="R107" i="105"/>
  <c r="AN102" i="105"/>
  <c r="AL117" i="105"/>
  <c r="AL195" i="105"/>
  <c r="AC58" i="105"/>
  <c r="AC98" i="105" s="1"/>
  <c r="AE76" i="105"/>
  <c r="AH115" i="105"/>
  <c r="AH193" i="105"/>
  <c r="L117" i="105"/>
  <c r="L195" i="105"/>
  <c r="AD268" i="41"/>
  <c r="AD274" i="41"/>
  <c r="AD279" i="41" s="1"/>
  <c r="AD284" i="41" s="1"/>
  <c r="AD362" i="41" s="1"/>
  <c r="AD364" i="41" s="1"/>
  <c r="AD366" i="41" s="1"/>
  <c r="AD368" i="41" s="1"/>
  <c r="AD393" i="41" s="1"/>
  <c r="AD251" i="41"/>
  <c r="AD269" i="41"/>
  <c r="AD273" i="41"/>
  <c r="AD278" i="41" s="1"/>
  <c r="AD283" i="41" s="1"/>
  <c r="AD267" i="41"/>
  <c r="AD404" i="41"/>
  <c r="AD413" i="41" s="1"/>
  <c r="AD33" i="65" s="1"/>
  <c r="AD111" i="65" s="1"/>
  <c r="AD250" i="41"/>
  <c r="AD272" i="41"/>
  <c r="AD277" i="41" s="1"/>
  <c r="AD282" i="41" s="1"/>
  <c r="AD249" i="41"/>
  <c r="AD403" i="41"/>
  <c r="AD412" i="41" s="1"/>
  <c r="AD32" i="65" s="1"/>
  <c r="AD110" i="65" s="1"/>
  <c r="AD405" i="41"/>
  <c r="AD414" i="41" s="1"/>
  <c r="AD34" i="65" s="1"/>
  <c r="AD112" i="65" s="1"/>
  <c r="R116" i="105"/>
  <c r="R194" i="105"/>
  <c r="AN115" i="105"/>
  <c r="AN193" i="105"/>
  <c r="AG107" i="105"/>
  <c r="AG184" i="105"/>
  <c r="AA76" i="105"/>
  <c r="O67" i="105"/>
  <c r="AH122" i="105" l="1"/>
  <c r="Q189" i="105"/>
  <c r="AN122" i="105"/>
  <c r="W122" i="105"/>
  <c r="AN200" i="105"/>
  <c r="AC403" i="41"/>
  <c r="AC412" i="41" s="1"/>
  <c r="AC32" i="65" s="1"/>
  <c r="AC110" i="65" s="1"/>
  <c r="AJ200" i="105"/>
  <c r="AE298" i="41"/>
  <c r="L189" i="105"/>
  <c r="AD330" i="41"/>
  <c r="AD332" i="41" s="1"/>
  <c r="AD334" i="41" s="1"/>
  <c r="AD336" i="41" s="1"/>
  <c r="AD392" i="41" s="1"/>
  <c r="L112" i="105"/>
  <c r="AB200" i="105"/>
  <c r="R189" i="105"/>
  <c r="AC330" i="41"/>
  <c r="AC332" i="41" s="1"/>
  <c r="AC334" i="41" s="1"/>
  <c r="AC336" i="41" s="1"/>
  <c r="AC392" i="41" s="1"/>
  <c r="K112" i="105"/>
  <c r="AG106" i="105"/>
  <c r="AG112" i="105" s="1"/>
  <c r="AG183" i="105"/>
  <c r="S108" i="105"/>
  <c r="S185" i="105"/>
  <c r="X249" i="41"/>
  <c r="X274" i="41"/>
  <c r="X279" i="41" s="1"/>
  <c r="X284" i="41" s="1"/>
  <c r="X362" i="41" s="1"/>
  <c r="X250" i="41"/>
  <c r="X273" i="41"/>
  <c r="X267" i="41"/>
  <c r="X403" i="41"/>
  <c r="X412" i="41" s="1"/>
  <c r="X32" i="65" s="1"/>
  <c r="X110" i="65" s="1"/>
  <c r="X269" i="41"/>
  <c r="X268" i="41"/>
  <c r="X272" i="41"/>
  <c r="S277" i="41" s="1"/>
  <c r="S282" i="41" s="1"/>
  <c r="X251" i="41"/>
  <c r="X404" i="41"/>
  <c r="X413" i="41" s="1"/>
  <c r="X33" i="65" s="1"/>
  <c r="X111" i="65" s="1"/>
  <c r="X405" i="41"/>
  <c r="X414" i="41" s="1"/>
  <c r="X34" i="65" s="1"/>
  <c r="X112" i="65" s="1"/>
  <c r="AE330" i="41"/>
  <c r="AE332" i="41" s="1"/>
  <c r="AE334" i="41" s="1"/>
  <c r="AE336" i="41" s="1"/>
  <c r="AE392" i="41" s="1"/>
  <c r="N273" i="41"/>
  <c r="N278" i="41" s="1"/>
  <c r="N283" i="41" s="1"/>
  <c r="N268" i="41"/>
  <c r="N269" i="41"/>
  <c r="N274" i="41"/>
  <c r="N279" i="41" s="1"/>
  <c r="N284" i="41" s="1"/>
  <c r="N362" i="41" s="1"/>
  <c r="N364" i="41" s="1"/>
  <c r="N366" i="41" s="1"/>
  <c r="N368" i="41" s="1"/>
  <c r="N393" i="41" s="1"/>
  <c r="N250" i="41"/>
  <c r="N267" i="41"/>
  <c r="N249" i="41"/>
  <c r="N251" i="41"/>
  <c r="N272" i="41"/>
  <c r="N277" i="41" s="1"/>
  <c r="N282" i="41" s="1"/>
  <c r="N405" i="41"/>
  <c r="N414" i="41" s="1"/>
  <c r="N34" i="65" s="1"/>
  <c r="N112" i="65" s="1"/>
  <c r="N404" i="41"/>
  <c r="N413" i="41" s="1"/>
  <c r="N33" i="65" s="1"/>
  <c r="N111" i="65" s="1"/>
  <c r="N403" i="41"/>
  <c r="N412" i="41" s="1"/>
  <c r="N32" i="65" s="1"/>
  <c r="N110" i="65" s="1"/>
  <c r="AA118" i="105"/>
  <c r="AA196" i="105"/>
  <c r="AD139" i="65"/>
  <c r="AD168" i="65" s="1"/>
  <c r="AD121" i="65"/>
  <c r="AD150" i="65" s="1"/>
  <c r="AD32" i="82"/>
  <c r="AN174" i="105"/>
  <c r="AL65" i="82" s="1"/>
  <c r="AN172" i="105"/>
  <c r="AL64" i="82" s="1"/>
  <c r="AN140" i="105"/>
  <c r="AN146" i="105"/>
  <c r="AL63" i="82" s="1"/>
  <c r="Q140" i="105"/>
  <c r="Q172" i="105"/>
  <c r="Q64" i="82" s="1"/>
  <c r="Q146" i="105"/>
  <c r="Q63" i="82" s="1"/>
  <c r="Q174" i="105"/>
  <c r="Q65" i="82" s="1"/>
  <c r="Z123" i="65"/>
  <c r="Z152" i="65" s="1"/>
  <c r="Z34" i="82"/>
  <c r="Z141" i="65"/>
  <c r="Z170" i="65" s="1"/>
  <c r="AJ122" i="105"/>
  <c r="N118" i="105"/>
  <c r="N196" i="105"/>
  <c r="AJ112" i="105"/>
  <c r="J133" i="65"/>
  <c r="J162" i="65" s="1"/>
  <c r="J35" i="82"/>
  <c r="J142" i="65"/>
  <c r="J171" i="65" s="1"/>
  <c r="J124" i="65"/>
  <c r="J153" i="65" s="1"/>
  <c r="AB122" i="105"/>
  <c r="V118" i="105"/>
  <c r="V196" i="105"/>
  <c r="S130" i="65"/>
  <c r="S159" i="65" s="1"/>
  <c r="S139" i="65"/>
  <c r="S168" i="65" s="1"/>
  <c r="S121" i="65"/>
  <c r="S150" i="65" s="1"/>
  <c r="S32" i="82"/>
  <c r="AE139" i="65"/>
  <c r="AE168" i="65" s="1"/>
  <c r="AE121" i="65"/>
  <c r="AE150" i="65" s="1"/>
  <c r="AE32" i="82"/>
  <c r="AD141" i="65"/>
  <c r="AD170" i="65" s="1"/>
  <c r="AD123" i="65"/>
  <c r="AD152" i="65" s="1"/>
  <c r="AD34" i="82"/>
  <c r="AE118" i="105"/>
  <c r="AE196" i="105"/>
  <c r="Z196" i="105"/>
  <c r="Z118" i="105"/>
  <c r="P196" i="105"/>
  <c r="P118" i="105"/>
  <c r="AH62" i="82"/>
  <c r="AJ189" i="105"/>
  <c r="S131" i="65"/>
  <c r="S160" i="65" s="1"/>
  <c r="S140" i="65"/>
  <c r="S169" i="65" s="1"/>
  <c r="S122" i="65"/>
  <c r="S151" i="65" s="1"/>
  <c r="S33" i="82"/>
  <c r="AE140" i="65"/>
  <c r="AE169" i="65" s="1"/>
  <c r="AE122" i="65"/>
  <c r="AE151" i="65" s="1"/>
  <c r="AE33" i="82"/>
  <c r="AE304" i="41"/>
  <c r="AE391" i="41" s="1"/>
  <c r="AE300" i="41"/>
  <c r="AE302" i="41" s="1"/>
  <c r="L200" i="105"/>
  <c r="AD122" i="65"/>
  <c r="AD151" i="65" s="1"/>
  <c r="AD140" i="65"/>
  <c r="AD169" i="65" s="1"/>
  <c r="AD33" i="82"/>
  <c r="Y139" i="65"/>
  <c r="Y168" i="65" s="1"/>
  <c r="Y121" i="65"/>
  <c r="Y150" i="65" s="1"/>
  <c r="Y32" i="82"/>
  <c r="Y140" i="65"/>
  <c r="Y169" i="65" s="1"/>
  <c r="Y122" i="65"/>
  <c r="Y151" i="65" s="1"/>
  <c r="Y33" i="82"/>
  <c r="T185" i="105"/>
  <c r="T108" i="105"/>
  <c r="M267" i="41"/>
  <c r="M249" i="41"/>
  <c r="M250" i="41"/>
  <c r="M274" i="41"/>
  <c r="M279" i="41" s="1"/>
  <c r="M284" i="41" s="1"/>
  <c r="M362" i="41" s="1"/>
  <c r="M364" i="41" s="1"/>
  <c r="M366" i="41" s="1"/>
  <c r="M368" i="41" s="1"/>
  <c r="M393" i="41" s="1"/>
  <c r="M269" i="41"/>
  <c r="M268" i="41"/>
  <c r="M272" i="41"/>
  <c r="M277" i="41" s="1"/>
  <c r="M282" i="41" s="1"/>
  <c r="M273" i="41"/>
  <c r="M278" i="41" s="1"/>
  <c r="M283" i="41" s="1"/>
  <c r="M251" i="41"/>
  <c r="M404" i="41"/>
  <c r="M413" i="41" s="1"/>
  <c r="M33" i="65" s="1"/>
  <c r="M111" i="65" s="1"/>
  <c r="M405" i="41"/>
  <c r="M414" i="41" s="1"/>
  <c r="M34" i="65" s="1"/>
  <c r="M112" i="65" s="1"/>
  <c r="M403" i="41"/>
  <c r="M412" i="41" s="1"/>
  <c r="M32" i="65" s="1"/>
  <c r="M110" i="65" s="1"/>
  <c r="O273" i="41"/>
  <c r="O278" i="41" s="1"/>
  <c r="O283" i="41" s="1"/>
  <c r="O403" i="41"/>
  <c r="O412" i="41" s="1"/>
  <c r="O32" i="65" s="1"/>
  <c r="O110" i="65" s="1"/>
  <c r="O267" i="41"/>
  <c r="O268" i="41"/>
  <c r="O249" i="41"/>
  <c r="O250" i="41"/>
  <c r="O272" i="41"/>
  <c r="O277" i="41" s="1"/>
  <c r="O282" i="41" s="1"/>
  <c r="O269" i="41"/>
  <c r="O274" i="41"/>
  <c r="O279" i="41" s="1"/>
  <c r="O284" i="41" s="1"/>
  <c r="O362" i="41" s="1"/>
  <c r="O364" i="41" s="1"/>
  <c r="O366" i="41" s="1"/>
  <c r="O368" i="41" s="1"/>
  <c r="O393" i="41" s="1"/>
  <c r="O251" i="41"/>
  <c r="O405" i="41"/>
  <c r="O414" i="41" s="1"/>
  <c r="O34" i="65" s="1"/>
  <c r="O112" i="65" s="1"/>
  <c r="O404" i="41"/>
  <c r="O413" i="41" s="1"/>
  <c r="O33" i="65" s="1"/>
  <c r="O111" i="65" s="1"/>
  <c r="Z139" i="65"/>
  <c r="Z168" i="65" s="1"/>
  <c r="Z32" i="82"/>
  <c r="Z121" i="65"/>
  <c r="Z150" i="65" s="1"/>
  <c r="H230" i="41"/>
  <c r="J424" i="41"/>
  <c r="H424" i="41" s="1"/>
  <c r="J237" i="41"/>
  <c r="J293" i="41"/>
  <c r="J295" i="41" s="1"/>
  <c r="T250" i="41"/>
  <c r="T249" i="41"/>
  <c r="T273" i="41"/>
  <c r="T251" i="41"/>
  <c r="T269" i="41"/>
  <c r="T268" i="41"/>
  <c r="T272" i="41"/>
  <c r="T274" i="41"/>
  <c r="T267" i="41"/>
  <c r="T403" i="41"/>
  <c r="T412" i="41" s="1"/>
  <c r="T32" i="65" s="1"/>
  <c r="T110" i="65" s="1"/>
  <c r="T405" i="41"/>
  <c r="T414" i="41" s="1"/>
  <c r="T34" i="65" s="1"/>
  <c r="T112" i="65" s="1"/>
  <c r="T404" i="41"/>
  <c r="T413" i="41" s="1"/>
  <c r="T33" i="65" s="1"/>
  <c r="T111" i="65" s="1"/>
  <c r="AD298" i="41"/>
  <c r="AJ174" i="105"/>
  <c r="AJ65" i="82" s="1"/>
  <c r="AJ172" i="105"/>
  <c r="AJ64" i="82" s="1"/>
  <c r="AJ140" i="105"/>
  <c r="AJ146" i="105"/>
  <c r="AJ63" i="82" s="1"/>
  <c r="AF269" i="41"/>
  <c r="AF403" i="41"/>
  <c r="AF412" i="41" s="1"/>
  <c r="AF32" i="65" s="1"/>
  <c r="AF110" i="65" s="1"/>
  <c r="AF251" i="41"/>
  <c r="AF267" i="41"/>
  <c r="AF273" i="41"/>
  <c r="AF278" i="41" s="1"/>
  <c r="AF283" i="41" s="1"/>
  <c r="AF274" i="41"/>
  <c r="AF279" i="41" s="1"/>
  <c r="AF284" i="41" s="1"/>
  <c r="AF362" i="41" s="1"/>
  <c r="AF364" i="41" s="1"/>
  <c r="AF366" i="41" s="1"/>
  <c r="AF368" i="41" s="1"/>
  <c r="AF393" i="41" s="1"/>
  <c r="AF272" i="41"/>
  <c r="AF277" i="41" s="1"/>
  <c r="AF282" i="41" s="1"/>
  <c r="AF250" i="41"/>
  <c r="AF268" i="41"/>
  <c r="AF249" i="41"/>
  <c r="AF404" i="41"/>
  <c r="AF413" i="41" s="1"/>
  <c r="AF33" i="65" s="1"/>
  <c r="AF111" i="65" s="1"/>
  <c r="AF405" i="41"/>
  <c r="AF414" i="41" s="1"/>
  <c r="AF34" i="65" s="1"/>
  <c r="AF112" i="65" s="1"/>
  <c r="Z140" i="65"/>
  <c r="Z169" i="65" s="1"/>
  <c r="Z122" i="65"/>
  <c r="Z151" i="65" s="1"/>
  <c r="Z33" i="82"/>
  <c r="U185" i="105"/>
  <c r="U108" i="105"/>
  <c r="AC140" i="65"/>
  <c r="AC169" i="65" s="1"/>
  <c r="AC122" i="65"/>
  <c r="AC151" i="65" s="1"/>
  <c r="AC33" i="82"/>
  <c r="Q122" i="105"/>
  <c r="K122" i="105"/>
  <c r="M108" i="105"/>
  <c r="M185" i="105"/>
  <c r="R200" i="105"/>
  <c r="R207" i="105" s="1"/>
  <c r="R74" i="82" s="1"/>
  <c r="K189" i="105"/>
  <c r="AG189" i="105"/>
  <c r="L146" i="105"/>
  <c r="L63" i="82" s="1"/>
  <c r="L172" i="105"/>
  <c r="L64" i="82" s="1"/>
  <c r="L174" i="105"/>
  <c r="L65" i="82" s="1"/>
  <c r="L140" i="105"/>
  <c r="L122" i="105"/>
  <c r="O118" i="105"/>
  <c r="O196" i="105"/>
  <c r="X196" i="105"/>
  <c r="X118" i="105"/>
  <c r="U196" i="105"/>
  <c r="U118" i="105"/>
  <c r="AD196" i="105"/>
  <c r="AD118" i="105"/>
  <c r="AC34" i="82"/>
  <c r="AC123" i="65"/>
  <c r="AC152" i="65" s="1"/>
  <c r="AC141" i="65"/>
  <c r="AC170" i="65" s="1"/>
  <c r="AC298" i="41"/>
  <c r="Q200" i="105"/>
  <c r="V108" i="105"/>
  <c r="V185" i="105"/>
  <c r="AB140" i="105"/>
  <c r="AB174" i="105"/>
  <c r="AB65" i="82" s="1"/>
  <c r="AB172" i="105"/>
  <c r="AB64" i="82" s="1"/>
  <c r="AB146" i="105"/>
  <c r="AB63" i="82" s="1"/>
  <c r="R122" i="105"/>
  <c r="X278" i="41"/>
  <c r="X283" i="41" s="1"/>
  <c r="S278" i="41"/>
  <c r="S283" i="41" s="1"/>
  <c r="AH189" i="105"/>
  <c r="AH206" i="105" s="1"/>
  <c r="AH73" i="82" s="1"/>
  <c r="Y196" i="105"/>
  <c r="Y118" i="105"/>
  <c r="N185" i="105"/>
  <c r="N108" i="105"/>
  <c r="V251" i="41"/>
  <c r="V268" i="41"/>
  <c r="V250" i="41"/>
  <c r="V405" i="41"/>
  <c r="V414" i="41" s="1"/>
  <c r="V34" i="65" s="1"/>
  <c r="V112" i="65" s="1"/>
  <c r="V269" i="41"/>
  <c r="V267" i="41"/>
  <c r="V249" i="41"/>
  <c r="V272" i="41"/>
  <c r="V273" i="41"/>
  <c r="V274" i="41"/>
  <c r="V404" i="41"/>
  <c r="V413" i="41" s="1"/>
  <c r="V33" i="65" s="1"/>
  <c r="V111" i="65" s="1"/>
  <c r="V403" i="41"/>
  <c r="V412" i="41" s="1"/>
  <c r="V32" i="65" s="1"/>
  <c r="V110" i="65" s="1"/>
  <c r="AA273" i="41"/>
  <c r="AA251" i="41"/>
  <c r="AA274" i="41"/>
  <c r="AA249" i="41"/>
  <c r="AA250" i="41"/>
  <c r="AA268" i="41"/>
  <c r="AA272" i="41"/>
  <c r="AA267" i="41"/>
  <c r="AA269" i="41"/>
  <c r="AA403" i="41"/>
  <c r="AA412" i="41" s="1"/>
  <c r="AA32" i="65" s="1"/>
  <c r="AA110" i="65" s="1"/>
  <c r="AA405" i="41"/>
  <c r="AA414" i="41" s="1"/>
  <c r="AA34" i="65" s="1"/>
  <c r="AA112" i="65" s="1"/>
  <c r="AA404" i="41"/>
  <c r="AA413" i="41" s="1"/>
  <c r="AA33" i="65" s="1"/>
  <c r="AA111" i="65" s="1"/>
  <c r="K172" i="105"/>
  <c r="K64" i="82" s="1"/>
  <c r="K146" i="105"/>
  <c r="K63" i="82" s="1"/>
  <c r="K174" i="105"/>
  <c r="K65" i="82" s="1"/>
  <c r="K140" i="105"/>
  <c r="S123" i="65"/>
  <c r="S152" i="65" s="1"/>
  <c r="S141" i="65"/>
  <c r="S170" i="65" s="1"/>
  <c r="S132" i="65"/>
  <c r="S161" i="65" s="1"/>
  <c r="S34" i="82"/>
  <c r="AL200" i="105"/>
  <c r="AG116" i="105"/>
  <c r="AG122" i="105" s="1"/>
  <c r="AG194" i="105"/>
  <c r="AG200" i="105" s="1"/>
  <c r="AH112" i="105"/>
  <c r="AC32" i="82"/>
  <c r="AC139" i="65"/>
  <c r="AC168" i="65" s="1"/>
  <c r="AC121" i="65"/>
  <c r="AC150" i="65" s="1"/>
  <c r="O108" i="105"/>
  <c r="O185" i="105"/>
  <c r="AH200" i="105"/>
  <c r="AH207" i="105" s="1"/>
  <c r="AH74" i="82" s="1"/>
  <c r="AL140" i="105"/>
  <c r="AL174" i="105"/>
  <c r="AK65" i="82" s="1"/>
  <c r="AL146" i="105"/>
  <c r="AK63" i="82" s="1"/>
  <c r="AL172" i="105"/>
  <c r="AK64" i="82" s="1"/>
  <c r="Y141" i="65"/>
  <c r="Y170" i="65" s="1"/>
  <c r="Y123" i="65"/>
  <c r="Y152" i="65" s="1"/>
  <c r="Y34" i="82"/>
  <c r="P185" i="105"/>
  <c r="P108" i="105"/>
  <c r="R62" i="82"/>
  <c r="R206" i="105"/>
  <c r="R73" i="82" s="1"/>
  <c r="R112" i="105"/>
  <c r="T118" i="105"/>
  <c r="T196" i="105"/>
  <c r="AL122" i="105"/>
  <c r="W174" i="105"/>
  <c r="W65" i="82" s="1"/>
  <c r="W172" i="105"/>
  <c r="W64" i="82" s="1"/>
  <c r="W140" i="105"/>
  <c r="W146" i="105"/>
  <c r="W63" i="82" s="1"/>
  <c r="S118" i="105"/>
  <c r="S196" i="105"/>
  <c r="AG174" i="105"/>
  <c r="AG65" i="82" s="1"/>
  <c r="AG172" i="105"/>
  <c r="AG64" i="82" s="1"/>
  <c r="AG146" i="105"/>
  <c r="AG63" i="82" s="1"/>
  <c r="AG140" i="105"/>
  <c r="M118" i="105"/>
  <c r="M196" i="105"/>
  <c r="P272" i="41"/>
  <c r="P277" i="41" s="1"/>
  <c r="P282" i="41" s="1"/>
  <c r="P250" i="41"/>
  <c r="P273" i="41"/>
  <c r="P278" i="41" s="1"/>
  <c r="P283" i="41" s="1"/>
  <c r="P268" i="41"/>
  <c r="P274" i="41"/>
  <c r="P279" i="41" s="1"/>
  <c r="P284" i="41" s="1"/>
  <c r="P362" i="41" s="1"/>
  <c r="P364" i="41" s="1"/>
  <c r="P366" i="41" s="1"/>
  <c r="P368" i="41" s="1"/>
  <c r="P393" i="41" s="1"/>
  <c r="P269" i="41"/>
  <c r="P249" i="41"/>
  <c r="P267" i="41"/>
  <c r="P251" i="41"/>
  <c r="P404" i="41"/>
  <c r="P413" i="41" s="1"/>
  <c r="P33" i="65" s="1"/>
  <c r="P111" i="65" s="1"/>
  <c r="P405" i="41"/>
  <c r="P414" i="41" s="1"/>
  <c r="P34" i="65" s="1"/>
  <c r="P112" i="65" s="1"/>
  <c r="P403" i="41"/>
  <c r="P412" i="41" s="1"/>
  <c r="P32" i="65" s="1"/>
  <c r="P110" i="65" s="1"/>
  <c r="AF196" i="105"/>
  <c r="AF118" i="105"/>
  <c r="U251" i="41"/>
  <c r="U250" i="41"/>
  <c r="U267" i="41"/>
  <c r="U249" i="41"/>
  <c r="U273" i="41"/>
  <c r="U272" i="41"/>
  <c r="U274" i="41"/>
  <c r="U269" i="41"/>
  <c r="U403" i="41"/>
  <c r="U412" i="41" s="1"/>
  <c r="U32" i="65" s="1"/>
  <c r="U110" i="65" s="1"/>
  <c r="U268" i="41"/>
  <c r="U404" i="41"/>
  <c r="U413" i="41" s="1"/>
  <c r="U33" i="65" s="1"/>
  <c r="U111" i="65" s="1"/>
  <c r="U405" i="41"/>
  <c r="U414" i="41" s="1"/>
  <c r="U34" i="65" s="1"/>
  <c r="U112" i="65" s="1"/>
  <c r="AE141" i="65"/>
  <c r="AE170" i="65" s="1"/>
  <c r="AE34" i="82"/>
  <c r="AE123" i="65"/>
  <c r="AE152" i="65" s="1"/>
  <c r="AC196" i="105"/>
  <c r="AC118" i="105"/>
  <c r="P330" i="41" l="1"/>
  <c r="P332" i="41" s="1"/>
  <c r="P334" i="41" s="1"/>
  <c r="P336" i="41" s="1"/>
  <c r="P392" i="41" s="1"/>
  <c r="X277" i="41"/>
  <c r="X282" i="41" s="1"/>
  <c r="M330" i="41"/>
  <c r="M332" i="41" s="1"/>
  <c r="M334" i="41" s="1"/>
  <c r="M336" i="41" s="1"/>
  <c r="M392" i="41" s="1"/>
  <c r="AG141" i="105"/>
  <c r="AG147" i="105"/>
  <c r="AG148" i="105"/>
  <c r="AG142" i="105"/>
  <c r="AE57" i="105"/>
  <c r="AE97" i="105" s="1"/>
  <c r="Y75" i="105"/>
  <c r="T277" i="41"/>
  <c r="T282" i="41" s="1"/>
  <c r="Y277" i="41"/>
  <c r="Y282" i="41" s="1"/>
  <c r="J250" i="41"/>
  <c r="J274" i="41"/>
  <c r="J279" i="41" s="1"/>
  <c r="J284" i="41" s="1"/>
  <c r="J362" i="41" s="1"/>
  <c r="J364" i="41" s="1"/>
  <c r="J366" i="41" s="1"/>
  <c r="J368" i="41" s="1"/>
  <c r="J393" i="41" s="1"/>
  <c r="J272" i="41"/>
  <c r="J277" i="41" s="1"/>
  <c r="J282" i="41" s="1"/>
  <c r="J404" i="41"/>
  <c r="J413" i="41" s="1"/>
  <c r="J33" i="65" s="1"/>
  <c r="J111" i="65" s="1"/>
  <c r="J269" i="41"/>
  <c r="J249" i="41"/>
  <c r="J267" i="41"/>
  <c r="J268" i="41"/>
  <c r="J251" i="41"/>
  <c r="J273" i="41"/>
  <c r="J278" i="41" s="1"/>
  <c r="J283" i="41" s="1"/>
  <c r="J330" i="41" s="1"/>
  <c r="J332" i="41" s="1"/>
  <c r="J334" i="41" s="1"/>
  <c r="J336" i="41" s="1"/>
  <c r="J392" i="41" s="1"/>
  <c r="J405" i="41"/>
  <c r="J414" i="41" s="1"/>
  <c r="J34" i="65" s="1"/>
  <c r="J112" i="65" s="1"/>
  <c r="J403" i="41"/>
  <c r="J412" i="41" s="1"/>
  <c r="J32" i="65" s="1"/>
  <c r="O140" i="65"/>
  <c r="O169" i="65" s="1"/>
  <c r="O131" i="65"/>
  <c r="O160" i="65" s="1"/>
  <c r="O122" i="65"/>
  <c r="O151" i="65" s="1"/>
  <c r="O33" i="82"/>
  <c r="U279" i="41"/>
  <c r="U284" i="41" s="1"/>
  <c r="U362" i="41" s="1"/>
  <c r="Z279" i="41"/>
  <c r="Z284" i="41" s="1"/>
  <c r="Z362" i="41" s="1"/>
  <c r="AC73" i="105"/>
  <c r="AA33" i="82"/>
  <c r="AA140" i="65"/>
  <c r="AA169" i="65" s="1"/>
  <c r="AA122" i="65"/>
  <c r="AA151" i="65" s="1"/>
  <c r="V277" i="41"/>
  <c r="V282" i="41" s="1"/>
  <c r="AA277" i="41"/>
  <c r="AA282" i="41" s="1"/>
  <c r="AC75" i="105"/>
  <c r="S279" i="41"/>
  <c r="S284" i="41" s="1"/>
  <c r="S362" i="41" s="1"/>
  <c r="Z74" i="105"/>
  <c r="AF330" i="41"/>
  <c r="AF332" i="41" s="1"/>
  <c r="AF334" i="41" s="1"/>
  <c r="AF336" i="41" s="1"/>
  <c r="AF392" i="41" s="1"/>
  <c r="O141" i="65"/>
  <c r="O170" i="65" s="1"/>
  <c r="O132" i="65"/>
  <c r="O161" i="65" s="1"/>
  <c r="O123" i="65"/>
  <c r="O152" i="65" s="1"/>
  <c r="O34" i="82"/>
  <c r="M298" i="41"/>
  <c r="AD74" i="105"/>
  <c r="AD57" i="105"/>
  <c r="AD97" i="105" s="1"/>
  <c r="S73" i="105"/>
  <c r="J67" i="105"/>
  <c r="N140" i="65"/>
  <c r="N169" i="65" s="1"/>
  <c r="N33" i="82"/>
  <c r="N131" i="65"/>
  <c r="N160" i="65" s="1"/>
  <c r="N122" i="65"/>
  <c r="N151" i="65" s="1"/>
  <c r="AC55" i="105"/>
  <c r="AC95" i="105" s="1"/>
  <c r="AA278" i="41"/>
  <c r="AA283" i="41" s="1"/>
  <c r="V278" i="41"/>
  <c r="V283" i="41" s="1"/>
  <c r="AC304" i="41"/>
  <c r="AC391" i="41" s="1"/>
  <c r="AC300" i="41"/>
  <c r="AC302" i="41" s="1"/>
  <c r="Z56" i="105"/>
  <c r="Z96" i="105" s="1"/>
  <c r="AE74" i="105"/>
  <c r="S55" i="105"/>
  <c r="S95" i="105" s="1"/>
  <c r="Z57" i="105"/>
  <c r="Z97" i="105" s="1"/>
  <c r="AL62" i="82"/>
  <c r="AN207" i="105"/>
  <c r="AL74" i="82" s="1"/>
  <c r="N121" i="65"/>
  <c r="N150" i="65" s="1"/>
  <c r="N130" i="65"/>
  <c r="N159" i="65" s="1"/>
  <c r="N139" i="65"/>
  <c r="N168" i="65" s="1"/>
  <c r="N32" i="82"/>
  <c r="AE75" i="105"/>
  <c r="U277" i="41"/>
  <c r="U282" i="41" s="1"/>
  <c r="Z277" i="41"/>
  <c r="Z282" i="41" s="1"/>
  <c r="P130" i="65"/>
  <c r="P159" i="65" s="1"/>
  <c r="P139" i="65"/>
  <c r="P168" i="65" s="1"/>
  <c r="P121" i="65"/>
  <c r="P150" i="65" s="1"/>
  <c r="P32" i="82"/>
  <c r="S66" i="105"/>
  <c r="AA141" i="65"/>
  <c r="AA170" i="65" s="1"/>
  <c r="AA123" i="65"/>
  <c r="AA152" i="65" s="1"/>
  <c r="AA34" i="82"/>
  <c r="AC57" i="105"/>
  <c r="AC97" i="105" s="1"/>
  <c r="AF141" i="65"/>
  <c r="AF170" i="65" s="1"/>
  <c r="AF123" i="65"/>
  <c r="AF152" i="65" s="1"/>
  <c r="AF34" i="82"/>
  <c r="AD304" i="41"/>
  <c r="AD391" i="41" s="1"/>
  <c r="AD300" i="41"/>
  <c r="AD302" i="41" s="1"/>
  <c r="O130" i="65"/>
  <c r="O159" i="65" s="1"/>
  <c r="O121" i="65"/>
  <c r="O150" i="65" s="1"/>
  <c r="O139" i="65"/>
  <c r="O168" i="65" s="1"/>
  <c r="O32" i="82"/>
  <c r="AD56" i="105"/>
  <c r="AD96" i="105" s="1"/>
  <c r="S56" i="105"/>
  <c r="S96" i="105" s="1"/>
  <c r="AD75" i="105"/>
  <c r="S64" i="105"/>
  <c r="N132" i="65"/>
  <c r="N161" i="65" s="1"/>
  <c r="N123" i="65"/>
  <c r="N152" i="65" s="1"/>
  <c r="N141" i="65"/>
  <c r="N170" i="65" s="1"/>
  <c r="N34" i="82"/>
  <c r="X298" i="41"/>
  <c r="X304" i="41" s="1"/>
  <c r="X391" i="41" s="1"/>
  <c r="O330" i="41"/>
  <c r="O332" i="41" s="1"/>
  <c r="O334" i="41" s="1"/>
  <c r="O336" i="41" s="1"/>
  <c r="O392" i="41" s="1"/>
  <c r="Y56" i="105"/>
  <c r="Y96" i="105" s="1"/>
  <c r="S74" i="105"/>
  <c r="N298" i="41"/>
  <c r="N330" i="41"/>
  <c r="N332" i="41" s="1"/>
  <c r="N334" i="41" s="1"/>
  <c r="N336" i="41" s="1"/>
  <c r="N392" i="41" s="1"/>
  <c r="M139" i="65"/>
  <c r="M168" i="65" s="1"/>
  <c r="M130" i="65"/>
  <c r="M159" i="65" s="1"/>
  <c r="M32" i="82"/>
  <c r="M121" i="65"/>
  <c r="M150" i="65" s="1"/>
  <c r="AD55" i="105"/>
  <c r="AD95" i="105" s="1"/>
  <c r="X139" i="65"/>
  <c r="X168" i="65" s="1"/>
  <c r="X32" i="82"/>
  <c r="X121" i="65"/>
  <c r="X150" i="65" s="1"/>
  <c r="AG62" i="82"/>
  <c r="AG206" i="105"/>
  <c r="AG73" i="82" s="1"/>
  <c r="AG207" i="105"/>
  <c r="AG74" i="82" s="1"/>
  <c r="Z278" i="41"/>
  <c r="Z283" i="41" s="1"/>
  <c r="U278" i="41"/>
  <c r="U283" i="41" s="1"/>
  <c r="S75" i="105"/>
  <c r="AF140" i="65"/>
  <c r="AF169" i="65" s="1"/>
  <c r="AF122" i="65"/>
  <c r="AF151" i="65" s="1"/>
  <c r="AF33" i="82"/>
  <c r="T122" i="65"/>
  <c r="T151" i="65" s="1"/>
  <c r="T131" i="65"/>
  <c r="T160" i="65" s="1"/>
  <c r="T140" i="65"/>
  <c r="T169" i="65" s="1"/>
  <c r="T33" i="82"/>
  <c r="U123" i="65"/>
  <c r="U152" i="65" s="1"/>
  <c r="U34" i="82"/>
  <c r="U132" i="65"/>
  <c r="U161" i="65" s="1"/>
  <c r="U141" i="65"/>
  <c r="U170" i="65" s="1"/>
  <c r="P140" i="65"/>
  <c r="P169" i="65" s="1"/>
  <c r="P33" i="82"/>
  <c r="P131" i="65"/>
  <c r="P160" i="65" s="1"/>
  <c r="P122" i="65"/>
  <c r="P151" i="65" s="1"/>
  <c r="AK62" i="82"/>
  <c r="AL207" i="105"/>
  <c r="AK74" i="82" s="1"/>
  <c r="S57" i="105"/>
  <c r="S97" i="105" s="1"/>
  <c r="AB62" i="82"/>
  <c r="AB206" i="105"/>
  <c r="AB207" i="105"/>
  <c r="AB74" i="82" s="1"/>
  <c r="AC74" i="105"/>
  <c r="AF121" i="65"/>
  <c r="AF150" i="65" s="1"/>
  <c r="AF139" i="65"/>
  <c r="AF168" i="65" s="1"/>
  <c r="AF32" i="82"/>
  <c r="T123" i="65"/>
  <c r="T152" i="65" s="1"/>
  <c r="T132" i="65"/>
  <c r="T161" i="65" s="1"/>
  <c r="T141" i="65"/>
  <c r="T170" i="65" s="1"/>
  <c r="T34" i="82"/>
  <c r="T278" i="41"/>
  <c r="T283" i="41" s="1"/>
  <c r="Y278" i="41"/>
  <c r="Y283" i="41" s="1"/>
  <c r="Y74" i="105"/>
  <c r="S65" i="105"/>
  <c r="AE55" i="105"/>
  <c r="AE95" i="105" s="1"/>
  <c r="U140" i="65"/>
  <c r="U169" i="65" s="1"/>
  <c r="U33" i="82"/>
  <c r="U131" i="65"/>
  <c r="U160" i="65" s="1"/>
  <c r="U122" i="65"/>
  <c r="U151" i="65" s="1"/>
  <c r="P298" i="41"/>
  <c r="K62" i="82"/>
  <c r="K207" i="105"/>
  <c r="K74" i="82" s="1"/>
  <c r="K206" i="105"/>
  <c r="K73" i="82" s="1"/>
  <c r="V130" i="65"/>
  <c r="V159" i="65" s="1"/>
  <c r="V121" i="65"/>
  <c r="V150" i="65" s="1"/>
  <c r="V139" i="65"/>
  <c r="V168" i="65" s="1"/>
  <c r="V32" i="82"/>
  <c r="V34" i="82"/>
  <c r="V141" i="65"/>
  <c r="V170" i="65" s="1"/>
  <c r="V132" i="65"/>
  <c r="V161" i="65" s="1"/>
  <c r="V123" i="65"/>
  <c r="V152" i="65" s="1"/>
  <c r="L207" i="105"/>
  <c r="L74" i="82" s="1"/>
  <c r="L62" i="82"/>
  <c r="L206" i="105"/>
  <c r="L73" i="82" s="1"/>
  <c r="T130" i="65"/>
  <c r="T159" i="65" s="1"/>
  <c r="T32" i="82"/>
  <c r="T139" i="65"/>
  <c r="T168" i="65" s="1"/>
  <c r="T121" i="65"/>
  <c r="T150" i="65" s="1"/>
  <c r="Z55" i="105"/>
  <c r="Z95" i="105" s="1"/>
  <c r="O298" i="41"/>
  <c r="M132" i="65"/>
  <c r="M161" i="65" s="1"/>
  <c r="M141" i="65"/>
  <c r="M170" i="65" s="1"/>
  <c r="M34" i="82"/>
  <c r="M123" i="65"/>
  <c r="M152" i="65" s="1"/>
  <c r="AE73" i="105"/>
  <c r="AD73" i="105"/>
  <c r="AA139" i="65"/>
  <c r="AA168" i="65" s="1"/>
  <c r="AA121" i="65"/>
  <c r="AA150" i="65" s="1"/>
  <c r="AA32" i="82"/>
  <c r="AC56" i="105"/>
  <c r="AC96" i="105" s="1"/>
  <c r="V131" i="65"/>
  <c r="V160" i="65" s="1"/>
  <c r="V140" i="65"/>
  <c r="V169" i="65" s="1"/>
  <c r="V122" i="65"/>
  <c r="V151" i="65" s="1"/>
  <c r="V33" i="82"/>
  <c r="M140" i="65"/>
  <c r="M169" i="65" s="1"/>
  <c r="M33" i="82"/>
  <c r="M122" i="65"/>
  <c r="M151" i="65" s="1"/>
  <c r="M131" i="65"/>
  <c r="M160" i="65" s="1"/>
  <c r="Y55" i="105"/>
  <c r="Y95" i="105" s="1"/>
  <c r="J58" i="105"/>
  <c r="J98" i="105" s="1"/>
  <c r="H98" i="105" s="1"/>
  <c r="Z75" i="105"/>
  <c r="Q62" i="82"/>
  <c r="Q206" i="105"/>
  <c r="Q73" i="82" s="1"/>
  <c r="Q207" i="105"/>
  <c r="Q74" i="82" s="1"/>
  <c r="X34" i="82"/>
  <c r="X141" i="65"/>
  <c r="X170" i="65" s="1"/>
  <c r="X123" i="65"/>
  <c r="X152" i="65" s="1"/>
  <c r="P123" i="65"/>
  <c r="P152" i="65" s="1"/>
  <c r="P141" i="65"/>
  <c r="P170" i="65" s="1"/>
  <c r="P132" i="65"/>
  <c r="P161" i="65" s="1"/>
  <c r="P34" i="82"/>
  <c r="U130" i="65"/>
  <c r="U159" i="65" s="1"/>
  <c r="U139" i="65"/>
  <c r="U168" i="65" s="1"/>
  <c r="U32" i="82"/>
  <c r="U121" i="65"/>
  <c r="U150" i="65" s="1"/>
  <c r="W206" i="105"/>
  <c r="W62" i="82"/>
  <c r="W207" i="105"/>
  <c r="W74" i="82" s="1"/>
  <c r="Y57" i="105"/>
  <c r="Y97" i="105" s="1"/>
  <c r="AA279" i="41"/>
  <c r="AA284" i="41" s="1"/>
  <c r="AA362" i="41" s="1"/>
  <c r="V279" i="41"/>
  <c r="V284" i="41" s="1"/>
  <c r="V362" i="41" s="1"/>
  <c r="X330" i="41"/>
  <c r="AF298" i="41"/>
  <c r="AJ207" i="105"/>
  <c r="AJ74" i="82" s="1"/>
  <c r="AJ62" i="82"/>
  <c r="AJ206" i="105"/>
  <c r="AJ73" i="82" s="1"/>
  <c r="Y279" i="41"/>
  <c r="Y284" i="41" s="1"/>
  <c r="Y362" i="41" s="1"/>
  <c r="T279" i="41"/>
  <c r="T284" i="41" s="1"/>
  <c r="T362" i="41" s="1"/>
  <c r="Z73" i="105"/>
  <c r="Y73" i="105"/>
  <c r="AE56" i="105"/>
  <c r="AE96" i="105" s="1"/>
  <c r="J76" i="105"/>
  <c r="X140" i="65"/>
  <c r="X169" i="65" s="1"/>
  <c r="X122" i="65"/>
  <c r="X151" i="65" s="1"/>
  <c r="X33" i="82"/>
  <c r="S330" i="41" l="1"/>
  <c r="S298" i="41"/>
  <c r="S304" i="41" s="1"/>
  <c r="S391" i="41" s="1"/>
  <c r="Z330" i="41"/>
  <c r="Y102" i="105"/>
  <c r="Y172" i="105" s="1"/>
  <c r="Y64" i="82" s="1"/>
  <c r="Y330" i="41"/>
  <c r="U298" i="41"/>
  <c r="O73" i="105"/>
  <c r="P55" i="105"/>
  <c r="P95" i="105" s="1"/>
  <c r="N73" i="105"/>
  <c r="AA330" i="41"/>
  <c r="O74" i="105"/>
  <c r="Y117" i="105"/>
  <c r="Y195" i="105"/>
  <c r="U73" i="105"/>
  <c r="V56" i="105"/>
  <c r="V96" i="105" s="1"/>
  <c r="O304" i="41"/>
  <c r="O391" i="41" s="1"/>
  <c r="O300" i="41"/>
  <c r="O302" i="41" s="1"/>
  <c r="V55" i="105"/>
  <c r="V95" i="105" s="1"/>
  <c r="V330" i="41"/>
  <c r="AA74" i="105"/>
  <c r="U64" i="105"/>
  <c r="V74" i="105"/>
  <c r="Z102" i="105"/>
  <c r="V64" i="105"/>
  <c r="U74" i="105"/>
  <c r="M65" i="105"/>
  <c r="V65" i="105"/>
  <c r="AE115" i="105"/>
  <c r="AE193" i="105"/>
  <c r="V57" i="105"/>
  <c r="V97" i="105" s="1"/>
  <c r="AE102" i="105"/>
  <c r="P56" i="105"/>
  <c r="P96" i="105" s="1"/>
  <c r="S195" i="105"/>
  <c r="S117" i="105"/>
  <c r="X73" i="105"/>
  <c r="AD195" i="105"/>
  <c r="AD117" i="105"/>
  <c r="O55" i="105"/>
  <c r="O95" i="105" s="1"/>
  <c r="P73" i="105"/>
  <c r="N64" i="105"/>
  <c r="AE194" i="105"/>
  <c r="AE116" i="105"/>
  <c r="AC102" i="105"/>
  <c r="J108" i="105"/>
  <c r="H108" i="105" s="1"/>
  <c r="J185" i="105"/>
  <c r="M304" i="41"/>
  <c r="M391" i="41" s="1"/>
  <c r="M300" i="41"/>
  <c r="M302" i="41" s="1"/>
  <c r="X364" i="41"/>
  <c r="X366" i="41" s="1"/>
  <c r="X368" i="41" s="1"/>
  <c r="X393" i="41" s="1"/>
  <c r="S364" i="41"/>
  <c r="S366" i="41" s="1"/>
  <c r="S368" i="41" s="1"/>
  <c r="S393" i="41" s="1"/>
  <c r="J110" i="65"/>
  <c r="J131" i="65"/>
  <c r="J160" i="65" s="1"/>
  <c r="J140" i="65"/>
  <c r="J169" i="65" s="1"/>
  <c r="J122" i="65"/>
  <c r="J151" i="65" s="1"/>
  <c r="J33" i="82"/>
  <c r="Y146" i="105"/>
  <c r="Y63" i="82" s="1"/>
  <c r="AD193" i="105"/>
  <c r="AD115" i="105"/>
  <c r="AF55" i="105"/>
  <c r="AF95" i="105" s="1"/>
  <c r="AF74" i="105"/>
  <c r="X55" i="105"/>
  <c r="X95" i="105" s="1"/>
  <c r="M73" i="105"/>
  <c r="S105" i="105"/>
  <c r="S182" i="105"/>
  <c r="AF75" i="105"/>
  <c r="S102" i="105"/>
  <c r="AD194" i="105"/>
  <c r="AD116" i="105"/>
  <c r="Z194" i="105"/>
  <c r="Z116" i="105"/>
  <c r="O65" i="105"/>
  <c r="AB257" i="41" a="1"/>
  <c r="AB257" i="41" s="1"/>
  <c r="AB262" i="41" s="1"/>
  <c r="AL257" i="41" a="1"/>
  <c r="AL257" i="41" s="1"/>
  <c r="AL262" i="41" s="1"/>
  <c r="Q257" i="41" a="1"/>
  <c r="Q257" i="41" s="1"/>
  <c r="Q262" i="41" s="1"/>
  <c r="AK257" i="41" a="1"/>
  <c r="AK257" i="41" s="1"/>
  <c r="AK262" i="41" s="1"/>
  <c r="AN257" i="41" a="1"/>
  <c r="AN257" i="41" s="1"/>
  <c r="AN262" i="41" s="1"/>
  <c r="L257" i="41" a="1"/>
  <c r="L257" i="41" s="1"/>
  <c r="L262" i="41" s="1"/>
  <c r="AM257" i="41" a="1"/>
  <c r="AM257" i="41" s="1"/>
  <c r="AM262" i="41" s="1"/>
  <c r="W257" i="41" a="1"/>
  <c r="W257" i="41" s="1"/>
  <c r="W262" i="41" s="1"/>
  <c r="AJ257" i="41" a="1"/>
  <c r="AJ257" i="41" s="1"/>
  <c r="AJ262" i="41" s="1"/>
  <c r="AI257" i="41" a="1"/>
  <c r="AI257" i="41" s="1"/>
  <c r="AI262" i="41" s="1"/>
  <c r="K257" i="41" a="1"/>
  <c r="K257" i="41" s="1"/>
  <c r="K262" i="41" s="1"/>
  <c r="AH257" i="41" a="1"/>
  <c r="AH257" i="41" s="1"/>
  <c r="AH262" i="41" s="1"/>
  <c r="AO257" i="41" a="1"/>
  <c r="AO257" i="41" s="1"/>
  <c r="AO262" i="41" s="1"/>
  <c r="R257" i="41" a="1"/>
  <c r="R257" i="41" s="1"/>
  <c r="R262" i="41" s="1"/>
  <c r="Z257" i="41" a="1"/>
  <c r="Z257" i="41" s="1"/>
  <c r="Z262" i="41" s="1"/>
  <c r="V257" i="41" a="1"/>
  <c r="V257" i="41" s="1"/>
  <c r="V262" i="41" s="1"/>
  <c r="J257" i="41" a="1"/>
  <c r="J257" i="41" s="1"/>
  <c r="AF257" i="41" a="1"/>
  <c r="AF257" i="41" s="1"/>
  <c r="AF262" i="41" s="1"/>
  <c r="AG257" i="41" a="1"/>
  <c r="AG257" i="41" s="1"/>
  <c r="AG262" i="41" s="1"/>
  <c r="N257" i="41" a="1"/>
  <c r="N257" i="41" s="1"/>
  <c r="N262" i="41" s="1"/>
  <c r="T257" i="41" a="1"/>
  <c r="T257" i="41" s="1"/>
  <c r="T262" i="41" s="1"/>
  <c r="AC257" i="41" a="1"/>
  <c r="AC257" i="41" s="1"/>
  <c r="AC262" i="41" s="1"/>
  <c r="U257" i="41" a="1"/>
  <c r="U257" i="41" s="1"/>
  <c r="U262" i="41" s="1"/>
  <c r="AA257" i="41" a="1"/>
  <c r="AA257" i="41" s="1"/>
  <c r="AA262" i="41" s="1"/>
  <c r="Y257" i="41" a="1"/>
  <c r="Y257" i="41" s="1"/>
  <c r="Y262" i="41" s="1"/>
  <c r="P257" i="41" a="1"/>
  <c r="P257" i="41" s="1"/>
  <c r="P262" i="41" s="1"/>
  <c r="X257" i="41" a="1"/>
  <c r="X257" i="41" s="1"/>
  <c r="X262" i="41" s="1"/>
  <c r="AD257" i="41" a="1"/>
  <c r="AD257" i="41" s="1"/>
  <c r="AD262" i="41" s="1"/>
  <c r="S257" i="41" a="1"/>
  <c r="S257" i="41" s="1"/>
  <c r="S262" i="41" s="1"/>
  <c r="M257" i="41" a="1"/>
  <c r="M257" i="41" s="1"/>
  <c r="M262" i="41" s="1"/>
  <c r="AE257" i="41" a="1"/>
  <c r="AE257" i="41" s="1"/>
  <c r="AE262" i="41" s="1"/>
  <c r="O257" i="41" a="1"/>
  <c r="O257" i="41" s="1"/>
  <c r="O262" i="41" s="1"/>
  <c r="T330" i="41"/>
  <c r="AC116" i="105"/>
  <c r="AC194" i="105"/>
  <c r="U57" i="105"/>
  <c r="U97" i="105" s="1"/>
  <c r="P66" i="105"/>
  <c r="M56" i="105"/>
  <c r="M96" i="105" s="1"/>
  <c r="T55" i="105"/>
  <c r="T95" i="105" s="1"/>
  <c r="V66" i="105"/>
  <c r="T75" i="105"/>
  <c r="P65" i="105"/>
  <c r="T74" i="105"/>
  <c r="U330" i="41"/>
  <c r="AD102" i="105"/>
  <c r="N304" i="41"/>
  <c r="N391" i="41" s="1"/>
  <c r="N300" i="41"/>
  <c r="N302" i="41" s="1"/>
  <c r="O64" i="105"/>
  <c r="P64" i="105"/>
  <c r="N55" i="105"/>
  <c r="N95" i="105" s="1"/>
  <c r="AC117" i="105"/>
  <c r="AC195" i="105"/>
  <c r="AC115" i="105"/>
  <c r="AC193" i="105"/>
  <c r="J132" i="65"/>
  <c r="J161" i="65" s="1"/>
  <c r="J141" i="65"/>
  <c r="J170" i="65" s="1"/>
  <c r="J123" i="65"/>
  <c r="J152" i="65" s="1"/>
  <c r="J34" i="82"/>
  <c r="J298" i="41"/>
  <c r="T73" i="105"/>
  <c r="T66" i="105"/>
  <c r="N75" i="105"/>
  <c r="AA57" i="105"/>
  <c r="AA97" i="105" s="1"/>
  <c r="Z298" i="41"/>
  <c r="Z304" i="41" s="1"/>
  <c r="Z391" i="41" s="1"/>
  <c r="N56" i="105"/>
  <c r="N96" i="105" s="1"/>
  <c r="O57" i="105"/>
  <c r="O97" i="105" s="1"/>
  <c r="J118" i="105"/>
  <c r="H118" i="105" s="1"/>
  <c r="J196" i="105"/>
  <c r="Y193" i="105"/>
  <c r="Y115" i="105"/>
  <c r="P75" i="105"/>
  <c r="Z117" i="105"/>
  <c r="Z195" i="105"/>
  <c r="M57" i="105"/>
  <c r="M97" i="105" s="1"/>
  <c r="V75" i="105"/>
  <c r="S106" i="105"/>
  <c r="S183" i="105"/>
  <c r="T65" i="105"/>
  <c r="AF304" i="41"/>
  <c r="AF391" i="41" s="1"/>
  <c r="AF300" i="41"/>
  <c r="AF302" i="41" s="1"/>
  <c r="P57" i="105"/>
  <c r="P97" i="105" s="1"/>
  <c r="M74" i="105"/>
  <c r="P304" i="41"/>
  <c r="P391" i="41" s="1"/>
  <c r="P300" i="41"/>
  <c r="P302" i="41" s="1"/>
  <c r="T57" i="105"/>
  <c r="T97" i="105" s="1"/>
  <c r="P74" i="105"/>
  <c r="T56" i="105"/>
  <c r="T96" i="105" s="1"/>
  <c r="M55" i="105"/>
  <c r="M95" i="105" s="1"/>
  <c r="S116" i="105"/>
  <c r="S194" i="105"/>
  <c r="N57" i="105"/>
  <c r="N97" i="105" s="1"/>
  <c r="AA75" i="105"/>
  <c r="U304" i="41"/>
  <c r="U391" i="41" s="1"/>
  <c r="N65" i="105"/>
  <c r="S115" i="105"/>
  <c r="S193" i="105"/>
  <c r="O66" i="105"/>
  <c r="AA298" i="41"/>
  <c r="AA304" i="41" s="1"/>
  <c r="AA391" i="41" s="1"/>
  <c r="U364" i="41"/>
  <c r="U366" i="41" s="1"/>
  <c r="U368" i="41" s="1"/>
  <c r="U393" i="41" s="1"/>
  <c r="Z364" i="41"/>
  <c r="Z366" i="41" s="1"/>
  <c r="Z368" i="41" s="1"/>
  <c r="Z393" i="41" s="1"/>
  <c r="AL259" i="41" a="1"/>
  <c r="AL259" i="41" s="1"/>
  <c r="AL264" i="41" s="1"/>
  <c r="AL400" i="41" s="1"/>
  <c r="AK259" i="41" a="1"/>
  <c r="AK259" i="41" s="1"/>
  <c r="AK264" i="41" s="1"/>
  <c r="AK400" i="41" s="1"/>
  <c r="AN259" i="41" a="1"/>
  <c r="AN259" i="41" s="1"/>
  <c r="AN264" i="41" s="1"/>
  <c r="AN400" i="41" s="1"/>
  <c r="K259" i="41" a="1"/>
  <c r="K259" i="41" s="1"/>
  <c r="K264" i="41" s="1"/>
  <c r="K400" i="41" s="1"/>
  <c r="Q259" i="41" a="1"/>
  <c r="Q259" i="41" s="1"/>
  <c r="Q264" i="41" s="1"/>
  <c r="Q400" i="41" s="1"/>
  <c r="AO259" i="41" a="1"/>
  <c r="AO259" i="41" s="1"/>
  <c r="AO264" i="41" s="1"/>
  <c r="AO400" i="41" s="1"/>
  <c r="AM259" i="41" a="1"/>
  <c r="AM259" i="41" s="1"/>
  <c r="AM264" i="41" s="1"/>
  <c r="AM400" i="41" s="1"/>
  <c r="AJ259" i="41" a="1"/>
  <c r="AJ259" i="41" s="1"/>
  <c r="AJ264" i="41" s="1"/>
  <c r="AJ400" i="41" s="1"/>
  <c r="L259" i="41" a="1"/>
  <c r="L259" i="41" s="1"/>
  <c r="L264" i="41" s="1"/>
  <c r="L400" i="41" s="1"/>
  <c r="R259" i="41" a="1"/>
  <c r="R259" i="41" s="1"/>
  <c r="R264" i="41" s="1"/>
  <c r="R400" i="41" s="1"/>
  <c r="AI259" i="41" a="1"/>
  <c r="AI259" i="41" s="1"/>
  <c r="AI264" i="41" s="1"/>
  <c r="AI400" i="41" s="1"/>
  <c r="W259" i="41" a="1"/>
  <c r="W259" i="41" s="1"/>
  <c r="W264" i="41" s="1"/>
  <c r="W400" i="41" s="1"/>
  <c r="AH259" i="41" a="1"/>
  <c r="AH259" i="41" s="1"/>
  <c r="AH264" i="41" s="1"/>
  <c r="AH400" i="41" s="1"/>
  <c r="AB259" i="41" a="1"/>
  <c r="AB259" i="41" s="1"/>
  <c r="AB264" i="41" s="1"/>
  <c r="AB400" i="41" s="1"/>
  <c r="V259" i="41" a="1"/>
  <c r="V259" i="41" s="1"/>
  <c r="V264" i="41" s="1"/>
  <c r="Z259" i="41" a="1"/>
  <c r="Z259" i="41" s="1"/>
  <c r="Z264" i="41" s="1"/>
  <c r="J259" i="41" a="1"/>
  <c r="J259" i="41" s="1"/>
  <c r="J264" i="41" s="1"/>
  <c r="P259" i="41" a="1"/>
  <c r="P259" i="41" s="1"/>
  <c r="P264" i="41" s="1"/>
  <c r="S259" i="41" a="1"/>
  <c r="S259" i="41" s="1"/>
  <c r="S264" i="41" s="1"/>
  <c r="N259" i="41" a="1"/>
  <c r="N259" i="41" s="1"/>
  <c r="N264" i="41" s="1"/>
  <c r="AC259" i="41" a="1"/>
  <c r="AC259" i="41" s="1"/>
  <c r="AC264" i="41" s="1"/>
  <c r="U259" i="41" a="1"/>
  <c r="U259" i="41" s="1"/>
  <c r="U264" i="41" s="1"/>
  <c r="O259" i="41" a="1"/>
  <c r="O259" i="41" s="1"/>
  <c r="O264" i="41" s="1"/>
  <c r="Y259" i="41" a="1"/>
  <c r="Y259" i="41" s="1"/>
  <c r="Y264" i="41" s="1"/>
  <c r="AE259" i="41" a="1"/>
  <c r="AE259" i="41" s="1"/>
  <c r="AE264" i="41" s="1"/>
  <c r="M259" i="41" a="1"/>
  <c r="M259" i="41" s="1"/>
  <c r="M264" i="41" s="1"/>
  <c r="AA259" i="41" a="1"/>
  <c r="AA259" i="41" s="1"/>
  <c r="AA264" i="41" s="1"/>
  <c r="X259" i="41" a="1"/>
  <c r="X259" i="41" s="1"/>
  <c r="X264" i="41" s="1"/>
  <c r="T259" i="41" a="1"/>
  <c r="T259" i="41" s="1"/>
  <c r="T264" i="41" s="1"/>
  <c r="AF259" i="41" a="1"/>
  <c r="AF259" i="41" s="1"/>
  <c r="AF264" i="41" s="1"/>
  <c r="AG259" i="41" a="1"/>
  <c r="AG259" i="41" s="1"/>
  <c r="AG264" i="41" s="1"/>
  <c r="AD259" i="41" a="1"/>
  <c r="AD259" i="41" s="1"/>
  <c r="AD264" i="41" s="1"/>
  <c r="AK258" i="41" a="1"/>
  <c r="AK258" i="41" s="1"/>
  <c r="AK263" i="41" s="1"/>
  <c r="AK399" i="41" s="1"/>
  <c r="W258" i="41" a="1"/>
  <c r="W258" i="41" s="1"/>
  <c r="W263" i="41" s="1"/>
  <c r="W399" i="41" s="1"/>
  <c r="AI258" i="41" a="1"/>
  <c r="AI258" i="41" s="1"/>
  <c r="AI263" i="41" s="1"/>
  <c r="AI399" i="41" s="1"/>
  <c r="AH258" i="41" a="1"/>
  <c r="AH258" i="41" s="1"/>
  <c r="AH263" i="41" s="1"/>
  <c r="AH399" i="41" s="1"/>
  <c r="L258" i="41" a="1"/>
  <c r="L258" i="41" s="1"/>
  <c r="L263" i="41" s="1"/>
  <c r="L399" i="41" s="1"/>
  <c r="AO258" i="41" a="1"/>
  <c r="AO258" i="41" s="1"/>
  <c r="AO263" i="41" s="1"/>
  <c r="AO399" i="41" s="1"/>
  <c r="Q258" i="41" a="1"/>
  <c r="Q258" i="41" s="1"/>
  <c r="Q263" i="41" s="1"/>
  <c r="Q399" i="41" s="1"/>
  <c r="R258" i="41" a="1"/>
  <c r="R258" i="41" s="1"/>
  <c r="R263" i="41" s="1"/>
  <c r="R399" i="41" s="1"/>
  <c r="K258" i="41" a="1"/>
  <c r="K258" i="41" s="1"/>
  <c r="K263" i="41" s="1"/>
  <c r="K399" i="41" s="1"/>
  <c r="AL258" i="41" a="1"/>
  <c r="AL258" i="41" s="1"/>
  <c r="AL263" i="41" s="1"/>
  <c r="AL399" i="41" s="1"/>
  <c r="AJ258" i="41" a="1"/>
  <c r="AJ258" i="41" s="1"/>
  <c r="AJ263" i="41" s="1"/>
  <c r="AJ399" i="41" s="1"/>
  <c r="AB258" i="41" a="1"/>
  <c r="AB258" i="41" s="1"/>
  <c r="AB263" i="41" s="1"/>
  <c r="AB399" i="41" s="1"/>
  <c r="AM258" i="41" a="1"/>
  <c r="AM258" i="41" s="1"/>
  <c r="AM263" i="41" s="1"/>
  <c r="AM399" i="41" s="1"/>
  <c r="AN258" i="41" a="1"/>
  <c r="AN258" i="41" s="1"/>
  <c r="AN263" i="41" s="1"/>
  <c r="AN399" i="41" s="1"/>
  <c r="Z258" i="41" a="1"/>
  <c r="Z258" i="41" s="1"/>
  <c r="Z263" i="41" s="1"/>
  <c r="V258" i="41" a="1"/>
  <c r="V258" i="41" s="1"/>
  <c r="V263" i="41" s="1"/>
  <c r="M258" i="41" a="1"/>
  <c r="M258" i="41" s="1"/>
  <c r="M263" i="41" s="1"/>
  <c r="Y258" i="41" a="1"/>
  <c r="Y258" i="41" s="1"/>
  <c r="Y263" i="41" s="1"/>
  <c r="U258" i="41" a="1"/>
  <c r="U258" i="41" s="1"/>
  <c r="U263" i="41" s="1"/>
  <c r="O258" i="41" a="1"/>
  <c r="O258" i="41" s="1"/>
  <c r="O263" i="41" s="1"/>
  <c r="X258" i="41" a="1"/>
  <c r="X258" i="41" s="1"/>
  <c r="X263" i="41" s="1"/>
  <c r="P258" i="41" a="1"/>
  <c r="P258" i="41" s="1"/>
  <c r="P263" i="41" s="1"/>
  <c r="AC258" i="41" a="1"/>
  <c r="AC258" i="41" s="1"/>
  <c r="AC263" i="41" s="1"/>
  <c r="AA258" i="41" a="1"/>
  <c r="AA258" i="41" s="1"/>
  <c r="AA263" i="41" s="1"/>
  <c r="T258" i="41" a="1"/>
  <c r="T258" i="41" s="1"/>
  <c r="T263" i="41" s="1"/>
  <c r="AF258" i="41" a="1"/>
  <c r="AF258" i="41" s="1"/>
  <c r="AF263" i="41" s="1"/>
  <c r="J258" i="41" a="1"/>
  <c r="J258" i="41" s="1"/>
  <c r="J263" i="41" s="1"/>
  <c r="S258" i="41" a="1"/>
  <c r="S258" i="41" s="1"/>
  <c r="S263" i="41" s="1"/>
  <c r="AE258" i="41" a="1"/>
  <c r="AE258" i="41" s="1"/>
  <c r="AE263" i="41" s="1"/>
  <c r="N258" i="41" a="1"/>
  <c r="N258" i="41" s="1"/>
  <c r="N263" i="41" s="1"/>
  <c r="AG258" i="41" a="1"/>
  <c r="AG258" i="41" s="1"/>
  <c r="AG263" i="41" s="1"/>
  <c r="AD258" i="41" a="1"/>
  <c r="AD258" i="41" s="1"/>
  <c r="AD263" i="41" s="1"/>
  <c r="Y364" i="41"/>
  <c r="Y366" i="41" s="1"/>
  <c r="Y368" i="41" s="1"/>
  <c r="Y393" i="41" s="1"/>
  <c r="T364" i="41"/>
  <c r="T366" i="41" s="1"/>
  <c r="T368" i="41" s="1"/>
  <c r="T393" i="41" s="1"/>
  <c r="Z193" i="105"/>
  <c r="Z200" i="105" s="1"/>
  <c r="Z115" i="105"/>
  <c r="X332" i="41"/>
  <c r="X334" i="41" s="1"/>
  <c r="X336" i="41" s="1"/>
  <c r="X392" i="41" s="1"/>
  <c r="S332" i="41"/>
  <c r="S334" i="41" s="1"/>
  <c r="S336" i="41" s="1"/>
  <c r="S392" i="41" s="1"/>
  <c r="M75" i="105"/>
  <c r="T64" i="105"/>
  <c r="U56" i="105"/>
  <c r="U96" i="105" s="1"/>
  <c r="Y116" i="105"/>
  <c r="Y194" i="105"/>
  <c r="U75" i="105"/>
  <c r="N66" i="105"/>
  <c r="O75" i="105"/>
  <c r="V298" i="41"/>
  <c r="Y298" i="41"/>
  <c r="Y304" i="41" s="1"/>
  <c r="Y391" i="41" s="1"/>
  <c r="X56" i="105"/>
  <c r="X96" i="105" s="1"/>
  <c r="U55" i="105"/>
  <c r="U95" i="105" s="1"/>
  <c r="X57" i="105"/>
  <c r="X97" i="105" s="1"/>
  <c r="AA55" i="105"/>
  <c r="AA95" i="105" s="1"/>
  <c r="X74" i="105"/>
  <c r="V364" i="41"/>
  <c r="V366" i="41" s="1"/>
  <c r="V368" i="41" s="1"/>
  <c r="V393" i="41" s="1"/>
  <c r="AA364" i="41"/>
  <c r="AA366" i="41" s="1"/>
  <c r="AA368" i="41" s="1"/>
  <c r="AA393" i="41" s="1"/>
  <c r="X75" i="105"/>
  <c r="AA73" i="105"/>
  <c r="M66" i="105"/>
  <c r="V73" i="105"/>
  <c r="U65" i="105"/>
  <c r="AF73" i="105"/>
  <c r="U66" i="105"/>
  <c r="AF56" i="105"/>
  <c r="AF96" i="105" s="1"/>
  <c r="M64" i="105"/>
  <c r="AF57" i="105"/>
  <c r="AF97" i="105" s="1"/>
  <c r="S184" i="105"/>
  <c r="S107" i="105"/>
  <c r="AE195" i="105"/>
  <c r="AE117" i="105"/>
  <c r="N74" i="105"/>
  <c r="AA56" i="105"/>
  <c r="AA96" i="105" s="1"/>
  <c r="O56" i="105"/>
  <c r="O96" i="105" s="1"/>
  <c r="T298" i="41"/>
  <c r="U300" i="41" l="1"/>
  <c r="U302" i="41" s="1"/>
  <c r="X300" i="41"/>
  <c r="X302" i="41" s="1"/>
  <c r="S300" i="41"/>
  <c r="S302" i="41" s="1"/>
  <c r="Z300" i="41"/>
  <c r="Z302" i="41" s="1"/>
  <c r="Y140" i="105"/>
  <c r="Y62" i="82" s="1"/>
  <c r="Y174" i="105"/>
  <c r="Y65" i="82" s="1"/>
  <c r="N102" i="105"/>
  <c r="N172" i="105" s="1"/>
  <c r="N64" i="82" s="1"/>
  <c r="Z122" i="105"/>
  <c r="S200" i="105"/>
  <c r="AC122" i="105"/>
  <c r="AC142" i="105" s="1"/>
  <c r="U106" i="105"/>
  <c r="U183" i="105"/>
  <c r="O307" i="41"/>
  <c r="O321" i="41"/>
  <c r="O323" i="41" s="1"/>
  <c r="O325" i="41" s="1"/>
  <c r="O327" i="41" s="1"/>
  <c r="O353" i="41"/>
  <c r="O355" i="41" s="1"/>
  <c r="O357" i="41" s="1"/>
  <c r="O359" i="41" s="1"/>
  <c r="AA353" i="41"/>
  <c r="AA355" i="41" s="1"/>
  <c r="AA307" i="41"/>
  <c r="AA321" i="41"/>
  <c r="AA323" i="41" s="1"/>
  <c r="V321" i="41"/>
  <c r="V323" i="41" s="1"/>
  <c r="V353" i="41"/>
  <c r="V355" i="41" s="1"/>
  <c r="W353" i="41"/>
  <c r="W355" i="41" s="1"/>
  <c r="W321" i="41"/>
  <c r="W323" i="41" s="1"/>
  <c r="W398" i="41"/>
  <c r="W422" i="41" s="1"/>
  <c r="W426" i="41" s="1"/>
  <c r="O183" i="105"/>
  <c r="O106" i="105"/>
  <c r="X102" i="105"/>
  <c r="V193" i="105"/>
  <c r="V115" i="105"/>
  <c r="U102" i="105"/>
  <c r="N184" i="105"/>
  <c r="N107" i="105"/>
  <c r="T105" i="105"/>
  <c r="T182" i="105"/>
  <c r="AF308" i="41"/>
  <c r="AF340" i="41"/>
  <c r="Y308" i="41"/>
  <c r="M341" i="41"/>
  <c r="M309" i="41"/>
  <c r="M373" i="41"/>
  <c r="M375" i="41" s="1"/>
  <c r="M386" i="41" s="1"/>
  <c r="P341" i="41"/>
  <c r="P309" i="41"/>
  <c r="P373" i="41"/>
  <c r="P375" i="41" s="1"/>
  <c r="P386" i="41" s="1"/>
  <c r="S122" i="105"/>
  <c r="P116" i="105"/>
  <c r="P194" i="105"/>
  <c r="V195" i="105"/>
  <c r="V117" i="105"/>
  <c r="Y122" i="105"/>
  <c r="T117" i="105"/>
  <c r="T195" i="105"/>
  <c r="P107" i="105"/>
  <c r="P184" i="105"/>
  <c r="AE321" i="41"/>
  <c r="AE323" i="41" s="1"/>
  <c r="AE325" i="41" s="1"/>
  <c r="AE327" i="41" s="1"/>
  <c r="AE353" i="41"/>
  <c r="AE355" i="41" s="1"/>
  <c r="AE357" i="41" s="1"/>
  <c r="AE359" i="41" s="1"/>
  <c r="AE307" i="41"/>
  <c r="U353" i="41"/>
  <c r="U355" i="41" s="1"/>
  <c r="U321" i="41"/>
  <c r="U323" i="41" s="1"/>
  <c r="U307" i="41"/>
  <c r="Z321" i="41"/>
  <c r="Z323" i="41" s="1"/>
  <c r="Z353" i="41"/>
  <c r="Z355" i="41" s="1"/>
  <c r="Z307" i="41"/>
  <c r="AM321" i="41"/>
  <c r="AM323" i="41" s="1"/>
  <c r="AM353" i="41"/>
  <c r="AM355" i="41" s="1"/>
  <c r="AM398" i="41"/>
  <c r="AM422" i="41" s="1"/>
  <c r="AM426" i="41" s="1"/>
  <c r="S146" i="105"/>
  <c r="S63" i="82" s="1"/>
  <c r="S140" i="105"/>
  <c r="S174" i="105"/>
  <c r="S65" i="82" s="1"/>
  <c r="S172" i="105"/>
  <c r="S64" i="82" s="1"/>
  <c r="J139" i="65"/>
  <c r="J168" i="65" s="1"/>
  <c r="J84" i="106" s="1" a="1"/>
  <c r="L84" i="106" s="1"/>
  <c r="J130" i="65"/>
  <c r="J159" i="65" s="1"/>
  <c r="J50" i="106" s="1" a="1"/>
  <c r="L50" i="106" s="1"/>
  <c r="J121" i="65"/>
  <c r="J32" i="82"/>
  <c r="AE140" i="105"/>
  <c r="AE146" i="105"/>
  <c r="AE63" i="82" s="1"/>
  <c r="AE174" i="105"/>
  <c r="AE65" i="82" s="1"/>
  <c r="AE172" i="105"/>
  <c r="AE64" i="82" s="1"/>
  <c r="M106" i="105"/>
  <c r="M183" i="105"/>
  <c r="Z172" i="105"/>
  <c r="Z64" i="82" s="1"/>
  <c r="Z146" i="105"/>
  <c r="Z63" i="82" s="1"/>
  <c r="Z140" i="105"/>
  <c r="Z174" i="105"/>
  <c r="Z65" i="82" s="1"/>
  <c r="V102" i="105"/>
  <c r="AA373" i="41"/>
  <c r="AA375" i="41" s="1"/>
  <c r="AA386" i="41" s="1"/>
  <c r="AA309" i="41"/>
  <c r="T115" i="105"/>
  <c r="T193" i="105"/>
  <c r="M340" i="41"/>
  <c r="M308" i="41"/>
  <c r="AE309" i="41"/>
  <c r="AE341" i="41"/>
  <c r="AE373" i="41"/>
  <c r="AE375" i="41" s="1"/>
  <c r="AE386" i="41" s="1"/>
  <c r="J309" i="41"/>
  <c r="J341" i="41"/>
  <c r="J373" i="41"/>
  <c r="J375" i="41" s="1"/>
  <c r="Y200" i="105"/>
  <c r="J304" i="41"/>
  <c r="J391" i="41" s="1"/>
  <c r="J300" i="41"/>
  <c r="J302" i="41" s="1"/>
  <c r="M321" i="41"/>
  <c r="M323" i="41" s="1"/>
  <c r="M325" i="41" s="1"/>
  <c r="M327" i="41" s="1"/>
  <c r="M353" i="41"/>
  <c r="M355" i="41" s="1"/>
  <c r="M357" i="41" s="1"/>
  <c r="M359" i="41" s="1"/>
  <c r="M307" i="41"/>
  <c r="M311" i="41" s="1"/>
  <c r="M384" i="41" s="1"/>
  <c r="AC307" i="41"/>
  <c r="AC321" i="41"/>
  <c r="AC323" i="41" s="1"/>
  <c r="AC325" i="41" s="1"/>
  <c r="AC327" i="41" s="1"/>
  <c r="AC353" i="41"/>
  <c r="AC355" i="41" s="1"/>
  <c r="AC357" i="41" s="1"/>
  <c r="AC359" i="41" s="1"/>
  <c r="R321" i="41"/>
  <c r="R323" i="41" s="1"/>
  <c r="R353" i="41"/>
  <c r="R355" i="41" s="1"/>
  <c r="R398" i="41"/>
  <c r="R422" i="41" s="1"/>
  <c r="R426" i="41" s="1"/>
  <c r="L321" i="41"/>
  <c r="L323" i="41" s="1"/>
  <c r="L353" i="41"/>
  <c r="L355" i="41" s="1"/>
  <c r="L398" i="41"/>
  <c r="L422" i="41" s="1"/>
  <c r="L426" i="41" s="1"/>
  <c r="AF117" i="105"/>
  <c r="AF195" i="105"/>
  <c r="AD341" i="41"/>
  <c r="AD309" i="41"/>
  <c r="AD373" i="41"/>
  <c r="AD375" i="41" s="1"/>
  <c r="AD386" i="41" s="1"/>
  <c r="Y309" i="41"/>
  <c r="Y373" i="41"/>
  <c r="Y375" i="41" s="1"/>
  <c r="Y386" i="41" s="1"/>
  <c r="Z309" i="41"/>
  <c r="Z373" i="41"/>
  <c r="Z375" i="41" s="1"/>
  <c r="Z386" i="41" s="1"/>
  <c r="N106" i="105"/>
  <c r="N183" i="105"/>
  <c r="N146" i="105"/>
  <c r="N63" i="82" s="1"/>
  <c r="AD140" i="105"/>
  <c r="AD172" i="105"/>
  <c r="AD64" i="82" s="1"/>
  <c r="AD174" i="105"/>
  <c r="AD65" i="82" s="1"/>
  <c r="AD146" i="105"/>
  <c r="AD63" i="82" s="1"/>
  <c r="V107" i="105"/>
  <c r="V184" i="105"/>
  <c r="S307" i="41"/>
  <c r="S353" i="41"/>
  <c r="S355" i="41" s="1"/>
  <c r="S321" i="41"/>
  <c r="S323" i="41" s="1"/>
  <c r="T321" i="41"/>
  <c r="T323" i="41" s="1"/>
  <c r="T353" i="41"/>
  <c r="T355" i="41" s="1"/>
  <c r="AO353" i="41"/>
  <c r="AO355" i="41" s="1"/>
  <c r="AO321" i="41"/>
  <c r="AO323" i="41" s="1"/>
  <c r="AO398" i="41"/>
  <c r="AO422" i="41" s="1"/>
  <c r="AO426" i="41" s="1"/>
  <c r="AN321" i="41"/>
  <c r="AN323" i="41" s="1"/>
  <c r="AN353" i="41"/>
  <c r="AN355" i="41" s="1"/>
  <c r="AN398" i="41"/>
  <c r="AN422" i="41" s="1"/>
  <c r="AN426" i="41" s="1"/>
  <c r="AF194" i="105"/>
  <c r="AF116" i="105"/>
  <c r="V194" i="105"/>
  <c r="V116" i="105"/>
  <c r="O116" i="105"/>
  <c r="O194" i="105"/>
  <c r="N115" i="105"/>
  <c r="N193" i="105"/>
  <c r="M182" i="105"/>
  <c r="M105" i="105"/>
  <c r="U308" i="41"/>
  <c r="AD340" i="41"/>
  <c r="AD308" i="41"/>
  <c r="U107" i="105"/>
  <c r="U184" i="105"/>
  <c r="X194" i="105"/>
  <c r="X116" i="105"/>
  <c r="AG308" i="41"/>
  <c r="AG340" i="41"/>
  <c r="AC308" i="41"/>
  <c r="AC340" i="41"/>
  <c r="Z308" i="41"/>
  <c r="AG309" i="41"/>
  <c r="AG341" i="41"/>
  <c r="AG373" i="41"/>
  <c r="AG375" i="41" s="1"/>
  <c r="AG386" i="41" s="1"/>
  <c r="O309" i="41"/>
  <c r="O373" i="41"/>
  <c r="O375" i="41" s="1"/>
  <c r="O386" i="41" s="1"/>
  <c r="O341" i="41"/>
  <c r="V373" i="41"/>
  <c r="V375" i="41" s="1"/>
  <c r="V386" i="41" s="1"/>
  <c r="N195" i="105"/>
  <c r="N117" i="105"/>
  <c r="J57" i="105"/>
  <c r="J97" i="105" s="1"/>
  <c r="H97" i="105" s="1"/>
  <c r="U332" i="41"/>
  <c r="U334" i="41" s="1"/>
  <c r="U336" i="41" s="1"/>
  <c r="U392" i="41" s="1"/>
  <c r="Z332" i="41"/>
  <c r="Z334" i="41" s="1"/>
  <c r="Z336" i="41" s="1"/>
  <c r="Z392" i="41" s="1"/>
  <c r="AD353" i="41"/>
  <c r="AD355" i="41" s="1"/>
  <c r="AD357" i="41" s="1"/>
  <c r="AD359" i="41" s="1"/>
  <c r="AD321" i="41"/>
  <c r="AD323" i="41" s="1"/>
  <c r="AD325" i="41" s="1"/>
  <c r="AD327" i="41" s="1"/>
  <c r="AD307" i="41"/>
  <c r="N321" i="41"/>
  <c r="N323" i="41" s="1"/>
  <c r="N325" i="41" s="1"/>
  <c r="N327" i="41" s="1"/>
  <c r="N353" i="41"/>
  <c r="N355" i="41" s="1"/>
  <c r="N357" i="41" s="1"/>
  <c r="N359" i="41" s="1"/>
  <c r="N307" i="41"/>
  <c r="AH353" i="41"/>
  <c r="AH355" i="41" s="1"/>
  <c r="AH321" i="41"/>
  <c r="AH323" i="41" s="1"/>
  <c r="AH398" i="41"/>
  <c r="AH422" i="41" s="1"/>
  <c r="AH426" i="41" s="1"/>
  <c r="AK353" i="41"/>
  <c r="AK355" i="41" s="1"/>
  <c r="AK321" i="41"/>
  <c r="AK323" i="41" s="1"/>
  <c r="AK398" i="41"/>
  <c r="AK422" i="41" s="1"/>
  <c r="AK426" i="41" s="1"/>
  <c r="S189" i="105"/>
  <c r="N182" i="105"/>
  <c r="N105" i="105"/>
  <c r="X115" i="105"/>
  <c r="X193" i="105"/>
  <c r="AE200" i="105"/>
  <c r="U105" i="105"/>
  <c r="U182" i="105"/>
  <c r="M194" i="105"/>
  <c r="M116" i="105"/>
  <c r="AA308" i="41"/>
  <c r="AA102" i="105"/>
  <c r="N308" i="41"/>
  <c r="N340" i="41"/>
  <c r="P340" i="41"/>
  <c r="P308" i="41"/>
  <c r="AF341" i="41"/>
  <c r="AF309" i="41"/>
  <c r="AF373" i="41"/>
  <c r="AF375" i="41" s="1"/>
  <c r="AF386" i="41" s="1"/>
  <c r="U309" i="41"/>
  <c r="U373" i="41"/>
  <c r="U375" i="41" s="1"/>
  <c r="U386" i="41" s="1"/>
  <c r="M102" i="105"/>
  <c r="J75" i="105"/>
  <c r="P182" i="105"/>
  <c r="P105" i="105"/>
  <c r="T116" i="105"/>
  <c r="T194" i="105"/>
  <c r="T102" i="105"/>
  <c r="X353" i="41"/>
  <c r="X355" i="41" s="1"/>
  <c r="X321" i="41"/>
  <c r="X323" i="41" s="1"/>
  <c r="X307" i="41"/>
  <c r="AG353" i="41"/>
  <c r="AG355" i="41" s="1"/>
  <c r="AG357" i="41" s="1"/>
  <c r="AG359" i="41" s="1"/>
  <c r="AG321" i="41"/>
  <c r="AG323" i="41" s="1"/>
  <c r="AG325" i="41" s="1"/>
  <c r="AG327" i="41" s="1"/>
  <c r="AG307" i="41"/>
  <c r="K321" i="41"/>
  <c r="K323" i="41" s="1"/>
  <c r="K353" i="41"/>
  <c r="K355" i="41" s="1"/>
  <c r="K398" i="41"/>
  <c r="K422" i="41" s="1"/>
  <c r="K426" i="41" s="1"/>
  <c r="Q353" i="41"/>
  <c r="Q355" i="41" s="1"/>
  <c r="Q321" i="41"/>
  <c r="Q323" i="41" s="1"/>
  <c r="Q398" i="41"/>
  <c r="Q422" i="41" s="1"/>
  <c r="Q426" i="41" s="1"/>
  <c r="S112" i="105"/>
  <c r="AF102" i="105"/>
  <c r="J56" i="105"/>
  <c r="J96" i="105" s="1"/>
  <c r="H96" i="105" s="1"/>
  <c r="AE122" i="105"/>
  <c r="U194" i="105"/>
  <c r="U116" i="105"/>
  <c r="P102" i="105"/>
  <c r="S341" i="41"/>
  <c r="S309" i="41"/>
  <c r="S373" i="41"/>
  <c r="S375" i="41" s="1"/>
  <c r="S386" i="41" s="1"/>
  <c r="M184" i="105"/>
  <c r="M107" i="105"/>
  <c r="U195" i="105"/>
  <c r="U117" i="105"/>
  <c r="M117" i="105"/>
  <c r="M195" i="105"/>
  <c r="AF193" i="105"/>
  <c r="AF115" i="105"/>
  <c r="AA193" i="105"/>
  <c r="AA115" i="105"/>
  <c r="V304" i="41"/>
  <c r="V391" i="41" s="1"/>
  <c r="V300" i="41"/>
  <c r="V302" i="41" s="1"/>
  <c r="AA300" i="41"/>
  <c r="AA302" i="41" s="1"/>
  <c r="AE308" i="41"/>
  <c r="AE340" i="41"/>
  <c r="AE343" i="41" s="1"/>
  <c r="AE385" i="41" s="1"/>
  <c r="X308" i="41"/>
  <c r="X340" i="41"/>
  <c r="T373" i="41"/>
  <c r="T375" i="41" s="1"/>
  <c r="T386" i="41" s="1"/>
  <c r="AC309" i="41"/>
  <c r="AC341" i="41"/>
  <c r="AC373" i="41"/>
  <c r="AC375" i="41" s="1"/>
  <c r="AC386" i="41" s="1"/>
  <c r="O184" i="105"/>
  <c r="O107" i="105"/>
  <c r="T183" i="105"/>
  <c r="T106" i="105"/>
  <c r="T184" i="105"/>
  <c r="T107" i="105"/>
  <c r="J66" i="105"/>
  <c r="P353" i="41"/>
  <c r="P355" i="41" s="1"/>
  <c r="P357" i="41" s="1"/>
  <c r="P359" i="41" s="1"/>
  <c r="P321" i="41"/>
  <c r="P323" i="41" s="1"/>
  <c r="P325" i="41" s="1"/>
  <c r="P327" i="41" s="1"/>
  <c r="P307" i="41"/>
  <c r="AF353" i="41"/>
  <c r="AF355" i="41" s="1"/>
  <c r="AF357" i="41" s="1"/>
  <c r="AF359" i="41" s="1"/>
  <c r="AF321" i="41"/>
  <c r="AF323" i="41" s="1"/>
  <c r="AF325" i="41" s="1"/>
  <c r="AF327" i="41" s="1"/>
  <c r="AF307" i="41"/>
  <c r="AI321" i="41"/>
  <c r="AI323" i="41" s="1"/>
  <c r="AI353" i="41"/>
  <c r="AI355" i="41" s="1"/>
  <c r="AI398" i="41"/>
  <c r="AI422" i="41" s="1"/>
  <c r="AI426" i="41" s="1"/>
  <c r="AL353" i="41"/>
  <c r="AL355" i="41" s="1"/>
  <c r="AL321" i="41"/>
  <c r="AL323" i="41" s="1"/>
  <c r="AL398" i="41"/>
  <c r="AL422" i="41" s="1"/>
  <c r="AL426" i="41" s="1"/>
  <c r="AD122" i="105"/>
  <c r="J74" i="105"/>
  <c r="P115" i="105"/>
  <c r="P193" i="105"/>
  <c r="V183" i="105"/>
  <c r="V106" i="105"/>
  <c r="J308" i="41"/>
  <c r="J340" i="41"/>
  <c r="T304" i="41"/>
  <c r="T391" i="41" s="1"/>
  <c r="T300" i="41"/>
  <c r="T302" i="41" s="1"/>
  <c r="Y300" i="41"/>
  <c r="Y302" i="41" s="1"/>
  <c r="N194" i="105"/>
  <c r="N116" i="105"/>
  <c r="X117" i="105"/>
  <c r="X195" i="105"/>
  <c r="O117" i="105"/>
  <c r="O195" i="105"/>
  <c r="Z148" i="105"/>
  <c r="Z142" i="105"/>
  <c r="S340" i="41"/>
  <c r="S308" i="41"/>
  <c r="O340" i="41"/>
  <c r="O308" i="41"/>
  <c r="X309" i="41"/>
  <c r="X341" i="41"/>
  <c r="X373" i="41"/>
  <c r="X375" i="41" s="1"/>
  <c r="X386" i="41" s="1"/>
  <c r="N341" i="41"/>
  <c r="N309" i="41"/>
  <c r="N373" i="41"/>
  <c r="N375" i="41" s="1"/>
  <c r="N386" i="41" s="1"/>
  <c r="AA195" i="105"/>
  <c r="AA117" i="105"/>
  <c r="P117" i="105"/>
  <c r="P195" i="105"/>
  <c r="AC200" i="105"/>
  <c r="O182" i="105"/>
  <c r="O105" i="105"/>
  <c r="P106" i="105"/>
  <c r="P183" i="105"/>
  <c r="Y332" i="41"/>
  <c r="Y334" i="41" s="1"/>
  <c r="Y336" i="41" s="1"/>
  <c r="Y392" i="41" s="1"/>
  <c r="T332" i="41"/>
  <c r="T334" i="41" s="1"/>
  <c r="T336" i="41" s="1"/>
  <c r="T392" i="41" s="1"/>
  <c r="Y353" i="41"/>
  <c r="Y355" i="41" s="1"/>
  <c r="Y307" i="41"/>
  <c r="Y321" i="41"/>
  <c r="Y323" i="41" s="1"/>
  <c r="J262" i="41"/>
  <c r="AJ353" i="41"/>
  <c r="AJ355" i="41" s="1"/>
  <c r="AJ321" i="41"/>
  <c r="AJ323" i="41" s="1"/>
  <c r="AJ398" i="41"/>
  <c r="AJ422" i="41" s="1"/>
  <c r="AJ426" i="41" s="1"/>
  <c r="AB321" i="41"/>
  <c r="AB323" i="41" s="1"/>
  <c r="AB353" i="41"/>
  <c r="AB355" i="41" s="1"/>
  <c r="AB398" i="41"/>
  <c r="AB422" i="41" s="1"/>
  <c r="AB426" i="41" s="1"/>
  <c r="M193" i="105"/>
  <c r="M115" i="105"/>
  <c r="AD200" i="105"/>
  <c r="J65" i="105"/>
  <c r="K50" i="106"/>
  <c r="O102" i="105"/>
  <c r="AA116" i="105"/>
  <c r="AA194" i="105"/>
  <c r="U193" i="105"/>
  <c r="U115" i="105"/>
  <c r="O193" i="105"/>
  <c r="O115" i="105"/>
  <c r="AC146" i="105"/>
  <c r="AC63" i="82" s="1"/>
  <c r="AC174" i="105"/>
  <c r="AC65" i="82" s="1"/>
  <c r="AC172" i="105"/>
  <c r="AC64" i="82" s="1"/>
  <c r="AC140" i="105"/>
  <c r="V105" i="105"/>
  <c r="V182" i="105"/>
  <c r="V332" i="41"/>
  <c r="V334" i="41" s="1"/>
  <c r="V336" i="41" s="1"/>
  <c r="V392" i="41" s="1"/>
  <c r="AA332" i="41"/>
  <c r="AA334" i="41" s="1"/>
  <c r="AA336" i="41" s="1"/>
  <c r="AA392" i="41" s="1"/>
  <c r="Y206" i="105" l="1"/>
  <c r="Y207" i="105"/>
  <c r="Y74" i="82" s="1"/>
  <c r="AF200" i="105"/>
  <c r="Y311" i="41"/>
  <c r="Y384" i="41" s="1"/>
  <c r="M343" i="41"/>
  <c r="M385" i="41" s="1"/>
  <c r="M388" i="41" s="1"/>
  <c r="M395" i="41" s="1"/>
  <c r="AD343" i="41"/>
  <c r="AD385" i="41" s="1"/>
  <c r="AC148" i="105"/>
  <c r="K84" i="106"/>
  <c r="N140" i="105"/>
  <c r="N174" i="105"/>
  <c r="N65" i="82" s="1"/>
  <c r="P343" i="41"/>
  <c r="P385" i="41" s="1"/>
  <c r="J343" i="41"/>
  <c r="J385" i="41" s="1"/>
  <c r="P311" i="41"/>
  <c r="P384" i="41" s="1"/>
  <c r="AF311" i="41"/>
  <c r="AF384" i="41" s="1"/>
  <c r="O343" i="41"/>
  <c r="O385" i="41" s="1"/>
  <c r="N189" i="105"/>
  <c r="O112" i="105"/>
  <c r="O147" i="105" s="1"/>
  <c r="S343" i="41"/>
  <c r="S385" i="41" s="1"/>
  <c r="M200" i="105"/>
  <c r="V189" i="105"/>
  <c r="P388" i="41"/>
  <c r="P395" i="41" s="1"/>
  <c r="P399" i="41" s="1"/>
  <c r="U200" i="105"/>
  <c r="V309" i="41"/>
  <c r="AG311" i="41"/>
  <c r="AG384" i="41" s="1"/>
  <c r="O200" i="105"/>
  <c r="T309" i="41"/>
  <c r="N200" i="105"/>
  <c r="N207" i="105" s="1"/>
  <c r="N74" i="82" s="1"/>
  <c r="T307" i="41"/>
  <c r="T200" i="105"/>
  <c r="V112" i="105"/>
  <c r="U341" i="41"/>
  <c r="U112" i="105"/>
  <c r="U147" i="105" s="1"/>
  <c r="AD311" i="41"/>
  <c r="AD384" i="41" s="1"/>
  <c r="AD388" i="41" s="1"/>
  <c r="AD395" i="41" s="1"/>
  <c r="K63" i="106"/>
  <c r="O76" i="106"/>
  <c r="O81" i="106"/>
  <c r="M64" i="106"/>
  <c r="P66" i="106"/>
  <c r="K70" i="106"/>
  <c r="P68" i="106"/>
  <c r="J66" i="106"/>
  <c r="J78" i="106"/>
  <c r="J80" i="106"/>
  <c r="O77" i="106"/>
  <c r="K79" i="106"/>
  <c r="N81" i="106"/>
  <c r="P63" i="106"/>
  <c r="O78" i="106"/>
  <c r="L77" i="106"/>
  <c r="N72" i="106"/>
  <c r="O63" i="106"/>
  <c r="L70" i="106"/>
  <c r="O66" i="106"/>
  <c r="N67" i="106"/>
  <c r="P75" i="106"/>
  <c r="L78" i="106"/>
  <c r="N66" i="106"/>
  <c r="K81" i="106"/>
  <c r="N74" i="106"/>
  <c r="K68" i="106"/>
  <c r="K78" i="106"/>
  <c r="M70" i="106"/>
  <c r="J67" i="106"/>
  <c r="L64" i="106"/>
  <c r="N80" i="106"/>
  <c r="O70" i="106"/>
  <c r="N79" i="106"/>
  <c r="K64" i="106"/>
  <c r="P65" i="106"/>
  <c r="P80" i="106"/>
  <c r="N71" i="106"/>
  <c r="O67" i="106"/>
  <c r="M80" i="106"/>
  <c r="O72" i="106"/>
  <c r="L68" i="106"/>
  <c r="M78" i="106"/>
  <c r="N77" i="106"/>
  <c r="M68" i="106"/>
  <c r="P70" i="106"/>
  <c r="J65" i="106"/>
  <c r="M69" i="106"/>
  <c r="J70" i="106"/>
  <c r="M79" i="106"/>
  <c r="J68" i="106"/>
  <c r="O64" i="106"/>
  <c r="L69" i="106"/>
  <c r="L81" i="106"/>
  <c r="M77" i="106"/>
  <c r="K71" i="106"/>
  <c r="O68" i="106"/>
  <c r="N68" i="106"/>
  <c r="N78" i="106"/>
  <c r="O74" i="106"/>
  <c r="N69" i="106"/>
  <c r="M67" i="106"/>
  <c r="P79" i="106"/>
  <c r="M71" i="106"/>
  <c r="P67" i="106"/>
  <c r="O71" i="106"/>
  <c r="L80" i="106"/>
  <c r="J63" i="106"/>
  <c r="M81" i="106"/>
  <c r="J79" i="106"/>
  <c r="N70" i="106"/>
  <c r="N75" i="106"/>
  <c r="K65" i="106"/>
  <c r="K66" i="106"/>
  <c r="J75" i="106"/>
  <c r="O69" i="106"/>
  <c r="N76" i="106"/>
  <c r="K80" i="106"/>
  <c r="L63" i="106"/>
  <c r="L66" i="106"/>
  <c r="L75" i="106"/>
  <c r="P77" i="106"/>
  <c r="K75" i="106"/>
  <c r="K77" i="106"/>
  <c r="P78" i="106"/>
  <c r="M66" i="106"/>
  <c r="O80" i="106"/>
  <c r="L72" i="106"/>
  <c r="K72" i="106"/>
  <c r="M65" i="106"/>
  <c r="M72" i="106"/>
  <c r="J69" i="106"/>
  <c r="L79" i="106"/>
  <c r="M75" i="106"/>
  <c r="N65" i="106"/>
  <c r="P71" i="106"/>
  <c r="J64" i="106"/>
  <c r="L67" i="106"/>
  <c r="J77" i="106"/>
  <c r="L65" i="106"/>
  <c r="O75" i="106"/>
  <c r="P64" i="106"/>
  <c r="O65" i="106"/>
  <c r="J81" i="106"/>
  <c r="K67" i="106"/>
  <c r="N63" i="106"/>
  <c r="L71" i="106"/>
  <c r="P69" i="106"/>
  <c r="J71" i="106"/>
  <c r="P81" i="106"/>
  <c r="N64" i="106"/>
  <c r="M63" i="106"/>
  <c r="J72" i="106"/>
  <c r="O79" i="106"/>
  <c r="P72" i="106"/>
  <c r="K69" i="106"/>
  <c r="P73" i="106"/>
  <c r="O73" i="106"/>
  <c r="P74" i="106"/>
  <c r="O51" i="106"/>
  <c r="O50" i="106"/>
  <c r="P76" i="106"/>
  <c r="P59" i="106"/>
  <c r="P62" i="106"/>
  <c r="N51" i="106"/>
  <c r="P60" i="106"/>
  <c r="P57" i="106"/>
  <c r="P61" i="106"/>
  <c r="P51" i="106"/>
  <c r="P50" i="106"/>
  <c r="O57" i="106"/>
  <c r="P58" i="106"/>
  <c r="N50" i="106"/>
  <c r="O59" i="106"/>
  <c r="P55" i="106"/>
  <c r="O62" i="106"/>
  <c r="O56" i="106"/>
  <c r="N57" i="106"/>
  <c r="O61" i="106"/>
  <c r="O53" i="106"/>
  <c r="O60" i="106"/>
  <c r="P52" i="106"/>
  <c r="O52" i="106"/>
  <c r="O54" i="106"/>
  <c r="P53" i="106"/>
  <c r="O55" i="106"/>
  <c r="O58" i="106"/>
  <c r="P54" i="106"/>
  <c r="P56" i="106"/>
  <c r="N73" i="106"/>
  <c r="N52" i="106"/>
  <c r="N61" i="106"/>
  <c r="N54" i="106"/>
  <c r="N55" i="106"/>
  <c r="N59" i="106"/>
  <c r="N60" i="106"/>
  <c r="N56" i="106"/>
  <c r="N62" i="106"/>
  <c r="N58" i="106"/>
  <c r="N53" i="106"/>
  <c r="M51" i="106"/>
  <c r="M73" i="106"/>
  <c r="M74" i="106"/>
  <c r="M57" i="106"/>
  <c r="M52" i="106"/>
  <c r="M76" i="106"/>
  <c r="M58" i="106"/>
  <c r="L57" i="106"/>
  <c r="K52" i="106"/>
  <c r="J58" i="106"/>
  <c r="L52" i="106"/>
  <c r="K57" i="106"/>
  <c r="J52" i="106"/>
  <c r="J57" i="106"/>
  <c r="L74" i="106"/>
  <c r="K76" i="106"/>
  <c r="J74" i="106"/>
  <c r="J73" i="106"/>
  <c r="J76" i="106"/>
  <c r="L76" i="106"/>
  <c r="K74" i="106"/>
  <c r="L58" i="106"/>
  <c r="K51" i="106"/>
  <c r="K58" i="106"/>
  <c r="L51" i="106"/>
  <c r="J51" i="106"/>
  <c r="L73" i="106"/>
  <c r="M56" i="106"/>
  <c r="M54" i="106"/>
  <c r="M59" i="106"/>
  <c r="K73" i="106"/>
  <c r="M53" i="106"/>
  <c r="M62" i="106"/>
  <c r="M61" i="106"/>
  <c r="M55" i="106"/>
  <c r="M60" i="106"/>
  <c r="J59" i="106"/>
  <c r="K59" i="106"/>
  <c r="L59" i="106"/>
  <c r="M50" i="106"/>
  <c r="J54" i="106"/>
  <c r="K55" i="106"/>
  <c r="K56" i="106"/>
  <c r="J55" i="106"/>
  <c r="L56" i="106"/>
  <c r="L60" i="106"/>
  <c r="L55" i="106"/>
  <c r="K61" i="106"/>
  <c r="J53" i="106"/>
  <c r="L53" i="106"/>
  <c r="L61" i="106"/>
  <c r="K53" i="106"/>
  <c r="J56" i="106"/>
  <c r="J62" i="106"/>
  <c r="K62" i="106"/>
  <c r="K60" i="106"/>
  <c r="K54" i="106"/>
  <c r="L62" i="106"/>
  <c r="J60" i="106"/>
  <c r="J61" i="106"/>
  <c r="L54" i="106"/>
  <c r="X200" i="105"/>
  <c r="N112" i="106"/>
  <c r="L115" i="106"/>
  <c r="O115" i="106"/>
  <c r="N110" i="106"/>
  <c r="J111" i="106"/>
  <c r="O109" i="106"/>
  <c r="N113" i="106"/>
  <c r="L113" i="106"/>
  <c r="M111" i="106"/>
  <c r="L111" i="106"/>
  <c r="K115" i="106"/>
  <c r="O110" i="106"/>
  <c r="N115" i="106"/>
  <c r="M113" i="106"/>
  <c r="O114" i="106"/>
  <c r="M115" i="106"/>
  <c r="J113" i="106"/>
  <c r="N111" i="106"/>
  <c r="P113" i="106"/>
  <c r="K111" i="106"/>
  <c r="O112" i="106"/>
  <c r="O113" i="106"/>
  <c r="K113" i="106"/>
  <c r="O108" i="106"/>
  <c r="P111" i="106"/>
  <c r="N109" i="106"/>
  <c r="O111" i="106"/>
  <c r="N114" i="106"/>
  <c r="J115" i="106"/>
  <c r="N108" i="106"/>
  <c r="P115" i="106"/>
  <c r="P107" i="106"/>
  <c r="P109" i="106"/>
  <c r="P96" i="106"/>
  <c r="P92" i="106"/>
  <c r="P93" i="106"/>
  <c r="P84" i="106"/>
  <c r="O84" i="106"/>
  <c r="P94" i="106"/>
  <c r="P114" i="106"/>
  <c r="P91" i="106"/>
  <c r="P95" i="106"/>
  <c r="P85" i="106"/>
  <c r="O91" i="106"/>
  <c r="O107" i="106"/>
  <c r="N85" i="106"/>
  <c r="O85" i="106"/>
  <c r="P108" i="106"/>
  <c r="P110" i="106"/>
  <c r="P112" i="106"/>
  <c r="P97" i="106"/>
  <c r="P100" i="106"/>
  <c r="P86" i="106"/>
  <c r="P105" i="106"/>
  <c r="P89" i="106"/>
  <c r="O93" i="106"/>
  <c r="O98" i="106"/>
  <c r="O95" i="106"/>
  <c r="N84" i="106"/>
  <c r="O104" i="106"/>
  <c r="O103" i="106"/>
  <c r="P98" i="106"/>
  <c r="O92" i="106"/>
  <c r="P101" i="106"/>
  <c r="P102" i="106"/>
  <c r="O87" i="106"/>
  <c r="O106" i="106"/>
  <c r="O89" i="106"/>
  <c r="P87" i="106"/>
  <c r="P88" i="106"/>
  <c r="N107" i="106"/>
  <c r="O100" i="106"/>
  <c r="P106" i="106"/>
  <c r="O96" i="106"/>
  <c r="P99" i="106"/>
  <c r="P90" i="106"/>
  <c r="O88" i="106"/>
  <c r="O102" i="106"/>
  <c r="O97" i="106"/>
  <c r="O99" i="106"/>
  <c r="P103" i="106"/>
  <c r="O90" i="106"/>
  <c r="O94" i="106"/>
  <c r="O105" i="106"/>
  <c r="O86" i="106"/>
  <c r="P104" i="106"/>
  <c r="O101" i="106"/>
  <c r="N91" i="106"/>
  <c r="N105" i="106"/>
  <c r="N87" i="106"/>
  <c r="N104" i="106"/>
  <c r="N96" i="106"/>
  <c r="N103" i="106"/>
  <c r="N93" i="106"/>
  <c r="N100" i="106"/>
  <c r="N102" i="106"/>
  <c r="N106" i="106"/>
  <c r="N99" i="106"/>
  <c r="N98" i="106"/>
  <c r="N88" i="106"/>
  <c r="N101" i="106"/>
  <c r="N90" i="106"/>
  <c r="N94" i="106"/>
  <c r="N86" i="106"/>
  <c r="N95" i="106"/>
  <c r="N97" i="106"/>
  <c r="N92" i="106"/>
  <c r="N89" i="106"/>
  <c r="M110" i="106"/>
  <c r="M85" i="106"/>
  <c r="M102" i="106"/>
  <c r="M108" i="106"/>
  <c r="M92" i="106"/>
  <c r="M112" i="106"/>
  <c r="M107" i="106"/>
  <c r="M86" i="106"/>
  <c r="M114" i="106"/>
  <c r="M109" i="106"/>
  <c r="M91" i="106"/>
  <c r="M97" i="106"/>
  <c r="J97" i="106"/>
  <c r="K91" i="106"/>
  <c r="J107" i="106"/>
  <c r="L112" i="106"/>
  <c r="L110" i="106"/>
  <c r="K110" i="106"/>
  <c r="L108" i="106"/>
  <c r="J110" i="106"/>
  <c r="K114" i="106"/>
  <c r="L92" i="106"/>
  <c r="L91" i="106"/>
  <c r="L97" i="106"/>
  <c r="K86" i="106"/>
  <c r="K102" i="106"/>
  <c r="J114" i="106"/>
  <c r="K92" i="106"/>
  <c r="K109" i="106"/>
  <c r="K108" i="106"/>
  <c r="L85" i="106"/>
  <c r="L107" i="106"/>
  <c r="K112" i="106"/>
  <c r="J91" i="106"/>
  <c r="J109" i="106"/>
  <c r="L109" i="106"/>
  <c r="L114" i="106"/>
  <c r="J92" i="106"/>
  <c r="J108" i="106"/>
  <c r="J85" i="106"/>
  <c r="K97" i="106"/>
  <c r="L102" i="106"/>
  <c r="L86" i="106"/>
  <c r="J102" i="106"/>
  <c r="J86" i="106"/>
  <c r="J112" i="106"/>
  <c r="K85" i="106"/>
  <c r="M103" i="106"/>
  <c r="M96" i="106"/>
  <c r="M87" i="106"/>
  <c r="M95" i="106"/>
  <c r="M98" i="106"/>
  <c r="M93" i="106"/>
  <c r="M90" i="106"/>
  <c r="M99" i="106"/>
  <c r="K107" i="106"/>
  <c r="M94" i="106"/>
  <c r="M105" i="106"/>
  <c r="M101" i="106"/>
  <c r="M104" i="106"/>
  <c r="M88" i="106"/>
  <c r="M100" i="106"/>
  <c r="M89" i="106"/>
  <c r="M106" i="106"/>
  <c r="K100" i="106"/>
  <c r="K104" i="106"/>
  <c r="K99" i="106"/>
  <c r="J100" i="106"/>
  <c r="L99" i="106"/>
  <c r="K103" i="106"/>
  <c r="L100" i="106"/>
  <c r="J99" i="106"/>
  <c r="L105" i="106"/>
  <c r="K93" i="106"/>
  <c r="J105" i="106"/>
  <c r="L103" i="106"/>
  <c r="J93" i="106"/>
  <c r="K105" i="106"/>
  <c r="L104" i="106"/>
  <c r="L93" i="106"/>
  <c r="J104" i="106"/>
  <c r="M84" i="106"/>
  <c r="J103" i="106"/>
  <c r="J98" i="106"/>
  <c r="K106" i="106"/>
  <c r="J94" i="106"/>
  <c r="K96" i="106"/>
  <c r="L90" i="106"/>
  <c r="L101" i="106"/>
  <c r="L89" i="106"/>
  <c r="L98" i="106"/>
  <c r="K88" i="106"/>
  <c r="K87" i="106"/>
  <c r="L87" i="106"/>
  <c r="L95" i="106"/>
  <c r="K98" i="106"/>
  <c r="J89" i="106"/>
  <c r="J95" i="106"/>
  <c r="K94" i="106"/>
  <c r="J101" i="106"/>
  <c r="J106" i="106"/>
  <c r="J87" i="106"/>
  <c r="L88" i="106"/>
  <c r="L96" i="106"/>
  <c r="K90" i="106"/>
  <c r="K101" i="106"/>
  <c r="K95" i="106"/>
  <c r="L94" i="106"/>
  <c r="J96" i="106"/>
  <c r="J90" i="106"/>
  <c r="L106" i="106"/>
  <c r="J88" i="106"/>
  <c r="K89" i="106"/>
  <c r="P189" i="105"/>
  <c r="X122" i="105"/>
  <c r="O189" i="105"/>
  <c r="N311" i="41"/>
  <c r="N384" i="41" s="1"/>
  <c r="AC206" i="105"/>
  <c r="AC62" i="82"/>
  <c r="AC207" i="105"/>
  <c r="AC74" i="82" s="1"/>
  <c r="AE148" i="105"/>
  <c r="AE142" i="105"/>
  <c r="S311" i="41"/>
  <c r="S384" i="41" s="1"/>
  <c r="S388" i="41" s="1"/>
  <c r="S395" i="41" s="1"/>
  <c r="N206" i="105"/>
  <c r="N73" i="82" s="1"/>
  <c r="N62" i="82"/>
  <c r="J321" i="41"/>
  <c r="J323" i="41" s="1"/>
  <c r="J325" i="41" s="1"/>
  <c r="J327" i="41" s="1"/>
  <c r="J353" i="41"/>
  <c r="J355" i="41" s="1"/>
  <c r="J357" i="41" s="1"/>
  <c r="J359" i="41" s="1"/>
  <c r="J307" i="41"/>
  <c r="P200" i="105"/>
  <c r="X343" i="41"/>
  <c r="X385" i="41" s="1"/>
  <c r="AA200" i="105"/>
  <c r="AM357" i="41"/>
  <c r="AM359" i="41" s="1"/>
  <c r="AK357" i="41"/>
  <c r="AK359" i="41" s="1"/>
  <c r="AH357" i="41"/>
  <c r="AH359" i="41" s="1"/>
  <c r="AN357" i="41"/>
  <c r="AN359" i="41" s="1"/>
  <c r="AB357" i="41"/>
  <c r="AB359" i="41" s="1"/>
  <c r="Q357" i="41"/>
  <c r="Q359" i="41" s="1"/>
  <c r="AO357" i="41"/>
  <c r="AO359" i="41" s="1"/>
  <c r="AI357" i="41"/>
  <c r="AI359" i="41" s="1"/>
  <c r="AL357" i="41"/>
  <c r="AL359" i="41" s="1"/>
  <c r="W357" i="41"/>
  <c r="W359" i="41" s="1"/>
  <c r="AJ357" i="41"/>
  <c r="AJ359" i="41" s="1"/>
  <c r="K357" i="41"/>
  <c r="K359" i="41" s="1"/>
  <c r="R357" i="41"/>
  <c r="R359" i="41" s="1"/>
  <c r="L357" i="41"/>
  <c r="L359" i="41" s="1"/>
  <c r="T140" i="105"/>
  <c r="T146" i="105"/>
  <c r="T63" i="82" s="1"/>
  <c r="T172" i="105"/>
  <c r="T64" i="82" s="1"/>
  <c r="T174" i="105"/>
  <c r="T65" i="82" s="1"/>
  <c r="N343" i="41"/>
  <c r="N385" i="41" s="1"/>
  <c r="AG343" i="41"/>
  <c r="AG385" i="41" s="1"/>
  <c r="Y341" i="41"/>
  <c r="H428" i="41"/>
  <c r="J386" i="41"/>
  <c r="T340" i="41"/>
  <c r="V140" i="105"/>
  <c r="V174" i="105"/>
  <c r="V65" i="82" s="1"/>
  <c r="V172" i="105"/>
  <c r="V64" i="82" s="1"/>
  <c r="V146" i="105"/>
  <c r="V63" i="82" s="1"/>
  <c r="S148" i="105"/>
  <c r="S142" i="105"/>
  <c r="Y340" i="41"/>
  <c r="V122" i="105"/>
  <c r="P122" i="105"/>
  <c r="AF122" i="105"/>
  <c r="AN325" i="41"/>
  <c r="AN327" i="41" s="1"/>
  <c r="R325" i="41"/>
  <c r="R327" i="41" s="1"/>
  <c r="AI325" i="41"/>
  <c r="AI327" i="41" s="1"/>
  <c r="AO325" i="41"/>
  <c r="AO327" i="41" s="1"/>
  <c r="Q325" i="41"/>
  <c r="Q327" i="41" s="1"/>
  <c r="L325" i="41"/>
  <c r="L327" i="41" s="1"/>
  <c r="AB325" i="41"/>
  <c r="AB327" i="41" s="1"/>
  <c r="W325" i="41"/>
  <c r="W327" i="41" s="1"/>
  <c r="AM325" i="41"/>
  <c r="AM327" i="41" s="1"/>
  <c r="K325" i="41"/>
  <c r="K327" i="41" s="1"/>
  <c r="AK325" i="41"/>
  <c r="AK327" i="41" s="1"/>
  <c r="AJ325" i="41"/>
  <c r="AJ327" i="41" s="1"/>
  <c r="AH325" i="41"/>
  <c r="AH327" i="41" s="1"/>
  <c r="AL325" i="41"/>
  <c r="AL327" i="41" s="1"/>
  <c r="U189" i="105"/>
  <c r="U340" i="41"/>
  <c r="AC311" i="41"/>
  <c r="AC384" i="41" s="1"/>
  <c r="T308" i="41"/>
  <c r="S207" i="105"/>
  <c r="S74" i="82" s="1"/>
  <c r="S206" i="105"/>
  <c r="S73" i="82" s="1"/>
  <c r="S62" i="82"/>
  <c r="U311" i="41"/>
  <c r="U384" i="41" s="1"/>
  <c r="AF343" i="41"/>
  <c r="AF385" i="41" s="1"/>
  <c r="AF388" i="41" s="1"/>
  <c r="AF395" i="41" s="1"/>
  <c r="V200" i="105"/>
  <c r="AA311" i="41"/>
  <c r="AA384" i="41" s="1"/>
  <c r="P174" i="105"/>
  <c r="P65" i="82" s="1"/>
  <c r="P140" i="105"/>
  <c r="P146" i="105"/>
  <c r="P63" i="82" s="1"/>
  <c r="P172" i="105"/>
  <c r="P64" i="82" s="1"/>
  <c r="AA174" i="105"/>
  <c r="AA65" i="82" s="1"/>
  <c r="AA172" i="105"/>
  <c r="AA64" i="82" s="1"/>
  <c r="AA146" i="105"/>
  <c r="AA63" i="82" s="1"/>
  <c r="AA140" i="105"/>
  <c r="AD399" i="41"/>
  <c r="AD400" i="41"/>
  <c r="AD398" i="41"/>
  <c r="M112" i="105"/>
  <c r="T357" i="41"/>
  <c r="T359" i="41" s="1"/>
  <c r="Y357" i="41"/>
  <c r="Y359" i="41" s="1"/>
  <c r="Z62" i="82"/>
  <c r="Z206" i="105"/>
  <c r="Z207" i="105"/>
  <c r="Z74" i="82" s="1"/>
  <c r="AE62" i="82"/>
  <c r="AE207" i="105"/>
  <c r="AE74" i="82" s="1"/>
  <c r="AE206" i="105"/>
  <c r="U325" i="41"/>
  <c r="U327" i="41" s="1"/>
  <c r="Z325" i="41"/>
  <c r="Z327" i="41" s="1"/>
  <c r="AD142" i="105"/>
  <c r="AD148" i="105"/>
  <c r="O174" i="105"/>
  <c r="O65" i="82" s="1"/>
  <c r="O140" i="105"/>
  <c r="O146" i="105"/>
  <c r="O63" i="82" s="1"/>
  <c r="O172" i="105"/>
  <c r="O64" i="82" s="1"/>
  <c r="AF172" i="105"/>
  <c r="AF64" i="82" s="1"/>
  <c r="AF174" i="105"/>
  <c r="AF65" i="82" s="1"/>
  <c r="AF140" i="105"/>
  <c r="AF146" i="105"/>
  <c r="AF63" i="82" s="1"/>
  <c r="U141" i="105"/>
  <c r="O122" i="105"/>
  <c r="J116" i="105"/>
  <c r="H116" i="105" s="1"/>
  <c r="J194" i="105"/>
  <c r="J184" i="105"/>
  <c r="J107" i="105"/>
  <c r="H107" i="105" s="1"/>
  <c r="S141" i="105"/>
  <c r="S147" i="105"/>
  <c r="P112" i="105"/>
  <c r="AA340" i="41"/>
  <c r="M189" i="105"/>
  <c r="T325" i="41"/>
  <c r="T327" i="41" s="1"/>
  <c r="Y325" i="41"/>
  <c r="Y327" i="41" s="1"/>
  <c r="T122" i="105"/>
  <c r="Z357" i="41"/>
  <c r="Z359" i="41" s="1"/>
  <c r="U357" i="41"/>
  <c r="U359" i="41" s="1"/>
  <c r="Y142" i="105"/>
  <c r="Y148" i="105"/>
  <c r="T189" i="105"/>
  <c r="Z340" i="41"/>
  <c r="AA341" i="41"/>
  <c r="J150" i="65"/>
  <c r="J16" i="106" s="1" a="1"/>
  <c r="H178" i="65" a="1"/>
  <c r="H178" i="65" s="1"/>
  <c r="AE311" i="41"/>
  <c r="AE384" i="41" s="1"/>
  <c r="AE388" i="41" s="1"/>
  <c r="AE395" i="41" s="1"/>
  <c r="T112" i="105"/>
  <c r="X311" i="41"/>
  <c r="X384" i="41" s="1"/>
  <c r="X388" i="41" s="1"/>
  <c r="X395" i="41" s="1"/>
  <c r="J195" i="105"/>
  <c r="J117" i="105"/>
  <c r="H117" i="105" s="1"/>
  <c r="X142" i="105"/>
  <c r="X148" i="105"/>
  <c r="V341" i="41"/>
  <c r="N122" i="105"/>
  <c r="X325" i="41"/>
  <c r="X327" i="41" s="1"/>
  <c r="S325" i="41"/>
  <c r="S327" i="41" s="1"/>
  <c r="AD207" i="105"/>
  <c r="AD74" i="82" s="1"/>
  <c r="AD206" i="105"/>
  <c r="AD62" i="82"/>
  <c r="V340" i="41"/>
  <c r="J50" i="106"/>
  <c r="J64" i="105"/>
  <c r="X140" i="105"/>
  <c r="X174" i="105"/>
  <c r="X65" i="82" s="1"/>
  <c r="X146" i="105"/>
  <c r="X63" i="82" s="1"/>
  <c r="X172" i="105"/>
  <c r="X64" i="82" s="1"/>
  <c r="V357" i="41"/>
  <c r="V359" i="41" s="1"/>
  <c r="AA357" i="41"/>
  <c r="AA359" i="41" s="1"/>
  <c r="O311" i="41"/>
  <c r="O384" i="41" s="1"/>
  <c r="O388" i="41" s="1"/>
  <c r="O395" i="41" s="1"/>
  <c r="V141" i="105"/>
  <c r="V147" i="105"/>
  <c r="U122" i="105"/>
  <c r="M122" i="105"/>
  <c r="T341" i="41"/>
  <c r="N112" i="105"/>
  <c r="AC343" i="41"/>
  <c r="AC385" i="41" s="1"/>
  <c r="S357" i="41"/>
  <c r="S359" i="41" s="1"/>
  <c r="X357" i="41"/>
  <c r="X359" i="41" s="1"/>
  <c r="Z341" i="41"/>
  <c r="V308" i="41"/>
  <c r="J73" i="105"/>
  <c r="J84" i="106"/>
  <c r="Z311" i="41"/>
  <c r="Z384" i="41" s="1"/>
  <c r="V307" i="41"/>
  <c r="J183" i="105"/>
  <c r="J106" i="105"/>
  <c r="H106" i="105" s="1"/>
  <c r="AA122" i="105"/>
  <c r="M146" i="105"/>
  <c r="M63" i="82" s="1"/>
  <c r="M172" i="105"/>
  <c r="M64" i="82" s="1"/>
  <c r="M140" i="105"/>
  <c r="M174" i="105"/>
  <c r="M65" i="82" s="1"/>
  <c r="U146" i="105"/>
  <c r="U63" i="82" s="1"/>
  <c r="U140" i="105"/>
  <c r="U172" i="105"/>
  <c r="U64" i="82" s="1"/>
  <c r="U174" i="105"/>
  <c r="U65" i="82" s="1"/>
  <c r="AA325" i="41"/>
  <c r="AA327" i="41" s="1"/>
  <c r="V325" i="41"/>
  <c r="V327" i="41" s="1"/>
  <c r="M398" i="41" l="1"/>
  <c r="M400" i="41"/>
  <c r="M399" i="41"/>
  <c r="T311" i="41"/>
  <c r="T384" i="41" s="1"/>
  <c r="O141" i="105"/>
  <c r="P398" i="41"/>
  <c r="P400" i="41"/>
  <c r="AG388" i="41"/>
  <c r="AG395" i="41" s="1"/>
  <c r="AG400" i="41" s="1"/>
  <c r="V311" i="41"/>
  <c r="V384" i="41" s="1"/>
  <c r="N388" i="41"/>
  <c r="N395" i="41" s="1"/>
  <c r="U343" i="41"/>
  <c r="U385" i="41" s="1"/>
  <c r="U388" i="41" s="1"/>
  <c r="U395" i="41" s="1"/>
  <c r="M422" i="41"/>
  <c r="M426" i="41" s="1"/>
  <c r="AC388" i="41"/>
  <c r="AC395" i="41" s="1"/>
  <c r="AC398" i="41" s="1"/>
  <c r="AA343" i="41"/>
  <c r="AA385" i="41" s="1"/>
  <c r="AA388" i="41" s="1"/>
  <c r="AA395" i="41" s="1"/>
  <c r="O40" i="106"/>
  <c r="O41" i="106"/>
  <c r="O47" i="106"/>
  <c r="N47" i="106"/>
  <c r="O44" i="106"/>
  <c r="N46" i="106"/>
  <c r="O42" i="106"/>
  <c r="N43" i="106"/>
  <c r="N42" i="106"/>
  <c r="N44" i="106"/>
  <c r="O43" i="106"/>
  <c r="N40" i="106"/>
  <c r="O46" i="106"/>
  <c r="N45" i="106"/>
  <c r="O45" i="106"/>
  <c r="N41" i="106"/>
  <c r="P43" i="106"/>
  <c r="P39" i="106"/>
  <c r="P45" i="106"/>
  <c r="P47" i="106"/>
  <c r="P26" i="106"/>
  <c r="P40" i="106"/>
  <c r="P23" i="106"/>
  <c r="P24" i="106"/>
  <c r="P44" i="106"/>
  <c r="P46" i="106"/>
  <c r="N17" i="106"/>
  <c r="P17" i="106"/>
  <c r="P28" i="106"/>
  <c r="P41" i="106"/>
  <c r="O23" i="106"/>
  <c r="O16" i="106"/>
  <c r="P25" i="106"/>
  <c r="P42" i="106"/>
  <c r="P16" i="106"/>
  <c r="O39" i="106"/>
  <c r="P27" i="106"/>
  <c r="O17" i="106"/>
  <c r="O30" i="106"/>
  <c r="O34" i="106"/>
  <c r="P18" i="106"/>
  <c r="P20" i="106"/>
  <c r="P34" i="106"/>
  <c r="O35" i="106"/>
  <c r="O28" i="106"/>
  <c r="P38" i="106"/>
  <c r="O26" i="106"/>
  <c r="O31" i="106"/>
  <c r="O38" i="106"/>
  <c r="O18" i="106"/>
  <c r="P30" i="106"/>
  <c r="O22" i="106"/>
  <c r="O37" i="106"/>
  <c r="O24" i="106"/>
  <c r="P29" i="106"/>
  <c r="N23" i="106"/>
  <c r="P31" i="106"/>
  <c r="P35" i="106"/>
  <c r="P37" i="106"/>
  <c r="O25" i="106"/>
  <c r="P36" i="106"/>
  <c r="O32" i="106"/>
  <c r="O19" i="106"/>
  <c r="P22" i="106"/>
  <c r="N39" i="106"/>
  <c r="O27" i="106"/>
  <c r="O36" i="106"/>
  <c r="O20" i="106"/>
  <c r="P33" i="106"/>
  <c r="P19" i="106"/>
  <c r="O33" i="106"/>
  <c r="P32" i="106"/>
  <c r="O29" i="106"/>
  <c r="N16" i="106"/>
  <c r="O21" i="106"/>
  <c r="P21" i="106"/>
  <c r="N20" i="106"/>
  <c r="N24" i="106"/>
  <c r="N19" i="106"/>
  <c r="N32" i="106"/>
  <c r="N38" i="106"/>
  <c r="N36" i="106"/>
  <c r="N18" i="106"/>
  <c r="N31" i="106"/>
  <c r="N29" i="106"/>
  <c r="N26" i="106"/>
  <c r="N25" i="106"/>
  <c r="N22" i="106"/>
  <c r="N37" i="106"/>
  <c r="N21" i="106"/>
  <c r="N34" i="106"/>
  <c r="N27" i="106"/>
  <c r="N35" i="106"/>
  <c r="N30" i="106"/>
  <c r="N28" i="106"/>
  <c r="N33" i="106"/>
  <c r="M45" i="106"/>
  <c r="M47" i="106"/>
  <c r="M43" i="106"/>
  <c r="M41" i="106"/>
  <c r="M23" i="106"/>
  <c r="M17" i="106"/>
  <c r="M42" i="106"/>
  <c r="M46" i="106"/>
  <c r="M18" i="106"/>
  <c r="M44" i="106"/>
  <c r="M24" i="106"/>
  <c r="M29" i="106"/>
  <c r="M39" i="106"/>
  <c r="M34" i="106"/>
  <c r="M40" i="106"/>
  <c r="L43" i="106"/>
  <c r="L47" i="106"/>
  <c r="J43" i="106"/>
  <c r="J47" i="106"/>
  <c r="K45" i="106"/>
  <c r="J45" i="106"/>
  <c r="L45" i="106"/>
  <c r="K43" i="106"/>
  <c r="K47" i="106"/>
  <c r="J44" i="106"/>
  <c r="J42" i="106"/>
  <c r="K24" i="106"/>
  <c r="K34" i="106"/>
  <c r="L40" i="106"/>
  <c r="K46" i="106"/>
  <c r="L18" i="106"/>
  <c r="L46" i="106"/>
  <c r="L29" i="106"/>
  <c r="L39" i="106"/>
  <c r="K44" i="106"/>
  <c r="L41" i="106"/>
  <c r="J29" i="106"/>
  <c r="J41" i="106"/>
  <c r="L24" i="106"/>
  <c r="J24" i="106"/>
  <c r="K29" i="106"/>
  <c r="L34" i="106"/>
  <c r="K41" i="106"/>
  <c r="K17" i="106"/>
  <c r="J17" i="106"/>
  <c r="L44" i="106"/>
  <c r="K42" i="106"/>
  <c r="J40" i="106"/>
  <c r="J46" i="106"/>
  <c r="J34" i="106"/>
  <c r="J18" i="106"/>
  <c r="L23" i="106"/>
  <c r="K23" i="106"/>
  <c r="K18" i="106"/>
  <c r="J39" i="106"/>
  <c r="K40" i="106"/>
  <c r="L42" i="106"/>
  <c r="L17" i="106"/>
  <c r="J23" i="106"/>
  <c r="M28" i="106"/>
  <c r="M38" i="106"/>
  <c r="M32" i="106"/>
  <c r="M37" i="106"/>
  <c r="M26" i="106"/>
  <c r="M33" i="106"/>
  <c r="M22" i="106"/>
  <c r="M35" i="106"/>
  <c r="M30" i="106"/>
  <c r="M21" i="106"/>
  <c r="M27" i="106"/>
  <c r="M20" i="106"/>
  <c r="M31" i="106"/>
  <c r="M25" i="106"/>
  <c r="K39" i="106"/>
  <c r="M36" i="106"/>
  <c r="M19" i="106"/>
  <c r="J25" i="106"/>
  <c r="K31" i="106"/>
  <c r="M16" i="106"/>
  <c r="L25" i="106"/>
  <c r="L36" i="106"/>
  <c r="L32" i="106"/>
  <c r="K36" i="106"/>
  <c r="J32" i="106"/>
  <c r="J36" i="106"/>
  <c r="K35" i="106"/>
  <c r="K37" i="106"/>
  <c r="K32" i="106"/>
  <c r="K25" i="106"/>
  <c r="J37" i="106"/>
  <c r="L37" i="106"/>
  <c r="J35" i="106"/>
  <c r="J31" i="106"/>
  <c r="L31" i="106"/>
  <c r="L35" i="106"/>
  <c r="L28" i="106"/>
  <c r="J28" i="106"/>
  <c r="J30" i="106"/>
  <c r="K19" i="106"/>
  <c r="K20" i="106"/>
  <c r="K26" i="106"/>
  <c r="K27" i="106"/>
  <c r="L30" i="106"/>
  <c r="J33" i="106"/>
  <c r="L38" i="106"/>
  <c r="K33" i="106"/>
  <c r="L22" i="106"/>
  <c r="L20" i="106"/>
  <c r="K30" i="106"/>
  <c r="K21" i="106"/>
  <c r="K22" i="106"/>
  <c r="J21" i="106"/>
  <c r="J26" i="106"/>
  <c r="L21" i="106"/>
  <c r="J19" i="106"/>
  <c r="J27" i="106"/>
  <c r="J22" i="106"/>
  <c r="K28" i="106"/>
  <c r="L27" i="106"/>
  <c r="J20" i="106"/>
  <c r="L19" i="106"/>
  <c r="K38" i="106"/>
  <c r="J38" i="106"/>
  <c r="L33" i="106"/>
  <c r="L26" i="106"/>
  <c r="K16" i="106"/>
  <c r="L16" i="106"/>
  <c r="N400" i="41"/>
  <c r="N398" i="41"/>
  <c r="N399" i="41"/>
  <c r="J54" i="55"/>
  <c r="A4" i="65"/>
  <c r="N141" i="105"/>
  <c r="N147" i="105"/>
  <c r="O207" i="105"/>
  <c r="O74" i="82" s="1"/>
  <c r="O62" i="82"/>
  <c r="O206" i="105"/>
  <c r="O73" i="82" s="1"/>
  <c r="P148" i="105"/>
  <c r="P142" i="105"/>
  <c r="M141" i="105"/>
  <c r="M147" i="105"/>
  <c r="AG398" i="41"/>
  <c r="V148" i="105"/>
  <c r="V142" i="105"/>
  <c r="T343" i="41"/>
  <c r="T385" i="41" s="1"/>
  <c r="J115" i="105"/>
  <c r="J193" i="105"/>
  <c r="J200" i="105" s="1"/>
  <c r="M148" i="105"/>
  <c r="M142" i="105"/>
  <c r="Z343" i="41"/>
  <c r="Z385" i="41" s="1"/>
  <c r="Z388" i="41" s="1"/>
  <c r="Z395" i="41" s="1"/>
  <c r="T148" i="105"/>
  <c r="T142" i="105"/>
  <c r="AF206" i="105"/>
  <c r="AF62" i="82"/>
  <c r="AF207" i="105"/>
  <c r="AF74" i="82" s="1"/>
  <c r="AD422" i="41"/>
  <c r="AD426" i="41" s="1"/>
  <c r="Y343" i="41"/>
  <c r="Y385" i="41" s="1"/>
  <c r="Y388" i="41" s="1"/>
  <c r="Y395" i="41" s="1"/>
  <c r="T207" i="105"/>
  <c r="T74" i="82" s="1"/>
  <c r="T62" i="82"/>
  <c r="T206" i="105"/>
  <c r="T73" i="82" s="1"/>
  <c r="P141" i="105"/>
  <c r="P147" i="105"/>
  <c r="U142" i="105"/>
  <c r="U148" i="105"/>
  <c r="X400" i="41"/>
  <c r="X399" i="41"/>
  <c r="X398" i="41"/>
  <c r="X207" i="105"/>
  <c r="X74" i="82" s="1"/>
  <c r="X206" i="105"/>
  <c r="X62" i="82"/>
  <c r="O142" i="105"/>
  <c r="O148" i="105"/>
  <c r="V343" i="41"/>
  <c r="V385" i="41" s="1"/>
  <c r="V388" i="41" s="1"/>
  <c r="V395" i="41" s="1"/>
  <c r="AF398" i="41"/>
  <c r="AF399" i="41"/>
  <c r="AF400" i="41"/>
  <c r="M62" i="82"/>
  <c r="M207" i="105"/>
  <c r="M74" i="82" s="1"/>
  <c r="M206" i="105"/>
  <c r="M73" i="82" s="1"/>
  <c r="T141" i="105"/>
  <c r="T147" i="105"/>
  <c r="P206" i="105"/>
  <c r="P73" i="82" s="1"/>
  <c r="P207" i="105"/>
  <c r="P74" i="82" s="1"/>
  <c r="P62" i="82"/>
  <c r="S400" i="41"/>
  <c r="S399" i="41"/>
  <c r="S398" i="41"/>
  <c r="J105" i="105"/>
  <c r="J182" i="105"/>
  <c r="J189" i="105" s="1"/>
  <c r="N142" i="105"/>
  <c r="N148" i="105"/>
  <c r="AE398" i="41"/>
  <c r="AE400" i="41"/>
  <c r="AE399" i="41"/>
  <c r="AA207" i="105"/>
  <c r="AA74" i="82" s="1"/>
  <c r="AA62" i="82"/>
  <c r="AA206" i="105"/>
  <c r="AC399" i="41"/>
  <c r="J311" i="41"/>
  <c r="J384" i="41" s="1"/>
  <c r="J388" i="41" s="1"/>
  <c r="J395" i="41" s="1"/>
  <c r="O400" i="41"/>
  <c r="O398" i="41"/>
  <c r="O399" i="41"/>
  <c r="J16" i="106"/>
  <c r="J55" i="105"/>
  <c r="U62" i="82"/>
  <c r="U206" i="105"/>
  <c r="U73" i="82" s="1"/>
  <c r="U207" i="105"/>
  <c r="U74" i="82" s="1"/>
  <c r="AA142" i="105"/>
  <c r="AA148" i="105"/>
  <c r="AF148" i="105"/>
  <c r="AF142" i="105"/>
  <c r="V206" i="105"/>
  <c r="V73" i="82" s="1"/>
  <c r="V62" i="82"/>
  <c r="V207" i="105"/>
  <c r="V74" i="82" s="1"/>
  <c r="P422" i="41" l="1"/>
  <c r="P426" i="41" s="1"/>
  <c r="T388" i="41"/>
  <c r="AG399" i="41"/>
  <c r="AC400" i="41"/>
  <c r="H119" i="106" a="1"/>
  <c r="H119" i="106" s="1"/>
  <c r="J56" i="55" s="1"/>
  <c r="AE422" i="41"/>
  <c r="AE426" i="41" s="1"/>
  <c r="S422" i="41"/>
  <c r="S426" i="41" s="1"/>
  <c r="T395" i="41"/>
  <c r="Z400" i="41"/>
  <c r="Z398" i="41"/>
  <c r="Z399" i="41"/>
  <c r="V398" i="41"/>
  <c r="V399" i="41"/>
  <c r="V400" i="41"/>
  <c r="AG422" i="41"/>
  <c r="AG426" i="41" s="1"/>
  <c r="J398" i="41"/>
  <c r="J400" i="41"/>
  <c r="J399" i="41"/>
  <c r="H105" i="105"/>
  <c r="H112" i="105" s="1"/>
  <c r="J112" i="105"/>
  <c r="H115" i="105"/>
  <c r="H122" i="105" s="1"/>
  <c r="J122" i="105"/>
  <c r="J95" i="105"/>
  <c r="X422" i="41"/>
  <c r="X426" i="41" s="1"/>
  <c r="AA399" i="41"/>
  <c r="AA398" i="41"/>
  <c r="AA400" i="41"/>
  <c r="AC422" i="41"/>
  <c r="AC426" i="41" s="1"/>
  <c r="AF422" i="41"/>
  <c r="AF426" i="41" s="1"/>
  <c r="O422" i="41"/>
  <c r="O426" i="41" s="1"/>
  <c r="U399" i="41"/>
  <c r="U400" i="41"/>
  <c r="U398" i="41"/>
  <c r="N422" i="41"/>
  <c r="N426" i="41" s="1"/>
  <c r="Y399" i="41"/>
  <c r="Y398" i="41"/>
  <c r="Y400" i="41"/>
  <c r="A4" i="106" l="1"/>
  <c r="Z422" i="41"/>
  <c r="Z426" i="41" s="1"/>
  <c r="J422" i="41"/>
  <c r="J426" i="41" s="1"/>
  <c r="T398" i="41"/>
  <c r="T400" i="41"/>
  <c r="T399" i="41"/>
  <c r="J142" i="105"/>
  <c r="J148" i="105"/>
  <c r="H95" i="105"/>
  <c r="J102" i="105"/>
  <c r="U422" i="41"/>
  <c r="U426" i="41" s="1"/>
  <c r="J147" i="105"/>
  <c r="J141" i="105"/>
  <c r="V422" i="41"/>
  <c r="V426" i="41" s="1"/>
  <c r="AA422" i="41"/>
  <c r="AA426" i="41" s="1"/>
  <c r="Y422" i="41"/>
  <c r="Y426" i="41" s="1"/>
  <c r="T422" i="41" l="1"/>
  <c r="H430" i="41" a="1"/>
  <c r="H430" i="41" s="1"/>
  <c r="J172" i="105"/>
  <c r="J64" i="82" s="1"/>
  <c r="J174" i="105"/>
  <c r="J65" i="82" s="1"/>
  <c r="J146" i="105"/>
  <c r="J63" i="82" s="1"/>
  <c r="J140" i="105"/>
  <c r="H102" i="105"/>
  <c r="H132" i="105" s="1"/>
  <c r="H133" i="105" s="1"/>
  <c r="H136" i="105" l="1"/>
  <c r="H135" i="105"/>
  <c r="H211" i="105" s="1" a="1"/>
  <c r="H211" i="105" s="1"/>
  <c r="J62" i="82"/>
  <c r="J206" i="105"/>
  <c r="J73" i="82" s="1"/>
  <c r="J207" i="105"/>
  <c r="J74" i="82" s="1"/>
  <c r="T426" i="41"/>
  <c r="H426" i="41" s="1"/>
  <c r="H432" i="41" s="1"/>
  <c r="H422" i="41"/>
  <c r="A4" i="105" l="1"/>
  <c r="J55" i="55"/>
  <c r="H78" i="82" a="1"/>
  <c r="H78" i="82" s="1"/>
  <c r="J53" i="55"/>
  <c r="A4" i="41"/>
  <c r="A4" i="82" l="1"/>
  <c r="J57" i="55"/>
  <c r="J58" i="55" s="1"/>
  <c r="A4" i="55" s="1"/>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<sst xmlns="http://schemas.openxmlformats.org/spreadsheetml/2006/main" count="7915" uniqueCount="1160">
  <si>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</si>
  <si>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</si>
  <si>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</si>
  <si>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</si>
  <si>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</si>
  <si>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</si>
  <si>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</si>
  <si>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</si>
  <si>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</si>
  <si>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</si>
  <si>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</si>
  <si>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</si>
  <si>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</si>
  <si>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</si>
  <si>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</si>
  <si>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</si>
  <si>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</si>
  <si>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</si>
  <si>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</si>
  <si>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</si>
  <si>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</si>
  <si>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</si>
  <si>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</si>
  <si>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</si>
  <si>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</si>
  <si>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</si>
  <si>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</si>
  <si>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</si>
  <si>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</si>
  <si>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</si>
  <si>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</si>
  <si>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</si>
  <si>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</si>
  <si>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</si>
  <si>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</si>
  <si>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</si>
  <si>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</si>
  <si>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</si>
  <si>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</si>
  <si>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</si>
  <si>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</si>
  <si>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</si>
  <si>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</si>
  <si>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</si>
  <si>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</si>
  <si>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</si>
  <si>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</si>
  <si>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</si>
  <si>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</si>
  <si>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</si>
  <si>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</si>
  <si>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</si>
  <si>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</si>
  <si>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</si>
  <si>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</si>
  <si>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</si>
  <si>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</si>
  <si>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</si>
  <si>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</si>
  <si>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</si>
  <si>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</si>
  <si>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</si>
  <si>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</si>
  <si>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</si>
  <si>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</si>
  <si>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</si>
  <si>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</si>
  <si>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</si>
  <si>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</si>
  <si>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</si>
  <si>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</si>
  <si>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</si>
  <si>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</si>
  <si>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</si>
  <si>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</si>
  <si>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</si>
  <si>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</si>
  <si>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</si>
  <si>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</si>
  <si>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</si>
  <si>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</si>
  <si>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</si>
  <si>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</si>
  <si>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</si>
  <si>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</si>
  <si>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</si>
  <si>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</si>
  <si>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</si>
  <si>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</si>
  <si>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</si>
  <si>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</si>
  <si>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</si>
  <si>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</si>
  <si>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</si>
  <si>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</si>
  <si>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</si>
  <si>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</si>
  <si>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</si>
  <si>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</si>
  <si>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</si>
  <si>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</si>
  <si>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</si>
  <si>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</si>
  <si>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</si>
  <si>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</si>
  <si>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</si>
  <si>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</si>
  <si>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</si>
  <si>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</si>
  <si>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</si>
  <si>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</si>
  <si>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</si>
  <si>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</si>
  <si>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</si>
  <si>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</si>
  <si>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</si>
  <si>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</si>
  <si>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</si>
  <si>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</si>
  <si>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</si>
  <si>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</si>
  <si>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</si>
  <si>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</si>
  <si>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</si>
  <si>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</si>
  <si>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</si>
  <si>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</si>
  <si>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</si>
  <si>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</si>
  <si>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</si>
  <si>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</si>
  <si>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</si>
  <si>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</si>
  <si>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</si>
  <si>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</si>
  <si>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</si>
  <si>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</si>
  <si>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</si>
  <si>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</si>
  <si>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</si>
  <si>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</si>
  <si>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</si>
  <si>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</si>
  <si>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</si>
  <si>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</si>
  <si>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</si>
  <si>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</si>
  <si>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</si>
  <si>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</si>
  <si>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</si>
  <si>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</si>
  <si>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</si>
  <si>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</si>
  <si>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</si>
  <si>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</si>
  <si>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</si>
  <si>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</si>
  <si>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</si>
  <si>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</si>
  <si>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</si>
  <si>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</si>
  <si>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</si>
  <si>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</si>
  <si>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</si>
  <si>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</si>
  <si>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</si>
  <si>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</si>
  <si>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</si>
  <si>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</si>
  <si>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</si>
  <si>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</si>
  <si>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</si>
  <si>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</si>
  <si>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</si>
  <si>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</si>
  <si>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</si>
  <si>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</si>
  <si>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</si>
  <si>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</si>
  <si>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</si>
  <si>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</si>
  <si>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</si>
  <si>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</si>
  <si>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</si>
  <si>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</si>
  <si>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</si>
  <si>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</si>
  <si>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</si>
  <si>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</si>
  <si>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</si>
  <si>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</si>
  <si>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</si>
  <si>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</si>
  <si>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</si>
  <si>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</si>
  <si>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</si>
  <si>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</si>
  <si>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</si>
  <si>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</si>
  <si>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</si>
  <si>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</si>
  <si>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</si>
  <si>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</si>
  <si>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</si>
  <si>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</si>
  <si>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</si>
  <si>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</si>
  <si>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</si>
  <si>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</si>
  <si>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</si>
  <si>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</si>
  <si>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</si>
  <si>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</si>
  <si>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</si>
  <si>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</si>
  <si>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</si>
  <si>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</si>
  <si>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</si>
  <si>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</si>
  <si>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</si>
  <si>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</si>
  <si>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</si>
  <si>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</si>
  <si>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</si>
  <si>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</si>
  <si>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</si>
  <si>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</si>
  <si>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</si>
  <si>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</si>
  <si>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</si>
  <si>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</si>
  <si>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</si>
  <si>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</si>
  <si>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</si>
  <si>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</si>
  <si>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</si>
  <si>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</si>
  <si>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</si>
  <si>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</si>
  <si>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</si>
  <si>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</si>
  <si>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</si>
  <si>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</si>
  <si>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</si>
  <si>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</si>
  <si>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</si>
  <si>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</si>
  <si>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</si>
  <si>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</si>
  <si>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</si>
  <si>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</si>
  <si>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</si>
  <si>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</si>
  <si>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</si>
  <si>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</si>
  <si>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</si>
  <si>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</si>
  <si>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</si>
  <si>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</si>
  <si>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</si>
  <si>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</si>
  <si>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</si>
  <si>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</si>
  <si>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</si>
  <si>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</si>
  <si>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</si>
  <si>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</si>
  <si>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</si>
  <si>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</si>
  <si>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</si>
  <si>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</si>
  <si>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</si>
  <si>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</si>
  <si>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</si>
  <si>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</si>
  <si>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</si>
  <si>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</si>
  <si>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</si>
  <si>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</si>
  <si>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</si>
  <si>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</si>
  <si>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</si>
  <si>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</si>
  <si>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</si>
  <si>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</si>
  <si>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</si>
  <si>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</si>
  <si>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</si>
  <si>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</si>
  <si>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</si>
  <si>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</si>
  <si>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</si>
  <si>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</si>
  <si>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</si>
  <si>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</si>
  <si>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</si>
  <si>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</si>
  <si>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</si>
  <si>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</si>
  <si>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</si>
  <si>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</si>
  <si>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</si>
  <si>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</si>
  <si>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</si>
  <si>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</si>
  <si>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</si>
  <si>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</si>
  <si>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</si>
  <si>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</si>
  <si>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</si>
  <si>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</si>
  <si>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</si>
  <si>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</si>
  <si>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</si>
  <si>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</si>
  <si>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</si>
  <si>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</si>
  <si>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</si>
  <si>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</si>
  <si>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</si>
  <si>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</si>
  <si>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</si>
  <si>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</si>
  <si>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</si>
  <si>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</si>
  <si>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</si>
  <si>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</si>
  <si>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</si>
  <si>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</si>
  <si>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</si>
  <si>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</si>
  <si>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</si>
  <si>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</si>
  <si>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</si>
  <si>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</si>
  <si>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</si>
  <si>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</si>
  <si>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</si>
  <si>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</si>
  <si>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</si>
  <si>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</si>
  <si>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</si>
  <si>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</si>
  <si>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</si>
  <si>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</si>
  <si>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</si>
  <si>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</si>
  <si>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</si>
  <si>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</si>
  <si>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</si>
  <si>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</si>
  <si>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</si>
  <si>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</si>
  <si>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</si>
  <si>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</si>
  <si>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</si>
  <si>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</si>
  <si>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</si>
  <si>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</si>
  <si>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</si>
  <si>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</si>
  <si>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</si>
  <si>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</si>
  <si>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</si>
  <si>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</si>
  <si>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</si>
  <si>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</si>
  <si>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</si>
  <si>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</si>
  <si>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</si>
  <si>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</si>
  <si>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</si>
  <si>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</si>
  <si>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</si>
  <si>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</si>
  <si>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</si>
  <si>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</si>
  <si>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</si>
  <si>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</si>
  <si>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</si>
  <si>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</si>
  <si>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</si>
  <si>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</si>
  <si>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</si>
  <si>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</si>
  <si>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</si>
  <si>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</si>
  <si>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</si>
  <si>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</si>
  <si>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</si>
  <si>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</si>
  <si>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</si>
  <si>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</si>
  <si>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</si>
  <si>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</si>
  <si>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</si>
  <si>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</si>
  <si>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</si>
  <si>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</si>
  <si>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</si>
  <si>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</si>
  <si>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</si>
  <si>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</si>
  <si>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</si>
  <si>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</si>
  <si>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</si>
  <si>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</si>
  <si>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</si>
  <si>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</si>
  <si>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</si>
  <si>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</si>
  <si>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</si>
  <si>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</si>
  <si>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</si>
  <si>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</si>
  <si>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</si>
  <si>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</si>
  <si>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</si>
  <si>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</si>
  <si>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</si>
  <si>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</si>
  <si>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</si>
  <si>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</si>
  <si>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</si>
  <si>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</si>
  <si>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</si>
  <si>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</si>
  <si>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</si>
  <si>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</si>
  <si>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</si>
  <si>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</si>
  <si>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</si>
  <si>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</si>
  <si>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</si>
  <si>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</si>
  <si>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</si>
  <si>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</si>
  <si>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</si>
  <si>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</si>
  <si>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</si>
  <si>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</si>
  <si>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</si>
  <si>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</si>
  <si>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</si>
  <si>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</si>
  <si>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</si>
  <si>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</si>
  <si>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</si>
  <si>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</si>
  <si>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</si>
  <si>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</si>
  <si>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</si>
  <si>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</si>
  <si>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</si>
  <si>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</si>
  <si>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</si>
  <si>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</si>
  <si>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</si>
  <si>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</si>
  <si>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</si>
  <si>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</si>
  <si>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</si>
  <si>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</si>
  <si>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</si>
  <si>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</si>
  <si>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</si>
  <si>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</si>
  <si>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</si>
  <si>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</si>
  <si>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</si>
  <si>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</si>
  <si>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</si>
  <si>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</si>
  <si>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</si>
  <si>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</si>
  <si>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</si>
  <si>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</si>
  <si>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</si>
  <si>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</si>
  <si>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</si>
  <si>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</si>
  <si>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</si>
  <si>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</si>
  <si>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</si>
  <si>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</si>
  <si>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</si>
  <si>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</si>
  <si>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</si>
  <si>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</si>
  <si>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</si>
  <si>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</si>
  <si>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</si>
  <si>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</si>
  <si>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</si>
  <si>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</si>
  <si>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</si>
  <si>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</si>
  <si>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</si>
  <si>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</si>
  <si>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</si>
  <si>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</si>
  <si>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</si>
  <si>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</si>
  <si>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</si>
  <si>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</si>
  <si>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</si>
  <si>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</si>
  <si>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</si>
  <si>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</si>
  <si>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</si>
  <si>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</si>
  <si>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</si>
  <si>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</si>
  <si>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</si>
  <si>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</si>
  <si>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</si>
  <si>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</si>
  <si>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</si>
  <si>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</si>
  <si>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</si>
  <si>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</si>
  <si>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</si>
  <si>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</si>
  <si>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</si>
  <si>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</si>
  <si>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</si>
  <si>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</si>
  <si>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</si>
  <si>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</si>
  <si>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</si>
  <si>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</si>
  <si>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</si>
  <si>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</si>
  <si>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</si>
  <si>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</si>
  <si>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</si>
  <si>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</si>
  <si>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</si>
  <si>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</si>
  <si>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</si>
  <si>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</si>
  <si>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</si>
  <si>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</si>
  <si>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</si>
  <si>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</si>
  <si>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</si>
  <si>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</si>
  <si>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</si>
  <si>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</si>
  <si>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</si>
  <si>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</si>
  <si>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</si>
  <si>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</si>
  <si>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</si>
  <si>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</si>
  <si>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</si>
  <si>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</si>
  <si>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</si>
  <si>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</si>
  <si>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</si>
  <si>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</si>
  <si>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</si>
  <si>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</si>
  <si>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</si>
  <si>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</si>
  <si>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</si>
  <si>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</si>
  <si>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</si>
  <si>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</si>
  <si>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</si>
  <si>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</si>
  <si>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</si>
  <si>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</si>
  <si>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</si>
  <si>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</si>
  <si>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</si>
  <si>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</si>
  <si>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</si>
  <si>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</si>
  <si>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</si>
  <si>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</si>
  <si>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</si>
  <si>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</si>
  <si>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</si>
  <si>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</si>
  <si>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</si>
  <si>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</si>
  <si>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</si>
  <si>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</si>
  <si>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</si>
  <si>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</si>
  <si>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</si>
  <si>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</si>
  <si>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</si>
  <si>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</si>
  <si>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</si>
  <si>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</si>
  <si>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</si>
  <si>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</si>
  <si>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</si>
  <si>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</si>
  <si>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</si>
  <si>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</si>
  <si>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</si>
  <si>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</si>
  <si>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</si>
  <si>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</si>
  <si>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</si>
  <si>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</si>
  <si>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</si>
  <si>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</si>
  <si>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</si>
  <si>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</si>
  <si>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</si>
  <si>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</si>
  <si>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</si>
  <si>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</si>
  <si>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</si>
  <si>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</si>
  <si>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</si>
  <si>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</si>
  <si>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</si>
  <si>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</si>
  <si>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</si>
  <si>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</si>
  <si>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</si>
  <si>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</si>
  <si>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</si>
  <si>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</si>
  <si>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</si>
  <si>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</si>
  <si>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</si>
  <si>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</si>
  <si>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</si>
  <si>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</si>
  <si>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</si>
  <si>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</si>
  <si>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</si>
  <si>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</si>
  <si>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</si>
  <si>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</si>
  <si>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</si>
  <si>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</si>
  <si>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</si>
  <si>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</si>
  <si>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</si>
  <si>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</si>
  <si>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</si>
  <si>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</si>
  <si>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</si>
  <si>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</si>
  <si>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</si>
  <si>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</si>
  <si>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</si>
  <si>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</si>
  <si>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</si>
  <si>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</si>
  <si>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</si>
  <si>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</si>
  <si>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</si>
  <si>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</si>
  <si>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</si>
  <si>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</si>
  <si>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</si>
  <si>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</si>
  <si>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</si>
  <si>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</si>
  <si>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</si>
  <si>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</si>
  <si>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</si>
  <si>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</si>
  <si>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</si>
  <si>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</si>
  <si>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</si>
  <si>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</si>
  <si>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</si>
  <si>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</si>
  <si>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</si>
  <si>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</si>
  <si>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</si>
  <si>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</si>
  <si>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</si>
  <si>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</si>
  <si>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</si>
  <si>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</si>
  <si>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</si>
  <si>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</si>
  <si>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</si>
  <si>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</si>
  <si>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</si>
  <si>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</si>
  <si>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</si>
  <si>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</si>
  <si>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</si>
  <si>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</si>
  <si>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</si>
  <si>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</si>
  <si>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</si>
  <si>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</si>
  <si>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</si>
  <si>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</si>
  <si>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</si>
  <si>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</si>
  <si>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</si>
  <si>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</si>
  <si>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</si>
  <si>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</si>
  <si>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</si>
  <si>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</si>
  <si>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</si>
  <si>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</si>
  <si>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</si>
  <si>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</si>
  <si>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</si>
  <si>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</si>
  <si>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</si>
  <si>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</si>
  <si>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</si>
  <si>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</si>
  <si>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</si>
  <si>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</si>
  <si>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</si>
  <si>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</si>
  <si>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</si>
  <si>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</si>
  <si>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</si>
  <si>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</si>
  <si>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</si>
  <si>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</si>
  <si>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</si>
  <si>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</si>
  <si>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</si>
  <si>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</si>
  <si>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</si>
  <si>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</si>
  <si>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</si>
  <si>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</si>
  <si>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</si>
  <si>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</si>
  <si>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</si>
  <si>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</si>
  <si>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</si>
  <si>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</si>
  <si>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</si>
  <si>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</si>
  <si>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</si>
  <si>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</si>
  <si>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</si>
  <si>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</si>
  <si>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</si>
  <si>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</si>
  <si>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</si>
  <si>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</si>
  <si>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</si>
  <si>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</si>
  <si>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</si>
  <si>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</si>
  <si>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</si>
  <si>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</si>
  <si>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</si>
  <si>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</si>
  <si>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</si>
  <si>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</si>
  <si>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</si>
  <si>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</si>
  <si>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</si>
  <si>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</si>
  <si>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</si>
  <si>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</si>
  <si>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</si>
  <si>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</si>
  <si>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</si>
  <si>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</si>
  <si>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</si>
  <si>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</si>
  <si>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</si>
  <si>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</si>
  <si>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</si>
  <si>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</si>
  <si>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</si>
  <si>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</si>
  <si>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</si>
  <si>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</si>
  <si>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</si>
  <si>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</si>
  <si>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</si>
  <si>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</si>
  <si>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</si>
  <si>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</si>
  <si>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</si>
  <si>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</si>
  <si>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</si>
  <si>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</si>
  <si>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</si>
  <si>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</si>
  <si>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</si>
  <si>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</si>
  <si>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</si>
  <si>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</si>
  <si>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</si>
  <si>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</si>
  <si>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</si>
  <si>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</si>
  <si>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</si>
  <si>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</si>
  <si>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</si>
  <si>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</si>
  <si>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</si>
  <si>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</si>
  <si>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</si>
  <si>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</si>
  <si>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</si>
  <si>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</si>
  <si>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</si>
  <si>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</si>
  <si>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</si>
  <si>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</si>
  <si>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</si>
  <si>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</si>
  <si>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</si>
  <si>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</si>
  <si>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</si>
  <si>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</si>
  <si>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</si>
  <si>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</si>
  <si>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</si>
  <si>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</si>
  <si>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</si>
  <si>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</si>
  <si>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</si>
  <si>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</si>
  <si>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</si>
  <si>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</si>
  <si>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</si>
  <si>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</si>
  <si>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</si>
  <si>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</si>
  <si>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</si>
  <si>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</si>
  <si>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</si>
  <si>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</si>
  <si>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</si>
  <si>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</si>
  <si>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</si>
  <si>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</si>
  <si>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</si>
  <si>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</si>
  <si>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</si>
  <si>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</si>
  <si>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</si>
  <si>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</si>
  <si>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</si>
  <si>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</si>
  <si>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</si>
  <si>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</si>
  <si>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</si>
  <si>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</si>
  <si>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</si>
  <si>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</si>
  <si>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</si>
  <si>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</si>
  <si>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</si>
  <si>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</si>
  <si>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</si>
  <si>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</si>
  <si>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</si>
  <si>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</si>
  <si>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</si>
  <si>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</si>
  <si>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</si>
  <si>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</si>
  <si>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</si>
  <si>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</si>
  <si>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</si>
  <si>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</si>
  <si>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</si>
  <si>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</si>
  <si>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</si>
  <si>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</si>
  <si>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</si>
  <si>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</si>
  <si>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</si>
  <si>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</si>
  <si>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</si>
  <si>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</si>
  <si>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</si>
  <si>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</si>
  <si>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</si>
  <si>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</si>
  <si>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</si>
  <si>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</si>
  <si>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</si>
  <si>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</si>
  <si>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</si>
  <si>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</si>
  <si>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</si>
  <si>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</si>
  <si>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</si>
  <si>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</si>
  <si>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</si>
  <si>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</si>
  <si>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</si>
  <si>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</si>
  <si>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</si>
  <si>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</si>
  <si>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</si>
  <si>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</si>
  <si>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</si>
  <si>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</si>
  <si>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</si>
  <si>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</si>
  <si>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</si>
  <si>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</si>
  <si>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</si>
  <si>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</si>
  <si>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</si>
  <si>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</si>
  <si>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</si>
  <si>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</si>
  <si>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</si>
  <si>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</si>
  <si>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</si>
  <si>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</si>
  <si>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</si>
  <si>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</si>
  <si>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</si>
  <si>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</si>
  <si>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</si>
  <si>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</si>
  <si>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</si>
  <si>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</si>
  <si>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</si>
  <si>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</si>
  <si>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</si>
  <si>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</si>
  <si>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</si>
  <si>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</si>
  <si>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</si>
  <si>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</si>
  <si>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</si>
  <si>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</si>
  <si>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</si>
  <si>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</si>
  <si>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</si>
  <si>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</si>
  <si>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</si>
  <si>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</si>
  <si>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</si>
  <si>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</si>
  <si>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</si>
  <si>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</si>
  <si>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</si>
  <si>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</si>
  <si>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</si>
  <si>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</si>
  <si>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</si>
  <si>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</si>
  <si>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</si>
  <si>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</si>
  <si>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</si>
  <si>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</si>
  <si>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</si>
  <si>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</si>
  <si>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</si>
  <si>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</si>
  <si>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</si>
  <si>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</si>
  <si>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</si>
  <si>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</si>
  <si>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</si>
  <si>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</si>
  <si>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</si>
  <si>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</si>
  <si>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</si>
  <si>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</si>
  <si>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</si>
  <si>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</si>
  <si>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</si>
  <si>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</si>
  <si>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</si>
  <si>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</si>
  <si>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</si>
  <si>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</si>
  <si>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</si>
  <si>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</si>
  <si>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</si>
  <si>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</si>
  <si>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</si>
  <si>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</si>
  <si>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</si>
  <si>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</si>
  <si>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</si>
  <si>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</si>
  <si>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</si>
  <si>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</si>
  <si>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</si>
  <si>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</si>
  <si>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</si>
  <si>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</si>
  <si>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</si>
  <si>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</si>
  <si>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</si>
  <si>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</si>
  <si>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</si>
  <si>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</si>
  <si>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</si>
  <si>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</si>
  <si>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</si>
  <si>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</si>
  <si>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</si>
  <si>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</si>
  <si>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</si>
  <si>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</si>
  <si>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</si>
  <si>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</si>
  <si>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</si>
  <si>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</si>
  <si>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</si>
  <si>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</si>
  <si>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</si>
  <si>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</si>
  <si>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</si>
  <si>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</si>
  <si>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</si>
  <si>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</si>
  <si>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</si>
  <si>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</si>
  <si>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</si>
  <si>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</si>
  <si>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</si>
  <si>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</si>
  <si>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</si>
  <si>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</si>
  <si>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</si>
  <si>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</si>
  <si>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</si>
  <si>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</si>
  <si>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</si>
  <si>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</si>
  <si>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</si>
  <si>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</si>
  <si>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</si>
  <si>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</si>
  <si>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</si>
  <si>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</si>
  <si>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</si>
  <si>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</si>
  <si>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</si>
  <si>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</si>
  <si>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</si>
  <si>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</si>
  <si>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</si>
  <si>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</si>
  <si>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</si>
  <si>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</si>
  <si>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</si>
  <si>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</si>
  <si>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</si>
  <si>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</si>
  <si>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</si>
  <si>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</si>
  <si>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</si>
  <si>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</si>
  <si>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</si>
  <si>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</si>
  <si>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</si>
  <si>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</si>
  <si>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</si>
  <si>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</si>
  <si>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</si>
  <si>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</si>
  <si>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</si>
  <si>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</si>
  <si>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</si>
  <si>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</si>
  <si>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</si>
  <si>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</si>
  <si>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</si>
  <si>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</si>
  <si>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</si>
  <si>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</si>
  <si>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</si>
  <si>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</si>
  <si>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</si>
  <si>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</si>
  <si>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</si>
  <si>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</si>
  <si>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</si>
  <si>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</si>
  <si>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</si>
  <si>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</si>
  <si>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</si>
  <si>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</si>
  <si>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</si>
  <si>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</si>
  <si>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</si>
  <si>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</si>
  <si>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</si>
  <si>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</si>
  <si>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</si>
  <si>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</si>
  <si>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</si>
  <si>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</si>
  <si>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</si>
  <si>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</si>
  <si>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</si>
  <si>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</si>
  <si>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</si>
  <si>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</si>
  <si>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</si>
  <si>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</si>
  <si>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</si>
  <si>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</si>
  <si>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</si>
  <si>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</si>
  <si>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</si>
  <si>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</si>
  <si>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</si>
  <si>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</si>
  <si>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</si>
  <si>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</si>
  <si>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</si>
  <si>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</si>
  <si>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</si>
  <si>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</si>
  <si>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</si>
  <si>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</si>
  <si>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</si>
  <si>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</si>
  <si>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</si>
  <si>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</si>
  <si>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</si>
  <si>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</si>
  <si>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</si>
  <si>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</si>
  <si>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</si>
  <si>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</si>
  <si>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</si>
  <si>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</si>
  <si>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</si>
  <si>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</si>
  <si>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</si>
  <si>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</si>
  <si>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</si>
  <si>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</si>
  <si>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</si>
  <si>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</si>
  <si>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</si>
  <si>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</si>
  <si>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</si>
  <si>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</si>
  <si>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</si>
  <si>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</si>
  <si>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</si>
  <si>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</si>
  <si>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</si>
  <si>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</si>
  <si>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Electricity North West Limited</t>
  </si>
  <si>
    <t>Working Model</t>
  </si>
  <si>
    <t>New model with latest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</si>
</sst>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9">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rgb="FF92D050"/>
        <bgColor indexed="64"/>
      </patternFill>
    </fill>
    <fill>
      <patternFill patternType="solid">
        <fgColor rgb="FFD086CC"/>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9" fontId="8" fillId="47" borderId="2" xfId="51" applyNumberFormat="1" applyFill="1" applyBorder="1" applyProtection="1">
      <protection locked="0"/>
    </xf>
    <xf numFmtId="9" fontId="8" fillId="47" borderId="0" xfId="51" applyNumberFormat="1" applyFill="1" applyBorder="1" applyProtection="1">
      <protection locked="0"/>
    </xf>
    <xf numFmtId="9" fontId="8" fillId="47" borderId="3" xfId="51" applyNumberFormat="1" applyFill="1" applyBorder="1" applyProtection="1">
      <protection locked="0"/>
    </xf>
    <xf numFmtId="175" fontId="8" fillId="47" borderId="2" xfId="51" applyNumberFormat="1" applyFill="1" applyBorder="1">
      <protection locked="0"/>
    </xf>
    <xf numFmtId="175" fontId="8" fillId="47" borderId="0" xfId="51" applyNumberFormat="1" applyFill="1" applyBorder="1">
      <protection locked="0"/>
    </xf>
    <xf numFmtId="175" fontId="8" fillId="47" borderId="3" xfId="51" applyNumberFormat="1" applyFill="1" applyBorder="1">
      <protection locked="0"/>
    </xf>
    <xf numFmtId="175" fontId="8" fillId="47" borderId="0" xfId="51" applyNumberFormat="1" applyFill="1" applyBorder="1" applyProtection="1">
      <protection locked="0"/>
    </xf>
    <xf numFmtId="10" fontId="8" fillId="47" borderId="0" xfId="51" applyNumberFormat="1" applyFill="1" applyProtection="1">
      <protection locked="0"/>
    </xf>
    <xf numFmtId="9" fontId="8" fillId="47" borderId="0" xfId="51" applyNumberFormat="1" applyFill="1" applyProtection="1">
      <protection locked="0"/>
    </xf>
    <xf numFmtId="175" fontId="8" fillId="47" borderId="2" xfId="51" applyNumberFormat="1" applyFill="1" applyBorder="1" applyProtection="1">
      <protection locked="0"/>
    </xf>
    <xf numFmtId="175" fontId="8" fillId="47" borderId="0" xfId="51" applyNumberFormat="1" applyFill="1" applyProtection="1">
      <protection locked="0"/>
    </xf>
    <xf numFmtId="175" fontId="8" fillId="47" borderId="3" xfId="51" applyNumberFormat="1" applyFill="1" applyBorder="1" applyProtection="1">
      <protection locked="0"/>
    </xf>
    <xf numFmtId="0" fontId="8" fillId="47" borderId="0" xfId="51" applyFill="1" applyProtection="1">
      <protection locked="0"/>
    </xf>
    <xf numFmtId="175" fontId="8" fillId="48" borderId="0" xfId="51" applyNumberFormat="1" applyFill="1" applyProtection="1">
      <protection locked="0"/>
    </xf>
    <xf numFmtId="176" fontId="8" fillId="47" borderId="0" xfId="51" applyNumberFormat="1" applyFill="1" applyProtection="1">
      <protection locked="0"/>
    </xf>
    <xf numFmtId="175" fontId="8" fillId="47" borderId="0" xfId="51" applyNumberFormat="1" applyFill="1" applyAlignment="1" applyProtection="1">
      <alignment vertical="top"/>
      <protection locked="0"/>
    </xf>
    <xf numFmtId="179" fontId="8" fillId="47" borderId="0" xfId="51" applyNumberFormat="1" applyFill="1">
      <protection locked="0"/>
    </xf>
    <xf numFmtId="169" fontId="8" fillId="48" borderId="2" xfId="51" applyNumberFormat="1" applyFill="1" applyBorder="1" applyProtection="1">
      <protection locked="0"/>
    </xf>
    <xf numFmtId="169" fontId="8" fillId="48" borderId="0" xfId="51" applyNumberFormat="1" applyFill="1" applyProtection="1">
      <protection locked="0"/>
    </xf>
    <xf numFmtId="169" fontId="8" fillId="48" borderId="3" xfId="51" applyNumberFormat="1" applyFill="1" applyBorder="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heetViews>
  <sheetFormatPr defaultColWidth="0" defaultRowHeight="15" customHeight="1" x14ac:dyDescent="0.3"/>
  <cols>
    <col min="1" max="1" width="2.6640625" style="3" customWidth="1"/>
    <col min="2" max="2" width="22.6640625" style="3" customWidth="1"/>
    <col min="3" max="3" width="2.6640625" style="3" customWidth="1"/>
    <col min="4" max="4" width="100.44140625" style="4" customWidth="1"/>
    <col min="5" max="5" width="2.5546875" style="3" customWidth="1"/>
    <col min="6" max="16384" width="9.33203125" style="3" hidden="1"/>
  </cols>
  <sheetData>
    <row r="2" spans="2:4" ht="28.8" x14ac:dyDescent="0.3">
      <c r="D2" s="16" t="s">
        <v>0</v>
      </c>
    </row>
    <row r="4" spans="2:4" ht="21" x14ac:dyDescent="0.3">
      <c r="D4" s="7" t="s">
        <v>1140</v>
      </c>
    </row>
    <row r="5" spans="2:4" ht="14.4" x14ac:dyDescent="0.3">
      <c r="D5" s="17"/>
    </row>
    <row r="6" spans="2:4" ht="14.4" x14ac:dyDescent="0.3">
      <c r="B6" s="18" t="str">
        <f>'Version control'!F7</f>
        <v>Model date:</v>
      </c>
      <c r="D6" s="19">
        <f>'Version control'!H7</f>
        <v>44141</v>
      </c>
    </row>
    <row r="7" spans="2:4" ht="15" customHeight="1" x14ac:dyDescent="0.3">
      <c r="D7" s="20"/>
    </row>
    <row r="8" spans="2:4" ht="15" customHeight="1" x14ac:dyDescent="0.3">
      <c r="B8" s="18" t="str">
        <f>'Version control'!F9</f>
        <v>Development stage:</v>
      </c>
      <c r="D8" s="19" t="str">
        <f>'Version control'!H9</f>
        <v>Release for charge setting</v>
      </c>
    </row>
    <row r="9" spans="2:4" ht="15" customHeight="1" x14ac:dyDescent="0.3">
      <c r="D9" s="20"/>
    </row>
    <row r="10" spans="2:4" ht="15" customHeight="1" x14ac:dyDescent="0.3">
      <c r="B10" s="18" t="str">
        <f>'Version control'!F11</f>
        <v>Model number:</v>
      </c>
      <c r="D10" s="20">
        <f>'Version control'!H11</f>
        <v>7</v>
      </c>
    </row>
    <row r="11" spans="2:4" ht="15" customHeight="1" x14ac:dyDescent="0.3">
      <c r="D11" s="20"/>
    </row>
    <row r="12" spans="2:4" ht="15" customHeight="1" x14ac:dyDescent="0.3">
      <c r="B12" s="18" t="str">
        <f>'Version control'!F13</f>
        <v>DCUSA text version:</v>
      </c>
      <c r="D12" s="19" t="str">
        <f>'Version control'!H13</f>
        <v>01 April 2022 Charging Methodologies Pre-Release – October 2020 (Schedules 16, 17, 18, 20 and 29) DCP 361</v>
      </c>
    </row>
    <row r="13" spans="2:4" ht="15" customHeight="1" x14ac:dyDescent="0.3">
      <c r="D13" s="20"/>
    </row>
    <row r="14" spans="2:4" ht="15" customHeight="1" x14ac:dyDescent="0.3">
      <c r="B14" s="18" t="str">
        <f>'Version control'!F15</f>
        <v>DCUSA text schedule:</v>
      </c>
      <c r="D14" s="19" t="str">
        <f>'Version control'!H15</f>
        <v>Schedule 16</v>
      </c>
    </row>
    <row r="16" spans="2:4" ht="28.8" x14ac:dyDescent="0.3">
      <c r="B16" s="18" t="s">
        <v>1</v>
      </c>
      <c r="D16" s="8" t="s">
        <v>1141</v>
      </c>
    </row>
    <row r="17" spans="2:4" ht="14.4" x14ac:dyDescent="0.3">
      <c r="D17" s="4" t="s">
        <v>2</v>
      </c>
    </row>
    <row r="18" spans="2:4" ht="14.4" x14ac:dyDescent="0.3">
      <c r="D18" s="3"/>
    </row>
    <row r="19" spans="2:4" ht="15" customHeight="1" x14ac:dyDescent="0.3">
      <c r="B19" s="18" t="s">
        <v>3</v>
      </c>
      <c r="D19" s="241" t="s">
        <v>1139</v>
      </c>
    </row>
    <row r="21" spans="2:4" ht="15" customHeight="1" x14ac:dyDescent="0.3">
      <c r="B21" s="18" t="s">
        <v>4</v>
      </c>
      <c r="D21" s="241" t="s">
        <v>1157</v>
      </c>
    </row>
    <row r="23" spans="2:4" ht="15" customHeight="1" x14ac:dyDescent="0.3">
      <c r="B23" s="18" t="s">
        <v>5</v>
      </c>
      <c r="D23" s="241" t="s">
        <v>1158</v>
      </c>
    </row>
    <row r="25" spans="2:4" ht="30" customHeight="1" x14ac:dyDescent="0.3">
      <c r="B25" s="18" t="s">
        <v>6</v>
      </c>
      <c r="D25" s="241" t="s">
        <v>1159</v>
      </c>
    </row>
    <row r="26" spans="2:4" ht="15" customHeight="1" x14ac:dyDescent="0.3">
      <c r="B26" s="18"/>
    </row>
    <row r="27" spans="2:4" ht="15" customHeight="1" x14ac:dyDescent="0.3">
      <c r="B27" s="18" t="s">
        <v>7</v>
      </c>
    </row>
    <row r="28" spans="2:4" customFormat="1" ht="15" customHeight="1" x14ac:dyDescent="0.3">
      <c r="B28" s="21" t="s">
        <v>8</v>
      </c>
      <c r="C28" s="1"/>
      <c r="D28" s="1" t="s">
        <v>9</v>
      </c>
    </row>
    <row r="29" spans="2:4" customFormat="1" ht="14.4" x14ac:dyDescent="0.3">
      <c r="B29" s="22"/>
      <c r="C29" s="23"/>
      <c r="D29" s="23" t="s">
        <v>10</v>
      </c>
    </row>
    <row r="30" spans="2:4" customFormat="1" ht="14.4" x14ac:dyDescent="0.3">
      <c r="B30" s="242" t="s">
        <v>11</v>
      </c>
      <c r="D30" t="s">
        <v>12</v>
      </c>
    </row>
    <row r="31" spans="2:4" customFormat="1" ht="14.4" x14ac:dyDescent="0.3">
      <c r="B31" s="243" t="s">
        <v>11</v>
      </c>
      <c r="D31" t="s">
        <v>13</v>
      </c>
    </row>
    <row r="32" spans="2:4" customFormat="1" ht="14.4" x14ac:dyDescent="0.3">
      <c r="B32" s="244" t="s">
        <v>11</v>
      </c>
      <c r="D32" t="s">
        <v>14</v>
      </c>
    </row>
    <row r="33" spans="2:4" customFormat="1" ht="14.4" x14ac:dyDescent="0.3">
      <c r="B33" s="24" t="s">
        <v>11</v>
      </c>
      <c r="D33" t="s">
        <v>15</v>
      </c>
    </row>
    <row r="34" spans="2:4" customFormat="1" ht="14.4" x14ac:dyDescent="0.3">
      <c r="B34" s="25" t="s">
        <v>11</v>
      </c>
      <c r="D34" t="s">
        <v>16</v>
      </c>
    </row>
    <row r="35" spans="2:4" customFormat="1" ht="14.4" x14ac:dyDescent="0.3">
      <c r="B35" s="26" t="s">
        <v>11</v>
      </c>
      <c r="D35" t="s">
        <v>17</v>
      </c>
    </row>
    <row r="36" spans="2:4" customFormat="1" ht="14.4" x14ac:dyDescent="0.3">
      <c r="B36" s="27" t="s">
        <v>11</v>
      </c>
      <c r="D36" t="s">
        <v>18</v>
      </c>
    </row>
    <row r="37" spans="2:4" customFormat="1" ht="14.4" x14ac:dyDescent="0.3">
      <c r="B37" s="28" t="s">
        <v>19</v>
      </c>
      <c r="D37" t="s">
        <v>20</v>
      </c>
    </row>
    <row r="38" spans="2:4" customFormat="1" ht="15" customHeight="1" x14ac:dyDescent="0.3">
      <c r="B38" s="29" t="s">
        <v>19</v>
      </c>
      <c r="D38" t="s">
        <v>21</v>
      </c>
    </row>
    <row r="39" spans="2:4" customFormat="1" ht="15" customHeight="1" x14ac:dyDescent="0.3">
      <c r="B39" s="1" t="s">
        <v>19</v>
      </c>
      <c r="D39" t="s">
        <v>22</v>
      </c>
    </row>
    <row r="40" spans="2:4" customFormat="1" ht="15" customHeight="1" x14ac:dyDescent="0.3">
      <c r="B40" s="30" t="s">
        <v>19</v>
      </c>
      <c r="D40" t="s">
        <v>23</v>
      </c>
    </row>
    <row r="41" spans="2:4" customFormat="1" ht="15" customHeight="1" x14ac:dyDescent="0.3">
      <c r="B41" s="31" t="s">
        <v>19</v>
      </c>
      <c r="D41" t="s">
        <v>24</v>
      </c>
    </row>
    <row r="42" spans="2:4" customFormat="1" ht="15" customHeight="1" x14ac:dyDescent="0.3">
      <c r="B42" s="32" t="s">
        <v>19</v>
      </c>
      <c r="D42" t="s">
        <v>25</v>
      </c>
    </row>
    <row r="43" spans="2:4" customFormat="1" ht="15" customHeight="1" x14ac:dyDescent="0.3">
      <c r="B43" s="33" t="s">
        <v>26</v>
      </c>
      <c r="D43" t="s">
        <v>27</v>
      </c>
    </row>
    <row r="44" spans="2:4" customFormat="1" ht="15" customHeight="1" x14ac:dyDescent="0.3">
      <c r="B44" s="34" t="s">
        <v>26</v>
      </c>
      <c r="D44" t="s">
        <v>28</v>
      </c>
    </row>
    <row r="45" spans="2:4" customFormat="1" ht="15" customHeight="1" x14ac:dyDescent="0.3">
      <c r="B45" s="35" t="s">
        <v>26</v>
      </c>
      <c r="D45" t="s">
        <v>29</v>
      </c>
    </row>
    <row r="46" spans="2:4" customFormat="1" ht="15" customHeight="1" x14ac:dyDescent="0.3">
      <c r="B46" s="36" t="s">
        <v>26</v>
      </c>
      <c r="C46" s="37"/>
      <c r="D46" s="37" t="s">
        <v>30</v>
      </c>
    </row>
    <row r="47" spans="2:4" ht="15" customHeight="1" x14ac:dyDescent="0.3">
      <c r="D47" s="38"/>
    </row>
    <row r="48" spans="2:4" ht="15" customHeight="1" x14ac:dyDescent="0.3">
      <c r="B48" s="4"/>
    </row>
    <row r="49" spans="2:4" ht="15" customHeight="1" x14ac:dyDescent="0.3">
      <c r="B49" s="39"/>
    </row>
    <row r="50" spans="2:4" ht="15" customHeight="1" x14ac:dyDescent="0.3">
      <c r="B50" s="39"/>
    </row>
    <row r="51" spans="2:4" ht="15" customHeight="1" x14ac:dyDescent="0.3">
      <c r="B51" s="39"/>
    </row>
    <row r="52" spans="2:4" ht="15" customHeight="1" x14ac:dyDescent="0.3">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activeCell="A4" sqref="A4"/>
    </sheetView>
  </sheetViews>
  <sheetFormatPr defaultColWidth="0" defaultRowHeight="14.4" x14ac:dyDescent="0.3"/>
  <cols>
    <col min="1" max="5" width="2.5546875" style="6" customWidth="1"/>
    <col min="6" max="6" width="20.6640625" style="6" customWidth="1"/>
    <col min="7" max="7" width="22.6640625" style="6" customWidth="1"/>
    <col min="8" max="8" width="24.33203125" style="6" customWidth="1"/>
    <col min="9" max="9" width="30.6640625" style="6" customWidth="1"/>
    <col min="10" max="10" width="19.44140625" style="6" bestFit="1" customWidth="1"/>
    <col min="11" max="11" width="10.5546875" style="6" customWidth="1"/>
    <col min="12" max="12" width="82.5546875" style="6" customWidth="1"/>
    <col min="13" max="13" width="2.5546875" style="6" customWidth="1"/>
    <col min="14" max="16384" width="9.33203125" style="6" hidden="1"/>
  </cols>
  <sheetData>
    <row r="1" spans="1:13" s="1" customFormat="1" x14ac:dyDescent="0.3">
      <c r="A1" s="1" t="str">
        <f ca="1">MID(CELL("filename",A1),FIND("]",CELL("filename",A1))+1,255)</f>
        <v>Version control</v>
      </c>
    </row>
    <row r="2" spans="1:13" s="1" customFormat="1" x14ac:dyDescent="0.3">
      <c r="A2" s="1" t="str">
        <f>Cover!D21&amp;" - "&amp;Cover!D23</f>
        <v>Electricity North West Limited - Working Model</v>
      </c>
    </row>
    <row r="3" spans="1:13" s="5" customFormat="1" x14ac:dyDescent="0.3">
      <c r="A3" s="5" t="str">
        <f>Cover!D2&amp;" - "&amp;Cover!D8&amp;" v"&amp;Cover!D10&amp;" - "&amp;Cover!D19</f>
        <v>CDCM charging model - Release for charge setting v7 - 2022/23</v>
      </c>
    </row>
    <row r="4" spans="1:13" customFormat="1" x14ac:dyDescent="0.3">
      <c r="A4" s="12" t="str">
        <f>J58 &amp; IF(J58 = 1, " issue", " issues") &amp;" identified in checks on this sheet"</f>
        <v>0 issues identified in checks on this sheet</v>
      </c>
      <c r="B4" s="13"/>
      <c r="C4" s="13"/>
      <c r="D4" s="13"/>
      <c r="E4" s="13"/>
      <c r="F4" s="13"/>
      <c r="G4" s="13"/>
      <c r="H4" s="14"/>
      <c r="I4" s="14"/>
      <c r="J4" s="13"/>
    </row>
    <row r="5" spans="1:13" x14ac:dyDescent="0.3">
      <c r="A5" s="40"/>
      <c r="B5" s="41" t="s">
        <v>31</v>
      </c>
      <c r="C5" s="41"/>
      <c r="D5" s="41"/>
      <c r="E5" s="41"/>
      <c r="F5" s="41"/>
      <c r="G5" s="42"/>
      <c r="H5" s="42"/>
      <c r="I5" s="42"/>
      <c r="J5" s="42"/>
      <c r="K5" s="42"/>
      <c r="L5" s="41"/>
    </row>
    <row r="6" spans="1:13" x14ac:dyDescent="0.3">
      <c r="A6" s="40"/>
      <c r="B6" s="40"/>
      <c r="C6" s="40"/>
      <c r="D6" s="40"/>
      <c r="E6" s="40"/>
      <c r="F6" s="40"/>
      <c r="G6" s="43"/>
      <c r="H6" s="43"/>
      <c r="I6" s="43"/>
      <c r="J6" s="43"/>
      <c r="K6" s="43"/>
      <c r="L6" s="40"/>
    </row>
    <row r="7" spans="1:13" x14ac:dyDescent="0.3">
      <c r="A7" s="40"/>
      <c r="B7" s="40"/>
      <c r="C7" s="40"/>
      <c r="D7" s="40"/>
      <c r="F7" s="40" t="s">
        <v>32</v>
      </c>
      <c r="H7" s="10">
        <f>LOOKUP(2,1/(F20:F30&lt;&gt;""),F20:F30)</f>
        <v>44141</v>
      </c>
      <c r="I7" s="44"/>
      <c r="J7" s="44"/>
      <c r="K7" s="40"/>
      <c r="L7" s="40"/>
    </row>
    <row r="8" spans="1:13" x14ac:dyDescent="0.3">
      <c r="A8" s="40"/>
      <c r="B8" s="40"/>
      <c r="C8" s="40"/>
      <c r="D8" s="40"/>
      <c r="F8" s="40"/>
      <c r="H8" s="40"/>
      <c r="I8" s="43"/>
      <c r="J8" s="43"/>
      <c r="K8" s="40"/>
      <c r="L8" s="40"/>
    </row>
    <row r="9" spans="1:13" x14ac:dyDescent="0.3">
      <c r="A9" s="40"/>
      <c r="B9" s="40"/>
      <c r="C9" s="40"/>
      <c r="D9" s="40"/>
      <c r="F9" s="40" t="s">
        <v>33</v>
      </c>
      <c r="H9" s="45" t="str">
        <f>LOOKUP(2,1/(G20:G30&lt;&gt;""),G20:G30)</f>
        <v>Release for charge setting</v>
      </c>
      <c r="I9" s="46"/>
      <c r="J9" s="46"/>
      <c r="K9" s="40"/>
      <c r="L9" s="40"/>
    </row>
    <row r="10" spans="1:13" x14ac:dyDescent="0.3">
      <c r="A10" s="40"/>
      <c r="B10" s="40"/>
      <c r="C10" s="40"/>
      <c r="D10" s="40"/>
      <c r="F10" s="40"/>
      <c r="H10" s="40"/>
      <c r="I10" s="40"/>
      <c r="J10" s="40"/>
      <c r="K10" s="40"/>
      <c r="L10" s="40"/>
    </row>
    <row r="11" spans="1:13" x14ac:dyDescent="0.3">
      <c r="A11" s="40"/>
      <c r="B11" s="40"/>
      <c r="C11" s="40"/>
      <c r="D11" s="40"/>
      <c r="F11" s="290" t="s">
        <v>823</v>
      </c>
      <c r="H11" s="45">
        <f>LOOKUP(2,1/(H20:H30&lt;&gt;""),H20:H30)</f>
        <v>7</v>
      </c>
      <c r="I11" s="46"/>
      <c r="J11" s="46"/>
      <c r="K11" s="40"/>
      <c r="L11" s="40"/>
    </row>
    <row r="12" spans="1:13" x14ac:dyDescent="0.3">
      <c r="A12" s="40"/>
      <c r="B12" s="40"/>
      <c r="C12" s="40"/>
      <c r="D12" s="40"/>
      <c r="F12" s="40"/>
      <c r="H12" s="40"/>
      <c r="I12" s="43"/>
      <c r="J12" s="43"/>
      <c r="K12" s="40"/>
      <c r="L12" s="40"/>
    </row>
    <row r="13" spans="1:13" customFormat="1" x14ac:dyDescent="0.3">
      <c r="A13" s="9"/>
      <c r="B13" s="9"/>
      <c r="C13" s="9"/>
      <c r="D13" s="9"/>
      <c r="E13" s="6"/>
      <c r="F13" s="40" t="s">
        <v>34</v>
      </c>
      <c r="H13" s="10" t="str">
        <f>LOOKUP(2,1/(I20:I30&lt;&gt;""),I20:I30)</f>
        <v>01 April 2022 Charging Methodologies Pre-Release – October 2020 (Schedules 16, 17, 18, 20 and 29) DCP 361</v>
      </c>
      <c r="I13" s="11"/>
      <c r="J13" s="11"/>
      <c r="K13" s="11"/>
      <c r="L13" s="9"/>
      <c r="M13" s="9"/>
    </row>
    <row r="14" spans="1:13" customFormat="1" x14ac:dyDescent="0.3">
      <c r="A14" s="9"/>
      <c r="B14" s="9"/>
      <c r="C14" s="9"/>
      <c r="D14" s="9"/>
      <c r="E14" s="6"/>
      <c r="F14" s="9"/>
      <c r="I14" s="11"/>
      <c r="J14" s="11"/>
      <c r="K14" s="11"/>
      <c r="L14" s="9"/>
      <c r="M14" s="9"/>
    </row>
    <row r="15" spans="1:13" x14ac:dyDescent="0.3">
      <c r="A15" s="40"/>
      <c r="B15" s="40"/>
      <c r="C15" s="40"/>
      <c r="D15" s="40"/>
      <c r="F15" s="40" t="s">
        <v>35</v>
      </c>
      <c r="H15" s="45" t="str">
        <f>LOOKUP(2,1/(J20:J30&lt;&gt;""),J20:J30)</f>
        <v>Schedule 16</v>
      </c>
      <c r="I15" s="43"/>
      <c r="J15" s="43"/>
      <c r="K15" s="40"/>
      <c r="L15" s="40"/>
    </row>
    <row r="16" spans="1:13" x14ac:dyDescent="0.3">
      <c r="A16" s="40"/>
      <c r="B16" s="40"/>
      <c r="C16" s="40"/>
      <c r="D16" s="40"/>
      <c r="E16" s="40"/>
      <c r="F16" s="40"/>
      <c r="H16" s="43"/>
      <c r="I16" s="43"/>
      <c r="J16" s="43"/>
      <c r="K16" s="40"/>
      <c r="L16" s="40"/>
    </row>
    <row r="17" spans="1:12" x14ac:dyDescent="0.3">
      <c r="A17" s="40"/>
      <c r="B17" s="41" t="s">
        <v>36</v>
      </c>
      <c r="C17" s="41"/>
      <c r="D17" s="41"/>
      <c r="E17" s="41"/>
      <c r="F17" s="41"/>
      <c r="G17" s="42"/>
      <c r="H17" s="42"/>
      <c r="I17" s="42"/>
      <c r="J17" s="42"/>
      <c r="K17" s="42"/>
      <c r="L17" s="41"/>
    </row>
    <row r="18" spans="1:12" x14ac:dyDescent="0.3">
      <c r="A18" s="40"/>
      <c r="B18" s="40"/>
      <c r="C18" s="40"/>
      <c r="D18" s="40"/>
      <c r="E18" s="40"/>
      <c r="F18" s="40"/>
      <c r="G18" s="43"/>
      <c r="H18" s="40"/>
      <c r="I18" s="40"/>
      <c r="J18" s="40"/>
      <c r="K18" s="40"/>
      <c r="L18" s="40"/>
    </row>
    <row r="19" spans="1:12" x14ac:dyDescent="0.3">
      <c r="A19" s="40"/>
      <c r="B19" s="40"/>
      <c r="C19" s="40"/>
      <c r="D19" s="40"/>
      <c r="E19" s="40"/>
      <c r="F19" s="47" t="s">
        <v>37</v>
      </c>
      <c r="G19" s="48" t="s">
        <v>38</v>
      </c>
      <c r="H19" s="47" t="s">
        <v>820</v>
      </c>
      <c r="I19" s="48" t="s">
        <v>39</v>
      </c>
      <c r="J19" s="48" t="s">
        <v>40</v>
      </c>
      <c r="K19" s="48" t="s">
        <v>41</v>
      </c>
      <c r="L19" s="48" t="s">
        <v>42</v>
      </c>
    </row>
    <row r="20" spans="1:12" ht="28.8" x14ac:dyDescent="0.3">
      <c r="A20" s="40"/>
      <c r="B20" s="40"/>
      <c r="C20" s="40"/>
      <c r="D20" s="40"/>
      <c r="E20" s="40"/>
      <c r="F20" s="245">
        <v>43250</v>
      </c>
      <c r="G20" s="241" t="s">
        <v>43</v>
      </c>
      <c r="H20" s="241">
        <v>1</v>
      </c>
      <c r="I20" s="241" t="s">
        <v>44</v>
      </c>
      <c r="J20" s="241" t="s">
        <v>45</v>
      </c>
      <c r="K20" s="241" t="s">
        <v>46</v>
      </c>
      <c r="L20" s="241" t="s">
        <v>47</v>
      </c>
    </row>
    <row r="21" spans="1:12" x14ac:dyDescent="0.3">
      <c r="A21" s="40"/>
      <c r="B21" s="40"/>
      <c r="C21" s="40"/>
      <c r="D21" s="40"/>
      <c r="E21" s="40"/>
      <c r="F21" s="245">
        <v>43301</v>
      </c>
      <c r="G21" s="241" t="s">
        <v>43</v>
      </c>
      <c r="H21" s="241">
        <v>2</v>
      </c>
      <c r="I21" s="241" t="s">
        <v>48</v>
      </c>
      <c r="J21" s="241" t="s">
        <v>45</v>
      </c>
      <c r="K21" s="241" t="s">
        <v>46</v>
      </c>
      <c r="L21" s="241" t="s">
        <v>49</v>
      </c>
    </row>
    <row r="22" spans="1:12" ht="43.2" x14ac:dyDescent="0.3">
      <c r="A22" s="40"/>
      <c r="B22" s="40"/>
      <c r="C22" s="40"/>
      <c r="D22" s="40"/>
      <c r="E22" s="40"/>
      <c r="F22" s="245">
        <v>43389</v>
      </c>
      <c r="G22" s="241" t="s">
        <v>821</v>
      </c>
      <c r="H22" s="241">
        <v>3</v>
      </c>
      <c r="I22" s="288" t="s">
        <v>822</v>
      </c>
      <c r="J22" s="288" t="s">
        <v>45</v>
      </c>
      <c r="K22" s="288" t="s">
        <v>46</v>
      </c>
      <c r="L22" s="288" t="s">
        <v>824</v>
      </c>
    </row>
    <row r="23" spans="1:12" ht="43.2" x14ac:dyDescent="0.3">
      <c r="A23" s="40"/>
      <c r="B23" s="40"/>
      <c r="C23" s="40"/>
      <c r="D23" s="40"/>
      <c r="E23" s="40"/>
      <c r="F23" s="245">
        <v>43663</v>
      </c>
      <c r="G23" s="241" t="s">
        <v>43</v>
      </c>
      <c r="H23" s="241">
        <v>4</v>
      </c>
      <c r="I23" s="241" t="s">
        <v>856</v>
      </c>
      <c r="J23" s="288" t="s">
        <v>45</v>
      </c>
      <c r="K23" s="288" t="s">
        <v>46</v>
      </c>
      <c r="L23" s="241" t="s">
        <v>857</v>
      </c>
    </row>
    <row r="24" spans="1:12" ht="57.6" x14ac:dyDescent="0.3">
      <c r="A24" s="40"/>
      <c r="B24" s="40"/>
      <c r="C24" s="40"/>
      <c r="D24" s="40"/>
      <c r="E24" s="40"/>
      <c r="F24" s="245">
        <v>43777</v>
      </c>
      <c r="G24" s="241" t="s">
        <v>821</v>
      </c>
      <c r="H24" s="241">
        <v>5</v>
      </c>
      <c r="I24" s="241" t="s">
        <v>903</v>
      </c>
      <c r="J24" s="241" t="s">
        <v>45</v>
      </c>
      <c r="K24" s="241" t="s">
        <v>46</v>
      </c>
      <c r="L24" s="288" t="s">
        <v>895</v>
      </c>
    </row>
    <row r="25" spans="1:12" ht="72" x14ac:dyDescent="0.3">
      <c r="A25" s="40"/>
      <c r="B25" s="40"/>
      <c r="C25" s="40"/>
      <c r="D25" s="40"/>
      <c r="E25" s="40"/>
      <c r="F25" s="245">
        <v>43860</v>
      </c>
      <c r="G25" s="241" t="s">
        <v>821</v>
      </c>
      <c r="H25" s="241">
        <v>6</v>
      </c>
      <c r="I25" s="241" t="s">
        <v>906</v>
      </c>
      <c r="J25" s="241" t="s">
        <v>45</v>
      </c>
      <c r="K25" s="241" t="s">
        <v>46</v>
      </c>
      <c r="L25" s="288" t="s">
        <v>907</v>
      </c>
    </row>
    <row r="26" spans="1:12" ht="28.8" x14ac:dyDescent="0.3">
      <c r="A26" s="40"/>
      <c r="B26" s="40"/>
      <c r="C26" s="40"/>
      <c r="D26" s="40"/>
      <c r="E26" s="40"/>
      <c r="F26" s="245">
        <v>43977</v>
      </c>
      <c r="G26" s="241" t="s">
        <v>43</v>
      </c>
      <c r="H26" s="241">
        <v>6</v>
      </c>
      <c r="I26" s="241" t="s">
        <v>1128</v>
      </c>
      <c r="J26" s="241" t="s">
        <v>45</v>
      </c>
      <c r="K26" s="241" t="s">
        <v>46</v>
      </c>
      <c r="L26" s="241" t="s">
        <v>1129</v>
      </c>
    </row>
    <row r="27" spans="1:12" ht="57.6" x14ac:dyDescent="0.3">
      <c r="A27" s="40"/>
      <c r="B27" s="40"/>
      <c r="C27" s="40"/>
      <c r="D27" s="40"/>
      <c r="E27" s="40"/>
      <c r="F27" s="245">
        <v>44141</v>
      </c>
      <c r="G27" s="241" t="s">
        <v>821</v>
      </c>
      <c r="H27" s="241">
        <v>7</v>
      </c>
      <c r="I27" s="241" t="s">
        <v>1142</v>
      </c>
      <c r="J27" s="241" t="s">
        <v>45</v>
      </c>
      <c r="K27" s="241" t="s">
        <v>46</v>
      </c>
      <c r="L27" s="241" t="s">
        <v>1143</v>
      </c>
    </row>
    <row r="28" spans="1:12" x14ac:dyDescent="0.3">
      <c r="A28" s="40"/>
      <c r="B28" s="40"/>
      <c r="C28" s="40"/>
      <c r="D28" s="40"/>
      <c r="E28" s="40"/>
      <c r="F28" s="245"/>
      <c r="G28" s="241"/>
      <c r="H28" s="241"/>
      <c r="I28" s="241"/>
      <c r="J28" s="241"/>
      <c r="K28" s="241"/>
      <c r="L28" s="241"/>
    </row>
    <row r="29" spans="1:12" x14ac:dyDescent="0.3">
      <c r="A29" s="40"/>
      <c r="B29" s="40"/>
      <c r="C29" s="40"/>
      <c r="D29" s="40"/>
      <c r="E29" s="40"/>
      <c r="F29" s="245"/>
      <c r="G29" s="241"/>
      <c r="H29" s="241"/>
      <c r="I29" s="241"/>
      <c r="J29" s="241"/>
      <c r="K29" s="241"/>
      <c r="L29" s="241"/>
    </row>
    <row r="31" spans="1:12" x14ac:dyDescent="0.3">
      <c r="B31" s="41" t="s">
        <v>50</v>
      </c>
      <c r="C31" s="41"/>
      <c r="D31" s="41"/>
      <c r="E31" s="41"/>
      <c r="F31" s="41"/>
      <c r="G31" s="42"/>
      <c r="H31" s="42"/>
      <c r="I31" s="42"/>
      <c r="J31" s="42"/>
      <c r="K31" s="42"/>
      <c r="L31" s="41"/>
    </row>
    <row r="33" spans="5:10" x14ac:dyDescent="0.3">
      <c r="E33" s="32" t="s">
        <v>51</v>
      </c>
      <c r="F33" s="49"/>
      <c r="G33" s="50"/>
      <c r="H33" s="50"/>
      <c r="I33" s="50"/>
      <c r="J33" s="50"/>
    </row>
    <row r="34" spans="5:10" x14ac:dyDescent="0.3">
      <c r="F34" s="6" t="s">
        <v>52</v>
      </c>
      <c r="H34" s="243" t="s">
        <v>53</v>
      </c>
      <c r="I34" s="6" t="s">
        <v>54</v>
      </c>
      <c r="J34" s="51">
        <f>'Fixed inputs'!H196</f>
        <v>0</v>
      </c>
    </row>
    <row r="35" spans="5:10" x14ac:dyDescent="0.3">
      <c r="F35" s="6" t="s">
        <v>55</v>
      </c>
      <c r="H35" s="243" t="s">
        <v>56</v>
      </c>
      <c r="I35" s="6" t="s">
        <v>54</v>
      </c>
      <c r="J35" s="51">
        <f>'Inputs by customer type'!H236</f>
        <v>0</v>
      </c>
    </row>
    <row r="36" spans="5:10" x14ac:dyDescent="0.3">
      <c r="F36" s="6" t="s">
        <v>57</v>
      </c>
      <c r="H36" s="243" t="s">
        <v>58</v>
      </c>
      <c r="I36" s="6" t="s">
        <v>54</v>
      </c>
      <c r="J36" s="52">
        <f>'Inputs by network level'!H56</f>
        <v>0</v>
      </c>
    </row>
    <row r="37" spans="5:10" x14ac:dyDescent="0.3">
      <c r="F37" s="6" t="s">
        <v>59</v>
      </c>
      <c r="H37" s="243" t="s">
        <v>60</v>
      </c>
      <c r="I37" s="6" t="s">
        <v>54</v>
      </c>
      <c r="J37" s="51">
        <f>'General inputs'!H114</f>
        <v>0</v>
      </c>
    </row>
    <row r="38" spans="5:10" x14ac:dyDescent="0.3">
      <c r="F38" s="6" t="s">
        <v>61</v>
      </c>
      <c r="H38" s="243" t="s">
        <v>62</v>
      </c>
      <c r="I38" s="6" t="s">
        <v>54</v>
      </c>
      <c r="J38" s="52">
        <f>'Standing charge factors'!H58</f>
        <v>0</v>
      </c>
    </row>
    <row r="39" spans="5:10" x14ac:dyDescent="0.3">
      <c r="F39" s="6" t="s">
        <v>63</v>
      </c>
      <c r="H39" s="243" t="s">
        <v>64</v>
      </c>
      <c r="I39" s="6" t="s">
        <v>54</v>
      </c>
      <c r="J39" s="52">
        <f>'Load &amp; loss characteristics'!H183</f>
        <v>0</v>
      </c>
    </row>
    <row r="40" spans="5:10" x14ac:dyDescent="0.3">
      <c r="F40" s="6" t="s">
        <v>65</v>
      </c>
      <c r="H40" s="243" t="s">
        <v>66</v>
      </c>
      <c r="I40" s="6" t="s">
        <v>54</v>
      </c>
      <c r="J40" s="52">
        <f>'Customer contributions'!H70</f>
        <v>0</v>
      </c>
    </row>
    <row r="41" spans="5:10" x14ac:dyDescent="0.3">
      <c r="F41" s="6" t="s">
        <v>67</v>
      </c>
      <c r="H41" s="243" t="s">
        <v>68</v>
      </c>
      <c r="I41" s="6" t="s">
        <v>54</v>
      </c>
      <c r="J41" s="52">
        <f>'Volume adjustments'!H693</f>
        <v>0</v>
      </c>
    </row>
    <row r="42" spans="5:10" x14ac:dyDescent="0.3">
      <c r="F42" s="6" t="s">
        <v>69</v>
      </c>
      <c r="H42" s="243" t="s">
        <v>70</v>
      </c>
      <c r="I42" s="6" t="s">
        <v>54</v>
      </c>
      <c r="J42" s="52">
        <f>'Pseudo-load coefficients'!H306</f>
        <v>0</v>
      </c>
    </row>
    <row r="43" spans="5:10" x14ac:dyDescent="0.3">
      <c r="F43" s="6" t="s">
        <v>71</v>
      </c>
      <c r="H43" s="243" t="s">
        <v>72</v>
      </c>
      <c r="I43" s="6" t="s">
        <v>54</v>
      </c>
      <c r="J43" s="52">
        <f>'System peak demand'!H281</f>
        <v>0</v>
      </c>
    </row>
    <row r="44" spans="5:10" x14ac:dyDescent="0.3">
      <c r="F44" s="6" t="s">
        <v>73</v>
      </c>
      <c r="H44" s="243" t="s">
        <v>74</v>
      </c>
      <c r="I44" s="6" t="s">
        <v>54</v>
      </c>
      <c r="J44" s="52">
        <f>'Service model assets'!H38</f>
        <v>0</v>
      </c>
    </row>
    <row r="45" spans="5:10" x14ac:dyDescent="0.3">
      <c r="F45" s="6" t="s">
        <v>75</v>
      </c>
      <c r="H45" s="243" t="s">
        <v>76</v>
      </c>
      <c r="I45" s="6" t="s">
        <v>54</v>
      </c>
      <c r="J45" s="52">
        <f>'Unit costs'!H131</f>
        <v>0</v>
      </c>
    </row>
    <row r="46" spans="5:10" x14ac:dyDescent="0.3">
      <c r="F46" s="6" t="s">
        <v>77</v>
      </c>
      <c r="H46" s="243" t="s">
        <v>78</v>
      </c>
      <c r="I46" s="6" t="s">
        <v>54</v>
      </c>
      <c r="J46" s="52">
        <f>'Initial unit rates'!H241</f>
        <v>0</v>
      </c>
    </row>
    <row r="47" spans="5:10" x14ac:dyDescent="0.3">
      <c r="F47" s="6" t="s">
        <v>79</v>
      </c>
      <c r="H47" s="243" t="s">
        <v>80</v>
      </c>
      <c r="I47" s="6" t="s">
        <v>54</v>
      </c>
      <c r="J47" s="52">
        <f>'Service model charges'!H48</f>
        <v>0</v>
      </c>
    </row>
    <row r="48" spans="5:10" x14ac:dyDescent="0.3">
      <c r="F48" s="6" t="s">
        <v>81</v>
      </c>
      <c r="H48" s="243" t="s">
        <v>82</v>
      </c>
      <c r="I48" s="6" t="s">
        <v>54</v>
      </c>
      <c r="J48" s="52">
        <f>'Unit rate charges'!H223</f>
        <v>0</v>
      </c>
    </row>
    <row r="49" spans="2:12" x14ac:dyDescent="0.3">
      <c r="F49" s="6" t="s">
        <v>85</v>
      </c>
      <c r="H49" s="243" t="s">
        <v>84</v>
      </c>
      <c r="I49" s="6" t="s">
        <v>54</v>
      </c>
      <c r="J49" s="52">
        <f>'Capacity charges'!H295</f>
        <v>0</v>
      </c>
    </row>
    <row r="50" spans="2:12" x14ac:dyDescent="0.3">
      <c r="F50" s="6" t="s">
        <v>83</v>
      </c>
      <c r="H50" s="243" t="s">
        <v>86</v>
      </c>
      <c r="I50" s="6" t="s">
        <v>54</v>
      </c>
      <c r="J50" s="52">
        <f>'Reactive power charges'!H254</f>
        <v>0</v>
      </c>
    </row>
    <row r="51" spans="2:12" x14ac:dyDescent="0.3">
      <c r="F51" s="6" t="s">
        <v>87</v>
      </c>
      <c r="H51" s="243" t="s">
        <v>88</v>
      </c>
      <c r="I51" s="6" t="s">
        <v>54</v>
      </c>
      <c r="J51" s="52">
        <f>'Fixed charges'!H165</f>
        <v>0</v>
      </c>
    </row>
    <row r="52" spans="2:12" x14ac:dyDescent="0.3">
      <c r="F52" s="6" t="s">
        <v>1156</v>
      </c>
      <c r="H52" s="243" t="s">
        <v>90</v>
      </c>
      <c r="I52" s="6" t="s">
        <v>54</v>
      </c>
      <c r="J52" s="52">
        <f>'SoLR &amp; bad debt adders'!H66</f>
        <v>0</v>
      </c>
    </row>
    <row r="53" spans="2:12" x14ac:dyDescent="0.3">
      <c r="F53" s="6" t="s">
        <v>89</v>
      </c>
      <c r="H53" s="243" t="s">
        <v>92</v>
      </c>
      <c r="I53" s="6" t="s">
        <v>54</v>
      </c>
      <c r="J53" s="52">
        <f>'Revenue matching'!H432</f>
        <v>0</v>
      </c>
    </row>
    <row r="54" spans="2:12" x14ac:dyDescent="0.3">
      <c r="F54" s="6" t="s">
        <v>91</v>
      </c>
      <c r="H54" s="243" t="s">
        <v>94</v>
      </c>
      <c r="I54" s="6" t="s">
        <v>54</v>
      </c>
      <c r="J54" s="52">
        <f>Rounding!H178</f>
        <v>0</v>
      </c>
    </row>
    <row r="55" spans="2:12" x14ac:dyDescent="0.3">
      <c r="F55" s="6" t="s">
        <v>93</v>
      </c>
      <c r="H55" s="243" t="s">
        <v>885</v>
      </c>
      <c r="I55" s="6" t="s">
        <v>54</v>
      </c>
      <c r="J55" s="51">
        <f>'Net revenue summary'!$H$211</f>
        <v>0</v>
      </c>
    </row>
    <row r="56" spans="2:12" x14ac:dyDescent="0.3">
      <c r="F56" s="6" t="s">
        <v>95</v>
      </c>
      <c r="H56" s="243" t="s">
        <v>96</v>
      </c>
      <c r="I56" s="6" t="s">
        <v>54</v>
      </c>
      <c r="J56" s="52">
        <f>'Tariff summary'!$H$119</f>
        <v>0</v>
      </c>
    </row>
    <row r="57" spans="2:12" x14ac:dyDescent="0.3">
      <c r="F57" s="6" t="s">
        <v>97</v>
      </c>
      <c r="H57" s="243" t="s">
        <v>98</v>
      </c>
      <c r="I57" s="6" t="s">
        <v>54</v>
      </c>
      <c r="J57" s="51">
        <f>'Output to other models'!H78</f>
        <v>0</v>
      </c>
    </row>
    <row r="58" spans="2:12" x14ac:dyDescent="0.3">
      <c r="F58" s="53" t="s">
        <v>99</v>
      </c>
      <c r="G58" s="53"/>
      <c r="H58" s="53"/>
      <c r="I58" s="53" t="s">
        <v>54</v>
      </c>
      <c r="J58" s="422">
        <f>IFERROR(SUM(J34:J57), 1)</f>
        <v>0</v>
      </c>
    </row>
    <row r="60" spans="2:12" x14ac:dyDescent="0.3">
      <c r="B60" s="41" t="s">
        <v>100</v>
      </c>
      <c r="C60" s="41"/>
      <c r="D60" s="41"/>
      <c r="E60" s="41"/>
      <c r="F60" s="41"/>
      <c r="G60" s="42"/>
      <c r="H60" s="42"/>
      <c r="I60" s="42"/>
      <c r="J60" s="42"/>
      <c r="K60" s="42"/>
      <c r="L60" s="41"/>
    </row>
    <row r="62" spans="2:12" x14ac:dyDescent="0.3">
      <c r="F62" s="48" t="s">
        <v>101</v>
      </c>
    </row>
    <row r="63" spans="2:12" x14ac:dyDescent="0.3">
      <c r="F63" s="243" t="s">
        <v>102</v>
      </c>
    </row>
    <row r="64" spans="2:12" x14ac:dyDescent="0.3">
      <c r="F64" s="243" t="s">
        <v>103</v>
      </c>
    </row>
    <row r="65" spans="2:12" x14ac:dyDescent="0.3">
      <c r="F65" s="243" t="s">
        <v>43</v>
      </c>
    </row>
    <row r="66" spans="2:12" ht="28.8" x14ac:dyDescent="0.3">
      <c r="F66" s="289" t="s">
        <v>821</v>
      </c>
    </row>
    <row r="67" spans="2:12" x14ac:dyDescent="0.3">
      <c r="F67" s="243"/>
    </row>
    <row r="68" spans="2:12" x14ac:dyDescent="0.3">
      <c r="F68" s="243"/>
    </row>
    <row r="69" spans="2:12" x14ac:dyDescent="0.3">
      <c r="F69" s="243"/>
    </row>
    <row r="70" spans="2:12" x14ac:dyDescent="0.3">
      <c r="F70" s="243"/>
    </row>
    <row r="71" spans="2:12" x14ac:dyDescent="0.3">
      <c r="F71" s="243"/>
    </row>
    <row r="72" spans="2:12" x14ac:dyDescent="0.3">
      <c r="F72" s="243"/>
    </row>
    <row r="73" spans="2:12" x14ac:dyDescent="0.3">
      <c r="F73" s="243" t="s">
        <v>104</v>
      </c>
    </row>
    <row r="75" spans="2:12" x14ac:dyDescent="0.3">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1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activeCell="A4" sqref="A4"/>
    </sheetView>
  </sheetViews>
  <sheetFormatPr defaultColWidth="0" defaultRowHeight="15" customHeight="1" x14ac:dyDescent="0.3"/>
  <cols>
    <col min="1" max="5" width="2.5546875" style="3" customWidth="1"/>
    <col min="6" max="6" width="30.5546875" style="3" customWidth="1"/>
    <col min="7" max="7" width="2.5546875" style="3" customWidth="1"/>
    <col min="8" max="8" width="25.5546875" style="4" customWidth="1"/>
    <col min="9" max="9" width="125.44140625" style="4" customWidth="1"/>
    <col min="10" max="10" width="2.5546875" style="3" customWidth="1"/>
    <col min="11" max="16384" width="9.33203125" style="3" hidden="1"/>
  </cols>
  <sheetData>
    <row r="1" spans="1:9" s="1" customFormat="1" ht="14.4" x14ac:dyDescent="0.3">
      <c r="A1" s="1" t="str">
        <f ca="1">MID(CELL("filename",A1),FIND("]",CELL("filename",A1))+1,255)</f>
        <v>Model map</v>
      </c>
    </row>
    <row r="2" spans="1:9" s="1" customFormat="1" ht="14.4" x14ac:dyDescent="0.3">
      <c r="A2" s="1" t="str">
        <f>Cover!D21&amp;" - "&amp;Cover!D23</f>
        <v>Electricity North West Limited - Working Model</v>
      </c>
    </row>
    <row r="3" spans="1:9" s="5" customFormat="1" ht="14.4" x14ac:dyDescent="0.3">
      <c r="A3" s="5" t="str">
        <f>Cover!D2&amp;" - "&amp;Cover!D8&amp;" v"&amp;Cover!D10&amp;" - "&amp;Cover!D19</f>
        <v>CDCM charging model - Release for charge setting v7 - 2022/23</v>
      </c>
    </row>
    <row r="5" spans="1:9" customFormat="1" ht="14.4" x14ac:dyDescent="0.3">
      <c r="A5" s="9"/>
      <c r="B5" s="41" t="s">
        <v>106</v>
      </c>
      <c r="C5" s="41"/>
      <c r="D5" s="41"/>
      <c r="E5" s="41"/>
      <c r="F5" s="41"/>
      <c r="G5" s="41"/>
      <c r="H5" s="41"/>
      <c r="I5" s="41"/>
    </row>
    <row r="7" spans="1:9" ht="15" customHeight="1" x14ac:dyDescent="0.3">
      <c r="F7" s="55"/>
      <c r="G7" s="55"/>
      <c r="H7" s="56"/>
      <c r="I7" s="56"/>
    </row>
    <row r="8" spans="1:9" ht="15" customHeight="1" x14ac:dyDescent="0.3">
      <c r="F8" s="55"/>
      <c r="G8" s="55"/>
    </row>
    <row r="9" spans="1:9" ht="15" customHeight="1" x14ac:dyDescent="0.3">
      <c r="F9" s="55"/>
      <c r="G9" s="55"/>
      <c r="H9" s="55"/>
      <c r="I9" s="55"/>
    </row>
    <row r="10" spans="1:9" ht="15" customHeight="1" x14ac:dyDescent="0.3">
      <c r="F10" s="55"/>
      <c r="G10" s="55"/>
      <c r="H10" s="55"/>
      <c r="I10" s="55"/>
    </row>
    <row r="11" spans="1:9" ht="15" customHeight="1" x14ac:dyDescent="0.3">
      <c r="F11" s="55"/>
      <c r="G11" s="55"/>
      <c r="H11" s="55"/>
      <c r="I11" s="3"/>
    </row>
    <row r="12" spans="1:9" ht="15" customHeight="1" x14ac:dyDescent="0.3">
      <c r="F12" s="55"/>
      <c r="H12" s="55"/>
      <c r="I12" s="3"/>
    </row>
    <row r="13" spans="1:9" ht="15" customHeight="1" x14ac:dyDescent="0.3">
      <c r="F13" s="55"/>
      <c r="H13" s="55"/>
      <c r="I13" s="3"/>
    </row>
    <row r="14" spans="1:9" ht="15" customHeight="1" x14ac:dyDescent="0.3">
      <c r="F14" s="55"/>
      <c r="H14" s="55"/>
      <c r="I14" s="3"/>
    </row>
    <row r="15" spans="1:9" ht="14.4" x14ac:dyDescent="0.3">
      <c r="F15" s="57"/>
      <c r="G15" s="57"/>
      <c r="H15" s="57"/>
      <c r="I15" s="57"/>
    </row>
    <row r="16" spans="1:9" ht="15" customHeight="1" x14ac:dyDescent="0.3">
      <c r="H16" s="57"/>
      <c r="I16" s="57"/>
    </row>
    <row r="17" spans="6:9" ht="15" customHeight="1" x14ac:dyDescent="0.3">
      <c r="H17" s="57"/>
      <c r="I17" s="57"/>
    </row>
    <row r="18" spans="6:9" ht="15" customHeight="1" x14ac:dyDescent="0.3">
      <c r="H18" s="57"/>
      <c r="I18" s="57"/>
    </row>
    <row r="19" spans="6:9" ht="15" customHeight="1" x14ac:dyDescent="0.3">
      <c r="F19" s="57"/>
      <c r="G19" s="57"/>
      <c r="H19" s="57"/>
      <c r="I19" s="57"/>
    </row>
    <row r="20" spans="6:9" ht="15" customHeight="1" x14ac:dyDescent="0.3">
      <c r="F20" s="57"/>
      <c r="G20" s="57"/>
      <c r="H20" s="57"/>
      <c r="I20" s="57"/>
    </row>
    <row r="21" spans="6:9" ht="15" customHeight="1" x14ac:dyDescent="0.3">
      <c r="F21" s="57"/>
      <c r="G21" s="57"/>
      <c r="H21" s="57"/>
      <c r="I21" s="57"/>
    </row>
    <row r="22" spans="6:9" ht="15" customHeight="1" x14ac:dyDescent="0.3">
      <c r="F22" s="57"/>
      <c r="G22" s="57"/>
      <c r="H22" s="57"/>
      <c r="I22" s="57"/>
    </row>
    <row r="23" spans="6:9" ht="15" customHeight="1" x14ac:dyDescent="0.3">
      <c r="F23" s="57"/>
      <c r="G23" s="57"/>
      <c r="H23" s="57"/>
      <c r="I23" s="57"/>
    </row>
    <row r="24" spans="6:9" ht="15" customHeight="1" x14ac:dyDescent="0.3">
      <c r="F24" s="57"/>
      <c r="G24" s="57"/>
      <c r="H24" s="57"/>
      <c r="I24" s="57"/>
    </row>
    <row r="25" spans="6:9" ht="15" customHeight="1" x14ac:dyDescent="0.3">
      <c r="F25" s="57"/>
      <c r="G25" s="57"/>
      <c r="H25" s="57"/>
      <c r="I25" s="57"/>
    </row>
    <row r="26" spans="6:9" ht="15" customHeight="1" x14ac:dyDescent="0.3">
      <c r="F26" s="57"/>
      <c r="G26" s="57"/>
      <c r="H26" s="57"/>
      <c r="I26" s="57"/>
    </row>
    <row r="27" spans="6:9" ht="15" customHeight="1" x14ac:dyDescent="0.3">
      <c r="F27" s="57"/>
      <c r="G27" s="57"/>
      <c r="H27" s="57"/>
      <c r="I27" s="57"/>
    </row>
    <row r="28" spans="6:9" ht="15" customHeight="1" x14ac:dyDescent="0.3">
      <c r="F28" s="57"/>
      <c r="G28" s="57"/>
      <c r="H28" s="57"/>
      <c r="I28" s="57"/>
    </row>
    <row r="29" spans="6:9" ht="15" customHeight="1" x14ac:dyDescent="0.3">
      <c r="F29" s="57"/>
      <c r="G29" s="57"/>
      <c r="H29" s="57"/>
      <c r="I29" s="57"/>
    </row>
    <row r="30" spans="6:9" ht="15" customHeight="1" x14ac:dyDescent="0.3">
      <c r="F30" s="57"/>
      <c r="G30" s="57"/>
      <c r="H30" s="57"/>
      <c r="I30" s="57"/>
    </row>
    <row r="31" spans="6:9" ht="15" customHeight="1" x14ac:dyDescent="0.3">
      <c r="F31" s="57"/>
      <c r="G31" s="57"/>
      <c r="H31" s="57"/>
      <c r="I31" s="57"/>
    </row>
    <row r="32" spans="6:9" ht="15" customHeight="1" x14ac:dyDescent="0.3">
      <c r="F32" s="57"/>
      <c r="G32" s="57"/>
      <c r="H32" s="57"/>
      <c r="I32" s="57"/>
    </row>
    <row r="33" spans="6:9" ht="15" customHeight="1" x14ac:dyDescent="0.3">
      <c r="F33" s="57"/>
      <c r="G33" s="57"/>
      <c r="H33" s="57"/>
      <c r="I33" s="57"/>
    </row>
    <row r="34" spans="6:9" customFormat="1" ht="14.4" x14ac:dyDescent="0.3">
      <c r="F34" s="57"/>
      <c r="G34" s="57"/>
      <c r="H34" s="57"/>
      <c r="I34" s="57"/>
    </row>
    <row r="35" spans="6:9" customFormat="1" ht="14.4" x14ac:dyDescent="0.3">
      <c r="F35" s="57"/>
      <c r="G35" s="57"/>
      <c r="H35" s="57"/>
      <c r="I35" s="57"/>
    </row>
    <row r="36" spans="6:9" customFormat="1" ht="14.4" x14ac:dyDescent="0.3">
      <c r="F36" s="57"/>
      <c r="G36" s="57"/>
      <c r="H36" s="57"/>
      <c r="I36" s="57"/>
    </row>
    <row r="37" spans="6:9" customFormat="1" ht="14.4" x14ac:dyDescent="0.3">
      <c r="F37" s="57"/>
      <c r="G37" s="57"/>
      <c r="H37" s="57"/>
      <c r="I37" s="57"/>
    </row>
    <row r="38" spans="6:9" customFormat="1" ht="14.4" x14ac:dyDescent="0.3">
      <c r="F38" s="57"/>
      <c r="G38" s="57"/>
      <c r="H38" s="57"/>
      <c r="I38" s="57"/>
    </row>
    <row r="39" spans="6:9" customFormat="1" ht="14.4" x14ac:dyDescent="0.3">
      <c r="F39" s="57"/>
      <c r="G39" s="57"/>
      <c r="H39" s="57"/>
      <c r="I39" s="57"/>
    </row>
    <row r="40" spans="6:9" customFormat="1" ht="14.4" x14ac:dyDescent="0.3">
      <c r="F40" s="57"/>
      <c r="G40" s="57"/>
      <c r="H40" s="57"/>
      <c r="I40" s="57"/>
    </row>
    <row r="41" spans="6:9" ht="15" customHeight="1" x14ac:dyDescent="0.3">
      <c r="F41" s="57"/>
      <c r="G41" s="57"/>
      <c r="H41" s="57"/>
      <c r="I41" s="57"/>
    </row>
    <row r="42" spans="6:9" ht="15" customHeight="1" x14ac:dyDescent="0.3">
      <c r="F42" s="57"/>
      <c r="G42" s="57"/>
      <c r="H42" s="57"/>
      <c r="I42" s="57"/>
    </row>
    <row r="43" spans="6:9" ht="15" customHeight="1" x14ac:dyDescent="0.3">
      <c r="F43" s="57"/>
      <c r="G43" s="57"/>
      <c r="H43" s="57"/>
      <c r="I43" s="57"/>
    </row>
    <row r="44" spans="6:9" ht="15" customHeight="1" x14ac:dyDescent="0.3">
      <c r="F44" s="57"/>
      <c r="G44" s="57"/>
      <c r="H44" s="57"/>
      <c r="I44" s="57"/>
    </row>
    <row r="45" spans="6:9" ht="15" customHeight="1" x14ac:dyDescent="0.3">
      <c r="F45" s="57"/>
      <c r="G45" s="57"/>
      <c r="H45" s="57"/>
      <c r="I45" s="57"/>
    </row>
    <row r="46" spans="6:9" ht="15" customHeight="1" x14ac:dyDescent="0.3">
      <c r="F46" s="57"/>
      <c r="G46" s="57"/>
      <c r="H46" s="57"/>
      <c r="I46" s="57"/>
    </row>
    <row r="47" spans="6:9" ht="15" customHeight="1" x14ac:dyDescent="0.3">
      <c r="F47" s="39"/>
      <c r="H47" s="3"/>
      <c r="I47" s="3"/>
    </row>
    <row r="51" spans="1:10" customFormat="1" ht="14.4" x14ac:dyDescent="0.3">
      <c r="A51" s="9"/>
      <c r="B51" s="9"/>
      <c r="C51" s="9"/>
      <c r="D51" s="9"/>
      <c r="E51" s="9"/>
      <c r="F51" s="9"/>
      <c r="G51" s="9"/>
      <c r="H51" s="9"/>
      <c r="I51" s="9"/>
      <c r="J51" s="9"/>
    </row>
    <row r="62" spans="1:10" ht="15" customHeight="1" x14ac:dyDescent="0.3">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activeCell="A4" sqref="A4"/>
    </sheetView>
  </sheetViews>
  <sheetFormatPr defaultColWidth="0" defaultRowHeight="14.4" x14ac:dyDescent="0.3"/>
  <cols>
    <col min="1" max="5" width="2.5546875" customWidth="1"/>
    <col min="6" max="6" width="27.88671875" bestFit="1" customWidth="1"/>
    <col min="7" max="7" width="134.44140625" bestFit="1" customWidth="1"/>
    <col min="8" max="8" width="2.5546875" customWidth="1"/>
    <col min="9" max="9" width="59.5546875" hidden="1" customWidth="1"/>
    <col min="10" max="20" width="15.44140625" hidden="1" customWidth="1"/>
    <col min="21" max="21" width="2.5546875" hidden="1" customWidth="1"/>
    <col min="22" max="16384" width="9.33203125" hidden="1"/>
  </cols>
  <sheetData>
    <row r="1" spans="1:7" s="1" customFormat="1" x14ac:dyDescent="0.3">
      <c r="A1" s="1" t="str">
        <f ca="1">MID(CELL("filename",A1),FIND("]",CELL("filename",A1))+1,255)</f>
        <v>Index</v>
      </c>
    </row>
    <row r="2" spans="1:7" s="1" customFormat="1" x14ac:dyDescent="0.3">
      <c r="A2" s="1" t="str">
        <f>Cover!D21&amp;" - "&amp;Cover!D23</f>
        <v>Electricity North West Limited - Working Model</v>
      </c>
    </row>
    <row r="3" spans="1:7" s="5" customFormat="1" x14ac:dyDescent="0.3">
      <c r="A3" s="5" t="str">
        <f>Cover!D2&amp;" - "&amp;Cover!D8&amp;" v"&amp;Cover!D10&amp;" - "&amp;Cover!D19</f>
        <v>CDCM charging model - Release for charge setting v7 - 2022/23</v>
      </c>
    </row>
    <row r="5" spans="1:7" x14ac:dyDescent="0.3">
      <c r="B5" s="30" t="s">
        <v>9</v>
      </c>
      <c r="C5" s="30"/>
      <c r="D5" s="30"/>
      <c r="E5" s="30"/>
      <c r="F5" s="30"/>
      <c r="G5" s="30"/>
    </row>
    <row r="7" spans="1:7" x14ac:dyDescent="0.3">
      <c r="C7" s="29" t="s">
        <v>107</v>
      </c>
    </row>
    <row r="8" spans="1:7" x14ac:dyDescent="0.3">
      <c r="C8" s="29" t="s">
        <v>108</v>
      </c>
    </row>
    <row r="10" spans="1:7" x14ac:dyDescent="0.3">
      <c r="B10" s="30" t="s">
        <v>109</v>
      </c>
      <c r="C10" s="30"/>
      <c r="D10" s="30"/>
      <c r="E10" s="30"/>
      <c r="F10" s="30"/>
      <c r="G10" s="30"/>
    </row>
    <row r="12" spans="1:7" x14ac:dyDescent="0.3">
      <c r="C12" s="29" t="s">
        <v>110</v>
      </c>
    </row>
    <row r="14" spans="1:7" ht="15" thickBot="1" x14ac:dyDescent="0.35">
      <c r="F14" s="313" t="s">
        <v>111</v>
      </c>
      <c r="G14" s="279" t="s">
        <v>112</v>
      </c>
    </row>
    <row r="15" spans="1:7" ht="15.6" thickTop="1" thickBot="1" x14ac:dyDescent="0.35">
      <c r="F15" s="281" t="s">
        <v>113</v>
      </c>
    </row>
    <row r="16" spans="1:7" ht="15" thickTop="1" x14ac:dyDescent="0.3">
      <c r="F16" s="281" t="s">
        <v>114</v>
      </c>
      <c r="G16" s="58" t="str">
        <f>'Version control'!$B$5</f>
        <v>Model version</v>
      </c>
    </row>
    <row r="17" spans="6:7" x14ac:dyDescent="0.3">
      <c r="F17" s="280" t="s">
        <v>115</v>
      </c>
      <c r="G17" s="58" t="str">
        <f>'Version control'!$B$17</f>
        <v>Version log</v>
      </c>
    </row>
    <row r="18" spans="6:7" x14ac:dyDescent="0.3">
      <c r="F18" s="280" t="s">
        <v>115</v>
      </c>
      <c r="G18" s="58" t="str">
        <f>'Version control'!$B$31</f>
        <v>Model checks</v>
      </c>
    </row>
    <row r="19" spans="6:7" ht="15" thickBot="1" x14ac:dyDescent="0.35">
      <c r="F19" s="280" t="s">
        <v>115</v>
      </c>
      <c r="G19" s="58" t="str">
        <f>'Version control'!$B$60</f>
        <v>Version log lists</v>
      </c>
    </row>
    <row r="20" spans="6:7" ht="15.6" thickTop="1" thickBot="1" x14ac:dyDescent="0.35">
      <c r="F20" s="281" t="s">
        <v>106</v>
      </c>
      <c r="G20" s="58" t="str">
        <f>'Model map'!$B$5</f>
        <v>Model map</v>
      </c>
    </row>
    <row r="21" spans="6:7" ht="15.6" thickTop="1" thickBot="1" x14ac:dyDescent="0.35">
      <c r="F21" s="281" t="s">
        <v>116</v>
      </c>
      <c r="G21" s="58" t="str">
        <f>'Named ranges'!$B$5</f>
        <v>List of named ranges</v>
      </c>
    </row>
    <row r="22" spans="6:7" ht="15.6" thickTop="1" thickBot="1" x14ac:dyDescent="0.35">
      <c r="F22" s="283" t="s">
        <v>52</v>
      </c>
      <c r="G22" s="58" t="str">
        <f>'Fixed inputs'!$B$11</f>
        <v>Fixed inputs</v>
      </c>
    </row>
    <row r="23" spans="6:7" ht="15.6" thickTop="1" thickBot="1" x14ac:dyDescent="0.35">
      <c r="F23" s="283" t="s">
        <v>55</v>
      </c>
      <c r="G23" s="58" t="str">
        <f>'Inputs by customer type'!$B$11</f>
        <v>Inputs by customer type</v>
      </c>
    </row>
    <row r="24" spans="6:7" ht="15.6" thickTop="1" thickBot="1" x14ac:dyDescent="0.35">
      <c r="F24" s="283" t="s">
        <v>57</v>
      </c>
      <c r="G24" s="58" t="str">
        <f>'Inputs by network level'!$B$11</f>
        <v>Inputs by network level</v>
      </c>
    </row>
    <row r="25" spans="6:7" ht="15.6" thickTop="1" thickBot="1" x14ac:dyDescent="0.35">
      <c r="F25" s="283" t="s">
        <v>59</v>
      </c>
      <c r="G25" s="58" t="str">
        <f>'General inputs'!$B$11</f>
        <v>General inputs</v>
      </c>
    </row>
    <row r="26" spans="6:7" ht="15.6" thickTop="1" thickBot="1" x14ac:dyDescent="0.35">
      <c r="F26" s="285" t="s">
        <v>119</v>
      </c>
      <c r="G26" s="58" t="str">
        <f>'Standing charge factors'!$B$17</f>
        <v>Adjustments to standing charges</v>
      </c>
    </row>
    <row r="27" spans="6:7" ht="15" thickTop="1" x14ac:dyDescent="0.3">
      <c r="F27" s="285" t="s">
        <v>63</v>
      </c>
      <c r="G27" s="58" t="str">
        <f>'Load &amp; loss characteristics'!$B$13</f>
        <v>Load and loss characteristics</v>
      </c>
    </row>
    <row r="28" spans="6:7" ht="15" thickBot="1" x14ac:dyDescent="0.35">
      <c r="F28" s="284" t="s">
        <v>115</v>
      </c>
      <c r="G28" s="58" t="str">
        <f>'Load &amp; loss characteristics'!$B$31</f>
        <v>User loss factor adjustments</v>
      </c>
    </row>
    <row r="29" spans="6:7" ht="15.6" thickTop="1" thickBot="1" x14ac:dyDescent="0.35">
      <c r="F29" s="285" t="s">
        <v>65</v>
      </c>
      <c r="G29" s="58" t="str">
        <f>'Customer contributions'!$B$12</f>
        <v>Customer contributions</v>
      </c>
    </row>
    <row r="30" spans="6:7" ht="15" thickTop="1" x14ac:dyDescent="0.3">
      <c r="F30" s="285" t="s">
        <v>67</v>
      </c>
      <c r="G30" s="58" t="str">
        <f>'Volume adjustments'!$B$13</f>
        <v>LDNO discounts</v>
      </c>
    </row>
    <row r="31" spans="6:7" x14ac:dyDescent="0.3">
      <c r="F31" s="284" t="s">
        <v>115</v>
      </c>
      <c r="G31" s="58" t="str">
        <f>'Volume adjustments'!$B$51</f>
        <v>Volume discounting</v>
      </c>
    </row>
    <row r="32" spans="6:7" ht="15" thickBot="1" x14ac:dyDescent="0.35">
      <c r="F32" s="284" t="s">
        <v>115</v>
      </c>
      <c r="G32" s="58" t="str">
        <f>'Volume adjustments'!$B$310</f>
        <v>Volume discounting for revenue matching</v>
      </c>
    </row>
    <row r="33" spans="6:7" ht="15" thickTop="1" x14ac:dyDescent="0.3">
      <c r="F33" s="285" t="s">
        <v>69</v>
      </c>
      <c r="G33" s="58" t="str">
        <f>'Pseudo-load coefficients'!$B$13</f>
        <v>Step 1: Ratio of coincidence to load factor assuming units evenly spread within time bands, and peak falls in Red period</v>
      </c>
    </row>
    <row r="34" spans="6:7" x14ac:dyDescent="0.3">
      <c r="F34" s="284" t="s">
        <v>115</v>
      </c>
      <c r="G34" s="58" t="str">
        <f>'Pseudo-load coefficients'!$B$56</f>
        <v>Step 2: Calculate correction factor</v>
      </c>
    </row>
    <row r="35" spans="6:7" x14ac:dyDescent="0.3">
      <c r="F35" s="284" t="s">
        <v>115</v>
      </c>
      <c r="G35" s="58" t="str">
        <f>'Pseudo-load coefficients'!$B$95</f>
        <v>Step 3: Ratio of coincidence factor (to network asset peak) to load factor, given peaking probabilities, multiplied by correction factor</v>
      </c>
    </row>
    <row r="36" spans="6:7" ht="15" thickBot="1" x14ac:dyDescent="0.35">
      <c r="F36" s="284" t="s">
        <v>115</v>
      </c>
      <c r="G36" s="58" t="str">
        <f>'Pseudo-load coefficients'!$B$261</f>
        <v>Step 4: Results of Step 3</v>
      </c>
    </row>
    <row r="37" spans="6:7" ht="15" thickTop="1" x14ac:dyDescent="0.3">
      <c r="F37" s="285" t="s">
        <v>71</v>
      </c>
      <c r="G37" s="58" t="str">
        <f>'System peak demand'!$B$16</f>
        <v>Common inputs for chargeable load calculations</v>
      </c>
    </row>
    <row r="38" spans="6:7" x14ac:dyDescent="0.3">
      <c r="F38" s="284" t="s">
        <v>115</v>
      </c>
      <c r="G38" s="58" t="str">
        <f>'System peak demand'!$B$63</f>
        <v>Load at system peak charged to unit rates</v>
      </c>
    </row>
    <row r="39" spans="6:7" x14ac:dyDescent="0.3">
      <c r="F39" s="284" t="s">
        <v>115</v>
      </c>
      <c r="G39" s="58" t="str">
        <f>'System peak demand'!$B$179</f>
        <v>Load at system peak charged to standing charges</v>
      </c>
    </row>
    <row r="40" spans="6:7" ht="15" thickBot="1" x14ac:dyDescent="0.35">
      <c r="F40" s="284" t="s">
        <v>115</v>
      </c>
      <c r="G40" s="58" t="str">
        <f>'System peak demand'!$B$262</f>
        <v>System peak based on chargeable load</v>
      </c>
    </row>
    <row r="41" spans="6:7" ht="15.6" thickTop="1" thickBot="1" x14ac:dyDescent="0.35">
      <c r="F41" s="285" t="s">
        <v>73</v>
      </c>
      <c r="G41" s="58" t="str">
        <f>'Service model assets'!$B$12</f>
        <v>Service model notional asset values</v>
      </c>
    </row>
    <row r="42" spans="6:7" ht="15" thickTop="1" x14ac:dyDescent="0.3">
      <c r="F42" s="285" t="s">
        <v>75</v>
      </c>
      <c r="G42" s="58" t="str">
        <f>'Unit costs'!$B$15</f>
        <v>500MW model costs</v>
      </c>
    </row>
    <row r="43" spans="6:7" x14ac:dyDescent="0.3">
      <c r="F43" s="284" t="s">
        <v>115</v>
      </c>
      <c r="G43" s="58" t="str">
        <f>'Unit costs'!$B$58</f>
        <v>Allocation of other costs</v>
      </c>
    </row>
    <row r="44" spans="6:7" ht="15" thickBot="1" x14ac:dyDescent="0.35">
      <c r="F44" s="284" t="s">
        <v>115</v>
      </c>
      <c r="G44" s="58" t="str">
        <f>'Unit costs'!$B$102</f>
        <v>Outputs</v>
      </c>
    </row>
    <row r="45" spans="6:7" ht="15" thickTop="1" x14ac:dyDescent="0.3">
      <c r="F45" s="285" t="s">
        <v>77</v>
      </c>
      <c r="G45" s="58" t="str">
        <f>'Initial unit rates'!$B$11</f>
        <v>Inputs for yardstick and unit rate calculations</v>
      </c>
    </row>
    <row r="46" spans="6:7" ht="15" thickBot="1" x14ac:dyDescent="0.35">
      <c r="F46" s="284" t="s">
        <v>115</v>
      </c>
      <c r="G46" s="58" t="str">
        <f>'Initial unit rates'!$B$116</f>
        <v>Calculation of yardstick &amp; unit rate charges</v>
      </c>
    </row>
    <row r="47" spans="6:7" ht="15" thickTop="1" x14ac:dyDescent="0.3">
      <c r="F47" s="285" t="s">
        <v>79</v>
      </c>
      <c r="G47" s="58" t="str">
        <f>'Service model charges'!$B$13</f>
        <v>Inputs to service model charge calculation</v>
      </c>
    </row>
    <row r="48" spans="6:7" ht="15" thickBot="1" x14ac:dyDescent="0.35">
      <c r="F48" s="284" t="s">
        <v>115</v>
      </c>
      <c r="G48" s="58" t="str">
        <f>'Service model charges'!$B$29</f>
        <v>Allocation of service model costs</v>
      </c>
    </row>
    <row r="49" spans="6:7" ht="15" thickTop="1" x14ac:dyDescent="0.3">
      <c r="F49" s="285" t="s">
        <v>81</v>
      </c>
      <c r="G49" s="58" t="str">
        <f>'Unit rate charges'!$B$15</f>
        <v>Inputs to unit rate charge calculations</v>
      </c>
    </row>
    <row r="50" spans="6:7" ht="15" thickBot="1" x14ac:dyDescent="0.35">
      <c r="F50" s="284" t="s">
        <v>115</v>
      </c>
      <c r="G50" s="58" t="str">
        <f>'Unit rate charges'!$B$122</f>
        <v>Application of standing charges to unit rates</v>
      </c>
    </row>
    <row r="51" spans="6:7" ht="15" thickTop="1" x14ac:dyDescent="0.3">
      <c r="F51" s="285" t="s">
        <v>85</v>
      </c>
      <c r="G51" s="58" t="str">
        <f>'Capacity charges'!$B$17</f>
        <v>Inputs to capacity charge calculations</v>
      </c>
    </row>
    <row r="52" spans="6:7" x14ac:dyDescent="0.3">
      <c r="F52" s="284" t="s">
        <v>115</v>
      </c>
      <c r="G52" s="58" t="str">
        <f>'Capacity charges'!$B$125</f>
        <v>Calculation of capacity charges</v>
      </c>
    </row>
    <row r="53" spans="6:7" ht="15" thickBot="1" x14ac:dyDescent="0.35">
      <c r="F53" s="284" t="s">
        <v>115</v>
      </c>
      <c r="G53" s="58" t="str">
        <f>'Capacity charges'!$B$249</f>
        <v>Capacity charges (and elements allocated to fixed charges)</v>
      </c>
    </row>
    <row r="54" spans="6:7" ht="15" thickTop="1" x14ac:dyDescent="0.3">
      <c r="F54" s="285" t="s">
        <v>83</v>
      </c>
      <c r="G54" s="58" t="str">
        <f>'Reactive power charges'!$B$13</f>
        <v>Inputs to reactive power charge calculations</v>
      </c>
    </row>
    <row r="55" spans="6:7" x14ac:dyDescent="0.3">
      <c r="F55" s="284" t="s">
        <v>115</v>
      </c>
      <c r="G55" s="58" t="str">
        <f>'Reactive power charges'!$B$150</f>
        <v>Calculation of yardstick charges for generation</v>
      </c>
    </row>
    <row r="56" spans="6:7" ht="15" thickBot="1" x14ac:dyDescent="0.35">
      <c r="F56" s="284" t="s">
        <v>115</v>
      </c>
      <c r="G56" s="58" t="str">
        <f>'Reactive power charges'!$B$185</f>
        <v>Calculation of reactive power charges</v>
      </c>
    </row>
    <row r="57" spans="6:7" ht="15" thickTop="1" x14ac:dyDescent="0.3">
      <c r="F57" s="285" t="s">
        <v>87</v>
      </c>
      <c r="G57" s="58" t="str">
        <f>'Fixed charges'!$B$14</f>
        <v>Inputs to fixed charge calculations</v>
      </c>
    </row>
    <row r="58" spans="6:7" ht="15" thickBot="1" x14ac:dyDescent="0.35">
      <c r="F58" s="284" t="s">
        <v>115</v>
      </c>
      <c r="G58" s="58" t="str">
        <f>'Fixed charges'!$B$65</f>
        <v>Calculation of fixed charges</v>
      </c>
    </row>
    <row r="59" spans="6:7" ht="15.6" thickTop="1" thickBot="1" x14ac:dyDescent="0.35">
      <c r="F59" s="285" t="s">
        <v>1156</v>
      </c>
      <c r="G59" s="58" t="str">
        <f>'SoLR &amp; bad debt adders'!$B$12</f>
        <v>Fixed tariff adjustments</v>
      </c>
    </row>
    <row r="60" spans="6:7" ht="15" thickTop="1" x14ac:dyDescent="0.3">
      <c r="F60" s="285" t="s">
        <v>89</v>
      </c>
      <c r="G60" s="58" t="str">
        <f>'Revenue matching'!$B$13</f>
        <v>Pre-matching net revenue calculations</v>
      </c>
    </row>
    <row r="61" spans="6:7" x14ac:dyDescent="0.3">
      <c r="F61" s="284" t="s">
        <v>115</v>
      </c>
      <c r="G61" s="58" t="str">
        <f>'Revenue matching'!$B$86</f>
        <v>Residual charge calculation</v>
      </c>
    </row>
    <row r="62" spans="6:7" x14ac:dyDescent="0.3">
      <c r="F62" s="284" t="s">
        <v>115</v>
      </c>
      <c r="G62" s="58" t="str">
        <f>'Revenue matching'!$B$209</f>
        <v>Adjustments for negative fixed charges</v>
      </c>
    </row>
    <row r="63" spans="6:7" ht="15" thickBot="1" x14ac:dyDescent="0.35">
      <c r="F63" s="284" t="s">
        <v>115</v>
      </c>
      <c r="G63" s="58" t="str">
        <f>'Revenue matching'!$B$407</f>
        <v>Final adders</v>
      </c>
    </row>
    <row r="64" spans="6:7" ht="15" thickTop="1" x14ac:dyDescent="0.3">
      <c r="F64" s="285" t="s">
        <v>91</v>
      </c>
      <c r="G64" s="58" t="str">
        <f>Rounding!$B$12</f>
        <v>Inputs</v>
      </c>
    </row>
    <row r="65" spans="2:7" ht="15" thickBot="1" x14ac:dyDescent="0.35">
      <c r="F65" s="284" t="s">
        <v>115</v>
      </c>
      <c r="G65" s="58" t="str">
        <f>Rounding!$B$103</f>
        <v>Rounding of tariff forecast</v>
      </c>
    </row>
    <row r="66" spans="2:7" ht="15" thickTop="1" x14ac:dyDescent="0.3">
      <c r="F66" s="285" t="s">
        <v>93</v>
      </c>
      <c r="G66" s="58" t="str">
        <f>'Net revenue summary'!$B$11</f>
        <v>Inputs to net revenue summary calculation</v>
      </c>
    </row>
    <row r="67" spans="2:7" x14ac:dyDescent="0.3">
      <c r="F67" s="284" t="s">
        <v>115</v>
      </c>
      <c r="G67" s="58" t="str">
        <f>'Net revenue summary'!$B$90</f>
        <v>Typical bills</v>
      </c>
    </row>
    <row r="68" spans="2:7" x14ac:dyDescent="0.3">
      <c r="F68" s="284" t="s">
        <v>115</v>
      </c>
      <c r="G68" s="58" t="str">
        <f>'Net revenue summary'!$B$150</f>
        <v>Comparison with previous year</v>
      </c>
    </row>
    <row r="69" spans="2:7" ht="15" thickBot="1" x14ac:dyDescent="0.35">
      <c r="F69" s="284" t="s">
        <v>115</v>
      </c>
      <c r="G69" s="58" t="str">
        <f>'Net revenue summary'!$B$176</f>
        <v>LDNO margins</v>
      </c>
    </row>
    <row r="70" spans="2:7" ht="15.6" thickTop="1" thickBot="1" x14ac:dyDescent="0.35">
      <c r="F70" s="287" t="s">
        <v>95</v>
      </c>
      <c r="G70" s="58" t="str">
        <f>'Tariff summary'!$B$11</f>
        <v>Tariff summary</v>
      </c>
    </row>
    <row r="71" spans="2:7" ht="15" thickTop="1" x14ac:dyDescent="0.3">
      <c r="F71" s="287" t="s">
        <v>97</v>
      </c>
      <c r="G71" s="58" t="str">
        <f>'Output to other models'!$B$12</f>
        <v>Outputs for PCDM</v>
      </c>
    </row>
    <row r="72" spans="2:7" x14ac:dyDescent="0.3">
      <c r="F72" s="286" t="s">
        <v>115</v>
      </c>
      <c r="G72" s="58" t="str">
        <f>'Output to other models'!$B$25</f>
        <v>Outputs for EDCM</v>
      </c>
    </row>
    <row r="73" spans="2:7" x14ac:dyDescent="0.3">
      <c r="F73" s="286" t="s">
        <v>115</v>
      </c>
      <c r="G73" s="58" t="str">
        <f>'Output to other models'!$B$55</f>
        <v>Outputs for users' internal use</v>
      </c>
    </row>
    <row r="75" spans="2:7" x14ac:dyDescent="0.3">
      <c r="B75" s="30" t="s">
        <v>117</v>
      </c>
      <c r="C75" s="30"/>
      <c r="D75" s="30"/>
      <c r="E75" s="30"/>
      <c r="F75" s="30"/>
      <c r="G75" s="30"/>
    </row>
    <row r="77" spans="2:7" x14ac:dyDescent="0.3">
      <c r="C77" s="29" t="s">
        <v>118</v>
      </c>
    </row>
    <row r="79" spans="2:7" ht="15" thickBot="1" x14ac:dyDescent="0.35">
      <c r="F79" s="313" t="s">
        <v>111</v>
      </c>
      <c r="G79" s="279" t="s">
        <v>112</v>
      </c>
    </row>
    <row r="80" spans="2:7" ht="15" thickTop="1" x14ac:dyDescent="0.3">
      <c r="F80" s="283" t="s">
        <v>52</v>
      </c>
      <c r="G80" s="58" t="str">
        <f ca="1">'Fixed inputs'!$C$13</f>
        <v>Input 101-A: Conversions and time</v>
      </c>
    </row>
    <row r="81" spans="6:7" x14ac:dyDescent="0.3">
      <c r="F81" s="282" t="s">
        <v>115</v>
      </c>
      <c r="G81" s="58" t="str">
        <f ca="1">'Fixed inputs'!$C$20</f>
        <v>Input 101-B: Input 101-B: Rounding</v>
      </c>
    </row>
    <row r="82" spans="6:7" x14ac:dyDescent="0.3">
      <c r="F82" s="282" t="s">
        <v>115</v>
      </c>
      <c r="G82" s="58" t="str">
        <f ca="1">'Fixed inputs'!$C$33</f>
        <v>Input 101-C: Financial and general assumptions</v>
      </c>
    </row>
    <row r="83" spans="6:7" x14ac:dyDescent="0.3">
      <c r="F83" s="282" t="s">
        <v>115</v>
      </c>
      <c r="G83" s="58" t="str">
        <f ca="1">'Fixed inputs'!$C$43</f>
        <v>Input 101-D: Mappings</v>
      </c>
    </row>
    <row r="84" spans="6:7" x14ac:dyDescent="0.3">
      <c r="F84" s="282" t="s">
        <v>115</v>
      </c>
      <c r="G84" s="58" t="str">
        <f ca="1">'Fixed inputs'!$C$84</f>
        <v>Input 101-E: Standing charge factors</v>
      </c>
    </row>
    <row r="85" spans="6:7" x14ac:dyDescent="0.3">
      <c r="F85" s="282" t="s">
        <v>115</v>
      </c>
      <c r="G85" s="58" t="str">
        <f ca="1">'Fixed inputs'!$C$99</f>
        <v>Input 101-F: Flags</v>
      </c>
    </row>
    <row r="86" spans="6:7" x14ac:dyDescent="0.3">
      <c r="F86" s="282" t="s">
        <v>115</v>
      </c>
      <c r="G86" s="58" t="str">
        <f ca="1">'Fixed inputs'!$C$141</f>
        <v>Input 101-G: Identifiers for customer groupings</v>
      </c>
    </row>
    <row r="87" spans="6:7" x14ac:dyDescent="0.3">
      <c r="F87" s="282" t="s">
        <v>115</v>
      </c>
      <c r="G87" s="58" t="str">
        <f ca="1">'Fixed inputs'!$C$151</f>
        <v>Input 101-H: Decimal places for error checks</v>
      </c>
    </row>
    <row r="88" spans="6:7" x14ac:dyDescent="0.3">
      <c r="F88" s="282" t="s">
        <v>115</v>
      </c>
      <c r="G88" s="58" t="str">
        <f ca="1">'Fixed inputs'!$C$155</f>
        <v>Input 101-I: Map of applicable MPANs</v>
      </c>
    </row>
    <row r="89" spans="6:7" ht="15" thickBot="1" x14ac:dyDescent="0.35">
      <c r="F89" s="282" t="s">
        <v>115</v>
      </c>
      <c r="G89" s="58" t="str">
        <f ca="1">'Fixed inputs'!$C$161</f>
        <v>Input 101-J: Revenue matching inputs</v>
      </c>
    </row>
    <row r="90" spans="6:7" ht="15" thickTop="1" x14ac:dyDescent="0.3">
      <c r="F90" s="283" t="s">
        <v>55</v>
      </c>
      <c r="G90" s="58" t="str">
        <f ca="1">'Inputs by customer type'!$C$13</f>
        <v>Input 102-A: Load characteristics</v>
      </c>
    </row>
    <row r="91" spans="6:7" x14ac:dyDescent="0.3">
      <c r="F91" s="282" t="s">
        <v>115</v>
      </c>
      <c r="G91" s="58" t="str">
        <f ca="1">'Inputs by customer type'!$C$18</f>
        <v>Input 102-B: Volume forecasts for the charging year</v>
      </c>
    </row>
    <row r="92" spans="6:7" x14ac:dyDescent="0.3">
      <c r="F92" s="282" t="s">
        <v>115</v>
      </c>
      <c r="G92" s="58" t="str">
        <f ca="1">'Inputs by customer type'!$C$163</f>
        <v>Input 102-C: Non-Domestic Aggregated (Related MPAN) distribution by bands</v>
      </c>
    </row>
    <row r="93" spans="6:7" x14ac:dyDescent="0.3">
      <c r="F93" s="282" t="s">
        <v>115</v>
      </c>
      <c r="G93" s="58" t="str">
        <f ca="1">'Inputs by customer type'!$C$183</f>
        <v>Input 102-D: Service model asset values</v>
      </c>
    </row>
    <row r="94" spans="6:7" x14ac:dyDescent="0.3">
      <c r="F94" s="282" t="s">
        <v>115</v>
      </c>
      <c r="G94" s="58" t="str">
        <f ca="1">'Inputs by customer type'!$C$192</f>
        <v>Input 102-E: Previous year all-the-way tariff forecast</v>
      </c>
    </row>
    <row r="95" spans="6:7" ht="15" thickBot="1" x14ac:dyDescent="0.35">
      <c r="F95" s="282" t="s">
        <v>115</v>
      </c>
      <c r="G95" s="58" t="str">
        <f ca="1">'Inputs by customer type'!$C$206</f>
        <v>Input 102-F: Previous year net revenue (if known)</v>
      </c>
    </row>
    <row r="96" spans="6:7" ht="15" thickTop="1" x14ac:dyDescent="0.3">
      <c r="F96" s="283" t="s">
        <v>57</v>
      </c>
      <c r="G96" s="58" t="str">
        <f ca="1">'Inputs by network level'!$C$13</f>
        <v>Input 103-A: Network and load inputs</v>
      </c>
    </row>
    <row r="97" spans="6:7" x14ac:dyDescent="0.3">
      <c r="F97" s="282" t="s">
        <v>115</v>
      </c>
      <c r="G97" s="58" t="str">
        <f ca="1">'Inputs by network level'!$C$23</f>
        <v>Input 103-B: Customer contributions under current connection charging policy</v>
      </c>
    </row>
    <row r="98" spans="6:7" x14ac:dyDescent="0.3">
      <c r="F98" s="282" t="s">
        <v>115</v>
      </c>
      <c r="G98" s="58" t="str">
        <f ca="1">'Inputs by network level'!$C$31</f>
        <v>Input 103-C: DRM asset costs</v>
      </c>
    </row>
    <row r="99" spans="6:7" ht="15" thickBot="1" x14ac:dyDescent="0.35">
      <c r="F99" s="282" t="s">
        <v>115</v>
      </c>
      <c r="G99" s="58" t="str">
        <f ca="1">'Inputs by network level'!$C$35</f>
        <v>Input 103-D: Peaking probabilities by network level</v>
      </c>
    </row>
    <row r="100" spans="6:7" ht="15" thickTop="1" x14ac:dyDescent="0.3">
      <c r="F100" s="283" t="s">
        <v>59</v>
      </c>
      <c r="G100" s="58" t="str">
        <f ca="1">'General inputs'!$C$13</f>
        <v>Input 104-A: Inputs by distribution timeband</v>
      </c>
    </row>
    <row r="101" spans="6:7" x14ac:dyDescent="0.3">
      <c r="F101" s="282" t="s">
        <v>115</v>
      </c>
      <c r="G101" s="58" t="str">
        <f ca="1">'General inputs'!$C$25</f>
        <v>Input 104-B: LDNO discount inputs</v>
      </c>
    </row>
    <row r="102" spans="6:7" x14ac:dyDescent="0.3">
      <c r="F102" s="282" t="s">
        <v>115</v>
      </c>
      <c r="G102" s="58" t="str">
        <f ca="1">'General inputs'!$C$35</f>
        <v>Input 104-C: CDCM target revenue</v>
      </c>
    </row>
    <row r="103" spans="6:7" x14ac:dyDescent="0.3">
      <c r="F103" s="282" t="s">
        <v>115</v>
      </c>
      <c r="G103" s="58" t="str">
        <f ca="1">'General inputs'!$C$89</f>
        <v>Input 104-D: Financial and general assumptions</v>
      </c>
    </row>
    <row r="104" spans="6:7" x14ac:dyDescent="0.3">
      <c r="F104" s="282" t="s">
        <v>115</v>
      </c>
      <c r="G104" s="58" t="str">
        <f ca="1">'General inputs'!$C$95</f>
        <v>Input 104-E: Transmission exit charges</v>
      </c>
    </row>
    <row r="105" spans="6:7" ht="15" thickBot="1" x14ac:dyDescent="0.35">
      <c r="F105" s="282" t="s">
        <v>115</v>
      </c>
      <c r="G105" s="58" t="str">
        <f ca="1">'General inputs'!$C$99</f>
        <v>Input 104-F: Other expenditure</v>
      </c>
    </row>
    <row r="106" spans="6:7" ht="15.6" thickTop="1" thickBot="1" x14ac:dyDescent="0.35">
      <c r="F106" s="285" t="s">
        <v>119</v>
      </c>
      <c r="G106" s="58" t="str">
        <f ca="1">'Standing charge factors'!$C$19</f>
        <v>Section 101-A: Adjustments to standing charges</v>
      </c>
    </row>
    <row r="107" spans="6:7" ht="15" thickTop="1" x14ac:dyDescent="0.3">
      <c r="F107" s="285" t="s">
        <v>63</v>
      </c>
      <c r="G107" s="58" t="str">
        <f ca="1">'Load &amp; loss characteristics'!$C$17</f>
        <v>Section 102-A: Load characteristics</v>
      </c>
    </row>
    <row r="108" spans="6:7" x14ac:dyDescent="0.3">
      <c r="F108" s="284" t="s">
        <v>115</v>
      </c>
      <c r="G108" s="58" t="str">
        <f ca="1">'Load &amp; loss characteristics'!$C$25</f>
        <v>Section 102-B: Loss adjustment factors</v>
      </c>
    </row>
    <row r="109" spans="6:7" x14ac:dyDescent="0.3">
      <c r="F109" s="284" t="s">
        <v>115</v>
      </c>
      <c r="G109" s="58" t="str">
        <f ca="1">'Load &amp; loss characteristics'!$C$35</f>
        <v>Section 102-C: Proportion of relevant load going through 132kV/HV direct transformation</v>
      </c>
    </row>
    <row r="110" spans="6:7" x14ac:dyDescent="0.3">
      <c r="F110" s="284" t="s">
        <v>115</v>
      </c>
      <c r="G110" s="58" t="str">
        <f ca="1">'Load &amp; loss characteristics'!$C$40</f>
        <v>Section 102-D: Network use factors</v>
      </c>
    </row>
    <row r="111" spans="6:7" ht="15" thickBot="1" x14ac:dyDescent="0.35">
      <c r="F111" s="284" t="s">
        <v>115</v>
      </c>
      <c r="G111" s="58" t="str">
        <f ca="1">'Load &amp; loss characteristics'!$C$121</f>
        <v>Section 102-E: User loss factors</v>
      </c>
    </row>
    <row r="112" spans="6:7" ht="15" thickTop="1" x14ac:dyDescent="0.3">
      <c r="F112" s="285" t="s">
        <v>65</v>
      </c>
      <c r="G112" s="58" t="str">
        <f ca="1">'Customer contributions'!$C$16</f>
        <v>Section 103-A: Network use factors</v>
      </c>
    </row>
    <row r="113" spans="6:7" ht="15" thickBot="1" x14ac:dyDescent="0.35">
      <c r="F113" s="284" t="s">
        <v>115</v>
      </c>
      <c r="G113" s="58" t="str">
        <f ca="1">'Customer contributions'!$C$38</f>
        <v>Section 103-B: Customer contributions</v>
      </c>
    </row>
    <row r="114" spans="6:7" ht="15" thickTop="1" x14ac:dyDescent="0.3">
      <c r="F114" s="285" t="s">
        <v>67</v>
      </c>
      <c r="G114" s="58" t="str">
        <f ca="1">'Volume adjustments'!$C$15</f>
        <v>Section 104-A: LDNO discounts</v>
      </c>
    </row>
    <row r="115" spans="6:7" x14ac:dyDescent="0.3">
      <c r="F115" s="284" t="s">
        <v>115</v>
      </c>
      <c r="G115" s="58" t="str">
        <f ca="1">'Volume adjustments'!$C$53</f>
        <v>Section 104-B: Aggregation of volumes</v>
      </c>
    </row>
    <row r="116" spans="6:7" x14ac:dyDescent="0.3">
      <c r="F116" s="284" t="s">
        <v>115</v>
      </c>
      <c r="G116" s="58" t="str">
        <f ca="1">'Volume adjustments'!$C$225</f>
        <v>Section 104-C: Volume discounting</v>
      </c>
    </row>
    <row r="117" spans="6:7" x14ac:dyDescent="0.3">
      <c r="F117" s="284" t="s">
        <v>115</v>
      </c>
      <c r="G117" s="58" t="str">
        <f ca="1">'Volume adjustments'!$C$332</f>
        <v>Section 104-D: No residual volume discounting</v>
      </c>
    </row>
    <row r="118" spans="6:7" x14ac:dyDescent="0.3">
      <c r="F118" s="284" t="s">
        <v>115</v>
      </c>
      <c r="G118" s="58" t="str">
        <f ca="1">'Volume adjustments'!$C$361</f>
        <v>Section 104-E: Residual band 1 volume discounting</v>
      </c>
    </row>
    <row r="119" spans="6:7" x14ac:dyDescent="0.3">
      <c r="F119" s="284" t="s">
        <v>115</v>
      </c>
      <c r="G119" s="58" t="str">
        <f ca="1">'Volume adjustments'!$C$390</f>
        <v>Section 104-F: Residual band 2 volume discounting</v>
      </c>
    </row>
    <row r="120" spans="6:7" x14ac:dyDescent="0.3">
      <c r="F120" s="284" t="s">
        <v>115</v>
      </c>
      <c r="G120" s="58" t="str">
        <f ca="1">'Volume adjustments'!$C$419</f>
        <v>Section 104-G: Residual band 3 volume discounting</v>
      </c>
    </row>
    <row r="121" spans="6:7" x14ac:dyDescent="0.3">
      <c r="F121" s="284" t="s">
        <v>115</v>
      </c>
      <c r="G121" s="58" t="str">
        <f ca="1">'Volume adjustments'!$C$448</f>
        <v>Section 104-H: Residual band 4 volume discounting</v>
      </c>
    </row>
    <row r="122" spans="6:7" x14ac:dyDescent="0.3">
      <c r="F122" s="284" t="s">
        <v>115</v>
      </c>
      <c r="G122" s="58" t="str">
        <f ca="1">'Volume adjustments'!$C$477</f>
        <v>Section 104-I: Discounted volumes by residual band</v>
      </c>
    </row>
    <row r="123" spans="6:7" x14ac:dyDescent="0.3">
      <c r="F123" s="284" t="s">
        <v>115</v>
      </c>
      <c r="G123" s="58" t="str">
        <f ca="1">'Volume adjustments'!$C$523</f>
        <v>Section 104-J: Volumes by residual band</v>
      </c>
    </row>
    <row r="124" spans="6:7" ht="15" thickBot="1" x14ac:dyDescent="0.35">
      <c r="F124" s="284" t="s">
        <v>115</v>
      </c>
      <c r="G124" s="58" t="str">
        <f ca="1">'Volume adjustments'!$C$657</f>
        <v>Section 104-K: Non-domestic aggregated (related MPAN) distribution across bands</v>
      </c>
    </row>
    <row r="125" spans="6:7" ht="15" thickTop="1" x14ac:dyDescent="0.3">
      <c r="F125" s="285" t="s">
        <v>69</v>
      </c>
      <c r="G125" s="58" t="str">
        <f ca="1">'Pseudo-load coefficients'!$C$18</f>
        <v>Section 105-A: Flags and hours in timebands</v>
      </c>
    </row>
    <row r="126" spans="6:7" x14ac:dyDescent="0.3">
      <c r="F126" s="284" t="s">
        <v>115</v>
      </c>
      <c r="G126" s="58" t="str">
        <f ca="1">'Pseudo-load coefficients'!$C$28</f>
        <v>Section 105-B: Average load by timeband</v>
      </c>
    </row>
    <row r="127" spans="6:7" x14ac:dyDescent="0.3">
      <c r="F127" s="284" t="s">
        <v>115</v>
      </c>
      <c r="G127" s="58" t="str">
        <f ca="1">'Pseudo-load coefficients'!$C$36</f>
        <v>Section 105-C: Aggregated groups for pseudo-load coefficients</v>
      </c>
    </row>
    <row r="128" spans="6:7" x14ac:dyDescent="0.3">
      <c r="F128" s="284" t="s">
        <v>115</v>
      </c>
      <c r="G128" s="58" t="str">
        <f ca="1">'Pseudo-load coefficients'!$C$52</f>
        <v>Section 105-D: Ratio of coincidence to load factor assuming units evenly spread within time bands, and peak falls in Red period</v>
      </c>
    </row>
    <row r="129" spans="6:7" x14ac:dyDescent="0.3">
      <c r="F129" s="284" t="s">
        <v>115</v>
      </c>
      <c r="G129" s="58" t="str">
        <f ca="1">'Pseudo-load coefficients'!$C$60</f>
        <v>Section 105-E: Load characteristics for all customers</v>
      </c>
    </row>
    <row r="130" spans="6:7" x14ac:dyDescent="0.3">
      <c r="F130" s="284" t="s">
        <v>115</v>
      </c>
      <c r="G130" s="58" t="str">
        <f ca="1">'Pseudo-load coefficients'!$C$65</f>
        <v>Section 105-F: Aggregated load characteristics for grouped customers</v>
      </c>
    </row>
    <row r="131" spans="6:7" x14ac:dyDescent="0.3">
      <c r="F131" s="284" t="s">
        <v>115</v>
      </c>
      <c r="G131" s="58" t="str">
        <f ca="1">'Pseudo-load coefficients'!$C$87</f>
        <v>Section 105-G: Calculation of correction factor</v>
      </c>
    </row>
    <row r="132" spans="6:7" x14ac:dyDescent="0.3">
      <c r="F132" s="284" t="s">
        <v>115</v>
      </c>
      <c r="G132" s="58" t="str">
        <f ca="1">'Pseudo-load coefficients'!$C$100</f>
        <v>Section 105-H: Peaking probabilities, by network level</v>
      </c>
    </row>
    <row r="133" spans="6:7" x14ac:dyDescent="0.3">
      <c r="F133" s="284" t="s">
        <v>115</v>
      </c>
      <c r="G133" s="58" t="str">
        <f ca="1">'Pseudo-load coefficients'!$C$174</f>
        <v>Section 105-I: Peaking probabilities, by network level and customer type</v>
      </c>
    </row>
    <row r="134" spans="6:7" x14ac:dyDescent="0.3">
      <c r="F134" s="284" t="s">
        <v>115</v>
      </c>
      <c r="G134" s="58" t="str">
        <f ca="1">'Pseudo-load coefficients'!$C$221</f>
        <v>Section 105-J: Ratio of coincidence factor to load factor, based on uniform distribution in timebands and peaking probabilities</v>
      </c>
    </row>
    <row r="135" spans="6:7" x14ac:dyDescent="0.3">
      <c r="F135" s="284" t="s">
        <v>115</v>
      </c>
      <c r="G135" s="58" t="str">
        <f ca="1">'Pseudo-load coefficients'!$C$265</f>
        <v>Section 105-K: Load coefficient</v>
      </c>
    </row>
    <row r="136" spans="6:7" ht="15" thickBot="1" x14ac:dyDescent="0.35">
      <c r="F136" s="284" t="s">
        <v>115</v>
      </c>
      <c r="G136" s="58" t="str">
        <f ca="1">'Pseudo-load coefficients'!$C$269</f>
        <v>Section 105-L: Pseudo load coefficients, by unit rate</v>
      </c>
    </row>
    <row r="137" spans="6:7" ht="15" thickTop="1" x14ac:dyDescent="0.3">
      <c r="F137" s="285" t="s">
        <v>71</v>
      </c>
      <c r="G137" s="58" t="str">
        <f ca="1">'System peak demand'!$C$18</f>
        <v>Section 106-A: Common inputs for chargeable load calculations</v>
      </c>
    </row>
    <row r="138" spans="6:7" x14ac:dyDescent="0.3">
      <c r="F138" s="284" t="s">
        <v>115</v>
      </c>
      <c r="G138" s="58" t="str">
        <f ca="1">'System peak demand'!$C$67</f>
        <v>Section 106-B: System peak load, by unit rate</v>
      </c>
    </row>
    <row r="139" spans="6:7" x14ac:dyDescent="0.3">
      <c r="F139" s="284" t="s">
        <v>115</v>
      </c>
      <c r="G139" s="58" t="str">
        <f ca="1">'System peak demand'!$C$138</f>
        <v>Section 106-C: System peak load, all unit rates</v>
      </c>
    </row>
    <row r="140" spans="6:7" x14ac:dyDescent="0.3">
      <c r="F140" s="284" t="s">
        <v>115</v>
      </c>
      <c r="G140" s="58" t="str">
        <f ca="1">'System peak demand'!$C$164</f>
        <v>Section 106-D: Unit rate contributions to chargeable peak load</v>
      </c>
    </row>
    <row r="141" spans="6:7" x14ac:dyDescent="0.3">
      <c r="F141" s="284" t="s">
        <v>115</v>
      </c>
      <c r="G141" s="58" t="str">
        <f ca="1">'System peak demand'!$C$184</f>
        <v>Section 106-E: Adjustment of import and exceeded capacity</v>
      </c>
    </row>
    <row r="142" spans="6:7" x14ac:dyDescent="0.3">
      <c r="F142" s="284" t="s">
        <v>115</v>
      </c>
      <c r="G142" s="58" t="str">
        <f ca="1">'System peak demand'!$C$194</f>
        <v>Section 106-F: Calculation of LV circuit diversity factor</v>
      </c>
    </row>
    <row r="143" spans="6:7" x14ac:dyDescent="0.3">
      <c r="F143" s="284" t="s">
        <v>115</v>
      </c>
      <c r="G143" s="58" t="str">
        <f ca="1">'System peak demand'!$C$236</f>
        <v>Section 106-G: Import/exceeded capacity contribution to system peak</v>
      </c>
    </row>
    <row r="144" spans="6:7" x14ac:dyDescent="0.3">
      <c r="F144" s="284" t="s">
        <v>115</v>
      </c>
      <c r="G144" s="58" t="str">
        <f ca="1">'System peak demand'!$C$249</f>
        <v>Section 106-H: Estimated capacity contribution to system peak</v>
      </c>
    </row>
    <row r="145" spans="6:7" ht="15" thickBot="1" x14ac:dyDescent="0.35">
      <c r="F145" s="284" t="s">
        <v>115</v>
      </c>
      <c r="G145" s="58" t="str">
        <f ca="1">'System peak demand'!$C$266</f>
        <v>Section 106-I: System peak based on chargeable load</v>
      </c>
    </row>
    <row r="146" spans="6:7" ht="15.6" thickTop="1" thickBot="1" x14ac:dyDescent="0.35">
      <c r="F146" s="285" t="s">
        <v>73</v>
      </c>
      <c r="G146" s="58" t="str">
        <f ca="1">'Service model assets'!$C$14</f>
        <v>Section 107-A: Service model notional asset values</v>
      </c>
    </row>
    <row r="147" spans="6:7" ht="15" thickTop="1" x14ac:dyDescent="0.3">
      <c r="F147" s="285" t="s">
        <v>75</v>
      </c>
      <c r="G147" s="58" t="str">
        <f ca="1">'Unit costs'!$C$19</f>
        <v>Section 108-A: Financial data</v>
      </c>
    </row>
    <row r="148" spans="6:7" x14ac:dyDescent="0.3">
      <c r="F148" s="284" t="s">
        <v>115</v>
      </c>
      <c r="G148" s="58" t="str">
        <f ca="1">'Unit costs'!$C$27</f>
        <v>Section 108-B: Diversity and loss adjustment factors</v>
      </c>
    </row>
    <row r="149" spans="6:7" x14ac:dyDescent="0.3">
      <c r="F149" s="284" t="s">
        <v>115</v>
      </c>
      <c r="G149" s="58" t="str">
        <f ca="1">'Unit costs'!$C$35</f>
        <v>Section 108-C: Maximum demand</v>
      </c>
    </row>
    <row r="150" spans="6:7" x14ac:dyDescent="0.3">
      <c r="F150" s="284" t="s">
        <v>115</v>
      </c>
      <c r="G150" s="58" t="str">
        <f ca="1">'Unit costs'!$C$42</f>
        <v>Section 108-D: Rerouting matrix</v>
      </c>
    </row>
    <row r="151" spans="6:7" x14ac:dyDescent="0.3">
      <c r="F151" s="284" t="s">
        <v>115</v>
      </c>
      <c r="G151" s="58" t="str">
        <f ca="1">'Unit costs'!$C$50</f>
        <v>Section 108-E: Annuitised cost of assets</v>
      </c>
    </row>
    <row r="152" spans="6:7" x14ac:dyDescent="0.3">
      <c r="F152" s="284" t="s">
        <v>115</v>
      </c>
      <c r="G152" s="58" t="str">
        <f ca="1">'Unit costs'!$C$62</f>
        <v>Section 108-F: System simultaneous peak load based on charegable units</v>
      </c>
    </row>
    <row r="153" spans="6:7" x14ac:dyDescent="0.3">
      <c r="F153" s="284" t="s">
        <v>115</v>
      </c>
      <c r="G153" s="58" t="str">
        <f ca="1">'Unit costs'!$C$69</f>
        <v>Section 108-G: Notional asset values, by network level</v>
      </c>
    </row>
    <row r="154" spans="6:7" x14ac:dyDescent="0.3">
      <c r="F154" s="284" t="s">
        <v>115</v>
      </c>
      <c r="G154" s="58" t="str">
        <f ca="1">'Unit costs'!$C$80</f>
        <v>Section 108-H: Other operating costs</v>
      </c>
    </row>
    <row r="155" spans="6:7" x14ac:dyDescent="0.3">
      <c r="F155" s="284" t="s">
        <v>115</v>
      </c>
      <c r="G155" s="58" t="str">
        <f ca="1">'Unit costs'!$C$92</f>
        <v>Section 108-I: Other operating costs by network level</v>
      </c>
    </row>
    <row r="156" spans="6:7" x14ac:dyDescent="0.3">
      <c r="F156" s="284" t="s">
        <v>115</v>
      </c>
      <c r="G156" s="58" t="str">
        <f ca="1">'Unit costs'!$C$104</f>
        <v>Section 108-J: Notional asset values by network level</v>
      </c>
    </row>
    <row r="157" spans="6:7" x14ac:dyDescent="0.3">
      <c r="F157" s="284" t="s">
        <v>115</v>
      </c>
      <c r="G157" s="58" t="str">
        <f ca="1">'Unit costs'!$C$110</f>
        <v>Section 108-K: Unit costs</v>
      </c>
    </row>
    <row r="158" spans="6:7" ht="15" thickBot="1" x14ac:dyDescent="0.35">
      <c r="F158" s="284" t="s">
        <v>115</v>
      </c>
      <c r="G158" s="58" t="str">
        <f ca="1">'Unit costs'!$C$117</f>
        <v>Section 108-L: Values used for allocating costs to service models</v>
      </c>
    </row>
    <row r="159" spans="6:7" ht="15" thickTop="1" x14ac:dyDescent="0.3">
      <c r="F159" s="285" t="s">
        <v>77</v>
      </c>
      <c r="G159" s="58" t="str">
        <f ca="1">'Initial unit rates'!$C$13</f>
        <v>Section 109-A: Inputs for yardstick and unit rate calculations</v>
      </c>
    </row>
    <row r="160" spans="6:7" x14ac:dyDescent="0.3">
      <c r="F160" s="284" t="s">
        <v>115</v>
      </c>
      <c r="G160" s="58" t="str">
        <f ca="1">'Initial unit rates'!$C$118</f>
        <v>Section 109-B: Yardstick charges</v>
      </c>
    </row>
    <row r="161" spans="6:7" x14ac:dyDescent="0.3">
      <c r="F161" s="284" t="s">
        <v>115</v>
      </c>
      <c r="G161" s="58" t="str">
        <f ca="1">'Initial unit rates'!$C$146</f>
        <v>Section 109-C: Unit rate 1</v>
      </c>
    </row>
    <row r="162" spans="6:7" x14ac:dyDescent="0.3">
      <c r="F162" s="284" t="s">
        <v>115</v>
      </c>
      <c r="G162" s="58" t="str">
        <f ca="1">'Initial unit rates'!$C$175</f>
        <v>Section 109-D: Unit rate 2</v>
      </c>
    </row>
    <row r="163" spans="6:7" ht="15" thickBot="1" x14ac:dyDescent="0.35">
      <c r="F163" s="284" t="s">
        <v>115</v>
      </c>
      <c r="G163" s="58" t="str">
        <f ca="1">'Initial unit rates'!$C$204</f>
        <v>Section 109-E: Unit rate 3</v>
      </c>
    </row>
    <row r="164" spans="6:7" ht="15" thickTop="1" x14ac:dyDescent="0.3">
      <c r="F164" s="285" t="s">
        <v>79</v>
      </c>
      <c r="G164" s="58" t="str">
        <f ca="1">'Service model charges'!$C$17</f>
        <v>Section 110-A: Inputs to service model charge calculation</v>
      </c>
    </row>
    <row r="165" spans="6:7" x14ac:dyDescent="0.3">
      <c r="F165" s="284" t="s">
        <v>115</v>
      </c>
      <c r="G165" s="58" t="str">
        <f ca="1">'Service model charges'!$C$33</f>
        <v>Section 110-B: Calculation of other operating expenditure per £ of notional asset value</v>
      </c>
    </row>
    <row r="166" spans="6:7" ht="15" thickBot="1" x14ac:dyDescent="0.35">
      <c r="F166" s="284" t="s">
        <v>115</v>
      </c>
      <c r="G166" s="58" t="str">
        <f ca="1">'Service model charges'!$C$37</f>
        <v>Section 110-C: Calculation of service model charges</v>
      </c>
    </row>
    <row r="167" spans="6:7" ht="15" thickTop="1" x14ac:dyDescent="0.3">
      <c r="F167" s="285" t="s">
        <v>81</v>
      </c>
      <c r="G167" s="58" t="str">
        <f ca="1">'Unit rate charges'!$C$19</f>
        <v>Section 111-A: Initial unit rate 1</v>
      </c>
    </row>
    <row r="168" spans="6:7" x14ac:dyDescent="0.3">
      <c r="F168" s="284" t="s">
        <v>115</v>
      </c>
      <c r="G168" s="58" t="str">
        <f ca="1">'Unit rate charges'!$C$49</f>
        <v>Section 111-B: Initial unit rate 2</v>
      </c>
    </row>
    <row r="169" spans="6:7" x14ac:dyDescent="0.3">
      <c r="F169" s="284" t="s">
        <v>115</v>
      </c>
      <c r="G169" s="58" t="str">
        <f ca="1">'Unit rate charges'!$C$79</f>
        <v>Section 111-C: Initial unit rate 3</v>
      </c>
    </row>
    <row r="170" spans="6:7" x14ac:dyDescent="0.3">
      <c r="F170" s="284" t="s">
        <v>115</v>
      </c>
      <c r="G170" s="58" t="str">
        <f ca="1">'Unit rate charges'!$C$109</f>
        <v>Section 111-D: Standing charge factors</v>
      </c>
    </row>
    <row r="171" spans="6:7" x14ac:dyDescent="0.3">
      <c r="F171" s="284" t="s">
        <v>115</v>
      </c>
      <c r="G171" s="58" t="str">
        <f ca="1">'Unit rate charges'!$C$124</f>
        <v>Section 111-E: Contributions to unit rate 1 p/kWh by network level (taking account of standing charges)</v>
      </c>
    </row>
    <row r="172" spans="6:7" x14ac:dyDescent="0.3">
      <c r="F172" s="284" t="s">
        <v>115</v>
      </c>
      <c r="G172" s="58" t="str">
        <f ca="1">'Unit rate charges'!$C$154</f>
        <v>Section 111-F: Contributions to unit rate 2 p/kWh by network level (taking account of standing charges)</v>
      </c>
    </row>
    <row r="173" spans="6:7" x14ac:dyDescent="0.3">
      <c r="F173" s="284" t="s">
        <v>115</v>
      </c>
      <c r="G173" s="58" t="str">
        <f ca="1">'Unit rate charges'!$C$184</f>
        <v>Section 111-G: Contributions to unit rate 3 p/kWh by network level (taking account of standing charges)</v>
      </c>
    </row>
    <row r="174" spans="6:7" ht="15" thickBot="1" x14ac:dyDescent="0.35">
      <c r="F174" s="284" t="s">
        <v>115</v>
      </c>
      <c r="G174" s="58" t="str">
        <f ca="1">'Unit rate charges'!$C$214</f>
        <v>Section 111-H: Unit rates, post application of standing charges</v>
      </c>
    </row>
    <row r="175" spans="6:7" ht="15" thickTop="1" x14ac:dyDescent="0.3">
      <c r="F175" s="285" t="s">
        <v>85</v>
      </c>
      <c r="G175" s="58" t="str">
        <f ca="1">'Capacity charges'!$C$19</f>
        <v>Section 112-A: Inputs to capacity charge calculations</v>
      </c>
    </row>
    <row r="176" spans="6:7" x14ac:dyDescent="0.3">
      <c r="F176" s="284" t="s">
        <v>115</v>
      </c>
      <c r="G176" s="58" t="str">
        <f ca="1">'Capacity charges'!$C$129</f>
        <v>Section 112-B: Capacity-based charge elements (to be split between capacity &amp; fixed charges)</v>
      </c>
    </row>
    <row r="177" spans="6:7" x14ac:dyDescent="0.3">
      <c r="F177" s="284" t="s">
        <v>115</v>
      </c>
      <c r="G177" s="58" t="str">
        <f ca="1">'Capacity charges'!$C$159</f>
        <v>Section 112-C: Exceeded capacity-based charge elements</v>
      </c>
    </row>
    <row r="178" spans="6:7" x14ac:dyDescent="0.3">
      <c r="F178" s="284" t="s">
        <v>115</v>
      </c>
      <c r="G178" s="58" t="str">
        <f ca="1">'Capacity charges'!$C$189</f>
        <v>Section 112-D: Capacity charges for eligible customers, by network level</v>
      </c>
    </row>
    <row r="179" spans="6:7" x14ac:dyDescent="0.3">
      <c r="F179" s="284" t="s">
        <v>115</v>
      </c>
      <c r="G179" s="58" t="str">
        <f ca="1">'Capacity charges'!$C$219</f>
        <v>Section 112-E: Exceeded capacity charges for eligible customers, by network level</v>
      </c>
    </row>
    <row r="180" spans="6:7" x14ac:dyDescent="0.3">
      <c r="F180" s="284" t="s">
        <v>115</v>
      </c>
      <c r="G180" s="58" t="str">
        <f ca="1">'Capacity charges'!$C$254</f>
        <v>Section 112-F: Capacity and exceeded capacity charges</v>
      </c>
    </row>
    <row r="181" spans="6:7" ht="15" thickBot="1" x14ac:dyDescent="0.35">
      <c r="F181" s="284" t="s">
        <v>115</v>
      </c>
      <c r="G181" s="58" t="str">
        <f ca="1">'Capacity charges'!$C$259</f>
        <v>Section 112-G: Capacity elements allocated to fixed charges</v>
      </c>
    </row>
    <row r="182" spans="6:7" ht="15" thickTop="1" x14ac:dyDescent="0.3">
      <c r="F182" s="285" t="s">
        <v>83</v>
      </c>
      <c r="G182" s="58" t="str">
        <f ca="1">'Reactive power charges'!$C$17</f>
        <v>Section 113-A: Inputs to reactive power charge calculations</v>
      </c>
    </row>
    <row r="183" spans="6:7" x14ac:dyDescent="0.3">
      <c r="F183" s="284" t="s">
        <v>115</v>
      </c>
      <c r="G183" s="58" t="str">
        <f ca="1">'Reactive power charges'!$C$120</f>
        <v>Section 113-B: Yardstick charge (demand)</v>
      </c>
    </row>
    <row r="184" spans="6:7" x14ac:dyDescent="0.3">
      <c r="F184" s="284" t="s">
        <v>115</v>
      </c>
      <c r="G184" s="58" t="str">
        <f ca="1">'Reactive power charges'!$C$155</f>
        <v>Section 113-C: Yardstick charge used for generation</v>
      </c>
    </row>
    <row r="185" spans="6:7" x14ac:dyDescent="0.3">
      <c r="F185" s="284" t="s">
        <v>115</v>
      </c>
      <c r="G185" s="58" t="str">
        <f ca="1">'Reactive power charges'!$C$190</f>
        <v>Section 113-D: Reactive power charges, all customer categories</v>
      </c>
    </row>
    <row r="186" spans="6:7" ht="15" thickBot="1" x14ac:dyDescent="0.35">
      <c r="F186" s="284" t="s">
        <v>115</v>
      </c>
      <c r="G186" s="58" t="str">
        <f ca="1">'Reactive power charges'!$C$220</f>
        <v>Section 113-E: Reactive power charges for applicable customers</v>
      </c>
    </row>
    <row r="187" spans="6:7" ht="15" thickTop="1" x14ac:dyDescent="0.3">
      <c r="F187" s="285" t="s">
        <v>87</v>
      </c>
      <c r="G187" s="58" t="str">
        <f ca="1">'Fixed charges'!$C$16</f>
        <v>Section 114-A: Volumes (discounted MPANs &amp; maximum load)</v>
      </c>
    </row>
    <row r="188" spans="6:7" x14ac:dyDescent="0.3">
      <c r="F188" s="284" t="s">
        <v>115</v>
      </c>
      <c r="G188" s="58" t="str">
        <f ca="1">'Fixed charges'!$C$22</f>
        <v>Section 114-B: Capacity elements allocated to fixed charges</v>
      </c>
    </row>
    <row r="189" spans="6:7" x14ac:dyDescent="0.3">
      <c r="F189" s="284" t="s">
        <v>115</v>
      </c>
      <c r="G189" s="58" t="str">
        <f ca="1">'Fixed charges'!$C$52</f>
        <v>Section 114-C: Service model costs allocated to fixed charges</v>
      </c>
    </row>
    <row r="190" spans="6:7" x14ac:dyDescent="0.3">
      <c r="F190" s="284" t="s">
        <v>115</v>
      </c>
      <c r="G190" s="58" t="str">
        <f ca="1">'Fixed charges'!$C$58</f>
        <v>Section 114-D: Flags</v>
      </c>
    </row>
    <row r="191" spans="6:7" x14ac:dyDescent="0.3">
      <c r="F191" s="284" t="s">
        <v>115</v>
      </c>
      <c r="G191" s="58" t="str">
        <f ca="1">'Fixed charges'!$C$67</f>
        <v>Section 114-E: Revenue allocated to fixed charges</v>
      </c>
    </row>
    <row r="192" spans="6:7" x14ac:dyDescent="0.3">
      <c r="F192" s="284" t="s">
        <v>115</v>
      </c>
      <c r="G192" s="58" t="str">
        <f ca="1">'Fixed charges'!$C$97</f>
        <v>Section 114-F: Revenue allocated to fixed charges, by aggregation group</v>
      </c>
    </row>
    <row r="193" spans="6:7" x14ac:dyDescent="0.3">
      <c r="F193" s="284" t="s">
        <v>115</v>
      </c>
      <c r="G193" s="58" t="str">
        <f ca="1">'Fixed charges'!$C$127</f>
        <v>Section 114-G: Fixed charges, by network level</v>
      </c>
    </row>
    <row r="194" spans="6:7" ht="15" thickBot="1" x14ac:dyDescent="0.35">
      <c r="F194" s="284" t="s">
        <v>115</v>
      </c>
      <c r="G194" s="58" t="str">
        <f ca="1">'Fixed charges'!$C$159</f>
        <v>Section 114-H: Aggregated fixed charges</v>
      </c>
    </row>
    <row r="195" spans="6:7" ht="15" thickTop="1" x14ac:dyDescent="0.3">
      <c r="F195" s="285" t="s">
        <v>1156</v>
      </c>
      <c r="G195" s="58" t="str">
        <f ca="1">'SoLR &amp; bad debt adders'!$C$16</f>
        <v>Section 115-A: Inputs for fixed tariff adjustments</v>
      </c>
    </row>
    <row r="196" spans="6:7" x14ac:dyDescent="0.3">
      <c r="F196" s="284" t="s">
        <v>115</v>
      </c>
      <c r="G196" s="58" t="str">
        <f ca="1">'SoLR &amp; bad debt adders'!$C$33</f>
        <v>Section 115-B: Calculation of fixed tariff adjustments</v>
      </c>
    </row>
    <row r="197" spans="6:7" ht="15" thickBot="1" x14ac:dyDescent="0.35">
      <c r="F197" s="284" t="s">
        <v>115</v>
      </c>
      <c r="G197" s="58" t="str">
        <f ca="1">'SoLR &amp; bad debt adders'!$C$48</f>
        <v>Section 115-C: Calculation of fixed charge adder revenue</v>
      </c>
    </row>
    <row r="198" spans="6:7" ht="15" thickTop="1" x14ac:dyDescent="0.3">
      <c r="F198" s="285" t="s">
        <v>89</v>
      </c>
      <c r="G198" s="58" t="str">
        <f ca="1">'Revenue matching'!$C$15</f>
        <v>Section 116-A: Inputs to revenue matching</v>
      </c>
    </row>
    <row r="199" spans="6:7" x14ac:dyDescent="0.3">
      <c r="F199" s="284" t="s">
        <v>115</v>
      </c>
      <c r="G199" s="58" t="str">
        <f ca="1">'Revenue matching'!$C$69</f>
        <v>Section 116-B: Net revenue before matching</v>
      </c>
    </row>
    <row r="200" spans="6:7" x14ac:dyDescent="0.3">
      <c r="F200" s="284" t="s">
        <v>115</v>
      </c>
      <c r="G200" s="58" t="str">
        <f ca="1">'Revenue matching'!$C$88</f>
        <v>Section 116-C: Grouping of residual bands where a band has insufficient customers</v>
      </c>
    </row>
    <row r="201" spans="6:7" x14ac:dyDescent="0.3">
      <c r="F201" s="284" t="s">
        <v>115</v>
      </c>
      <c r="G201" s="58" t="str">
        <f ca="1">'Revenue matching'!$C$151</f>
        <v>Section 116-D: Calculating MPANs for matching</v>
      </c>
    </row>
    <row r="202" spans="6:7" x14ac:dyDescent="0.3">
      <c r="F202" s="284" t="s">
        <v>115</v>
      </c>
      <c r="G202" s="58" t="str">
        <f ca="1">'Revenue matching'!$C$159</f>
        <v>Section 116-E: Calculating unit volumes for matching</v>
      </c>
    </row>
    <row r="203" spans="6:7" x14ac:dyDescent="0.3">
      <c r="F203" s="284" t="s">
        <v>115</v>
      </c>
      <c r="G203" s="58" t="str">
        <f ca="1">'Revenue matching'!$C$176</f>
        <v>Section 116-F: Allocating revenue to tariffs</v>
      </c>
    </row>
    <row r="204" spans="6:7" x14ac:dyDescent="0.3">
      <c r="F204" s="284" t="s">
        <v>115</v>
      </c>
      <c r="G204" s="58" t="str">
        <f ca="1">'Revenue matching'!$C$192</f>
        <v>Section 116-G: Calculating the residual fixed charge</v>
      </c>
    </row>
    <row r="205" spans="6:7" x14ac:dyDescent="0.3">
      <c r="F205" s="284" t="s">
        <v>115</v>
      </c>
      <c r="G205" s="58" t="str">
        <f ca="1">'Revenue matching'!$C$200</f>
        <v>Section 116-H: Calculating the initial residual unit rate</v>
      </c>
    </row>
    <row r="206" spans="6:7" x14ac:dyDescent="0.3">
      <c r="F206" s="284" t="s">
        <v>115</v>
      </c>
      <c r="G206" s="58" t="str">
        <f ca="1">'Revenue matching'!$C$213</f>
        <v>Section 116-I: Floor on negative residual fixed charges</v>
      </c>
    </row>
    <row r="207" spans="6:7" x14ac:dyDescent="0.3">
      <c r="F207" s="284" t="s">
        <v>115</v>
      </c>
      <c r="G207" s="58" t="str">
        <f ca="1">'Revenue matching'!$C$232</f>
        <v>Section 116-J: Ranking unit rate volumes and tariffs</v>
      </c>
    </row>
    <row r="208" spans="6:7" x14ac:dyDescent="0.3">
      <c r="F208" s="284" t="s">
        <v>115</v>
      </c>
      <c r="G208" s="58" t="str">
        <f ca="1">'Revenue matching'!$C$286</f>
        <v>Section 116-K: Revenue matching for three timebands</v>
      </c>
    </row>
    <row r="209" spans="6:7" x14ac:dyDescent="0.3">
      <c r="F209" s="284" t="s">
        <v>115</v>
      </c>
      <c r="G209" s="58" t="str">
        <f ca="1">'Revenue matching'!$C$313</f>
        <v>Section 116-L: Revenue matching for two timebands</v>
      </c>
    </row>
    <row r="210" spans="6:7" x14ac:dyDescent="0.3">
      <c r="F210" s="284" t="s">
        <v>115</v>
      </c>
      <c r="G210" s="58" t="str">
        <f ca="1">'Revenue matching'!$C$345</f>
        <v>Section 116-M: Revenue matching for one timeband</v>
      </c>
    </row>
    <row r="211" spans="6:7" x14ac:dyDescent="0.3">
      <c r="F211" s="284" t="s">
        <v>115</v>
      </c>
      <c r="G211" s="58" t="str">
        <f ca="1">'Revenue matching'!$C$377</f>
        <v>Section 116-N: Revenue matching adders by timeband</v>
      </c>
    </row>
    <row r="212" spans="6:7" ht="15" thickBot="1" x14ac:dyDescent="0.35">
      <c r="F212" s="284" t="s">
        <v>115</v>
      </c>
      <c r="G212" s="58" t="str">
        <f ca="1">'Revenue matching'!$C$409</f>
        <v>Section 116-O: Final adders</v>
      </c>
    </row>
    <row r="213" spans="6:7" ht="15" thickTop="1" x14ac:dyDescent="0.3">
      <c r="F213" s="285" t="s">
        <v>91</v>
      </c>
      <c r="G213" s="58" t="str">
        <f ca="1">Rounding!$C$16</f>
        <v>Section 117-A: Pre-match, pre-rounding tariff forecast</v>
      </c>
    </row>
    <row r="214" spans="6:7" x14ac:dyDescent="0.3">
      <c r="F214" s="284" t="s">
        <v>115</v>
      </c>
      <c r="G214" s="58" t="str">
        <f ca="1">Rounding!$C$28</f>
        <v>Section 117-B: Adders for revenue matching</v>
      </c>
    </row>
    <row r="215" spans="6:7" x14ac:dyDescent="0.3">
      <c r="F215" s="284" t="s">
        <v>115</v>
      </c>
      <c r="G215" s="58" t="str">
        <f ca="1">Rounding!$C$40</f>
        <v>Section 117-C: Adder to fixed charge for allocated pass-through costs</v>
      </c>
    </row>
    <row r="216" spans="6:7" x14ac:dyDescent="0.3">
      <c r="F216" s="284" t="s">
        <v>115</v>
      </c>
      <c r="G216" s="58" t="str">
        <f ca="1">Rounding!$C$52</f>
        <v>Section 117-D: LDNO discounts</v>
      </c>
    </row>
    <row r="217" spans="6:7" x14ac:dyDescent="0.3">
      <c r="F217" s="284" t="s">
        <v>115</v>
      </c>
      <c r="G217" s="58" t="str">
        <f ca="1">Rounding!$C$92</f>
        <v>Section 117-E: Decimal places for rounding</v>
      </c>
    </row>
    <row r="218" spans="6:7" x14ac:dyDescent="0.3">
      <c r="F218" s="284" t="s">
        <v>115</v>
      </c>
      <c r="G218" s="58" t="str">
        <f ca="1">Rounding!$C$107</f>
        <v>Section 117-F: Tariff forecast, post-revenue matching</v>
      </c>
    </row>
    <row r="219" spans="6:7" x14ac:dyDescent="0.3">
      <c r="F219" s="284" t="s">
        <v>115</v>
      </c>
      <c r="G219" s="58" t="str">
        <f ca="1">Rounding!$C$118</f>
        <v>Section 117-G: Tariff forecast, post-adders &amp; discounting</v>
      </c>
    </row>
    <row r="220" spans="6:7" ht="15" thickBot="1" x14ac:dyDescent="0.35">
      <c r="F220" s="284" t="s">
        <v>115</v>
      </c>
      <c r="G220" s="58" t="str">
        <f ca="1">Rounding!$C$147</f>
        <v>Section 117-H: Tariff forecast, post-rounding</v>
      </c>
    </row>
    <row r="221" spans="6:7" ht="15" thickTop="1" x14ac:dyDescent="0.3">
      <c r="F221" s="285" t="s">
        <v>93</v>
      </c>
      <c r="G221" s="58" t="str">
        <f ca="1">'Net revenue summary'!$C$13</f>
        <v>Section 118-A: Volume forecasts</v>
      </c>
    </row>
    <row r="222" spans="6:7" x14ac:dyDescent="0.3">
      <c r="F222" s="284" t="s">
        <v>115</v>
      </c>
      <c r="G222" s="58" t="str">
        <f ca="1">'Net revenue summary'!$C$52</f>
        <v>Section 118-B: Tariff forecast</v>
      </c>
    </row>
    <row r="223" spans="6:7" x14ac:dyDescent="0.3">
      <c r="F223" s="284" t="s">
        <v>115</v>
      </c>
      <c r="G223" s="58" t="str">
        <f ca="1">'Net revenue summary'!$C$81</f>
        <v>Section 118-C: Net revenue components</v>
      </c>
    </row>
    <row r="224" spans="6:7" x14ac:dyDescent="0.3">
      <c r="F224" s="284" t="s">
        <v>115</v>
      </c>
      <c r="G224" s="58" t="str">
        <f ca="1">'Net revenue summary'!$C$92</f>
        <v>Section 118-D: Net revenue by tariff</v>
      </c>
    </row>
    <row r="225" spans="2:7" x14ac:dyDescent="0.3">
      <c r="F225" s="284" t="s">
        <v>115</v>
      </c>
      <c r="G225" s="58" t="str">
        <f ca="1">'Net revenue summary'!$C$124</f>
        <v>Section 118-E: Net revenue summary (for information only)</v>
      </c>
    </row>
    <row r="226" spans="2:7" x14ac:dyDescent="0.3">
      <c r="F226" s="284" t="s">
        <v>115</v>
      </c>
      <c r="G226" s="58" t="str">
        <f ca="1">'Net revenue summary'!$C$138</f>
        <v>Section 118-F: Typical bills</v>
      </c>
    </row>
    <row r="227" spans="2:7" x14ac:dyDescent="0.3">
      <c r="F227" s="284" t="s">
        <v>115</v>
      </c>
      <c r="G227" s="58" t="str">
        <f ca="1">'Net revenue summary'!$C$144</f>
        <v>Section 118-G: Average bill per kWh</v>
      </c>
    </row>
    <row r="228" spans="2:7" x14ac:dyDescent="0.3">
      <c r="F228" s="284" t="s">
        <v>115</v>
      </c>
      <c r="G228" s="58" t="str">
        <f ca="1">'Net revenue summary'!$C$152</f>
        <v>Section 118-H: Previous year all the way tariff forecast</v>
      </c>
    </row>
    <row r="229" spans="2:7" x14ac:dyDescent="0.3">
      <c r="F229" s="284" t="s">
        <v>115</v>
      </c>
      <c r="G229" s="58" t="str">
        <f ca="1">'Net revenue summary'!$C$163</f>
        <v>Section 118-I: Previous year net revenue from all the way tariff forecast</v>
      </c>
    </row>
    <row r="230" spans="2:7" x14ac:dyDescent="0.3">
      <c r="F230" s="284" t="s">
        <v>115</v>
      </c>
      <c r="G230" s="58" t="str">
        <f ca="1">'Net revenue summary'!$C$178</f>
        <v>Section 118-J: LDNO typical bills using all-the-way volumes</v>
      </c>
    </row>
    <row r="231" spans="2:7" ht="15" thickBot="1" x14ac:dyDescent="0.35">
      <c r="F231" s="284" t="s">
        <v>115</v>
      </c>
      <c r="G231" s="58" t="str">
        <f ca="1">'Net revenue summary'!$C$202</f>
        <v>Section 118-K: LDNO margins</v>
      </c>
    </row>
    <row r="232" spans="2:7" ht="15.6" thickTop="1" thickBot="1" x14ac:dyDescent="0.35">
      <c r="F232" s="287" t="s">
        <v>95</v>
      </c>
      <c r="G232" s="58" t="str">
        <f>'Tariff summary'!$C$13</f>
        <v>Output 101-A: Tariffs for 2022/23</v>
      </c>
    </row>
    <row r="233" spans="2:7" ht="15" thickTop="1" x14ac:dyDescent="0.3">
      <c r="F233" s="287" t="s">
        <v>97</v>
      </c>
      <c r="G233" s="58" t="str">
        <f ca="1">'Output to other models'!$C$14</f>
        <v>Output 102-A: CDCM notional EHV asset values</v>
      </c>
    </row>
    <row r="234" spans="2:7" x14ac:dyDescent="0.3">
      <c r="F234" s="286" t="s">
        <v>115</v>
      </c>
      <c r="G234" s="58" t="str">
        <f ca="1">'Output to other models'!$C$27</f>
        <v>Output 102-B: CDCM end user tariff forecast</v>
      </c>
    </row>
    <row r="235" spans="2:7" x14ac:dyDescent="0.3">
      <c r="F235" s="286" t="s">
        <v>115</v>
      </c>
      <c r="G235" s="58" t="str">
        <f ca="1">'Output to other models'!$C$45</f>
        <v>Output 102-C: CDCM non-tariff outputs to EDCM</v>
      </c>
    </row>
    <row r="236" spans="2:7" x14ac:dyDescent="0.3">
      <c r="F236" s="286" t="s">
        <v>115</v>
      </c>
      <c r="G236" s="58" t="str">
        <f ca="1">'Output to other models'!$C$57</f>
        <v>Output 102-D: Outputs for DNOs' internal use</v>
      </c>
    </row>
    <row r="237" spans="2:7" x14ac:dyDescent="0.3">
      <c r="F237" s="286" t="s">
        <v>115</v>
      </c>
      <c r="G237" s="58" t="str">
        <f ca="1">'Output to other models'!$C$67</f>
        <v>Output 102-E: Outputs for IDNOs' internal use</v>
      </c>
    </row>
    <row r="239" spans="2:7" x14ac:dyDescent="0.3">
      <c r="B239" s="30" t="s">
        <v>105</v>
      </c>
      <c r="C239" s="30"/>
      <c r="D239" s="30"/>
      <c r="E239" s="30"/>
      <c r="F239" s="30"/>
      <c r="G239" s="3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activeCell="A4" sqref="A4"/>
    </sheetView>
  </sheetViews>
  <sheetFormatPr defaultColWidth="0" defaultRowHeight="14.4" x14ac:dyDescent="0.3"/>
  <cols>
    <col min="1" max="5" width="2.5546875" customWidth="1"/>
    <col min="6" max="6" width="59.5546875" customWidth="1"/>
    <col min="7" max="7" width="90.44140625" customWidth="1"/>
    <col min="8" max="8" width="20.5546875" customWidth="1"/>
    <col min="9" max="9" width="2.5546875" customWidth="1"/>
    <col min="10" max="16" width="15.44140625" hidden="1" customWidth="1"/>
    <col min="17" max="17" width="2.5546875" hidden="1" customWidth="1"/>
    <col min="18" max="30" width="0" hidden="1" customWidth="1"/>
    <col min="31" max="16384" width="9.33203125" hidden="1"/>
  </cols>
  <sheetData>
    <row r="1" spans="1:8" s="1" customFormat="1" x14ac:dyDescent="0.3">
      <c r="A1" s="1" t="str">
        <f ca="1">MID(CELL("filename",A1),FIND("]",CELL("filename",A1))+1,255)</f>
        <v>Named ranges</v>
      </c>
    </row>
    <row r="2" spans="1:8" s="1" customFormat="1" x14ac:dyDescent="0.3">
      <c r="A2" s="1" t="str">
        <f>Cover!D21&amp;" - "&amp;Cover!D23</f>
        <v>Electricity North West Limited - Working Model</v>
      </c>
    </row>
    <row r="3" spans="1:8" s="5" customFormat="1" x14ac:dyDescent="0.3">
      <c r="A3" s="5" t="str">
        <f>Cover!D2&amp;" - "&amp;Cover!D8&amp;" v"&amp;Cover!D10&amp;" - "&amp;Cover!D19</f>
        <v>CDCM charging model - Release for charge setting v7 - 2022/23</v>
      </c>
    </row>
    <row r="5" spans="1:8" x14ac:dyDescent="0.3">
      <c r="B5" s="41" t="s">
        <v>120</v>
      </c>
      <c r="C5" s="41"/>
      <c r="D5" s="41"/>
      <c r="E5" s="41"/>
      <c r="F5" s="42"/>
      <c r="G5" s="42"/>
      <c r="H5" s="42"/>
    </row>
    <row r="6" spans="1:8" x14ac:dyDescent="0.3">
      <c r="B6" s="40"/>
      <c r="C6" s="40"/>
      <c r="D6" s="40"/>
      <c r="E6" s="40"/>
      <c r="F6" s="43"/>
      <c r="G6" s="40"/>
      <c r="H6" s="40"/>
    </row>
    <row r="7" spans="1:8" x14ac:dyDescent="0.3">
      <c r="F7" s="58" t="s">
        <v>121</v>
      </c>
      <c r="G7" t="s">
        <v>122</v>
      </c>
      <c r="H7" t="s">
        <v>113</v>
      </c>
    </row>
    <row r="8" spans="1:8" x14ac:dyDescent="0.3">
      <c r="F8" s="58" t="s">
        <v>123</v>
      </c>
      <c r="G8" t="s">
        <v>124</v>
      </c>
      <c r="H8" t="s">
        <v>52</v>
      </c>
    </row>
    <row r="9" spans="1:8" x14ac:dyDescent="0.3">
      <c r="F9" s="58" t="s">
        <v>125</v>
      </c>
      <c r="G9" t="s">
        <v>126</v>
      </c>
      <c r="H9" t="s">
        <v>59</v>
      </c>
    </row>
    <row r="10" spans="1:8" x14ac:dyDescent="0.3">
      <c r="F10" s="58" t="s">
        <v>127</v>
      </c>
      <c r="G10" t="s">
        <v>128</v>
      </c>
      <c r="H10" t="s">
        <v>113</v>
      </c>
    </row>
    <row r="11" spans="1:8" x14ac:dyDescent="0.3">
      <c r="F11" s="58" t="s">
        <v>129</v>
      </c>
      <c r="G11" t="s">
        <v>130</v>
      </c>
      <c r="H11" t="s">
        <v>52</v>
      </c>
    </row>
    <row r="12" spans="1:8" x14ac:dyDescent="0.3">
      <c r="F12" s="58" t="s">
        <v>131</v>
      </c>
      <c r="G12" t="s">
        <v>132</v>
      </c>
      <c r="H12" t="s">
        <v>59</v>
      </c>
    </row>
    <row r="13" spans="1:8" x14ac:dyDescent="0.3">
      <c r="F13" s="58" t="s">
        <v>133</v>
      </c>
      <c r="G13" t="s">
        <v>134</v>
      </c>
      <c r="H13" t="s">
        <v>52</v>
      </c>
    </row>
    <row r="14" spans="1:8" x14ac:dyDescent="0.3">
      <c r="F14" s="58" t="s">
        <v>135</v>
      </c>
      <c r="G14" t="s">
        <v>136</v>
      </c>
      <c r="H14" t="s">
        <v>52</v>
      </c>
    </row>
    <row r="15" spans="1:8" x14ac:dyDescent="0.3">
      <c r="F15" s="58" t="s">
        <v>137</v>
      </c>
      <c r="G15" t="s">
        <v>138</v>
      </c>
      <c r="H15" t="s">
        <v>52</v>
      </c>
    </row>
    <row r="16" spans="1:8" x14ac:dyDescent="0.3">
      <c r="F16" s="58" t="s">
        <v>139</v>
      </c>
      <c r="G16" t="s">
        <v>140</v>
      </c>
      <c r="H16" t="s">
        <v>52</v>
      </c>
    </row>
    <row r="17" spans="2:8" x14ac:dyDescent="0.3">
      <c r="F17" s="58"/>
    </row>
    <row r="18" spans="2:8" x14ac:dyDescent="0.3">
      <c r="B18" s="41" t="s">
        <v>105</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16384" width="9.33203125" hidden="1"/>
  </cols>
  <sheetData>
    <row r="1" spans="1:43" s="1" customFormat="1" x14ac:dyDescent="0.3">
      <c r="A1" s="1" t="str">
        <f ca="1">MID(CELL("filename",A1),FIND("]",CELL("filename",A1))+1,255)</f>
        <v>Fixed inputs</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H196 &amp; IF(H196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Q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145</v>
      </c>
    </row>
    <row r="11" spans="1:43" x14ac:dyDescent="0.3">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x14ac:dyDescent="0.3">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
      <c r="E15" s="28" t="s">
        <v>130</v>
      </c>
      <c r="G15" t="s">
        <v>146</v>
      </c>
      <c r="H15" s="242">
        <v>24</v>
      </c>
    </row>
    <row r="16" spans="1:43" x14ac:dyDescent="0.3">
      <c r="E16" s="28" t="s">
        <v>147</v>
      </c>
      <c r="G16" t="s">
        <v>148</v>
      </c>
      <c r="H16" s="242">
        <v>10</v>
      </c>
    </row>
    <row r="17" spans="3:43" x14ac:dyDescent="0.3">
      <c r="E17" s="28" t="s">
        <v>149</v>
      </c>
      <c r="G17" t="s">
        <v>148</v>
      </c>
      <c r="H17" s="242">
        <v>100</v>
      </c>
    </row>
    <row r="18" spans="3:43" x14ac:dyDescent="0.3">
      <c r="E18" s="28" t="s">
        <v>150</v>
      </c>
      <c r="G18" t="s">
        <v>148</v>
      </c>
      <c r="H18" s="242">
        <v>1000</v>
      </c>
    </row>
    <row r="20" spans="3:43" x14ac:dyDescent="0.3">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x14ac:dyDescent="0.3">
      <c r="D22" s="29" t="s">
        <v>151</v>
      </c>
    </row>
    <row r="23" spans="3:43" x14ac:dyDescent="0.3">
      <c r="E23" s="32"/>
    </row>
    <row r="24" spans="3:43" x14ac:dyDescent="0.3">
      <c r="E24" s="32" t="s">
        <v>152</v>
      </c>
      <c r="F24" s="29"/>
      <c r="I24" t="s">
        <v>153</v>
      </c>
      <c r="AQ24" t="s">
        <v>154</v>
      </c>
    </row>
    <row r="25" spans="3:43" x14ac:dyDescent="0.3">
      <c r="F25" s="23" t="s">
        <v>155</v>
      </c>
      <c r="G25" s="23" t="s">
        <v>148</v>
      </c>
      <c r="H25" s="246">
        <v>3</v>
      </c>
    </row>
    <row r="26" spans="3:43" x14ac:dyDescent="0.3">
      <c r="F26" t="s">
        <v>156</v>
      </c>
      <c r="G26" t="s">
        <v>148</v>
      </c>
      <c r="H26" s="242">
        <v>3</v>
      </c>
    </row>
    <row r="27" spans="3:43" x14ac:dyDescent="0.3">
      <c r="F27" t="s">
        <v>157</v>
      </c>
      <c r="G27" t="s">
        <v>148</v>
      </c>
      <c r="H27" s="242">
        <v>3</v>
      </c>
    </row>
    <row r="28" spans="3:43" x14ac:dyDescent="0.3">
      <c r="F28" t="s">
        <v>158</v>
      </c>
      <c r="G28" t="s">
        <v>148</v>
      </c>
      <c r="H28" s="242">
        <v>2</v>
      </c>
    </row>
    <row r="29" spans="3:43" x14ac:dyDescent="0.3">
      <c r="F29" t="s">
        <v>159</v>
      </c>
      <c r="G29" t="s">
        <v>148</v>
      </c>
      <c r="H29" s="242">
        <v>2</v>
      </c>
    </row>
    <row r="30" spans="3:43" x14ac:dyDescent="0.3">
      <c r="F30" t="s">
        <v>160</v>
      </c>
      <c r="G30" t="s">
        <v>148</v>
      </c>
      <c r="H30" s="242">
        <v>2</v>
      </c>
    </row>
    <row r="31" spans="3:43" x14ac:dyDescent="0.3">
      <c r="F31" s="37" t="s">
        <v>161</v>
      </c>
      <c r="G31" s="37" t="s">
        <v>148</v>
      </c>
      <c r="H31" s="247">
        <v>3</v>
      </c>
    </row>
    <row r="33" spans="3:43" x14ac:dyDescent="0.3">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3">
      <c r="E35" s="28" t="s">
        <v>162</v>
      </c>
      <c r="G35" t="s">
        <v>163</v>
      </c>
      <c r="H35" s="242">
        <v>40</v>
      </c>
      <c r="I35" t="s">
        <v>153</v>
      </c>
      <c r="AQ35" s="3" t="s">
        <v>164</v>
      </c>
    </row>
    <row r="37" spans="3:43" x14ac:dyDescent="0.3">
      <c r="E37" s="28" t="s">
        <v>165</v>
      </c>
      <c r="G37" t="s">
        <v>166</v>
      </c>
      <c r="H37" s="242">
        <v>0.95</v>
      </c>
      <c r="I37" t="s">
        <v>153</v>
      </c>
      <c r="AQ37" t="s">
        <v>167</v>
      </c>
    </row>
    <row r="39" spans="3:43" x14ac:dyDescent="0.3">
      <c r="E39" s="28" t="s">
        <v>168</v>
      </c>
      <c r="G39" t="s">
        <v>166</v>
      </c>
      <c r="H39" s="248">
        <v>0.6</v>
      </c>
      <c r="I39" t="s">
        <v>153</v>
      </c>
      <c r="AQ39" s="3" t="s">
        <v>169</v>
      </c>
    </row>
    <row r="41" spans="3:43" x14ac:dyDescent="0.3">
      <c r="E41" s="28" t="s">
        <v>170</v>
      </c>
      <c r="G41" s="28" t="s">
        <v>171</v>
      </c>
      <c r="H41" s="242">
        <v>500</v>
      </c>
      <c r="I41" t="s">
        <v>153</v>
      </c>
      <c r="AQ41" s="63" t="s">
        <v>172</v>
      </c>
    </row>
    <row r="43" spans="3:43" x14ac:dyDescent="0.3">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3">
      <c r="E45" s="32" t="s">
        <v>173</v>
      </c>
    </row>
    <row r="46" spans="3:43" x14ac:dyDescent="0.3">
      <c r="F46" s="64" t="s">
        <v>174</v>
      </c>
      <c r="G46" s="23" t="s">
        <v>175</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3">
      <c r="F47" s="28" t="s">
        <v>176</v>
      </c>
      <c r="G47" t="s">
        <v>175</v>
      </c>
      <c r="J47" s="242">
        <v>1</v>
      </c>
      <c r="K47" s="242">
        <v>1</v>
      </c>
      <c r="L47" s="242">
        <v>1</v>
      </c>
      <c r="M47" s="242">
        <v>1</v>
      </c>
      <c r="N47" s="242">
        <v>1</v>
      </c>
      <c r="O47" s="242">
        <v>0</v>
      </c>
      <c r="P47" s="242">
        <v>0</v>
      </c>
      <c r="Q47" s="242">
        <v>1</v>
      </c>
      <c r="R47" s="66"/>
      <c r="S47" s="66"/>
      <c r="T47" s="66"/>
      <c r="U47" s="66"/>
      <c r="V47" s="66"/>
      <c r="W47" s="66"/>
      <c r="X47" s="66"/>
      <c r="Y47" s="66"/>
    </row>
    <row r="48" spans="3:43" x14ac:dyDescent="0.3">
      <c r="F48" s="28" t="s">
        <v>177</v>
      </c>
      <c r="G48" t="s">
        <v>175</v>
      </c>
      <c r="J48" s="242">
        <v>0</v>
      </c>
      <c r="K48" s="242">
        <v>0</v>
      </c>
      <c r="L48" s="242">
        <v>0</v>
      </c>
      <c r="M48" s="242">
        <v>0</v>
      </c>
      <c r="N48" s="242">
        <v>0</v>
      </c>
      <c r="O48" s="242">
        <v>1</v>
      </c>
      <c r="P48" s="242">
        <v>0</v>
      </c>
      <c r="Q48" s="242">
        <v>0</v>
      </c>
      <c r="R48" s="66"/>
      <c r="S48" s="66"/>
      <c r="T48" s="66"/>
      <c r="U48" s="66"/>
      <c r="V48" s="66"/>
      <c r="W48" s="66"/>
      <c r="X48" s="66"/>
      <c r="Y48" s="66"/>
    </row>
    <row r="49" spans="5:43" x14ac:dyDescent="0.3">
      <c r="F49" s="67" t="s">
        <v>178</v>
      </c>
      <c r="G49" s="37" t="s">
        <v>175</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3">
      <c r="E51" s="32" t="s">
        <v>179</v>
      </c>
      <c r="I51" t="s">
        <v>153</v>
      </c>
      <c r="AQ51" s="3" t="s">
        <v>180</v>
      </c>
    </row>
    <row r="52" spans="5:43" x14ac:dyDescent="0.3">
      <c r="E52" s="29" t="s">
        <v>181</v>
      </c>
    </row>
    <row r="53" spans="5:43" x14ac:dyDescent="0.3">
      <c r="F53" s="64" t="s">
        <v>182</v>
      </c>
      <c r="G53" s="23" t="s">
        <v>175</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3">
      <c r="F54" s="28" t="s">
        <v>183</v>
      </c>
      <c r="G54" t="s">
        <v>175</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3">
      <c r="F55" s="28" t="s">
        <v>184</v>
      </c>
      <c r="G55" t="s">
        <v>175</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3">
      <c r="F56" s="67" t="s">
        <v>185</v>
      </c>
      <c r="G56" s="37" t="s">
        <v>175</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3">
      <c r="H57" s="3"/>
      <c r="I57" s="3"/>
    </row>
    <row r="58" spans="5:43" x14ac:dyDescent="0.3">
      <c r="E58" s="32" t="s">
        <v>186</v>
      </c>
    </row>
    <row r="59" spans="5:43" x14ac:dyDescent="0.3">
      <c r="E59" s="29" t="s">
        <v>187</v>
      </c>
    </row>
    <row r="60" spans="5:43" x14ac:dyDescent="0.3">
      <c r="F60" s="23" t="s">
        <v>188</v>
      </c>
      <c r="G60" s="23" t="s">
        <v>189</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3">
      <c r="F61" t="s">
        <v>190</v>
      </c>
      <c r="G61" t="s">
        <v>189</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3">
      <c r="F62" t="s">
        <v>191</v>
      </c>
      <c r="G62" t="s">
        <v>189</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3">
      <c r="F63" t="s">
        <v>192</v>
      </c>
      <c r="G63" t="s">
        <v>189</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3">
      <c r="F64" t="s">
        <v>193</v>
      </c>
      <c r="G64" t="s">
        <v>189</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3">
      <c r="F65" t="s">
        <v>194</v>
      </c>
      <c r="G65" t="s">
        <v>189</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3">
      <c r="F66" t="s">
        <v>195</v>
      </c>
      <c r="G66" t="s">
        <v>189</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3">
      <c r="F67" t="s">
        <v>196</v>
      </c>
      <c r="G67" t="s">
        <v>189</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3">
      <c r="F68" t="s">
        <v>197</v>
      </c>
      <c r="G68" t="s">
        <v>189</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3">
      <c r="F69" s="37" t="s">
        <v>198</v>
      </c>
      <c r="G69" s="37" t="s">
        <v>189</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3">
      <c r="E71" s="32" t="s">
        <v>199</v>
      </c>
      <c r="I71" t="s">
        <v>153</v>
      </c>
      <c r="AQ71" s="3" t="s">
        <v>200</v>
      </c>
    </row>
    <row r="72" spans="5:43" x14ac:dyDescent="0.3">
      <c r="E72" s="29" t="s">
        <v>201</v>
      </c>
    </row>
    <row r="73" spans="5:43" x14ac:dyDescent="0.3">
      <c r="E73" s="29"/>
      <c r="F73" s="23" t="s">
        <v>188</v>
      </c>
      <c r="G73" s="23" t="s">
        <v>189</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3">
      <c r="E74" s="29"/>
      <c r="F74" t="s">
        <v>190</v>
      </c>
      <c r="G74" t="s">
        <v>189</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3">
      <c r="E75" s="29"/>
      <c r="F75" t="s">
        <v>191</v>
      </c>
      <c r="G75" t="s">
        <v>189</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3">
      <c r="E76" s="29"/>
      <c r="F76" t="s">
        <v>192</v>
      </c>
      <c r="G76" t="s">
        <v>189</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3">
      <c r="E77" s="29"/>
      <c r="F77" t="s">
        <v>193</v>
      </c>
      <c r="G77" t="s">
        <v>189</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3">
      <c r="E78" s="29"/>
      <c r="F78" t="s">
        <v>194</v>
      </c>
      <c r="G78" t="s">
        <v>189</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3">
      <c r="E79" s="29"/>
      <c r="F79" t="s">
        <v>195</v>
      </c>
      <c r="G79" t="s">
        <v>189</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3">
      <c r="E80" s="29"/>
      <c r="F80" t="s">
        <v>196</v>
      </c>
      <c r="G80" t="s">
        <v>189</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3">
      <c r="E81" s="29"/>
      <c r="F81" t="s">
        <v>197</v>
      </c>
      <c r="G81" t="s">
        <v>189</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3">
      <c r="E82" s="29"/>
      <c r="F82" s="37" t="s">
        <v>198</v>
      </c>
      <c r="G82" s="37" t="s">
        <v>189</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3">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3">
      <c r="E86" s="32" t="s">
        <v>119</v>
      </c>
      <c r="F86" s="32"/>
      <c r="I86" t="s">
        <v>153</v>
      </c>
      <c r="AQ86" t="s">
        <v>202</v>
      </c>
    </row>
    <row r="87" spans="3:43" x14ac:dyDescent="0.3">
      <c r="E87" s="29" t="s">
        <v>862</v>
      </c>
      <c r="F87" s="29"/>
    </row>
    <row r="88" spans="3:43" x14ac:dyDescent="0.3">
      <c r="E88" s="29"/>
      <c r="F88" s="23" t="s">
        <v>188</v>
      </c>
      <c r="G88" s="23" t="s">
        <v>166</v>
      </c>
      <c r="H88" s="23"/>
      <c r="I88" s="23"/>
      <c r="J88" s="65"/>
      <c r="K88" s="65"/>
      <c r="L88" s="65"/>
      <c r="M88" s="65"/>
      <c r="N88" s="65"/>
      <c r="O88" s="65"/>
      <c r="P88" s="65"/>
      <c r="Q88" s="65"/>
      <c r="R88" s="65"/>
      <c r="S88" s="65"/>
      <c r="T88" s="65"/>
      <c r="U88" s="65"/>
      <c r="V88" s="65"/>
      <c r="W88" s="65"/>
      <c r="X88" s="65"/>
      <c r="Y88" s="65"/>
    </row>
    <row r="89" spans="3:43" x14ac:dyDescent="0.3">
      <c r="E89" s="29"/>
      <c r="F89" t="s">
        <v>190</v>
      </c>
      <c r="G89" t="s">
        <v>166</v>
      </c>
      <c r="J89" s="66"/>
      <c r="K89" s="66"/>
      <c r="L89" s="66"/>
      <c r="M89" s="66"/>
      <c r="N89" s="66"/>
      <c r="O89" s="66"/>
      <c r="P89" s="66"/>
      <c r="Q89" s="66"/>
      <c r="R89" s="66"/>
      <c r="S89" s="66"/>
      <c r="T89" s="66"/>
      <c r="U89" s="66"/>
      <c r="V89" s="66"/>
      <c r="W89" s="66"/>
      <c r="X89" s="66"/>
      <c r="Y89" s="66"/>
    </row>
    <row r="90" spans="3:43" x14ac:dyDescent="0.3">
      <c r="E90" s="29"/>
      <c r="F90" t="s">
        <v>191</v>
      </c>
      <c r="G90" t="s">
        <v>166</v>
      </c>
      <c r="J90" s="70"/>
      <c r="K90" s="70"/>
      <c r="L90" s="70"/>
      <c r="M90" s="70"/>
      <c r="N90" s="70"/>
      <c r="O90" s="70"/>
      <c r="P90" s="70"/>
      <c r="Q90" s="70"/>
      <c r="R90" s="66"/>
      <c r="S90" s="66"/>
      <c r="T90" s="66"/>
      <c r="U90" s="66"/>
      <c r="V90" s="66"/>
      <c r="W90" s="66"/>
      <c r="X90" s="66"/>
      <c r="Y90" s="66"/>
    </row>
    <row r="91" spans="3:43" x14ac:dyDescent="0.3">
      <c r="E91" s="29"/>
      <c r="F91" t="s">
        <v>192</v>
      </c>
      <c r="G91" t="s">
        <v>166</v>
      </c>
      <c r="J91" s="70"/>
      <c r="K91" s="70"/>
      <c r="L91" s="70"/>
      <c r="M91" s="70"/>
      <c r="N91" s="70"/>
      <c r="O91" s="70"/>
      <c r="P91" s="70"/>
      <c r="Q91" s="70"/>
      <c r="R91" s="66"/>
      <c r="S91" s="66"/>
      <c r="T91" s="66"/>
      <c r="U91" s="66"/>
      <c r="V91" s="66"/>
      <c r="W91" s="66"/>
      <c r="X91" s="66"/>
      <c r="Y91" s="66"/>
    </row>
    <row r="92" spans="3:43" x14ac:dyDescent="0.3">
      <c r="E92" s="29"/>
      <c r="F92" t="s">
        <v>193</v>
      </c>
      <c r="G92" t="s">
        <v>166</v>
      </c>
      <c r="J92" s="70"/>
      <c r="K92" s="70"/>
      <c r="L92" s="70"/>
      <c r="M92" s="70"/>
      <c r="N92" s="70"/>
      <c r="O92" s="70"/>
      <c r="P92" s="248">
        <v>0.2</v>
      </c>
      <c r="Q92" s="70"/>
      <c r="R92" s="66"/>
      <c r="S92" s="66"/>
      <c r="T92" s="66"/>
      <c r="U92" s="66"/>
      <c r="V92" s="66"/>
      <c r="W92" s="66"/>
      <c r="X92" s="66"/>
      <c r="Y92" s="66"/>
    </row>
    <row r="93" spans="3:43" x14ac:dyDescent="0.3">
      <c r="E93" s="29"/>
      <c r="F93" t="s">
        <v>194</v>
      </c>
      <c r="G93" t="s">
        <v>166</v>
      </c>
      <c r="J93" s="70"/>
      <c r="K93" s="70"/>
      <c r="L93" s="70"/>
      <c r="M93" s="70"/>
      <c r="N93" s="70"/>
      <c r="O93" s="70"/>
      <c r="P93" s="248">
        <v>1</v>
      </c>
      <c r="Q93" s="70"/>
      <c r="R93" s="66"/>
      <c r="S93" s="66"/>
      <c r="T93" s="66"/>
      <c r="U93" s="66"/>
      <c r="V93" s="66"/>
      <c r="W93" s="66"/>
      <c r="X93" s="66"/>
      <c r="Y93" s="66"/>
    </row>
    <row r="94" spans="3:43" x14ac:dyDescent="0.3">
      <c r="E94" s="29"/>
      <c r="F94" t="s">
        <v>195</v>
      </c>
      <c r="G94" t="s">
        <v>166</v>
      </c>
      <c r="J94" s="70"/>
      <c r="K94" s="70"/>
      <c r="L94" s="70"/>
      <c r="M94" s="70"/>
      <c r="N94" s="70"/>
      <c r="O94" s="70"/>
      <c r="P94" s="70"/>
      <c r="Q94" s="70"/>
      <c r="R94" s="66"/>
      <c r="S94" s="66"/>
      <c r="T94" s="66"/>
      <c r="U94" s="66"/>
      <c r="V94" s="66"/>
      <c r="W94" s="66"/>
      <c r="X94" s="66"/>
      <c r="Y94" s="66"/>
    </row>
    <row r="95" spans="3:43" x14ac:dyDescent="0.3">
      <c r="E95" s="29"/>
      <c r="F95" t="s">
        <v>196</v>
      </c>
      <c r="G95" t="s">
        <v>166</v>
      </c>
      <c r="J95" s="70"/>
      <c r="K95" s="70"/>
      <c r="L95" s="70"/>
      <c r="M95" s="70"/>
      <c r="N95" s="248">
        <v>0.2</v>
      </c>
      <c r="O95" s="248">
        <v>1</v>
      </c>
      <c r="P95" s="248">
        <v>1</v>
      </c>
      <c r="Q95" s="70"/>
      <c r="R95" s="66"/>
      <c r="S95" s="66"/>
      <c r="T95" s="66"/>
      <c r="U95" s="66"/>
      <c r="V95" s="66"/>
      <c r="W95" s="66"/>
      <c r="X95" s="66"/>
      <c r="Y95" s="66"/>
    </row>
    <row r="96" spans="3:43" x14ac:dyDescent="0.3">
      <c r="E96" s="29"/>
      <c r="F96" t="s">
        <v>197</v>
      </c>
      <c r="G96" t="s">
        <v>166</v>
      </c>
      <c r="J96" s="70"/>
      <c r="K96" s="70"/>
      <c r="L96" s="70"/>
      <c r="M96" s="70"/>
      <c r="N96" s="248">
        <v>1</v>
      </c>
      <c r="O96" s="248">
        <v>1</v>
      </c>
      <c r="P96" s="70"/>
      <c r="Q96" s="70"/>
      <c r="R96" s="66"/>
      <c r="S96" s="66"/>
      <c r="T96" s="66"/>
      <c r="U96" s="66"/>
      <c r="V96" s="66"/>
      <c r="W96" s="66"/>
      <c r="X96" s="66"/>
      <c r="Y96" s="66"/>
    </row>
    <row r="97" spans="3:43" x14ac:dyDescent="0.3">
      <c r="E97" s="29"/>
      <c r="F97" s="37" t="s">
        <v>198</v>
      </c>
      <c r="G97" s="37" t="s">
        <v>166</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3">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3">
      <c r="D101" s="32" t="s">
        <v>203</v>
      </c>
      <c r="E101" s="32"/>
    </row>
    <row r="102" spans="3:43" x14ac:dyDescent="0.3">
      <c r="D102" s="29" t="s">
        <v>204</v>
      </c>
      <c r="E102" s="29"/>
    </row>
    <row r="103" spans="3:43" x14ac:dyDescent="0.3">
      <c r="D103" s="29" t="s">
        <v>205</v>
      </c>
      <c r="E103" s="29"/>
    </row>
    <row r="104" spans="3:43" x14ac:dyDescent="0.3">
      <c r="D104" s="29"/>
      <c r="E104" s="32" t="s">
        <v>206</v>
      </c>
    </row>
    <row r="105" spans="3:43" x14ac:dyDescent="0.3">
      <c r="D105" s="29"/>
      <c r="F105" s="28" t="s">
        <v>207</v>
      </c>
      <c r="G105" t="s">
        <v>208</v>
      </c>
      <c r="I105" t="s">
        <v>153</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209</v>
      </c>
    </row>
    <row r="106" spans="3:43" x14ac:dyDescent="0.3">
      <c r="D106" s="29"/>
      <c r="E106" s="28"/>
      <c r="F106" s="28" t="s">
        <v>210</v>
      </c>
      <c r="G106" t="s">
        <v>166</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3">
      <c r="D107" s="29"/>
      <c r="E107" s="28"/>
      <c r="F107" s="28"/>
      <c r="J107" s="14"/>
      <c r="K107" s="14"/>
      <c r="L107" s="14"/>
      <c r="M107" s="14"/>
      <c r="N107" s="14"/>
      <c r="O107" s="14"/>
      <c r="P107" s="14"/>
      <c r="Q107" s="14"/>
      <c r="R107" s="14"/>
      <c r="S107" s="14"/>
      <c r="T107" s="14"/>
      <c r="U107" s="14"/>
      <c r="V107" s="14"/>
      <c r="W107" s="14"/>
      <c r="X107" s="14"/>
      <c r="Y107" s="14"/>
    </row>
    <row r="108" spans="3:43" x14ac:dyDescent="0.3">
      <c r="D108" s="29"/>
      <c r="E108" s="32" t="s">
        <v>211</v>
      </c>
      <c r="F108" s="28"/>
      <c r="J108" s="14"/>
      <c r="K108" s="14"/>
      <c r="L108" s="14"/>
      <c r="M108" s="14"/>
      <c r="N108" s="14"/>
      <c r="O108" s="14"/>
      <c r="P108" s="14"/>
      <c r="Q108" s="14"/>
      <c r="R108" s="14"/>
      <c r="S108" s="14"/>
      <c r="T108" s="14"/>
      <c r="U108" s="14"/>
      <c r="V108" s="14"/>
      <c r="W108" s="14"/>
      <c r="X108" s="14"/>
      <c r="Y108" s="14"/>
    </row>
    <row r="109" spans="3:43" x14ac:dyDescent="0.3">
      <c r="D109" s="29"/>
      <c r="F109" s="28" t="s">
        <v>207</v>
      </c>
      <c r="G109" t="s">
        <v>208</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3">
      <c r="D110" s="29"/>
      <c r="E110" s="28"/>
      <c r="F110" s="28" t="s">
        <v>210</v>
      </c>
      <c r="G110" t="s">
        <v>166</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3">
      <c r="D111" s="29"/>
      <c r="E111" s="28"/>
      <c r="F111" s="28"/>
      <c r="J111" s="14"/>
      <c r="K111" s="14"/>
      <c r="L111" s="14"/>
      <c r="M111" s="14"/>
      <c r="N111" s="14"/>
      <c r="O111" s="14"/>
      <c r="P111" s="14"/>
      <c r="Q111" s="14"/>
      <c r="R111" s="14"/>
      <c r="S111" s="14"/>
      <c r="T111" s="14"/>
      <c r="U111" s="14"/>
      <c r="V111" s="14"/>
      <c r="W111" s="14"/>
      <c r="X111" s="14"/>
      <c r="Y111" s="14"/>
    </row>
    <row r="112" spans="3:43" x14ac:dyDescent="0.3">
      <c r="D112" s="29"/>
      <c r="E112" s="32" t="s">
        <v>212</v>
      </c>
      <c r="F112" s="28"/>
      <c r="J112" s="14"/>
      <c r="K112" s="14"/>
      <c r="L112" s="14"/>
      <c r="M112" s="14"/>
      <c r="N112" s="14"/>
      <c r="O112" s="14"/>
      <c r="P112" s="14"/>
      <c r="Q112" s="14"/>
      <c r="R112" s="14"/>
      <c r="S112" s="14"/>
      <c r="T112" s="14"/>
      <c r="U112" s="14"/>
      <c r="V112" s="14"/>
      <c r="W112" s="14"/>
      <c r="X112" s="14"/>
      <c r="Y112" s="14"/>
    </row>
    <row r="113" spans="4:25" x14ac:dyDescent="0.3">
      <c r="D113" s="29"/>
      <c r="F113" s="28" t="s">
        <v>207</v>
      </c>
      <c r="G113" t="s">
        <v>208</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3">
      <c r="D114" s="29"/>
      <c r="E114" s="28"/>
      <c r="F114" s="28" t="s">
        <v>210</v>
      </c>
      <c r="G114" t="s">
        <v>166</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3">
      <c r="D115" s="29"/>
      <c r="E115" s="28"/>
      <c r="F115" s="28"/>
      <c r="J115" s="14"/>
      <c r="K115" s="14"/>
      <c r="L115" s="14"/>
      <c r="M115" s="14"/>
      <c r="N115" s="14"/>
      <c r="O115" s="14"/>
      <c r="P115" s="14"/>
      <c r="Q115" s="14"/>
      <c r="R115" s="14"/>
      <c r="S115" s="14"/>
      <c r="T115" s="14"/>
      <c r="U115" s="14"/>
      <c r="V115" s="14"/>
      <c r="W115" s="14"/>
      <c r="X115" s="14"/>
      <c r="Y115" s="14"/>
    </row>
    <row r="116" spans="4:25" x14ac:dyDescent="0.3">
      <c r="D116" s="29"/>
      <c r="E116" s="32" t="s">
        <v>213</v>
      </c>
      <c r="F116" s="28"/>
      <c r="J116" s="14"/>
      <c r="K116" s="14"/>
      <c r="L116" s="14"/>
      <c r="M116" s="14"/>
      <c r="N116" s="14"/>
      <c r="O116" s="14"/>
      <c r="P116" s="14"/>
      <c r="Q116" s="14"/>
      <c r="R116" s="14"/>
      <c r="S116" s="14"/>
      <c r="T116" s="14"/>
      <c r="U116" s="14"/>
      <c r="V116" s="14"/>
      <c r="W116" s="14"/>
      <c r="X116" s="14"/>
      <c r="Y116" s="14"/>
    </row>
    <row r="117" spans="4:25" x14ac:dyDescent="0.3">
      <c r="D117" s="29"/>
      <c r="F117" s="28" t="s">
        <v>207</v>
      </c>
      <c r="G117" t="s">
        <v>208</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3">
      <c r="D118" s="29"/>
      <c r="E118" s="28"/>
      <c r="F118" s="28" t="s">
        <v>210</v>
      </c>
      <c r="G118" t="s">
        <v>166</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3">
      <c r="D119" s="29"/>
      <c r="E119" s="28"/>
      <c r="F119" s="28"/>
      <c r="J119" s="14"/>
      <c r="K119" s="14"/>
      <c r="L119" s="14"/>
      <c r="M119" s="14"/>
      <c r="N119" s="14"/>
      <c r="O119" s="14"/>
      <c r="P119" s="14"/>
      <c r="Q119" s="14"/>
      <c r="R119" s="14"/>
      <c r="S119" s="14"/>
      <c r="T119" s="14"/>
      <c r="U119" s="14"/>
      <c r="V119" s="14"/>
      <c r="W119" s="14"/>
      <c r="X119" s="14"/>
      <c r="Y119" s="14"/>
    </row>
    <row r="120" spans="4:25" x14ac:dyDescent="0.3">
      <c r="D120" s="29"/>
      <c r="E120" s="32" t="s">
        <v>214</v>
      </c>
      <c r="F120" s="28"/>
      <c r="J120" s="14"/>
      <c r="K120" s="14"/>
      <c r="L120" s="14"/>
      <c r="M120" s="14"/>
      <c r="N120" s="14"/>
      <c r="O120" s="14"/>
      <c r="P120" s="14"/>
      <c r="Q120" s="14"/>
      <c r="R120" s="14"/>
      <c r="S120" s="14"/>
      <c r="T120" s="14"/>
      <c r="U120" s="14"/>
      <c r="V120" s="14"/>
      <c r="W120" s="14"/>
      <c r="X120" s="14"/>
      <c r="Y120" s="14"/>
    </row>
    <row r="121" spans="4:25" x14ac:dyDescent="0.3">
      <c r="D121" s="29"/>
      <c r="F121" s="28" t="s">
        <v>207</v>
      </c>
      <c r="G121" t="s">
        <v>208</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3">
      <c r="D122" s="29"/>
      <c r="E122" s="28"/>
      <c r="F122" s="28" t="s">
        <v>210</v>
      </c>
      <c r="G122" t="s">
        <v>166</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3">
      <c r="D123" s="29"/>
      <c r="E123" s="29"/>
      <c r="J123" s="14"/>
      <c r="K123" s="14"/>
      <c r="L123" s="14"/>
      <c r="M123" s="14"/>
      <c r="N123" s="14"/>
      <c r="O123" s="14"/>
      <c r="P123" s="14"/>
      <c r="Q123" s="14"/>
      <c r="R123" s="14"/>
      <c r="S123" s="14"/>
      <c r="T123" s="14"/>
      <c r="U123" s="14"/>
      <c r="V123" s="14"/>
      <c r="W123" s="14"/>
      <c r="X123" s="14"/>
      <c r="Y123" s="14"/>
    </row>
    <row r="124" spans="4:25" x14ac:dyDescent="0.3">
      <c r="E124" s="32" t="s">
        <v>215</v>
      </c>
      <c r="J124" s="14"/>
      <c r="K124" s="14"/>
      <c r="L124" s="14"/>
      <c r="M124" s="14"/>
      <c r="N124" s="14"/>
      <c r="O124" s="14"/>
      <c r="P124" s="14"/>
      <c r="Q124" s="14"/>
      <c r="R124" s="14"/>
      <c r="S124" s="14"/>
      <c r="T124" s="14"/>
      <c r="U124" s="14"/>
      <c r="V124" s="14"/>
      <c r="W124" s="14"/>
      <c r="X124" s="14"/>
      <c r="Y124" s="14"/>
    </row>
    <row r="125" spans="4:25" x14ac:dyDescent="0.3">
      <c r="E125" s="29" t="s">
        <v>216</v>
      </c>
      <c r="J125" s="14"/>
      <c r="K125" s="14"/>
      <c r="L125" s="14"/>
      <c r="M125" s="14"/>
      <c r="N125" s="14"/>
      <c r="O125" s="14"/>
      <c r="P125" s="14"/>
      <c r="Q125" s="14"/>
      <c r="R125" s="14"/>
      <c r="S125" s="14"/>
      <c r="T125" s="14"/>
      <c r="U125" s="14"/>
      <c r="V125" s="14"/>
      <c r="W125" s="14"/>
      <c r="X125" s="14"/>
      <c r="Y125" s="14"/>
    </row>
    <row r="126" spans="4:25" x14ac:dyDescent="0.3">
      <c r="E126" s="29" t="s">
        <v>217</v>
      </c>
      <c r="J126" s="14"/>
      <c r="K126" s="14"/>
      <c r="L126" s="14"/>
      <c r="M126" s="14"/>
      <c r="N126" s="14"/>
      <c r="O126" s="14"/>
      <c r="P126" s="14"/>
      <c r="Q126" s="14"/>
      <c r="R126" s="14"/>
      <c r="S126" s="14"/>
      <c r="T126" s="14"/>
      <c r="U126" s="14"/>
      <c r="V126" s="14"/>
      <c r="W126" s="14"/>
      <c r="X126" s="14"/>
      <c r="Y126" s="14"/>
    </row>
    <row r="127" spans="4:25" x14ac:dyDescent="0.3">
      <c r="E127" s="29"/>
      <c r="F127" t="s">
        <v>215</v>
      </c>
      <c r="G127" t="s">
        <v>208</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3">
      <c r="E128" s="29"/>
      <c r="J128" s="14"/>
      <c r="K128" s="14"/>
      <c r="L128" s="14"/>
      <c r="M128" s="14"/>
      <c r="N128" s="14"/>
      <c r="O128" s="14"/>
      <c r="P128" s="14"/>
      <c r="Q128" s="14"/>
      <c r="R128" s="14"/>
      <c r="S128" s="14"/>
      <c r="T128" s="14"/>
      <c r="U128" s="14"/>
      <c r="V128" s="14"/>
      <c r="W128" s="14"/>
      <c r="X128" s="14"/>
      <c r="Y128" s="14"/>
    </row>
    <row r="129" spans="3:43" x14ac:dyDescent="0.3">
      <c r="E129" s="32" t="s">
        <v>218</v>
      </c>
      <c r="J129" s="14"/>
      <c r="K129" s="14"/>
      <c r="L129" s="14"/>
      <c r="M129" s="14"/>
      <c r="N129" s="14"/>
      <c r="O129" s="14"/>
      <c r="P129" s="14"/>
      <c r="Q129" s="14"/>
      <c r="R129" s="14"/>
      <c r="S129" s="14"/>
      <c r="T129" s="14"/>
      <c r="U129" s="14"/>
      <c r="V129" s="14"/>
      <c r="W129" s="14"/>
      <c r="X129" s="14"/>
      <c r="Y129" s="14"/>
    </row>
    <row r="130" spans="3:43" x14ac:dyDescent="0.3">
      <c r="E130" s="29" t="s">
        <v>219</v>
      </c>
      <c r="J130" s="14"/>
      <c r="K130" s="14"/>
      <c r="L130" s="14"/>
      <c r="M130" s="14"/>
      <c r="N130" s="14"/>
      <c r="O130" s="14"/>
      <c r="P130" s="14"/>
      <c r="Q130" s="14"/>
      <c r="R130" s="14"/>
      <c r="S130" s="14"/>
      <c r="T130" s="14"/>
      <c r="U130" s="14"/>
      <c r="V130" s="14"/>
      <c r="W130" s="14"/>
      <c r="X130" s="14"/>
      <c r="Y130" s="14"/>
    </row>
    <row r="131" spans="3:43" x14ac:dyDescent="0.3">
      <c r="E131" s="29"/>
      <c r="F131" t="s">
        <v>220</v>
      </c>
      <c r="G131" t="s">
        <v>208</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3">
      <c r="D132" s="29"/>
      <c r="J132" s="14"/>
      <c r="K132" s="14"/>
      <c r="L132" s="14"/>
      <c r="M132" s="14"/>
      <c r="N132" s="14"/>
      <c r="O132" s="14"/>
      <c r="P132" s="14"/>
      <c r="Q132" s="14"/>
      <c r="R132" s="14"/>
      <c r="S132" s="14"/>
      <c r="T132" s="14"/>
      <c r="U132" s="14"/>
      <c r="V132" s="14"/>
      <c r="W132" s="14"/>
      <c r="X132" s="14"/>
      <c r="Y132" s="14"/>
    </row>
    <row r="133" spans="3:43" x14ac:dyDescent="0.3">
      <c r="E133" s="32" t="s">
        <v>221</v>
      </c>
      <c r="I133" t="s">
        <v>153</v>
      </c>
      <c r="J133" s="14"/>
      <c r="K133" s="14"/>
      <c r="L133" s="14"/>
      <c r="M133" s="14"/>
      <c r="N133" s="14"/>
      <c r="O133" s="14"/>
      <c r="P133" s="14"/>
      <c r="Q133" s="14"/>
      <c r="R133" s="14"/>
      <c r="S133" s="14"/>
      <c r="T133" s="14"/>
      <c r="U133" s="14"/>
      <c r="V133" s="14"/>
      <c r="W133" s="14"/>
      <c r="X133" s="14"/>
      <c r="Y133" s="14"/>
      <c r="AQ133" t="s">
        <v>222</v>
      </c>
    </row>
    <row r="134" spans="3:43" x14ac:dyDescent="0.3">
      <c r="E134" s="29" t="s">
        <v>223</v>
      </c>
      <c r="J134" s="14"/>
      <c r="K134" s="14"/>
      <c r="L134" s="14"/>
      <c r="M134" s="14"/>
      <c r="N134" s="14"/>
      <c r="O134" s="14"/>
      <c r="P134" s="14"/>
      <c r="Q134" s="14"/>
      <c r="R134" s="14"/>
      <c r="S134" s="14"/>
      <c r="T134" s="14"/>
      <c r="U134" s="14"/>
      <c r="V134" s="14"/>
      <c r="W134" s="14"/>
      <c r="X134" s="14"/>
      <c r="Y134" s="14"/>
    </row>
    <row r="135" spans="3:43" x14ac:dyDescent="0.3">
      <c r="E135" s="29" t="s">
        <v>224</v>
      </c>
      <c r="J135" s="14"/>
      <c r="K135" s="14"/>
      <c r="L135" s="14"/>
      <c r="M135" s="14"/>
      <c r="N135" s="14"/>
      <c r="O135" s="14"/>
      <c r="P135" s="14"/>
      <c r="Q135" s="14"/>
      <c r="R135" s="14"/>
      <c r="S135" s="14"/>
      <c r="T135" s="14"/>
      <c r="U135" s="14"/>
      <c r="V135" s="14"/>
      <c r="W135" s="14"/>
      <c r="X135" s="14"/>
      <c r="Y135" s="14"/>
    </row>
    <row r="136" spans="3:43" x14ac:dyDescent="0.3">
      <c r="E136" s="29"/>
      <c r="F136" t="s">
        <v>159</v>
      </c>
      <c r="G136" t="s">
        <v>175</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3">
      <c r="E137" s="29"/>
      <c r="F137" t="s">
        <v>160</v>
      </c>
      <c r="G137" t="s">
        <v>175</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3">
      <c r="E138" s="29"/>
      <c r="F138" t="s">
        <v>225</v>
      </c>
      <c r="G138" t="s">
        <v>175</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3">
      <c r="E139" s="29"/>
      <c r="F139" t="s">
        <v>226</v>
      </c>
      <c r="G139" t="s">
        <v>175</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3">
      <c r="D140" s="29"/>
      <c r="J140" s="14"/>
      <c r="K140" s="14"/>
      <c r="L140" s="14"/>
      <c r="M140" s="14"/>
      <c r="N140" s="14"/>
      <c r="O140" s="14"/>
      <c r="P140" s="14"/>
      <c r="Q140" s="14"/>
      <c r="R140" s="14"/>
      <c r="S140" s="14"/>
      <c r="T140" s="14"/>
      <c r="U140" s="14"/>
      <c r="V140" s="14"/>
      <c r="W140" s="14"/>
      <c r="X140" s="14"/>
      <c r="Y140" s="14"/>
    </row>
    <row r="141" spans="3:43" x14ac:dyDescent="0.3">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3">
      <c r="E143" s="32" t="s">
        <v>227</v>
      </c>
      <c r="F143" s="32"/>
    </row>
    <row r="144" spans="3:43" x14ac:dyDescent="0.3">
      <c r="E144" s="29" t="s">
        <v>228</v>
      </c>
      <c r="F144" s="29"/>
      <c r="I144" t="s">
        <v>153</v>
      </c>
      <c r="AQ144" t="s">
        <v>901</v>
      </c>
    </row>
    <row r="145" spans="3:61" x14ac:dyDescent="0.3">
      <c r="E145" s="29"/>
      <c r="F145" s="28" t="s">
        <v>227</v>
      </c>
      <c r="G145" t="s">
        <v>148</v>
      </c>
      <c r="J145" s="242">
        <v>1</v>
      </c>
      <c r="K145" s="70"/>
      <c r="L145" s="242">
        <v>1</v>
      </c>
      <c r="M145" s="70"/>
      <c r="N145" s="70"/>
      <c r="O145" s="70"/>
      <c r="P145" s="70"/>
      <c r="Q145" s="70"/>
      <c r="R145" s="70"/>
      <c r="S145" s="70"/>
      <c r="T145" s="70"/>
      <c r="U145" s="70"/>
      <c r="V145" s="70"/>
      <c r="W145" s="70"/>
      <c r="X145" s="70"/>
      <c r="Y145" s="70"/>
    </row>
    <row r="146" spans="3:61" x14ac:dyDescent="0.3">
      <c r="E146" s="29"/>
      <c r="F146" s="29"/>
    </row>
    <row r="147" spans="3:61" x14ac:dyDescent="0.3">
      <c r="E147" s="32" t="s">
        <v>845</v>
      </c>
      <c r="F147" s="32"/>
      <c r="I147" t="s">
        <v>153</v>
      </c>
      <c r="AQ147" t="s">
        <v>858</v>
      </c>
    </row>
    <row r="148" spans="3:61" x14ac:dyDescent="0.3">
      <c r="E148" s="29" t="s">
        <v>846</v>
      </c>
      <c r="F148" s="29"/>
    </row>
    <row r="149" spans="3:61" x14ac:dyDescent="0.3">
      <c r="E149" s="29"/>
      <c r="F149" s="28" t="s">
        <v>847</v>
      </c>
      <c r="G149" t="s">
        <v>148</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3">
      <c r="E150" s="29"/>
      <c r="F150" s="29"/>
    </row>
    <row r="151" spans="3:61" x14ac:dyDescent="0.3">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3">
      <c r="E153" t="s">
        <v>229</v>
      </c>
      <c r="G153" t="s">
        <v>148</v>
      </c>
      <c r="H153" s="242">
        <v>3</v>
      </c>
    </row>
    <row r="155" spans="3:61" x14ac:dyDescent="0.3">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3">
      <c r="C157" s="88"/>
      <c r="D157" s="2"/>
      <c r="E157" s="32" t="s">
        <v>871</v>
      </c>
      <c r="I157" t="s">
        <v>153</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896</v>
      </c>
      <c r="AR157" s="89"/>
    </row>
    <row r="158" spans="3:61" x14ac:dyDescent="0.3">
      <c r="C158" s="88"/>
      <c r="D158" s="2"/>
      <c r="F158" s="23" t="s">
        <v>872</v>
      </c>
      <c r="G158" s="23" t="s">
        <v>175</v>
      </c>
      <c r="H158" s="23"/>
      <c r="I158" s="23"/>
      <c r="J158" s="317">
        <v>1</v>
      </c>
      <c r="K158" s="317">
        <v>0</v>
      </c>
      <c r="L158" s="317">
        <v>0</v>
      </c>
      <c r="M158" s="317">
        <v>0</v>
      </c>
      <c r="N158" s="317">
        <v>0</v>
      </c>
      <c r="O158" s="317">
        <v>0</v>
      </c>
      <c r="P158" s="317">
        <v>0</v>
      </c>
      <c r="Q158" s="317">
        <v>0</v>
      </c>
      <c r="R158" s="317">
        <v>0</v>
      </c>
      <c r="S158" s="317">
        <v>0</v>
      </c>
      <c r="T158" s="317">
        <v>0</v>
      </c>
      <c r="U158" s="317">
        <v>0</v>
      </c>
      <c r="V158" s="317">
        <v>0</v>
      </c>
      <c r="W158" s="317">
        <v>0</v>
      </c>
      <c r="X158" s="317">
        <v>0</v>
      </c>
      <c r="Y158" s="317">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3">
      <c r="C159" s="88"/>
      <c r="D159" s="2"/>
      <c r="F159" s="37" t="s">
        <v>873</v>
      </c>
      <c r="G159" s="37" t="s">
        <v>175</v>
      </c>
      <c r="H159" s="37"/>
      <c r="I159" s="37"/>
      <c r="J159" s="318">
        <v>1</v>
      </c>
      <c r="K159" s="318">
        <v>0</v>
      </c>
      <c r="L159" s="318">
        <v>1</v>
      </c>
      <c r="M159" s="318">
        <v>0</v>
      </c>
      <c r="N159" s="318">
        <v>1</v>
      </c>
      <c r="O159" s="318">
        <v>1</v>
      </c>
      <c r="P159" s="318">
        <v>1</v>
      </c>
      <c r="Q159" s="318">
        <v>0</v>
      </c>
      <c r="R159" s="318">
        <v>0</v>
      </c>
      <c r="S159" s="318">
        <v>0</v>
      </c>
      <c r="T159" s="318">
        <v>0</v>
      </c>
      <c r="U159" s="318">
        <v>0</v>
      </c>
      <c r="V159" s="318">
        <v>0</v>
      </c>
      <c r="W159" s="318">
        <v>0</v>
      </c>
      <c r="X159" s="318">
        <v>0</v>
      </c>
      <c r="Y159" s="318">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3">
      <c r="C160" s="88"/>
      <c r="D160" s="2"/>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89"/>
      <c r="AS160" s="303"/>
      <c r="AT160" s="303"/>
      <c r="AU160" s="303"/>
      <c r="AV160" s="303"/>
      <c r="AW160" s="303"/>
      <c r="AX160" s="303"/>
      <c r="AY160" s="303"/>
      <c r="AZ160" s="303"/>
      <c r="BA160" s="303"/>
      <c r="BB160" s="303"/>
      <c r="BC160" s="303"/>
      <c r="BD160" s="303"/>
      <c r="BE160" s="303"/>
      <c r="BF160" s="303"/>
      <c r="BG160" s="303"/>
      <c r="BH160" s="303"/>
      <c r="BI160" s="303"/>
    </row>
    <row r="161" spans="3:61" x14ac:dyDescent="0.3">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03"/>
      <c r="AT161" s="303"/>
      <c r="AU161" s="303"/>
      <c r="AV161" s="303"/>
      <c r="AW161" s="303"/>
      <c r="AX161" s="303"/>
      <c r="AY161" s="303"/>
      <c r="AZ161" s="303"/>
      <c r="BA161" s="303"/>
      <c r="BB161" s="303"/>
      <c r="BC161" s="303"/>
      <c r="BD161" s="303"/>
      <c r="BE161" s="303"/>
      <c r="BF161" s="303"/>
      <c r="BG161" s="303"/>
      <c r="BH161" s="303"/>
      <c r="BI161" s="303"/>
    </row>
    <row r="162" spans="3:61" x14ac:dyDescent="0.3">
      <c r="C162" s="88"/>
      <c r="D162" s="2"/>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89"/>
      <c r="AS162" s="303"/>
      <c r="AT162" s="303"/>
      <c r="AU162" s="303"/>
      <c r="AV162" s="303"/>
      <c r="AW162" s="303"/>
      <c r="AX162" s="303"/>
      <c r="AY162" s="303"/>
      <c r="AZ162" s="303"/>
      <c r="BA162" s="303"/>
      <c r="BB162" s="303"/>
      <c r="BC162" s="303"/>
      <c r="BD162" s="303"/>
      <c r="BE162" s="303"/>
      <c r="BF162" s="303"/>
      <c r="BG162" s="303"/>
      <c r="BH162" s="303"/>
      <c r="BI162" s="303"/>
    </row>
    <row r="163" spans="3:61" ht="43.2" x14ac:dyDescent="0.3">
      <c r="C163" s="88"/>
      <c r="D163" s="2"/>
      <c r="E163" s="32" t="s">
        <v>1011</v>
      </c>
      <c r="F163" s="303"/>
      <c r="G163" s="303"/>
      <c r="H163" s="303"/>
      <c r="I163" s="303"/>
      <c r="J163" s="114" t="s">
        <v>912</v>
      </c>
      <c r="K163" s="114" t="s">
        <v>830</v>
      </c>
      <c r="L163" s="114" t="s">
        <v>913</v>
      </c>
      <c r="M163" s="114" t="s">
        <v>914</v>
      </c>
      <c r="N163" s="114" t="s">
        <v>915</v>
      </c>
      <c r="O163" s="114" t="s">
        <v>916</v>
      </c>
      <c r="P163" s="114" t="s">
        <v>917</v>
      </c>
      <c r="Q163" s="114" t="s">
        <v>831</v>
      </c>
      <c r="R163" s="114" t="s">
        <v>918</v>
      </c>
      <c r="S163" s="114" t="s">
        <v>919</v>
      </c>
      <c r="T163" s="114" t="s">
        <v>920</v>
      </c>
      <c r="U163" s="114" t="s">
        <v>921</v>
      </c>
      <c r="V163" s="114" t="s">
        <v>922</v>
      </c>
      <c r="W163" s="114" t="s">
        <v>923</v>
      </c>
      <c r="X163" s="114" t="s">
        <v>924</v>
      </c>
      <c r="Y163" s="114" t="s">
        <v>925</v>
      </c>
      <c r="Z163" s="114" t="s">
        <v>926</v>
      </c>
      <c r="AA163" s="114" t="s">
        <v>927</v>
      </c>
      <c r="AB163" s="114" t="s">
        <v>928</v>
      </c>
      <c r="AC163" s="114" t="s">
        <v>929</v>
      </c>
      <c r="AD163" s="114" t="s">
        <v>930</v>
      </c>
      <c r="AE163" s="114" t="s">
        <v>931</v>
      </c>
      <c r="AF163" s="114" t="s">
        <v>932</v>
      </c>
      <c r="AG163" s="114" t="s">
        <v>840</v>
      </c>
      <c r="AH163" s="114" t="s">
        <v>832</v>
      </c>
      <c r="AI163" s="114" t="s">
        <v>833</v>
      </c>
      <c r="AJ163" s="114" t="s">
        <v>834</v>
      </c>
      <c r="AK163" s="114" t="s">
        <v>843</v>
      </c>
      <c r="AL163" s="114" t="s">
        <v>835</v>
      </c>
      <c r="AM163" s="114" t="s">
        <v>842</v>
      </c>
      <c r="AN163" s="114" t="s">
        <v>836</v>
      </c>
      <c r="AO163" s="114" t="s">
        <v>841</v>
      </c>
      <c r="AP163" s="303"/>
      <c r="AQ163" s="303"/>
      <c r="AR163" s="89"/>
      <c r="AS163" s="303"/>
      <c r="AT163" s="303"/>
      <c r="AU163" s="303"/>
      <c r="AV163" s="303"/>
      <c r="AW163" s="303"/>
      <c r="AX163" s="303"/>
      <c r="AY163" s="303"/>
      <c r="AZ163" s="303"/>
      <c r="BA163" s="303"/>
      <c r="BB163" s="303"/>
      <c r="BC163" s="303"/>
      <c r="BD163" s="303"/>
      <c r="BE163" s="303"/>
      <c r="BF163" s="303"/>
      <c r="BG163" s="303"/>
      <c r="BH163" s="303"/>
      <c r="BI163" s="303"/>
    </row>
    <row r="164" spans="3:61" x14ac:dyDescent="0.3">
      <c r="C164" s="88"/>
      <c r="D164" s="2"/>
      <c r="F164" s="23" t="s">
        <v>1010</v>
      </c>
      <c r="G164" s="23" t="s">
        <v>911</v>
      </c>
      <c r="H164" s="23"/>
      <c r="I164" s="23"/>
      <c r="J164" s="364" t="b">
        <v>1</v>
      </c>
      <c r="K164" s="364" t="b">
        <v>0</v>
      </c>
      <c r="L164" s="364" t="b">
        <v>0</v>
      </c>
      <c r="M164" s="364" t="b">
        <v>1</v>
      </c>
      <c r="N164" s="364" t="b">
        <v>1</v>
      </c>
      <c r="O164" s="364" t="b">
        <v>1</v>
      </c>
      <c r="P164" s="364" t="b">
        <v>1</v>
      </c>
      <c r="Q164" s="364" t="b">
        <v>0</v>
      </c>
      <c r="R164" s="364" t="b">
        <v>0</v>
      </c>
      <c r="S164" s="364" t="b">
        <v>1</v>
      </c>
      <c r="T164" s="364" t="b">
        <v>1</v>
      </c>
      <c r="U164" s="364" t="b">
        <v>1</v>
      </c>
      <c r="V164" s="364" t="b">
        <v>1</v>
      </c>
      <c r="W164" s="364" t="b">
        <v>0</v>
      </c>
      <c r="X164" s="364" t="b">
        <v>1</v>
      </c>
      <c r="Y164" s="364" t="b">
        <v>1</v>
      </c>
      <c r="Z164" s="364" t="b">
        <v>1</v>
      </c>
      <c r="AA164" s="364" t="b">
        <v>1</v>
      </c>
      <c r="AB164" s="364" t="b">
        <v>0</v>
      </c>
      <c r="AC164" s="364" t="b">
        <v>1</v>
      </c>
      <c r="AD164" s="364" t="b">
        <v>1</v>
      </c>
      <c r="AE164" s="364" t="b">
        <v>1</v>
      </c>
      <c r="AF164" s="364" t="b">
        <v>1</v>
      </c>
      <c r="AG164" s="364" t="b">
        <v>1</v>
      </c>
      <c r="AH164" s="364" t="b">
        <v>0</v>
      </c>
      <c r="AI164" s="364" t="b">
        <v>0</v>
      </c>
      <c r="AJ164" s="364" t="b">
        <v>0</v>
      </c>
      <c r="AK164" s="364" t="b">
        <v>0</v>
      </c>
      <c r="AL164" s="364" t="b">
        <v>0</v>
      </c>
      <c r="AM164" s="364" t="b">
        <v>0</v>
      </c>
      <c r="AN164" s="364" t="b">
        <v>0</v>
      </c>
      <c r="AO164" s="364" t="b">
        <v>0</v>
      </c>
      <c r="AP164" s="303"/>
      <c r="AQ164" s="303"/>
      <c r="AR164" s="89"/>
      <c r="AS164" s="303"/>
      <c r="AT164" s="303"/>
      <c r="AU164" s="303"/>
      <c r="AV164" s="303"/>
      <c r="AW164" s="303"/>
      <c r="AX164" s="303"/>
      <c r="AY164" s="303"/>
      <c r="AZ164" s="303"/>
      <c r="BA164" s="303"/>
      <c r="BB164" s="303"/>
      <c r="BC164" s="303"/>
      <c r="BD164" s="303"/>
      <c r="BE164" s="303"/>
      <c r="BF164" s="303"/>
      <c r="BG164" s="303"/>
      <c r="BH164" s="303"/>
      <c r="BI164" s="303"/>
    </row>
    <row r="165" spans="3:61" x14ac:dyDescent="0.3">
      <c r="C165" s="88"/>
      <c r="D165" s="2"/>
      <c r="F165" s="303" t="s">
        <v>937</v>
      </c>
      <c r="G165" s="303" t="s">
        <v>911</v>
      </c>
      <c r="H165" s="303"/>
      <c r="I165" s="303"/>
      <c r="J165" s="361" t="b">
        <v>1</v>
      </c>
      <c r="K165" s="360"/>
      <c r="L165" s="360"/>
      <c r="M165" s="361" t="b">
        <v>1</v>
      </c>
      <c r="N165" s="361" t="b">
        <v>1</v>
      </c>
      <c r="O165" s="361" t="b">
        <v>1</v>
      </c>
      <c r="P165" s="361" t="b">
        <v>1</v>
      </c>
      <c r="Q165" s="360"/>
      <c r="R165" s="360"/>
      <c r="S165" s="361" t="b">
        <v>1</v>
      </c>
      <c r="T165" s="361" t="b">
        <v>1</v>
      </c>
      <c r="U165" s="361" t="b">
        <v>1</v>
      </c>
      <c r="V165" s="361" t="b">
        <v>1</v>
      </c>
      <c r="W165" s="360"/>
      <c r="X165" s="361" t="b">
        <v>1</v>
      </c>
      <c r="Y165" s="361" t="b">
        <v>1</v>
      </c>
      <c r="Z165" s="361" t="b">
        <v>1</v>
      </c>
      <c r="AA165" s="361" t="b">
        <v>1</v>
      </c>
      <c r="AB165" s="360"/>
      <c r="AC165" s="361" t="b">
        <v>1</v>
      </c>
      <c r="AD165" s="361" t="b">
        <v>1</v>
      </c>
      <c r="AE165" s="361" t="b">
        <v>1</v>
      </c>
      <c r="AF165" s="361" t="b">
        <v>1</v>
      </c>
      <c r="AG165" s="361" t="b">
        <v>0</v>
      </c>
      <c r="AH165" s="360"/>
      <c r="AI165" s="360"/>
      <c r="AJ165" s="360"/>
      <c r="AK165" s="360"/>
      <c r="AL165" s="360"/>
      <c r="AM165" s="360"/>
      <c r="AN165" s="360"/>
      <c r="AO165" s="360"/>
      <c r="AP165" s="303"/>
      <c r="AQ165" s="303"/>
      <c r="AR165" s="89"/>
      <c r="AS165" s="303"/>
      <c r="AT165" s="303"/>
      <c r="AU165" s="303"/>
      <c r="AV165" s="303"/>
      <c r="AW165" s="303"/>
      <c r="AX165" s="303"/>
      <c r="AY165" s="303"/>
      <c r="AZ165" s="303"/>
      <c r="BA165" s="303"/>
      <c r="BB165" s="303"/>
      <c r="BC165" s="303"/>
      <c r="BD165" s="303"/>
      <c r="BE165" s="303"/>
      <c r="BF165" s="303"/>
      <c r="BG165" s="303"/>
      <c r="BH165" s="303"/>
      <c r="BI165" s="303"/>
    </row>
    <row r="166" spans="3:61" x14ac:dyDescent="0.3">
      <c r="C166" s="88"/>
      <c r="D166" s="2"/>
      <c r="F166" s="303" t="s">
        <v>1008</v>
      </c>
      <c r="G166" s="303" t="s">
        <v>911</v>
      </c>
      <c r="H166" s="303"/>
      <c r="I166" s="303"/>
      <c r="J166" s="361" t="b">
        <v>0</v>
      </c>
      <c r="K166" s="360"/>
      <c r="L166" s="360"/>
      <c r="M166" s="361" t="b">
        <v>0</v>
      </c>
      <c r="N166" s="361" t="b">
        <v>0</v>
      </c>
      <c r="O166" s="361" t="b">
        <v>0</v>
      </c>
      <c r="P166" s="361" t="b">
        <v>0</v>
      </c>
      <c r="Q166" s="360"/>
      <c r="R166" s="360"/>
      <c r="S166" s="361" t="b">
        <v>0</v>
      </c>
      <c r="T166" s="361" t="b">
        <v>0</v>
      </c>
      <c r="U166" s="361" t="b">
        <v>0</v>
      </c>
      <c r="V166" s="361" t="b">
        <v>0</v>
      </c>
      <c r="W166" s="360"/>
      <c r="X166" s="361" t="b">
        <v>0</v>
      </c>
      <c r="Y166" s="361" t="b">
        <v>0</v>
      </c>
      <c r="Z166" s="361" t="b">
        <v>0</v>
      </c>
      <c r="AA166" s="361" t="b">
        <v>0</v>
      </c>
      <c r="AB166" s="360"/>
      <c r="AC166" s="361" t="b">
        <v>0</v>
      </c>
      <c r="AD166" s="361" t="b">
        <v>0</v>
      </c>
      <c r="AE166" s="361" t="b">
        <v>0</v>
      </c>
      <c r="AF166" s="361" t="b">
        <v>0</v>
      </c>
      <c r="AG166" s="361" t="b">
        <v>1</v>
      </c>
      <c r="AH166" s="360"/>
      <c r="AI166" s="360"/>
      <c r="AJ166" s="360"/>
      <c r="AK166" s="360"/>
      <c r="AL166" s="360"/>
      <c r="AM166" s="360"/>
      <c r="AN166" s="360"/>
      <c r="AO166" s="360"/>
      <c r="AP166" s="303"/>
      <c r="AQ166" s="303"/>
      <c r="AR166" s="89"/>
      <c r="AS166" s="303"/>
      <c r="AT166" s="303"/>
      <c r="AU166" s="303"/>
      <c r="AV166" s="303"/>
      <c r="AW166" s="303"/>
      <c r="AX166" s="303"/>
      <c r="AY166" s="303"/>
      <c r="AZ166" s="303"/>
      <c r="BA166" s="303"/>
      <c r="BB166" s="303"/>
      <c r="BC166" s="303"/>
      <c r="BD166" s="303"/>
      <c r="BE166" s="303"/>
      <c r="BF166" s="303"/>
      <c r="BG166" s="303"/>
      <c r="BH166" s="303"/>
      <c r="BI166" s="303"/>
    </row>
    <row r="167" spans="3:61" x14ac:dyDescent="0.3">
      <c r="C167" s="88"/>
      <c r="D167" s="2"/>
      <c r="F167" s="303" t="s">
        <v>944</v>
      </c>
      <c r="G167" s="359" t="s">
        <v>148</v>
      </c>
      <c r="H167" s="303"/>
      <c r="I167" s="303"/>
      <c r="J167" s="361">
        <v>1</v>
      </c>
      <c r="K167" s="360"/>
      <c r="L167" s="360"/>
      <c r="M167" s="361">
        <v>2</v>
      </c>
      <c r="N167" s="361">
        <v>2</v>
      </c>
      <c r="O167" s="361">
        <v>2</v>
      </c>
      <c r="P167" s="361">
        <v>2</v>
      </c>
      <c r="Q167" s="360"/>
      <c r="R167" s="360"/>
      <c r="S167" s="361">
        <v>3</v>
      </c>
      <c r="T167" s="361">
        <v>3</v>
      </c>
      <c r="U167" s="361">
        <v>3</v>
      </c>
      <c r="V167" s="361">
        <v>3</v>
      </c>
      <c r="W167" s="360"/>
      <c r="X167" s="361">
        <v>3</v>
      </c>
      <c r="Y167" s="361">
        <v>3</v>
      </c>
      <c r="Z167" s="361">
        <v>3</v>
      </c>
      <c r="AA167" s="361">
        <v>3</v>
      </c>
      <c r="AB167" s="360"/>
      <c r="AC167" s="361">
        <v>4</v>
      </c>
      <c r="AD167" s="361">
        <v>4</v>
      </c>
      <c r="AE167" s="361">
        <v>4</v>
      </c>
      <c r="AF167" s="361">
        <v>4</v>
      </c>
      <c r="AG167" s="361">
        <v>5</v>
      </c>
      <c r="AH167" s="360"/>
      <c r="AI167" s="360"/>
      <c r="AJ167" s="360"/>
      <c r="AK167" s="360"/>
      <c r="AL167" s="360"/>
      <c r="AM167" s="360"/>
      <c r="AN167" s="360"/>
      <c r="AO167" s="360"/>
      <c r="AP167" s="303"/>
      <c r="AQ167" s="303"/>
      <c r="AR167" s="89"/>
      <c r="AS167" s="303"/>
      <c r="AT167" s="303"/>
      <c r="AU167" s="303"/>
      <c r="AV167" s="303"/>
      <c r="AW167" s="303"/>
      <c r="AX167" s="303"/>
      <c r="AY167" s="303"/>
      <c r="AZ167" s="303"/>
      <c r="BA167" s="303"/>
      <c r="BB167" s="303"/>
      <c r="BC167" s="303"/>
      <c r="BD167" s="303"/>
      <c r="BE167" s="303"/>
      <c r="BF167" s="303"/>
      <c r="BG167" s="303"/>
      <c r="BH167" s="303"/>
      <c r="BI167" s="303"/>
    </row>
    <row r="168" spans="3:61" x14ac:dyDescent="0.3">
      <c r="C168" s="88"/>
      <c r="D168" s="2"/>
      <c r="F168" s="303" t="s">
        <v>943</v>
      </c>
      <c r="G168" s="359" t="s">
        <v>148</v>
      </c>
      <c r="H168" s="303"/>
      <c r="I168" s="303"/>
      <c r="J168" s="361">
        <v>1</v>
      </c>
      <c r="K168" s="360"/>
      <c r="L168" s="360"/>
      <c r="M168" s="361">
        <v>1</v>
      </c>
      <c r="N168" s="361">
        <v>2</v>
      </c>
      <c r="O168" s="361">
        <v>3</v>
      </c>
      <c r="P168" s="361">
        <v>4</v>
      </c>
      <c r="Q168" s="360"/>
      <c r="R168" s="360"/>
      <c r="S168" s="361">
        <v>1</v>
      </c>
      <c r="T168" s="361">
        <v>2</v>
      </c>
      <c r="U168" s="361">
        <v>3</v>
      </c>
      <c r="V168" s="361">
        <v>4</v>
      </c>
      <c r="W168" s="360"/>
      <c r="X168" s="361">
        <v>1</v>
      </c>
      <c r="Y168" s="361">
        <v>2</v>
      </c>
      <c r="Z168" s="361">
        <v>3</v>
      </c>
      <c r="AA168" s="361">
        <v>4</v>
      </c>
      <c r="AB168" s="360"/>
      <c r="AC168" s="361">
        <v>1</v>
      </c>
      <c r="AD168" s="361">
        <v>2</v>
      </c>
      <c r="AE168" s="361">
        <v>3</v>
      </c>
      <c r="AF168" s="361">
        <v>4</v>
      </c>
      <c r="AG168" s="361">
        <v>1</v>
      </c>
      <c r="AH168" s="360"/>
      <c r="AI168" s="360"/>
      <c r="AJ168" s="360"/>
      <c r="AK168" s="360"/>
      <c r="AL168" s="360"/>
      <c r="AM168" s="360"/>
      <c r="AN168" s="360"/>
      <c r="AO168" s="360"/>
      <c r="AP168" s="303"/>
      <c r="AQ168" s="303"/>
      <c r="AR168" s="89"/>
      <c r="AS168" s="303"/>
      <c r="AT168" s="303"/>
      <c r="AU168" s="303"/>
      <c r="AV168" s="303"/>
      <c r="AW168" s="303"/>
      <c r="AX168" s="303"/>
      <c r="AY168" s="303"/>
      <c r="AZ168" s="303"/>
      <c r="BA168" s="303"/>
      <c r="BB168" s="303"/>
      <c r="BC168" s="303"/>
      <c r="BD168" s="303"/>
      <c r="BE168" s="303"/>
      <c r="BF168" s="303"/>
      <c r="BG168" s="303"/>
      <c r="BH168" s="303"/>
      <c r="BI168" s="303"/>
    </row>
    <row r="169" spans="3:61" x14ac:dyDescent="0.3">
      <c r="C169" s="88"/>
      <c r="D169" s="2"/>
      <c r="F169" s="37" t="s">
        <v>1009</v>
      </c>
      <c r="G169" s="362" t="s">
        <v>148</v>
      </c>
      <c r="H169" s="37"/>
      <c r="I169" s="37"/>
      <c r="J169" s="363">
        <v>1</v>
      </c>
      <c r="K169" s="363">
        <v>2</v>
      </c>
      <c r="L169" s="363">
        <v>3</v>
      </c>
      <c r="M169" s="363">
        <v>3</v>
      </c>
      <c r="N169" s="363">
        <v>3</v>
      </c>
      <c r="O169" s="363">
        <v>3</v>
      </c>
      <c r="P169" s="363">
        <v>3</v>
      </c>
      <c r="Q169" s="363">
        <v>4</v>
      </c>
      <c r="R169" s="363">
        <v>5</v>
      </c>
      <c r="S169" s="363">
        <v>5</v>
      </c>
      <c r="T169" s="363">
        <v>5</v>
      </c>
      <c r="U169" s="363">
        <v>5</v>
      </c>
      <c r="V169" s="363">
        <v>5</v>
      </c>
      <c r="W169" s="363">
        <v>6</v>
      </c>
      <c r="X169" s="363">
        <v>6</v>
      </c>
      <c r="Y169" s="363">
        <v>6</v>
      </c>
      <c r="Z169" s="363">
        <v>6</v>
      </c>
      <c r="AA169" s="363">
        <v>6</v>
      </c>
      <c r="AB169" s="363">
        <v>7</v>
      </c>
      <c r="AC169" s="363">
        <v>7</v>
      </c>
      <c r="AD169" s="363">
        <v>7</v>
      </c>
      <c r="AE169" s="363">
        <v>7</v>
      </c>
      <c r="AF169" s="363">
        <v>7</v>
      </c>
      <c r="AG169" s="363">
        <v>8</v>
      </c>
      <c r="AH169" s="363">
        <v>9</v>
      </c>
      <c r="AI169" s="363">
        <v>10</v>
      </c>
      <c r="AJ169" s="363">
        <v>11</v>
      </c>
      <c r="AK169" s="363">
        <v>12</v>
      </c>
      <c r="AL169" s="363">
        <v>13</v>
      </c>
      <c r="AM169" s="363">
        <v>14</v>
      </c>
      <c r="AN169" s="363">
        <v>15</v>
      </c>
      <c r="AO169" s="363">
        <v>16</v>
      </c>
      <c r="AP169" s="303"/>
      <c r="AQ169" s="303"/>
      <c r="AR169" s="89"/>
      <c r="AS169" s="303"/>
      <c r="AT169" s="303"/>
      <c r="AU169" s="303"/>
      <c r="AV169" s="303"/>
      <c r="AW169" s="303"/>
      <c r="AX169" s="303"/>
      <c r="AY169" s="303"/>
      <c r="AZ169" s="303"/>
      <c r="BA169" s="303"/>
      <c r="BB169" s="303"/>
      <c r="BC169" s="303"/>
      <c r="BD169" s="303"/>
      <c r="BE169" s="303"/>
      <c r="BF169" s="303"/>
      <c r="BG169" s="303"/>
      <c r="BH169" s="303"/>
      <c r="BI169" s="303"/>
    </row>
    <row r="170" spans="3:61" x14ac:dyDescent="0.3">
      <c r="C170" s="88"/>
      <c r="D170" s="2"/>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89"/>
      <c r="AS170" s="303"/>
      <c r="AT170" s="303"/>
      <c r="AU170" s="303"/>
      <c r="AV170" s="303"/>
      <c r="AW170" s="303"/>
      <c r="AX170" s="303"/>
      <c r="AY170" s="303"/>
      <c r="AZ170" s="303"/>
      <c r="BA170" s="303"/>
      <c r="BB170" s="303"/>
      <c r="BC170" s="303"/>
      <c r="BD170" s="303"/>
      <c r="BE170" s="303"/>
      <c r="BF170" s="303"/>
      <c r="BG170" s="303"/>
      <c r="BH170" s="303"/>
      <c r="BI170" s="303"/>
    </row>
    <row r="171" spans="3:61" x14ac:dyDescent="0.3">
      <c r="C171" s="88"/>
      <c r="D171" s="2"/>
      <c r="E171" t="s">
        <v>1012</v>
      </c>
      <c r="F171" s="303"/>
      <c r="G171" s="359" t="s">
        <v>148</v>
      </c>
      <c r="H171" s="328">
        <v>2</v>
      </c>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89"/>
      <c r="AS171" s="303"/>
      <c r="AT171" s="303"/>
      <c r="AU171" s="303"/>
      <c r="AV171" s="303"/>
      <c r="AW171" s="303"/>
      <c r="AX171" s="303"/>
      <c r="AY171" s="303"/>
      <c r="AZ171" s="303"/>
      <c r="BA171" s="303"/>
      <c r="BB171" s="303"/>
      <c r="BC171" s="303"/>
      <c r="BD171" s="303"/>
      <c r="BE171" s="303"/>
      <c r="BF171" s="303"/>
      <c r="BG171" s="303"/>
      <c r="BH171" s="303"/>
      <c r="BI171" s="303"/>
    </row>
    <row r="172" spans="3:61" x14ac:dyDescent="0.3">
      <c r="C172" s="88"/>
      <c r="D172" s="2"/>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89"/>
      <c r="AS172" s="303"/>
      <c r="AT172" s="303"/>
      <c r="AU172" s="303"/>
      <c r="AV172" s="303"/>
      <c r="AW172" s="303"/>
      <c r="AX172" s="303"/>
      <c r="AY172" s="303"/>
      <c r="AZ172" s="303"/>
      <c r="BA172" s="303"/>
      <c r="BB172" s="303"/>
      <c r="BC172" s="303"/>
      <c r="BD172" s="303"/>
      <c r="BE172" s="303"/>
      <c r="BF172" s="303"/>
      <c r="BG172" s="303"/>
      <c r="BH172" s="303"/>
      <c r="BI172" s="303"/>
    </row>
    <row r="173" spans="3:61" x14ac:dyDescent="0.3">
      <c r="C173" s="88"/>
      <c r="D173" s="2"/>
      <c r="E173" s="32" t="s">
        <v>1005</v>
      </c>
      <c r="G173" s="303"/>
      <c r="H173" s="303"/>
      <c r="I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89"/>
      <c r="AS173" s="303"/>
      <c r="AT173" s="303"/>
      <c r="AU173" s="303"/>
      <c r="AV173" s="303"/>
      <c r="AW173" s="303"/>
      <c r="AX173" s="303"/>
      <c r="AY173" s="303"/>
      <c r="AZ173" s="303"/>
      <c r="BA173" s="303"/>
      <c r="BB173" s="303"/>
      <c r="BC173" s="303"/>
      <c r="BD173" s="303"/>
      <c r="BE173" s="303"/>
      <c r="BF173" s="303"/>
      <c r="BG173" s="303"/>
      <c r="BH173" s="303"/>
      <c r="BI173" s="303"/>
    </row>
    <row r="174" spans="3:61" x14ac:dyDescent="0.3">
      <c r="C174" s="88"/>
      <c r="D174" s="2"/>
      <c r="E174" s="32"/>
      <c r="F174" s="29" t="s">
        <v>1006</v>
      </c>
      <c r="G174" s="303"/>
      <c r="H174" s="303"/>
      <c r="I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89"/>
      <c r="AS174" s="303"/>
      <c r="AT174" s="303"/>
      <c r="AU174" s="303"/>
      <c r="AV174" s="303"/>
      <c r="AW174" s="303"/>
      <c r="AX174" s="303"/>
      <c r="AY174" s="303"/>
      <c r="AZ174" s="303"/>
      <c r="BA174" s="303"/>
      <c r="BB174" s="303"/>
      <c r="BC174" s="303"/>
      <c r="BD174" s="303"/>
      <c r="BE174" s="303"/>
      <c r="BF174" s="303"/>
      <c r="BG174" s="303"/>
      <c r="BH174" s="303"/>
      <c r="BI174" s="303"/>
    </row>
    <row r="175" spans="3:61" ht="43.2" x14ac:dyDescent="0.3">
      <c r="C175" s="88"/>
      <c r="D175" s="2"/>
      <c r="E175" s="32"/>
      <c r="F175" s="371" t="s">
        <v>1007</v>
      </c>
      <c r="G175" s="303"/>
      <c r="H175" s="303"/>
      <c r="I175" s="303"/>
      <c r="J175" s="114" t="s">
        <v>912</v>
      </c>
      <c r="K175" s="114" t="s">
        <v>830</v>
      </c>
      <c r="L175" s="114" t="s">
        <v>913</v>
      </c>
      <c r="M175" s="114" t="s">
        <v>914</v>
      </c>
      <c r="N175" s="114" t="s">
        <v>915</v>
      </c>
      <c r="O175" s="114" t="s">
        <v>916</v>
      </c>
      <c r="P175" s="114" t="s">
        <v>917</v>
      </c>
      <c r="Q175" s="114" t="s">
        <v>831</v>
      </c>
      <c r="R175" s="114" t="s">
        <v>918</v>
      </c>
      <c r="S175" s="114" t="s">
        <v>919</v>
      </c>
      <c r="T175" s="114" t="s">
        <v>920</v>
      </c>
      <c r="U175" s="114" t="s">
        <v>921</v>
      </c>
      <c r="V175" s="114" t="s">
        <v>922</v>
      </c>
      <c r="W175" s="114" t="s">
        <v>923</v>
      </c>
      <c r="X175" s="114" t="s">
        <v>924</v>
      </c>
      <c r="Y175" s="114" t="s">
        <v>925</v>
      </c>
      <c r="Z175" s="114" t="s">
        <v>926</v>
      </c>
      <c r="AA175" s="114" t="s">
        <v>927</v>
      </c>
      <c r="AB175" s="114" t="s">
        <v>928</v>
      </c>
      <c r="AC175" s="114" t="s">
        <v>929</v>
      </c>
      <c r="AD175" s="114" t="s">
        <v>930</v>
      </c>
      <c r="AE175" s="114" t="s">
        <v>931</v>
      </c>
      <c r="AF175" s="114" t="s">
        <v>932</v>
      </c>
      <c r="AG175" s="114" t="s">
        <v>840</v>
      </c>
      <c r="AH175" s="114" t="s">
        <v>832</v>
      </c>
      <c r="AI175" s="114" t="s">
        <v>833</v>
      </c>
      <c r="AJ175" s="114" t="s">
        <v>834</v>
      </c>
      <c r="AK175" s="114" t="s">
        <v>843</v>
      </c>
      <c r="AL175" s="114" t="s">
        <v>835</v>
      </c>
      <c r="AM175" s="114" t="s">
        <v>842</v>
      </c>
      <c r="AN175" s="114" t="s">
        <v>836</v>
      </c>
      <c r="AO175" s="114" t="s">
        <v>841</v>
      </c>
      <c r="AP175" s="303"/>
      <c r="AQ175" s="303"/>
      <c r="AR175" s="89"/>
      <c r="AS175" s="303"/>
      <c r="AT175" s="303"/>
      <c r="AU175" s="303"/>
      <c r="AV175" s="303"/>
      <c r="AW175" s="303"/>
      <c r="AX175" s="303"/>
      <c r="AY175" s="303"/>
      <c r="AZ175" s="303"/>
      <c r="BA175" s="303"/>
      <c r="BB175" s="303"/>
      <c r="BC175" s="303"/>
      <c r="BD175" s="303"/>
      <c r="BE175" s="303"/>
      <c r="BF175" s="303"/>
      <c r="BG175" s="303"/>
      <c r="BH175" s="303"/>
      <c r="BI175" s="303"/>
    </row>
    <row r="176" spans="3:61" x14ac:dyDescent="0.3">
      <c r="C176" s="88"/>
      <c r="D176" s="2"/>
      <c r="F176" s="23" t="s">
        <v>997</v>
      </c>
      <c r="G176" s="23" t="s">
        <v>148</v>
      </c>
      <c r="H176" s="23"/>
      <c r="I176" s="23"/>
      <c r="J176" s="317">
        <v>1</v>
      </c>
      <c r="K176" s="65"/>
      <c r="L176" s="65"/>
      <c r="M176" s="317">
        <v>1</v>
      </c>
      <c r="N176" s="317">
        <v>2</v>
      </c>
      <c r="O176" s="317">
        <v>3</v>
      </c>
      <c r="P176" s="317">
        <v>4</v>
      </c>
      <c r="Q176" s="65"/>
      <c r="R176" s="65"/>
      <c r="S176" s="317">
        <v>1</v>
      </c>
      <c r="T176" s="317">
        <v>2</v>
      </c>
      <c r="U176" s="317">
        <v>3</v>
      </c>
      <c r="V176" s="317">
        <v>4</v>
      </c>
      <c r="W176" s="65"/>
      <c r="X176" s="317">
        <v>1</v>
      </c>
      <c r="Y176" s="317">
        <v>2</v>
      </c>
      <c r="Z176" s="317">
        <v>3</v>
      </c>
      <c r="AA176" s="317">
        <v>4</v>
      </c>
      <c r="AB176" s="65"/>
      <c r="AC176" s="317">
        <v>1</v>
      </c>
      <c r="AD176" s="317">
        <v>2</v>
      </c>
      <c r="AE176" s="317">
        <v>3</v>
      </c>
      <c r="AF176" s="317">
        <v>4</v>
      </c>
      <c r="AG176" s="317">
        <v>1</v>
      </c>
      <c r="AH176" s="65"/>
      <c r="AI176" s="65"/>
      <c r="AJ176" s="65"/>
      <c r="AK176" s="65"/>
      <c r="AL176" s="65"/>
      <c r="AM176" s="65"/>
      <c r="AN176" s="65"/>
      <c r="AO176" s="65"/>
      <c r="AP176" s="303"/>
      <c r="AQ176" s="303"/>
      <c r="AR176" s="89"/>
      <c r="AS176" s="303"/>
      <c r="AT176" s="303"/>
      <c r="AU176" s="303"/>
      <c r="AV176" s="303"/>
      <c r="AW176" s="303"/>
      <c r="AX176" s="303"/>
      <c r="AY176" s="303"/>
      <c r="AZ176" s="303"/>
      <c r="BA176" s="303"/>
      <c r="BB176" s="303"/>
      <c r="BC176" s="303"/>
      <c r="BD176" s="303"/>
      <c r="BE176" s="303"/>
      <c r="BF176" s="303"/>
      <c r="BG176" s="303"/>
      <c r="BH176" s="303"/>
      <c r="BI176" s="303"/>
    </row>
    <row r="177" spans="2:61" x14ac:dyDescent="0.3">
      <c r="C177" s="88"/>
      <c r="D177" s="2"/>
      <c r="F177" s="303" t="s">
        <v>998</v>
      </c>
      <c r="G177" s="303" t="s">
        <v>148</v>
      </c>
      <c r="H177" s="303"/>
      <c r="I177" s="303"/>
      <c r="J177" s="328">
        <v>1</v>
      </c>
      <c r="K177" s="360"/>
      <c r="L177" s="360"/>
      <c r="M177" s="328">
        <v>1</v>
      </c>
      <c r="N177" s="328">
        <v>1</v>
      </c>
      <c r="O177" s="328">
        <v>2</v>
      </c>
      <c r="P177" s="328">
        <v>3</v>
      </c>
      <c r="Q177" s="360"/>
      <c r="R177" s="360"/>
      <c r="S177" s="328">
        <v>1</v>
      </c>
      <c r="T177" s="328">
        <v>1</v>
      </c>
      <c r="U177" s="328">
        <v>2</v>
      </c>
      <c r="V177" s="328">
        <v>3</v>
      </c>
      <c r="W177" s="360"/>
      <c r="X177" s="328">
        <v>1</v>
      </c>
      <c r="Y177" s="328">
        <v>1</v>
      </c>
      <c r="Z177" s="328">
        <v>2</v>
      </c>
      <c r="AA177" s="328">
        <v>3</v>
      </c>
      <c r="AB177" s="360"/>
      <c r="AC177" s="328">
        <v>1</v>
      </c>
      <c r="AD177" s="328">
        <v>1</v>
      </c>
      <c r="AE177" s="328">
        <v>2</v>
      </c>
      <c r="AF177" s="328">
        <v>3</v>
      </c>
      <c r="AG177" s="328">
        <v>1</v>
      </c>
      <c r="AH177" s="360"/>
      <c r="AI177" s="360"/>
      <c r="AJ177" s="360"/>
      <c r="AK177" s="360"/>
      <c r="AL177" s="360"/>
      <c r="AM177" s="360"/>
      <c r="AN177" s="360"/>
      <c r="AO177" s="360"/>
      <c r="AP177" s="303"/>
      <c r="AQ177" s="303"/>
      <c r="AR177" s="89"/>
      <c r="AS177" s="303"/>
      <c r="AT177" s="303"/>
      <c r="AU177" s="303"/>
      <c r="AV177" s="303"/>
      <c r="AW177" s="303"/>
      <c r="AX177" s="303"/>
      <c r="AY177" s="303"/>
      <c r="AZ177" s="303"/>
      <c r="BA177" s="303"/>
      <c r="BB177" s="303"/>
      <c r="BC177" s="303"/>
      <c r="BD177" s="303"/>
      <c r="BE177" s="303"/>
      <c r="BF177" s="303"/>
      <c r="BG177" s="303"/>
      <c r="BH177" s="303"/>
      <c r="BI177" s="303"/>
    </row>
    <row r="178" spans="2:61" x14ac:dyDescent="0.3">
      <c r="C178" s="88"/>
      <c r="D178" s="2"/>
      <c r="F178" s="303" t="s">
        <v>999</v>
      </c>
      <c r="G178" s="303" t="s">
        <v>148</v>
      </c>
      <c r="H178" s="303"/>
      <c r="I178" s="303"/>
      <c r="J178" s="328">
        <v>1</v>
      </c>
      <c r="K178" s="360"/>
      <c r="L178" s="360"/>
      <c r="M178" s="328">
        <v>1</v>
      </c>
      <c r="N178" s="328">
        <v>2</v>
      </c>
      <c r="O178" s="328">
        <v>2</v>
      </c>
      <c r="P178" s="328">
        <v>3</v>
      </c>
      <c r="Q178" s="360"/>
      <c r="R178" s="360"/>
      <c r="S178" s="328">
        <v>1</v>
      </c>
      <c r="T178" s="328">
        <v>2</v>
      </c>
      <c r="U178" s="328">
        <v>2</v>
      </c>
      <c r="V178" s="328">
        <v>3</v>
      </c>
      <c r="W178" s="360"/>
      <c r="X178" s="328">
        <v>1</v>
      </c>
      <c r="Y178" s="328">
        <v>2</v>
      </c>
      <c r="Z178" s="328">
        <v>2</v>
      </c>
      <c r="AA178" s="328">
        <v>3</v>
      </c>
      <c r="AB178" s="360"/>
      <c r="AC178" s="328">
        <v>1</v>
      </c>
      <c r="AD178" s="328">
        <v>2</v>
      </c>
      <c r="AE178" s="328">
        <v>2</v>
      </c>
      <c r="AF178" s="328">
        <v>3</v>
      </c>
      <c r="AG178" s="328">
        <v>1</v>
      </c>
      <c r="AH178" s="360"/>
      <c r="AI178" s="360"/>
      <c r="AJ178" s="360"/>
      <c r="AK178" s="360"/>
      <c r="AL178" s="360"/>
      <c r="AM178" s="360"/>
      <c r="AN178" s="360"/>
      <c r="AO178" s="360"/>
      <c r="AP178" s="303"/>
      <c r="AQ178" s="303"/>
      <c r="AR178" s="89"/>
      <c r="AS178" s="303"/>
      <c r="AT178" s="303"/>
      <c r="AU178" s="303"/>
      <c r="AV178" s="303"/>
      <c r="AW178" s="303"/>
      <c r="AX178" s="303"/>
      <c r="AY178" s="303"/>
      <c r="AZ178" s="303"/>
      <c r="BA178" s="303"/>
      <c r="BB178" s="303"/>
      <c r="BC178" s="303"/>
      <c r="BD178" s="303"/>
      <c r="BE178" s="303"/>
      <c r="BF178" s="303"/>
      <c r="BG178" s="303"/>
      <c r="BH178" s="303"/>
      <c r="BI178" s="303"/>
    </row>
    <row r="179" spans="2:61" x14ac:dyDescent="0.3">
      <c r="C179" s="88"/>
      <c r="D179" s="2"/>
      <c r="F179" s="303" t="s">
        <v>1000</v>
      </c>
      <c r="G179" s="303" t="s">
        <v>148</v>
      </c>
      <c r="H179" s="303"/>
      <c r="I179" s="303"/>
      <c r="J179" s="328">
        <v>1</v>
      </c>
      <c r="K179" s="360"/>
      <c r="L179" s="360"/>
      <c r="M179" s="328">
        <v>1</v>
      </c>
      <c r="N179" s="328">
        <v>2</v>
      </c>
      <c r="O179" s="328">
        <v>3</v>
      </c>
      <c r="P179" s="328">
        <v>3</v>
      </c>
      <c r="Q179" s="360"/>
      <c r="R179" s="360"/>
      <c r="S179" s="328">
        <v>1</v>
      </c>
      <c r="T179" s="328">
        <v>2</v>
      </c>
      <c r="U179" s="328">
        <v>3</v>
      </c>
      <c r="V179" s="328">
        <v>3</v>
      </c>
      <c r="W179" s="360"/>
      <c r="X179" s="328">
        <v>1</v>
      </c>
      <c r="Y179" s="328">
        <v>2</v>
      </c>
      <c r="Z179" s="328">
        <v>3</v>
      </c>
      <c r="AA179" s="328">
        <v>3</v>
      </c>
      <c r="AB179" s="360"/>
      <c r="AC179" s="328">
        <v>1</v>
      </c>
      <c r="AD179" s="328">
        <v>2</v>
      </c>
      <c r="AE179" s="328">
        <v>3</v>
      </c>
      <c r="AF179" s="328">
        <v>3</v>
      </c>
      <c r="AG179" s="328">
        <v>1</v>
      </c>
      <c r="AH179" s="360"/>
      <c r="AI179" s="360"/>
      <c r="AJ179" s="360"/>
      <c r="AK179" s="360"/>
      <c r="AL179" s="360"/>
      <c r="AM179" s="360"/>
      <c r="AN179" s="360"/>
      <c r="AO179" s="360"/>
      <c r="AP179" s="303"/>
      <c r="AQ179" s="303"/>
      <c r="AR179" s="89"/>
      <c r="AS179" s="303"/>
      <c r="AT179" s="303"/>
      <c r="AU179" s="303"/>
      <c r="AV179" s="303"/>
      <c r="AW179" s="303"/>
      <c r="AX179" s="303"/>
      <c r="AY179" s="303"/>
      <c r="AZ179" s="303"/>
      <c r="BA179" s="303"/>
      <c r="BB179" s="303"/>
      <c r="BC179" s="303"/>
      <c r="BD179" s="303"/>
      <c r="BE179" s="303"/>
      <c r="BF179" s="303"/>
      <c r="BG179" s="303"/>
      <c r="BH179" s="303"/>
      <c r="BI179" s="303"/>
    </row>
    <row r="180" spans="2:61" x14ac:dyDescent="0.3">
      <c r="C180" s="88"/>
      <c r="D180" s="2"/>
      <c r="F180" s="303" t="s">
        <v>1001</v>
      </c>
      <c r="G180" s="303" t="s">
        <v>148</v>
      </c>
      <c r="H180" s="303"/>
      <c r="I180" s="303"/>
      <c r="J180" s="328">
        <v>1</v>
      </c>
      <c r="K180" s="360"/>
      <c r="L180" s="360"/>
      <c r="M180" s="328">
        <v>1</v>
      </c>
      <c r="N180" s="328">
        <v>1</v>
      </c>
      <c r="O180" s="328">
        <v>2</v>
      </c>
      <c r="P180" s="328">
        <v>2</v>
      </c>
      <c r="Q180" s="360"/>
      <c r="R180" s="360"/>
      <c r="S180" s="328">
        <v>1</v>
      </c>
      <c r="T180" s="328">
        <v>1</v>
      </c>
      <c r="U180" s="328">
        <v>2</v>
      </c>
      <c r="V180" s="328">
        <v>2</v>
      </c>
      <c r="W180" s="360"/>
      <c r="X180" s="328">
        <v>1</v>
      </c>
      <c r="Y180" s="328">
        <v>1</v>
      </c>
      <c r="Z180" s="328">
        <v>2</v>
      </c>
      <c r="AA180" s="328">
        <v>2</v>
      </c>
      <c r="AB180" s="360"/>
      <c r="AC180" s="328">
        <v>1</v>
      </c>
      <c r="AD180" s="328">
        <v>1</v>
      </c>
      <c r="AE180" s="328">
        <v>2</v>
      </c>
      <c r="AF180" s="328">
        <v>2</v>
      </c>
      <c r="AG180" s="328">
        <v>1</v>
      </c>
      <c r="AH180" s="360"/>
      <c r="AI180" s="360"/>
      <c r="AJ180" s="360"/>
      <c r="AK180" s="360"/>
      <c r="AL180" s="360"/>
      <c r="AM180" s="360"/>
      <c r="AN180" s="360"/>
      <c r="AO180" s="360"/>
      <c r="AP180" s="303"/>
      <c r="AQ180" s="303"/>
      <c r="AR180" s="89"/>
      <c r="AS180" s="303"/>
      <c r="AT180" s="303"/>
      <c r="AU180" s="303"/>
      <c r="AV180" s="303"/>
      <c r="AW180" s="303"/>
      <c r="AX180" s="303"/>
      <c r="AY180" s="303"/>
      <c r="AZ180" s="303"/>
      <c r="BA180" s="303"/>
      <c r="BB180" s="303"/>
      <c r="BC180" s="303"/>
      <c r="BD180" s="303"/>
      <c r="BE180" s="303"/>
      <c r="BF180" s="303"/>
      <c r="BG180" s="303"/>
      <c r="BH180" s="303"/>
      <c r="BI180" s="303"/>
    </row>
    <row r="181" spans="2:61" x14ac:dyDescent="0.3">
      <c r="C181" s="88"/>
      <c r="D181" s="2"/>
      <c r="F181" s="303" t="s">
        <v>1002</v>
      </c>
      <c r="G181" s="303" t="s">
        <v>148</v>
      </c>
      <c r="H181" s="303"/>
      <c r="I181" s="303"/>
      <c r="J181" s="328">
        <v>1</v>
      </c>
      <c r="K181" s="360"/>
      <c r="L181" s="360"/>
      <c r="M181" s="328">
        <v>1</v>
      </c>
      <c r="N181" s="328">
        <v>1</v>
      </c>
      <c r="O181" s="328">
        <v>1</v>
      </c>
      <c r="P181" s="328">
        <v>2</v>
      </c>
      <c r="Q181" s="360"/>
      <c r="R181" s="360"/>
      <c r="S181" s="328">
        <v>1</v>
      </c>
      <c r="T181" s="328">
        <v>1</v>
      </c>
      <c r="U181" s="328">
        <v>1</v>
      </c>
      <c r="V181" s="328">
        <v>2</v>
      </c>
      <c r="W181" s="360"/>
      <c r="X181" s="328">
        <v>1</v>
      </c>
      <c r="Y181" s="328">
        <v>1</v>
      </c>
      <c r="Z181" s="328">
        <v>1</v>
      </c>
      <c r="AA181" s="328">
        <v>2</v>
      </c>
      <c r="AB181" s="360"/>
      <c r="AC181" s="328">
        <v>1</v>
      </c>
      <c r="AD181" s="328">
        <v>1</v>
      </c>
      <c r="AE181" s="328">
        <v>1</v>
      </c>
      <c r="AF181" s="328">
        <v>2</v>
      </c>
      <c r="AG181" s="328">
        <v>1</v>
      </c>
      <c r="AH181" s="360"/>
      <c r="AI181" s="360"/>
      <c r="AJ181" s="360"/>
      <c r="AK181" s="360"/>
      <c r="AL181" s="360"/>
      <c r="AM181" s="360"/>
      <c r="AN181" s="360"/>
      <c r="AO181" s="360"/>
      <c r="AP181" s="303"/>
      <c r="AQ181" s="303"/>
      <c r="AR181" s="89"/>
      <c r="AS181" s="303"/>
      <c r="AT181" s="303"/>
      <c r="AU181" s="303"/>
      <c r="AV181" s="303"/>
      <c r="AW181" s="303"/>
      <c r="AX181" s="303"/>
      <c r="AY181" s="303"/>
      <c r="AZ181" s="303"/>
      <c r="BA181" s="303"/>
      <c r="BB181" s="303"/>
      <c r="BC181" s="303"/>
      <c r="BD181" s="303"/>
      <c r="BE181" s="303"/>
      <c r="BF181" s="303"/>
      <c r="BG181" s="303"/>
      <c r="BH181" s="303"/>
      <c r="BI181" s="303"/>
    </row>
    <row r="182" spans="2:61" x14ac:dyDescent="0.3">
      <c r="C182" s="88"/>
      <c r="D182" s="2"/>
      <c r="F182" s="303" t="s">
        <v>1003</v>
      </c>
      <c r="G182" s="303" t="s">
        <v>148</v>
      </c>
      <c r="H182" s="303"/>
      <c r="I182" s="303"/>
      <c r="J182" s="328">
        <v>1</v>
      </c>
      <c r="K182" s="360"/>
      <c r="L182" s="360"/>
      <c r="M182" s="328">
        <v>1</v>
      </c>
      <c r="N182" s="328">
        <v>2</v>
      </c>
      <c r="O182" s="328">
        <v>2</v>
      </c>
      <c r="P182" s="328">
        <v>2</v>
      </c>
      <c r="Q182" s="360"/>
      <c r="R182" s="360"/>
      <c r="S182" s="328">
        <v>1</v>
      </c>
      <c r="T182" s="328">
        <v>2</v>
      </c>
      <c r="U182" s="328">
        <v>2</v>
      </c>
      <c r="V182" s="328">
        <v>2</v>
      </c>
      <c r="W182" s="360"/>
      <c r="X182" s="328">
        <v>1</v>
      </c>
      <c r="Y182" s="328">
        <v>2</v>
      </c>
      <c r="Z182" s="328">
        <v>2</v>
      </c>
      <c r="AA182" s="328">
        <v>2</v>
      </c>
      <c r="AB182" s="360"/>
      <c r="AC182" s="328">
        <v>1</v>
      </c>
      <c r="AD182" s="328">
        <v>2</v>
      </c>
      <c r="AE182" s="328">
        <v>2</v>
      </c>
      <c r="AF182" s="328">
        <v>2</v>
      </c>
      <c r="AG182" s="328">
        <v>1</v>
      </c>
      <c r="AH182" s="360"/>
      <c r="AI182" s="360"/>
      <c r="AJ182" s="360"/>
      <c r="AK182" s="360"/>
      <c r="AL182" s="360"/>
      <c r="AM182" s="360"/>
      <c r="AN182" s="360"/>
      <c r="AO182" s="360"/>
      <c r="AP182" s="303"/>
      <c r="AQ182" s="303"/>
      <c r="AR182" s="89"/>
      <c r="AS182" s="303"/>
      <c r="AT182" s="303"/>
      <c r="AU182" s="303"/>
      <c r="AV182" s="303"/>
      <c r="AW182" s="303"/>
      <c r="AX182" s="303"/>
      <c r="AY182" s="303"/>
      <c r="AZ182" s="303"/>
      <c r="BA182" s="303"/>
      <c r="BB182" s="303"/>
      <c r="BC182" s="303"/>
      <c r="BD182" s="303"/>
      <c r="BE182" s="303"/>
      <c r="BF182" s="303"/>
      <c r="BG182" s="303"/>
      <c r="BH182" s="303"/>
      <c r="BI182" s="303"/>
    </row>
    <row r="183" spans="2:61" x14ac:dyDescent="0.3">
      <c r="C183" s="88"/>
      <c r="D183" s="2"/>
      <c r="F183" s="37" t="s">
        <v>1004</v>
      </c>
      <c r="G183" s="37" t="s">
        <v>148</v>
      </c>
      <c r="H183" s="37"/>
      <c r="I183" s="37"/>
      <c r="J183" s="318">
        <v>1</v>
      </c>
      <c r="K183" s="68"/>
      <c r="L183" s="68"/>
      <c r="M183" s="318">
        <v>1</v>
      </c>
      <c r="N183" s="318">
        <v>1</v>
      </c>
      <c r="O183" s="318">
        <v>1</v>
      </c>
      <c r="P183" s="318">
        <v>1</v>
      </c>
      <c r="Q183" s="68"/>
      <c r="R183" s="68"/>
      <c r="S183" s="318">
        <v>1</v>
      </c>
      <c r="T183" s="318">
        <v>1</v>
      </c>
      <c r="U183" s="318">
        <v>1</v>
      </c>
      <c r="V183" s="318">
        <v>1</v>
      </c>
      <c r="W183" s="68"/>
      <c r="X183" s="318">
        <v>1</v>
      </c>
      <c r="Y183" s="318">
        <v>1</v>
      </c>
      <c r="Z183" s="318">
        <v>1</v>
      </c>
      <c r="AA183" s="318">
        <v>1</v>
      </c>
      <c r="AB183" s="68"/>
      <c r="AC183" s="318">
        <v>1</v>
      </c>
      <c r="AD183" s="318">
        <v>1</v>
      </c>
      <c r="AE183" s="318">
        <v>1</v>
      </c>
      <c r="AF183" s="318">
        <v>1</v>
      </c>
      <c r="AG183" s="318">
        <v>1</v>
      </c>
      <c r="AH183" s="68"/>
      <c r="AI183" s="68"/>
      <c r="AJ183" s="68"/>
      <c r="AK183" s="68"/>
      <c r="AL183" s="68"/>
      <c r="AM183" s="68"/>
      <c r="AN183" s="68"/>
      <c r="AO183" s="68"/>
      <c r="AP183" s="303"/>
      <c r="AQ183" s="303"/>
      <c r="AR183" s="89"/>
      <c r="AS183" s="303"/>
      <c r="AT183" s="303"/>
      <c r="AU183" s="303"/>
      <c r="AV183" s="303"/>
      <c r="AW183" s="303"/>
      <c r="AX183" s="303"/>
      <c r="AY183" s="303"/>
      <c r="AZ183" s="303"/>
      <c r="BA183" s="303"/>
      <c r="BB183" s="303"/>
      <c r="BC183" s="303"/>
      <c r="BD183" s="303"/>
      <c r="BE183" s="303"/>
      <c r="BF183" s="303"/>
      <c r="BG183" s="303"/>
      <c r="BH183" s="303"/>
      <c r="BI183" s="303"/>
    </row>
    <row r="184" spans="2:61" x14ac:dyDescent="0.3">
      <c r="C184" s="88"/>
      <c r="D184" s="2"/>
      <c r="E184" s="32"/>
      <c r="G184" s="303"/>
      <c r="H184" s="303"/>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89"/>
      <c r="AS184" s="303"/>
      <c r="AT184" s="303"/>
      <c r="AU184" s="303"/>
      <c r="AV184" s="303"/>
      <c r="AW184" s="303"/>
      <c r="AX184" s="303"/>
      <c r="AY184" s="303"/>
      <c r="AZ184" s="303"/>
      <c r="BA184" s="303"/>
      <c r="BB184" s="303"/>
      <c r="BC184" s="303"/>
      <c r="BD184" s="303"/>
      <c r="BE184" s="303"/>
      <c r="BF184" s="303"/>
      <c r="BG184" s="303"/>
      <c r="BH184" s="303"/>
      <c r="BI184" s="303"/>
    </row>
    <row r="185" spans="2:61" x14ac:dyDescent="0.3">
      <c r="B185" s="30" t="s">
        <v>230</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3">
      <c r="F186" s="3"/>
      <c r="G186" s="3"/>
      <c r="H186" s="3"/>
      <c r="I186" s="3"/>
    </row>
    <row r="187" spans="2:61" x14ac:dyDescent="0.3">
      <c r="E187" t="s">
        <v>231</v>
      </c>
      <c r="G187" s="6" t="s">
        <v>54</v>
      </c>
      <c r="H187" s="24">
        <f t="array" ref="H187">SUM(IF(ISERROR(H15:Y146), 1))</f>
        <v>0</v>
      </c>
      <c r="I187" s="3"/>
    </row>
    <row r="188" spans="2:61" x14ac:dyDescent="0.3">
      <c r="I188" s="3"/>
    </row>
    <row r="189" spans="2:61" x14ac:dyDescent="0.3">
      <c r="E189" s="32" t="s">
        <v>232</v>
      </c>
      <c r="I189" s="3"/>
    </row>
    <row r="190" spans="2:61" x14ac:dyDescent="0.3">
      <c r="F190" s="23" t="s">
        <v>233</v>
      </c>
      <c r="G190" s="73" t="s">
        <v>54</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3">
      <c r="F191" t="s">
        <v>234</v>
      </c>
      <c r="G191" s="6" t="s">
        <v>54</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3">
      <c r="F192" t="s">
        <v>235</v>
      </c>
      <c r="G192" s="6" t="s">
        <v>54</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3">
      <c r="F193" t="s">
        <v>236</v>
      </c>
      <c r="G193" s="6" t="s">
        <v>54</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3">
      <c r="F194" s="37" t="s">
        <v>237</v>
      </c>
      <c r="G194" s="50" t="s">
        <v>54</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3">
      <c r="F195" s="3"/>
      <c r="G195" s="3"/>
      <c r="H195" s="3"/>
      <c r="I195" s="3"/>
    </row>
    <row r="196" spans="2:43" x14ac:dyDescent="0.3">
      <c r="E196" t="s">
        <v>238</v>
      </c>
      <c r="G196" s="6" t="s">
        <v>54</v>
      </c>
      <c r="H196" s="103">
        <f>H187 + SUM(H190:H194)</f>
        <v>0</v>
      </c>
      <c r="I196" s="3"/>
    </row>
    <row r="197" spans="2:43" x14ac:dyDescent="0.3">
      <c r="I197" s="3"/>
    </row>
    <row r="198" spans="2:43" x14ac:dyDescent="0.3">
      <c r="B198" s="30" t="s">
        <v>105</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3">
      <c r="F199" s="3"/>
      <c r="G199" s="3"/>
      <c r="H199" s="3"/>
      <c r="I199" s="3"/>
    </row>
    <row r="200" spans="2:43" x14ac:dyDescent="0.3">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58"/>
  <sheetViews>
    <sheetView showGridLines="0" zoomScale="60" zoomScaleNormal="60" workbookViewId="0">
      <pane xSplit="9" ySplit="5" topLeftCell="J6" activePane="bottomRight" state="frozen"/>
      <selection pane="topRight"/>
      <selection pane="bottomLeft"/>
      <selection pane="bottomRight" activeCell="J36" sqref="J36"/>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313" width="20.5546875" hidden="1" customWidth="1"/>
    <col min="314" max="16384" width="9.33203125" hidden="1"/>
  </cols>
  <sheetData>
    <row r="1" spans="1:43" s="1" customFormat="1" x14ac:dyDescent="0.3">
      <c r="A1" s="1" t="str">
        <f ca="1">MID(CELL("filename",A1),FIND("]",CELL("filename",A1))+1,255)</f>
        <v>Inputs by customer type</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H236 &amp; IF(H236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291" t="s">
        <v>142</v>
      </c>
      <c r="H5" s="292" t="s">
        <v>143</v>
      </c>
      <c r="I5" s="14"/>
      <c r="J5" s="292" t="s">
        <v>828</v>
      </c>
      <c r="K5" s="292" t="s">
        <v>830</v>
      </c>
      <c r="L5" s="292" t="s">
        <v>829</v>
      </c>
      <c r="M5" s="292" t="s">
        <v>831</v>
      </c>
      <c r="N5" s="292" t="s">
        <v>837</v>
      </c>
      <c r="O5" s="292" t="s">
        <v>838</v>
      </c>
      <c r="P5" s="292" t="s">
        <v>839</v>
      </c>
      <c r="Q5" s="292" t="s">
        <v>840</v>
      </c>
      <c r="R5" s="292" t="s">
        <v>832</v>
      </c>
      <c r="S5" s="292" t="s">
        <v>833</v>
      </c>
      <c r="T5" s="292" t="s">
        <v>834</v>
      </c>
      <c r="U5" s="292" t="s">
        <v>843</v>
      </c>
      <c r="V5" s="292" t="s">
        <v>835</v>
      </c>
      <c r="W5" s="292" t="s">
        <v>842</v>
      </c>
      <c r="X5" s="292" t="s">
        <v>836</v>
      </c>
      <c r="Y5" s="292" t="s">
        <v>841</v>
      </c>
      <c r="AQ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239</v>
      </c>
    </row>
    <row r="11" spans="1:43" x14ac:dyDescent="0.3">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
      <c r="D12" s="28"/>
    </row>
    <row r="13" spans="1:43" x14ac:dyDescent="0.3">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
      <c r="E15" s="28" t="s">
        <v>240</v>
      </c>
      <c r="G15" s="13" t="s">
        <v>166</v>
      </c>
      <c r="I15" t="s">
        <v>153</v>
      </c>
      <c r="J15" s="431">
        <v>0.44102545295601853</v>
      </c>
      <c r="K15" s="431">
        <v>0.19674261533753937</v>
      </c>
      <c r="L15" s="431">
        <v>0.43609182964337306</v>
      </c>
      <c r="M15" s="431">
        <v>0.17481067320328159</v>
      </c>
      <c r="N15" s="431">
        <v>0.53102634151201922</v>
      </c>
      <c r="O15" s="431">
        <v>0.54891551029254804</v>
      </c>
      <c r="P15" s="431">
        <v>0.70868365955903789</v>
      </c>
      <c r="Q15" s="431">
        <v>0.47413508390304332</v>
      </c>
      <c r="R15" s="70"/>
      <c r="S15" s="70"/>
      <c r="T15" s="70"/>
      <c r="U15" s="70"/>
      <c r="V15" s="70"/>
      <c r="W15" s="70"/>
      <c r="X15" s="70"/>
      <c r="Y15" s="70"/>
      <c r="AQ15" t="s">
        <v>241</v>
      </c>
    </row>
    <row r="16" spans="1:43" x14ac:dyDescent="0.3">
      <c r="E16" s="28" t="s">
        <v>242</v>
      </c>
      <c r="G16" s="13" t="s">
        <v>166</v>
      </c>
      <c r="I16" t="s">
        <v>153</v>
      </c>
      <c r="J16" s="431">
        <v>0.7758275857230309</v>
      </c>
      <c r="K16" s="70"/>
      <c r="L16" s="431">
        <v>0.78581035374337604</v>
      </c>
      <c r="M16" s="70"/>
      <c r="N16" s="431">
        <v>0.83243166821743186</v>
      </c>
      <c r="O16" s="431">
        <v>0.80282564462541028</v>
      </c>
      <c r="P16" s="431">
        <v>0.87559889203876473</v>
      </c>
      <c r="Q16" s="431">
        <v>0.60639844233547979</v>
      </c>
      <c r="R16" s="70"/>
      <c r="S16" s="70"/>
      <c r="T16" s="70"/>
      <c r="U16" s="70"/>
      <c r="V16" s="70"/>
      <c r="W16" s="70"/>
      <c r="X16" s="70"/>
      <c r="Y16" s="70"/>
      <c r="AQ16" t="s">
        <v>243</v>
      </c>
    </row>
    <row r="17" spans="3:43" x14ac:dyDescent="0.3">
      <c r="G17" s="13"/>
    </row>
    <row r="18" spans="3:43" x14ac:dyDescent="0.3">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x14ac:dyDescent="0.3">
      <c r="G19" s="13"/>
    </row>
    <row r="20" spans="3:43" x14ac:dyDescent="0.3">
      <c r="D20" s="29" t="s">
        <v>960</v>
      </c>
      <c r="G20" s="13"/>
      <c r="I20" t="s">
        <v>153</v>
      </c>
      <c r="AQ20" t="s">
        <v>245</v>
      </c>
    </row>
    <row r="21" spans="3:43" x14ac:dyDescent="0.3">
      <c r="G21" s="13"/>
    </row>
    <row r="22" spans="3:43" x14ac:dyDescent="0.3">
      <c r="E22" s="32" t="s">
        <v>908</v>
      </c>
      <c r="G22" s="13"/>
    </row>
    <row r="23" spans="3:43" x14ac:dyDescent="0.3">
      <c r="E23" s="32"/>
      <c r="F23" s="78" t="s">
        <v>246</v>
      </c>
      <c r="G23" s="78" t="s">
        <v>206</v>
      </c>
      <c r="H23" s="23"/>
      <c r="I23" s="23"/>
      <c r="J23" s="83"/>
      <c r="K23" s="432">
        <v>18.350451934590168</v>
      </c>
      <c r="L23" s="432">
        <v>0.1664543847844776</v>
      </c>
      <c r="M23" s="432">
        <v>30.968009054504083</v>
      </c>
      <c r="N23" s="432">
        <v>6.286703172921615</v>
      </c>
      <c r="O23" s="432">
        <v>19.278476192852601</v>
      </c>
      <c r="P23" s="432">
        <v>48.779728202076853</v>
      </c>
      <c r="Q23" s="83"/>
      <c r="R23" s="432">
        <v>162.86490240768723</v>
      </c>
      <c r="S23" s="432">
        <v>0</v>
      </c>
      <c r="T23" s="432">
        <v>2814.8705870277408</v>
      </c>
      <c r="U23" s="432">
        <v>0</v>
      </c>
      <c r="V23" s="432">
        <v>359.61906314590294</v>
      </c>
      <c r="W23" s="432">
        <v>0</v>
      </c>
      <c r="X23" s="432">
        <v>134754.49574344291</v>
      </c>
      <c r="Y23" s="432">
        <v>0</v>
      </c>
    </row>
    <row r="24" spans="3:43" x14ac:dyDescent="0.3">
      <c r="E24" s="32"/>
      <c r="F24" s="72" t="s">
        <v>247</v>
      </c>
      <c r="G24" s="72" t="s">
        <v>206</v>
      </c>
      <c r="J24" s="79"/>
      <c r="K24" s="433">
        <v>442.08512771373279</v>
      </c>
      <c r="L24" s="433">
        <v>0.59787580461090495</v>
      </c>
      <c r="M24" s="433">
        <v>924.22425525108804</v>
      </c>
      <c r="N24" s="433">
        <v>22.675065430603073</v>
      </c>
      <c r="O24" s="433">
        <v>70.918314424861464</v>
      </c>
      <c r="P24" s="433">
        <v>165.60985233193685</v>
      </c>
      <c r="Q24" s="79"/>
      <c r="R24" s="438">
        <v>602.4003628152069</v>
      </c>
      <c r="S24" s="438">
        <v>0</v>
      </c>
      <c r="T24" s="433">
        <v>10411.568347971635</v>
      </c>
      <c r="U24" s="433">
        <v>0</v>
      </c>
      <c r="V24" s="433">
        <v>1554.6705868586694</v>
      </c>
      <c r="W24" s="433">
        <v>0</v>
      </c>
      <c r="X24" s="433">
        <v>332893.45294245722</v>
      </c>
      <c r="Y24" s="433">
        <v>0</v>
      </c>
    </row>
    <row r="25" spans="3:43" x14ac:dyDescent="0.3">
      <c r="E25" s="32"/>
      <c r="F25" s="72" t="s">
        <v>248</v>
      </c>
      <c r="G25" s="72" t="s">
        <v>206</v>
      </c>
      <c r="J25" s="79"/>
      <c r="K25" s="433">
        <v>4114.2867134426042</v>
      </c>
      <c r="L25" s="433">
        <v>0.76270252774869396</v>
      </c>
      <c r="M25" s="433">
        <v>14603.793923010659</v>
      </c>
      <c r="N25" s="433">
        <v>29.447702238505478</v>
      </c>
      <c r="O25" s="433">
        <v>97.54346399950731</v>
      </c>
      <c r="P25" s="433">
        <v>275.57084393681538</v>
      </c>
      <c r="Q25" s="79"/>
      <c r="R25" s="438">
        <v>1012.2920957316472</v>
      </c>
      <c r="S25" s="438">
        <v>0</v>
      </c>
      <c r="T25" s="433">
        <v>17495.919646473743</v>
      </c>
      <c r="U25" s="433">
        <v>0</v>
      </c>
      <c r="V25" s="433">
        <v>2113.8817344775266</v>
      </c>
      <c r="W25" s="433">
        <v>0</v>
      </c>
      <c r="X25" s="433">
        <v>476929.11411067331</v>
      </c>
      <c r="Y25" s="433">
        <v>0</v>
      </c>
    </row>
    <row r="26" spans="3:43" x14ac:dyDescent="0.3">
      <c r="E26" s="32"/>
      <c r="F26" s="72" t="s">
        <v>211</v>
      </c>
      <c r="G26" s="72" t="s">
        <v>211</v>
      </c>
      <c r="J26" s="79"/>
      <c r="K26" s="433">
        <v>1739.8559938586122</v>
      </c>
      <c r="L26" s="433">
        <v>1</v>
      </c>
      <c r="M26" s="433">
        <v>2930.0356035322934</v>
      </c>
      <c r="N26" s="433">
        <v>1</v>
      </c>
      <c r="O26" s="433">
        <v>1</v>
      </c>
      <c r="P26" s="433">
        <v>1</v>
      </c>
      <c r="Q26" s="79"/>
      <c r="R26" s="433">
        <v>397.9095890410959</v>
      </c>
      <c r="S26" s="433">
        <v>0</v>
      </c>
      <c r="T26" s="433">
        <v>258.48493150684931</v>
      </c>
      <c r="U26" s="433">
        <v>0</v>
      </c>
      <c r="V26" s="433">
        <v>42</v>
      </c>
      <c r="W26" s="433">
        <v>0</v>
      </c>
      <c r="X26" s="433">
        <v>280</v>
      </c>
      <c r="Y26" s="433">
        <v>0</v>
      </c>
    </row>
    <row r="27" spans="3:43" x14ac:dyDescent="0.3">
      <c r="E27" s="32"/>
      <c r="F27" s="72" t="s">
        <v>249</v>
      </c>
      <c r="G27" s="72" t="s">
        <v>250</v>
      </c>
      <c r="J27" s="79"/>
      <c r="K27" s="79"/>
      <c r="L27" s="79"/>
      <c r="M27" s="79"/>
      <c r="N27" s="433">
        <v>37.850155191376949</v>
      </c>
      <c r="O27" s="433">
        <v>107.18588337781929</v>
      </c>
      <c r="P27" s="433">
        <v>204.67557859586987</v>
      </c>
      <c r="Q27" s="79"/>
      <c r="R27" s="79"/>
      <c r="S27" s="79"/>
      <c r="T27" s="79"/>
      <c r="U27" s="79"/>
      <c r="V27" s="79"/>
      <c r="W27" s="79"/>
      <c r="X27" s="79"/>
      <c r="Y27" s="79"/>
    </row>
    <row r="28" spans="3:43" x14ac:dyDescent="0.3">
      <c r="E28" s="32"/>
      <c r="F28" s="72" t="s">
        <v>251</v>
      </c>
      <c r="G28" s="72" t="s">
        <v>250</v>
      </c>
      <c r="J28" s="79"/>
      <c r="K28" s="79"/>
      <c r="L28" s="79"/>
      <c r="M28" s="79"/>
      <c r="N28" s="433">
        <v>0.80898981879554421</v>
      </c>
      <c r="O28" s="433">
        <v>0.99296401579984772</v>
      </c>
      <c r="P28" s="433">
        <v>1.810298734092207</v>
      </c>
      <c r="Q28" s="79"/>
      <c r="R28" s="79"/>
      <c r="S28" s="79"/>
      <c r="T28" s="79"/>
      <c r="U28" s="79"/>
      <c r="V28" s="79"/>
      <c r="W28" s="79"/>
      <c r="X28" s="79"/>
      <c r="Y28" s="79"/>
    </row>
    <row r="29" spans="3:43" x14ac:dyDescent="0.3">
      <c r="E29" s="32"/>
      <c r="F29" s="80" t="s">
        <v>252</v>
      </c>
      <c r="G29" s="80" t="s">
        <v>253</v>
      </c>
      <c r="H29" s="37"/>
      <c r="I29" s="37"/>
      <c r="J29" s="81"/>
      <c r="K29" s="81"/>
      <c r="L29" s="81"/>
      <c r="M29" s="81"/>
      <c r="N29" s="434">
        <v>4.7489974887219137</v>
      </c>
      <c r="O29" s="434">
        <v>14.167994601186939</v>
      </c>
      <c r="P29" s="434">
        <v>37.447582959517128</v>
      </c>
      <c r="Q29" s="81"/>
      <c r="R29" s="81"/>
      <c r="S29" s="81"/>
      <c r="T29" s="434">
        <v>2939.5815003992957</v>
      </c>
      <c r="U29" s="81"/>
      <c r="V29" s="434">
        <v>658.09713031219098</v>
      </c>
      <c r="W29" s="81"/>
      <c r="X29" s="434">
        <v>12290.739308282646</v>
      </c>
      <c r="Y29" s="81"/>
    </row>
    <row r="30" spans="3:43" x14ac:dyDescent="0.3">
      <c r="E30" s="253"/>
      <c r="F30" s="235"/>
      <c r="G30" s="235"/>
      <c r="H30" s="252"/>
      <c r="I30" s="252"/>
      <c r="J30" s="254"/>
      <c r="K30" s="254"/>
      <c r="L30" s="254"/>
      <c r="M30" s="254"/>
      <c r="N30" s="255"/>
      <c r="O30" s="255"/>
      <c r="P30" s="255"/>
      <c r="Q30" s="254"/>
      <c r="R30" s="254"/>
      <c r="S30" s="254"/>
      <c r="T30" s="255"/>
      <c r="U30" s="254"/>
      <c r="V30" s="255"/>
      <c r="W30" s="254"/>
      <c r="X30" s="255"/>
      <c r="Y30" s="254"/>
      <c r="Z30" s="252"/>
      <c r="AA30" s="252"/>
      <c r="AB30" s="252"/>
      <c r="AC30" s="252"/>
      <c r="AD30" s="252"/>
      <c r="AE30" s="252"/>
      <c r="AF30" s="252"/>
      <c r="AG30" s="252"/>
      <c r="AH30" s="252"/>
      <c r="AI30" s="252"/>
      <c r="AJ30" s="252"/>
      <c r="AK30" s="252"/>
      <c r="AL30" s="252"/>
      <c r="AM30" s="252"/>
      <c r="AN30" s="252"/>
      <c r="AO30" s="252"/>
      <c r="AP30" s="252"/>
    </row>
    <row r="31" spans="3:43" x14ac:dyDescent="0.3">
      <c r="E31" s="32" t="s">
        <v>948</v>
      </c>
      <c r="G31" s="13"/>
    </row>
    <row r="32" spans="3:43" x14ac:dyDescent="0.3">
      <c r="E32" s="32"/>
      <c r="F32" s="78" t="s">
        <v>246</v>
      </c>
      <c r="G32" s="78" t="s">
        <v>206</v>
      </c>
      <c r="H32" s="23"/>
      <c r="I32" s="23"/>
      <c r="J32" s="432">
        <v>880894.32826876955</v>
      </c>
      <c r="K32" s="83"/>
      <c r="L32" s="432">
        <v>9645.2292974652064</v>
      </c>
      <c r="M32" s="83"/>
      <c r="N32" s="432">
        <v>32807.614136778771</v>
      </c>
      <c r="O32" s="432">
        <v>16390.594029326767</v>
      </c>
      <c r="P32" s="432">
        <v>42767.227724782686</v>
      </c>
      <c r="Q32" s="432">
        <v>9039.9057209388866</v>
      </c>
      <c r="R32" s="83"/>
      <c r="S32" s="83"/>
      <c r="T32" s="83"/>
      <c r="U32" s="83"/>
      <c r="V32" s="83"/>
      <c r="W32" s="83"/>
      <c r="X32" s="83"/>
      <c r="Y32" s="83"/>
    </row>
    <row r="33" spans="5:42" x14ac:dyDescent="0.3">
      <c r="E33" s="32"/>
      <c r="F33" s="72" t="s">
        <v>247</v>
      </c>
      <c r="G33" s="72" t="s">
        <v>206</v>
      </c>
      <c r="J33" s="433">
        <v>2219285.745124469</v>
      </c>
      <c r="K33" s="79"/>
      <c r="L33" s="433">
        <v>34644.021149369219</v>
      </c>
      <c r="M33" s="322"/>
      <c r="N33" s="433">
        <v>118331.46511158058</v>
      </c>
      <c r="O33" s="433">
        <v>60294.874416112005</v>
      </c>
      <c r="P33" s="433">
        <v>145197.08348530781</v>
      </c>
      <c r="Q33" s="438">
        <v>30004.340243212198</v>
      </c>
      <c r="R33" s="79"/>
      <c r="S33" s="79"/>
      <c r="T33" s="79"/>
      <c r="U33" s="79"/>
      <c r="V33" s="79"/>
      <c r="W33" s="79"/>
      <c r="X33" s="79"/>
      <c r="Y33" s="79"/>
    </row>
    <row r="34" spans="5:42" x14ac:dyDescent="0.3">
      <c r="E34" s="32"/>
      <c r="F34" s="72" t="s">
        <v>248</v>
      </c>
      <c r="G34" s="72" t="s">
        <v>206</v>
      </c>
      <c r="J34" s="433">
        <v>4076714.4467384536</v>
      </c>
      <c r="K34" s="79"/>
      <c r="L34" s="433">
        <v>44194.935299646633</v>
      </c>
      <c r="M34" s="322"/>
      <c r="N34" s="433">
        <v>153674.95898596165</v>
      </c>
      <c r="O34" s="433">
        <v>82931.622947612443</v>
      </c>
      <c r="P34" s="433">
        <v>241604.48348817482</v>
      </c>
      <c r="Q34" s="438">
        <v>155047.29553545482</v>
      </c>
      <c r="R34" s="79"/>
      <c r="S34" s="79"/>
      <c r="T34" s="79"/>
      <c r="U34" s="79"/>
      <c r="V34" s="79"/>
      <c r="W34" s="79"/>
      <c r="X34" s="79"/>
      <c r="Y34" s="79"/>
    </row>
    <row r="35" spans="5:42" x14ac:dyDescent="0.3">
      <c r="E35" s="32"/>
      <c r="F35" s="72" t="s">
        <v>211</v>
      </c>
      <c r="G35" s="72" t="s">
        <v>211</v>
      </c>
      <c r="J35" s="433">
        <v>2209768.4645891488</v>
      </c>
      <c r="K35" s="79"/>
      <c r="L35" s="433">
        <v>57945.180056107805</v>
      </c>
      <c r="M35" s="322"/>
      <c r="N35" s="433">
        <v>5218.57215688014</v>
      </c>
      <c r="O35" s="433">
        <v>850.20174132867919</v>
      </c>
      <c r="P35" s="433">
        <v>876.74182085667758</v>
      </c>
      <c r="Q35" s="433">
        <v>609.61643835616439</v>
      </c>
      <c r="R35" s="79"/>
      <c r="S35" s="79"/>
      <c r="T35" s="79"/>
      <c r="U35" s="79"/>
      <c r="V35" s="79"/>
      <c r="W35" s="79"/>
      <c r="X35" s="79"/>
      <c r="Y35" s="79"/>
    </row>
    <row r="36" spans="5:42" x14ac:dyDescent="0.3">
      <c r="E36" s="32"/>
      <c r="F36" s="72" t="s">
        <v>249</v>
      </c>
      <c r="G36" s="72" t="s">
        <v>250</v>
      </c>
      <c r="J36" s="79"/>
      <c r="K36" s="79"/>
      <c r="L36" s="79"/>
      <c r="M36" s="322"/>
      <c r="N36" s="433">
        <v>197523.76601531202</v>
      </c>
      <c r="O36" s="433">
        <v>91129.62469367469</v>
      </c>
      <c r="P36" s="433">
        <v>179447.63946303696</v>
      </c>
      <c r="Q36" s="79"/>
      <c r="R36" s="79"/>
      <c r="S36" s="79"/>
      <c r="T36" s="79"/>
      <c r="U36" s="79"/>
      <c r="V36" s="79"/>
      <c r="W36" s="79"/>
      <c r="X36" s="79"/>
      <c r="Y36" s="79"/>
    </row>
    <row r="37" spans="5:42" x14ac:dyDescent="0.3">
      <c r="E37" s="32"/>
      <c r="F37" s="72" t="s">
        <v>251</v>
      </c>
      <c r="G37" s="72" t="s">
        <v>250</v>
      </c>
      <c r="J37" s="79"/>
      <c r="K37" s="79"/>
      <c r="L37" s="79"/>
      <c r="M37" s="322"/>
      <c r="N37" s="433">
        <v>4221.771743565937</v>
      </c>
      <c r="O37" s="433">
        <v>844.21973530974867</v>
      </c>
      <c r="P37" s="433">
        <v>1587.1646084225399</v>
      </c>
      <c r="Q37" s="79"/>
      <c r="R37" s="79"/>
      <c r="S37" s="79"/>
      <c r="T37" s="79"/>
      <c r="U37" s="79"/>
      <c r="V37" s="79"/>
      <c r="W37" s="79"/>
      <c r="X37" s="79"/>
      <c r="Y37" s="79"/>
    </row>
    <row r="38" spans="5:42" x14ac:dyDescent="0.3">
      <c r="E38" s="32"/>
      <c r="F38" s="80" t="s">
        <v>252</v>
      </c>
      <c r="G38" s="80" t="s">
        <v>253</v>
      </c>
      <c r="H38" s="37"/>
      <c r="I38" s="37"/>
      <c r="J38" s="81"/>
      <c r="K38" s="81"/>
      <c r="L38" s="81"/>
      <c r="M38" s="81"/>
      <c r="N38" s="434">
        <v>24782.986067737886</v>
      </c>
      <c r="O38" s="434">
        <v>12045.653681064461</v>
      </c>
      <c r="P38" s="434">
        <v>32831.862070608535</v>
      </c>
      <c r="Q38" s="81"/>
      <c r="R38" s="81"/>
      <c r="S38" s="81"/>
      <c r="T38" s="81"/>
      <c r="U38" s="81"/>
      <c r="V38" s="81"/>
      <c r="W38" s="81"/>
      <c r="X38" s="81"/>
      <c r="Y38" s="81"/>
    </row>
    <row r="39" spans="5:42" x14ac:dyDescent="0.3">
      <c r="E39" s="253"/>
      <c r="F39" s="235"/>
      <c r="G39" s="235"/>
      <c r="H39" s="252"/>
      <c r="I39" s="252"/>
      <c r="J39" s="254"/>
      <c r="K39" s="254"/>
      <c r="L39" s="254"/>
      <c r="M39" s="254"/>
      <c r="N39" s="255"/>
      <c r="O39" s="255"/>
      <c r="P39" s="255"/>
      <c r="Q39" s="254"/>
      <c r="R39" s="254"/>
      <c r="S39" s="254"/>
      <c r="T39" s="255"/>
      <c r="U39" s="254"/>
      <c r="V39" s="255"/>
      <c r="W39" s="254"/>
      <c r="X39" s="255"/>
      <c r="Y39" s="254"/>
      <c r="Z39" s="252"/>
      <c r="AA39" s="252"/>
      <c r="AB39" s="252"/>
      <c r="AC39" s="252"/>
      <c r="AD39" s="252"/>
      <c r="AE39" s="252"/>
      <c r="AF39" s="252"/>
      <c r="AG39" s="252"/>
      <c r="AH39" s="252"/>
      <c r="AI39" s="252"/>
      <c r="AJ39" s="252"/>
      <c r="AK39" s="252"/>
      <c r="AL39" s="252"/>
      <c r="AM39" s="252"/>
      <c r="AN39" s="252"/>
      <c r="AO39" s="252"/>
      <c r="AP39" s="252"/>
    </row>
    <row r="40" spans="5:42" x14ac:dyDescent="0.3">
      <c r="E40" s="32" t="s">
        <v>949</v>
      </c>
      <c r="G40" s="13"/>
    </row>
    <row r="41" spans="5:42" x14ac:dyDescent="0.3">
      <c r="E41" s="32"/>
      <c r="F41" s="78" t="s">
        <v>246</v>
      </c>
      <c r="G41" s="78" t="s">
        <v>206</v>
      </c>
      <c r="H41" s="23"/>
      <c r="I41" s="23"/>
      <c r="J41" s="83"/>
      <c r="K41" s="83"/>
      <c r="L41" s="432">
        <v>42372.297513466743</v>
      </c>
      <c r="M41" s="83"/>
      <c r="N41" s="432">
        <v>75195.705303651775</v>
      </c>
      <c r="O41" s="432">
        <v>37567.568103020363</v>
      </c>
      <c r="P41" s="432">
        <v>113082.36894663839</v>
      </c>
      <c r="Q41" s="83"/>
      <c r="R41" s="83"/>
      <c r="S41" s="83"/>
      <c r="T41" s="83"/>
      <c r="U41" s="83"/>
      <c r="V41" s="83"/>
      <c r="W41" s="83"/>
      <c r="X41" s="83"/>
      <c r="Y41" s="83"/>
    </row>
    <row r="42" spans="5:42" x14ac:dyDescent="0.3">
      <c r="E42" s="32"/>
      <c r="F42" s="72" t="s">
        <v>247</v>
      </c>
      <c r="G42" s="72" t="s">
        <v>206</v>
      </c>
      <c r="J42" s="79"/>
      <c r="K42" s="79"/>
      <c r="L42" s="433">
        <v>152194.07708530963</v>
      </c>
      <c r="M42" s="79"/>
      <c r="N42" s="433">
        <v>271218.07582785172</v>
      </c>
      <c r="O42" s="433">
        <v>138197.05355629424</v>
      </c>
      <c r="P42" s="433">
        <v>383920.84402391239</v>
      </c>
      <c r="Q42" s="79"/>
      <c r="R42" s="79"/>
      <c r="S42" s="79"/>
      <c r="T42" s="79"/>
      <c r="U42" s="79"/>
      <c r="V42" s="79"/>
      <c r="W42" s="79"/>
      <c r="X42" s="79"/>
      <c r="Y42" s="79"/>
    </row>
    <row r="43" spans="5:42" x14ac:dyDescent="0.3">
      <c r="E43" s="32"/>
      <c r="F43" s="72" t="s">
        <v>248</v>
      </c>
      <c r="G43" s="72" t="s">
        <v>206</v>
      </c>
      <c r="J43" s="79"/>
      <c r="K43" s="79"/>
      <c r="L43" s="433">
        <v>194152.04028349806</v>
      </c>
      <c r="M43" s="79"/>
      <c r="N43" s="433">
        <v>352226.068018299</v>
      </c>
      <c r="O43" s="433">
        <v>190080.93223491334</v>
      </c>
      <c r="P43" s="433">
        <v>638835.12667199934</v>
      </c>
      <c r="Q43" s="79"/>
      <c r="R43" s="79"/>
      <c r="S43" s="79"/>
      <c r="T43" s="79"/>
      <c r="U43" s="79"/>
      <c r="V43" s="79"/>
      <c r="W43" s="79"/>
      <c r="X43" s="79"/>
      <c r="Y43" s="79"/>
    </row>
    <row r="44" spans="5:42" x14ac:dyDescent="0.3">
      <c r="E44" s="32"/>
      <c r="F44" s="72" t="s">
        <v>211</v>
      </c>
      <c r="G44" s="72" t="s">
        <v>211</v>
      </c>
      <c r="J44" s="79"/>
      <c r="K44" s="79"/>
      <c r="L44" s="433">
        <v>51596.460362794191</v>
      </c>
      <c r="M44" s="79"/>
      <c r="N44" s="433">
        <v>4796.7391092537537</v>
      </c>
      <c r="O44" s="433">
        <v>781.47735066003543</v>
      </c>
      <c r="P44" s="433">
        <v>709.21792602479513</v>
      </c>
      <c r="Q44" s="79"/>
      <c r="R44" s="79"/>
      <c r="S44" s="79"/>
      <c r="T44" s="79"/>
      <c r="U44" s="79"/>
      <c r="V44" s="79"/>
      <c r="W44" s="79"/>
      <c r="X44" s="79"/>
      <c r="Y44" s="79"/>
    </row>
    <row r="45" spans="5:42" x14ac:dyDescent="0.3">
      <c r="E45" s="32"/>
      <c r="F45" s="72" t="s">
        <v>249</v>
      </c>
      <c r="G45" s="72" t="s">
        <v>250</v>
      </c>
      <c r="J45" s="79"/>
      <c r="K45" s="79"/>
      <c r="L45" s="79"/>
      <c r="M45" s="79"/>
      <c r="N45" s="433">
        <v>452728.40743100789</v>
      </c>
      <c r="O45" s="433">
        <v>208870.91558468237</v>
      </c>
      <c r="P45" s="433">
        <v>474483.9741062643</v>
      </c>
      <c r="Q45" s="79"/>
      <c r="R45" s="79"/>
      <c r="S45" s="79"/>
      <c r="T45" s="79"/>
      <c r="U45" s="79"/>
      <c r="V45" s="79"/>
      <c r="W45" s="79"/>
      <c r="X45" s="79"/>
      <c r="Y45" s="79"/>
    </row>
    <row r="46" spans="5:42" x14ac:dyDescent="0.3">
      <c r="E46" s="32"/>
      <c r="F46" s="72" t="s">
        <v>251</v>
      </c>
      <c r="G46" s="72" t="s">
        <v>250</v>
      </c>
      <c r="J46" s="79"/>
      <c r="K46" s="79"/>
      <c r="L46" s="79"/>
      <c r="M46" s="79"/>
      <c r="N46" s="433">
        <v>9676.3849563989716</v>
      </c>
      <c r="O46" s="433">
        <v>1934.9684546768979</v>
      </c>
      <c r="P46" s="433">
        <v>4196.6791718107916</v>
      </c>
      <c r="Q46" s="79"/>
      <c r="R46" s="79"/>
      <c r="S46" s="79"/>
      <c r="T46" s="79"/>
      <c r="U46" s="79"/>
      <c r="V46" s="79"/>
      <c r="W46" s="79"/>
      <c r="X46" s="79"/>
      <c r="Y46" s="79"/>
    </row>
    <row r="47" spans="5:42" x14ac:dyDescent="0.3">
      <c r="E47" s="32"/>
      <c r="F47" s="80" t="s">
        <v>252</v>
      </c>
      <c r="G47" s="80" t="s">
        <v>253</v>
      </c>
      <c r="H47" s="37"/>
      <c r="I47" s="37"/>
      <c r="J47" s="81"/>
      <c r="K47" s="81"/>
      <c r="L47" s="81"/>
      <c r="M47" s="81"/>
      <c r="N47" s="434">
        <v>56803.097876141437</v>
      </c>
      <c r="O47" s="434">
        <v>27608.878250483653</v>
      </c>
      <c r="P47" s="434">
        <v>86811.910366644253</v>
      </c>
      <c r="Q47" s="81"/>
      <c r="R47" s="81"/>
      <c r="S47" s="81"/>
      <c r="T47" s="81"/>
      <c r="U47" s="81"/>
      <c r="V47" s="81"/>
      <c r="W47" s="81"/>
      <c r="X47" s="81"/>
      <c r="Y47" s="81"/>
    </row>
    <row r="48" spans="5:42" x14ac:dyDescent="0.3">
      <c r="E48" s="253"/>
      <c r="F48" s="235"/>
      <c r="G48" s="235"/>
      <c r="H48" s="252"/>
      <c r="I48" s="252"/>
      <c r="J48" s="254"/>
      <c r="K48" s="254"/>
      <c r="L48" s="254"/>
      <c r="M48" s="254"/>
      <c r="N48" s="255"/>
      <c r="O48" s="255"/>
      <c r="P48" s="255"/>
      <c r="Q48" s="254"/>
      <c r="R48" s="254"/>
      <c r="S48" s="254"/>
      <c r="T48" s="255"/>
      <c r="U48" s="254"/>
      <c r="V48" s="255"/>
      <c r="W48" s="254"/>
      <c r="X48" s="255"/>
      <c r="Y48" s="254"/>
      <c r="Z48" s="252"/>
      <c r="AA48" s="252"/>
      <c r="AB48" s="252"/>
      <c r="AC48" s="252"/>
      <c r="AD48" s="252"/>
      <c r="AE48" s="252"/>
      <c r="AF48" s="252"/>
      <c r="AG48" s="252"/>
      <c r="AH48" s="252"/>
      <c r="AI48" s="252"/>
      <c r="AJ48" s="252"/>
      <c r="AK48" s="252"/>
      <c r="AL48" s="252"/>
      <c r="AM48" s="252"/>
      <c r="AN48" s="252"/>
      <c r="AO48" s="252"/>
      <c r="AP48" s="252"/>
    </row>
    <row r="49" spans="5:42" x14ac:dyDescent="0.3">
      <c r="E49" s="32" t="s">
        <v>950</v>
      </c>
      <c r="G49" s="13"/>
    </row>
    <row r="50" spans="5:42" x14ac:dyDescent="0.3">
      <c r="E50" s="32"/>
      <c r="F50" s="78" t="s">
        <v>246</v>
      </c>
      <c r="G50" s="78" t="s">
        <v>206</v>
      </c>
      <c r="H50" s="23"/>
      <c r="I50" s="23"/>
      <c r="J50" s="83"/>
      <c r="K50" s="83"/>
      <c r="L50" s="432">
        <v>54098.883450339279</v>
      </c>
      <c r="M50" s="83"/>
      <c r="N50" s="432">
        <v>43449.729574258825</v>
      </c>
      <c r="O50" s="432">
        <v>21707.36570988072</v>
      </c>
      <c r="P50" s="432">
        <v>97233.360360408435</v>
      </c>
      <c r="Q50" s="83"/>
      <c r="R50" s="83"/>
      <c r="S50" s="83"/>
      <c r="T50" s="83"/>
      <c r="U50" s="83"/>
      <c r="V50" s="83"/>
      <c r="W50" s="83"/>
      <c r="X50" s="83"/>
      <c r="Y50" s="83"/>
    </row>
    <row r="51" spans="5:42" x14ac:dyDescent="0.3">
      <c r="E51" s="32"/>
      <c r="F51" s="72" t="s">
        <v>247</v>
      </c>
      <c r="G51" s="72" t="s">
        <v>206</v>
      </c>
      <c r="J51" s="79"/>
      <c r="K51" s="79"/>
      <c r="L51" s="433">
        <v>194313.97684898585</v>
      </c>
      <c r="M51" s="79"/>
      <c r="N51" s="433">
        <v>156715.75926821836</v>
      </c>
      <c r="O51" s="433">
        <v>79853.29189656183</v>
      </c>
      <c r="P51" s="433">
        <v>330112.59071221412</v>
      </c>
      <c r="Q51" s="79"/>
      <c r="R51" s="79"/>
      <c r="S51" s="79"/>
      <c r="T51" s="79"/>
      <c r="U51" s="79"/>
      <c r="V51" s="79"/>
      <c r="W51" s="79"/>
      <c r="X51" s="79"/>
      <c r="Y51" s="79"/>
    </row>
    <row r="52" spans="5:42" x14ac:dyDescent="0.3">
      <c r="E52" s="32"/>
      <c r="F52" s="72" t="s">
        <v>248</v>
      </c>
      <c r="G52" s="72" t="s">
        <v>206</v>
      </c>
      <c r="J52" s="79"/>
      <c r="K52" s="79"/>
      <c r="L52" s="433">
        <v>247883.85844794821</v>
      </c>
      <c r="M52" s="79"/>
      <c r="N52" s="433">
        <v>203523.95582432768</v>
      </c>
      <c r="O52" s="433">
        <v>109832.93619601062</v>
      </c>
      <c r="P52" s="433">
        <v>549299.47666640405</v>
      </c>
      <c r="Q52" s="79"/>
      <c r="R52" s="79"/>
      <c r="S52" s="79"/>
      <c r="T52" s="79"/>
      <c r="U52" s="79"/>
      <c r="V52" s="79"/>
      <c r="W52" s="79"/>
      <c r="X52" s="79"/>
      <c r="Y52" s="79"/>
    </row>
    <row r="53" spans="5:42" x14ac:dyDescent="0.3">
      <c r="E53" s="32"/>
      <c r="F53" s="72" t="s">
        <v>211</v>
      </c>
      <c r="G53" s="72" t="s">
        <v>211</v>
      </c>
      <c r="J53" s="79"/>
      <c r="K53" s="79"/>
      <c r="L53" s="433">
        <v>26588.673057952248</v>
      </c>
      <c r="M53" s="79"/>
      <c r="N53" s="433">
        <v>1699.3056176215775</v>
      </c>
      <c r="O53" s="433">
        <v>276.84825498613009</v>
      </c>
      <c r="P53" s="433">
        <v>290.90975749249031</v>
      </c>
      <c r="Q53" s="79"/>
      <c r="R53" s="79"/>
      <c r="S53" s="79"/>
      <c r="T53" s="79"/>
      <c r="U53" s="79"/>
      <c r="V53" s="79"/>
      <c r="W53" s="79"/>
      <c r="X53" s="79"/>
      <c r="Y53" s="79"/>
    </row>
    <row r="54" spans="5:42" x14ac:dyDescent="0.3">
      <c r="E54" s="32"/>
      <c r="F54" s="72" t="s">
        <v>249</v>
      </c>
      <c r="G54" s="72" t="s">
        <v>250</v>
      </c>
      <c r="J54" s="79"/>
      <c r="K54" s="79"/>
      <c r="L54" s="79"/>
      <c r="M54" s="79"/>
      <c r="N54" s="433">
        <v>261596.41423706242</v>
      </c>
      <c r="O54" s="433">
        <v>120690.20114160109</v>
      </c>
      <c r="P54" s="433">
        <v>407982.88600837253</v>
      </c>
      <c r="Q54" s="79"/>
      <c r="R54" s="79"/>
      <c r="S54" s="79"/>
      <c r="T54" s="79"/>
      <c r="U54" s="79"/>
      <c r="V54" s="79"/>
      <c r="W54" s="79"/>
      <c r="X54" s="79"/>
      <c r="Y54" s="79"/>
    </row>
    <row r="55" spans="5:42" x14ac:dyDescent="0.3">
      <c r="E55" s="32"/>
      <c r="F55" s="72" t="s">
        <v>251</v>
      </c>
      <c r="G55" s="72" t="s">
        <v>250</v>
      </c>
      <c r="J55" s="79"/>
      <c r="K55" s="79"/>
      <c r="L55" s="79"/>
      <c r="M55" s="79"/>
      <c r="N55" s="433">
        <v>5591.2276893231519</v>
      </c>
      <c r="O55" s="433">
        <v>1118.0672586410301</v>
      </c>
      <c r="P55" s="433">
        <v>3608.4954890028371</v>
      </c>
      <c r="Q55" s="79"/>
      <c r="R55" s="79"/>
      <c r="S55" s="79"/>
      <c r="T55" s="79"/>
      <c r="U55" s="79"/>
      <c r="V55" s="79"/>
      <c r="W55" s="79"/>
      <c r="X55" s="79"/>
      <c r="Y55" s="79"/>
    </row>
    <row r="56" spans="5:42" x14ac:dyDescent="0.3">
      <c r="E56" s="32"/>
      <c r="F56" s="80" t="s">
        <v>252</v>
      </c>
      <c r="G56" s="80" t="s">
        <v>253</v>
      </c>
      <c r="H56" s="37"/>
      <c r="I56" s="37"/>
      <c r="J56" s="81"/>
      <c r="K56" s="81"/>
      <c r="L56" s="81"/>
      <c r="M56" s="81"/>
      <c r="N56" s="434">
        <v>32822.077161614739</v>
      </c>
      <c r="O56" s="434">
        <v>15953.016053084271</v>
      </c>
      <c r="P56" s="434">
        <v>74644.826093434298</v>
      </c>
      <c r="Q56" s="81"/>
      <c r="R56" s="81"/>
      <c r="S56" s="81"/>
      <c r="T56" s="81"/>
      <c r="U56" s="81"/>
      <c r="V56" s="81"/>
      <c r="W56" s="81"/>
      <c r="X56" s="81"/>
      <c r="Y56" s="81"/>
    </row>
    <row r="57" spans="5:42" x14ac:dyDescent="0.3">
      <c r="E57" s="253"/>
      <c r="F57" s="235"/>
      <c r="G57" s="235"/>
      <c r="H57" s="252"/>
      <c r="I57" s="252"/>
      <c r="J57" s="254"/>
      <c r="K57" s="254"/>
      <c r="L57" s="254"/>
      <c r="M57" s="254"/>
      <c r="N57" s="255"/>
      <c r="O57" s="255"/>
      <c r="P57" s="255"/>
      <c r="Q57" s="254"/>
      <c r="R57" s="254"/>
      <c r="S57" s="254"/>
      <c r="T57" s="255"/>
      <c r="U57" s="254"/>
      <c r="V57" s="255"/>
      <c r="W57" s="254"/>
      <c r="X57" s="255"/>
      <c r="Y57" s="254"/>
      <c r="Z57" s="252"/>
      <c r="AA57" s="252"/>
      <c r="AB57" s="252"/>
      <c r="AC57" s="252"/>
      <c r="AD57" s="252"/>
      <c r="AE57" s="252"/>
      <c r="AF57" s="252"/>
      <c r="AG57" s="252"/>
      <c r="AH57" s="252"/>
      <c r="AI57" s="252"/>
      <c r="AJ57" s="252"/>
      <c r="AK57" s="252"/>
      <c r="AL57" s="252"/>
      <c r="AM57" s="252"/>
      <c r="AN57" s="252"/>
      <c r="AO57" s="252"/>
      <c r="AP57" s="252"/>
    </row>
    <row r="58" spans="5:42" x14ac:dyDescent="0.3">
      <c r="E58" s="32" t="s">
        <v>951</v>
      </c>
      <c r="G58" s="13"/>
    </row>
    <row r="59" spans="5:42" x14ac:dyDescent="0.3">
      <c r="E59" s="32"/>
      <c r="F59" s="78" t="s">
        <v>246</v>
      </c>
      <c r="G59" s="78" t="s">
        <v>206</v>
      </c>
      <c r="H59" s="23"/>
      <c r="I59" s="23"/>
      <c r="J59" s="83"/>
      <c r="K59" s="83"/>
      <c r="L59" s="432">
        <v>161539.81004671808</v>
      </c>
      <c r="M59" s="83"/>
      <c r="N59" s="432">
        <v>95919.243489348184</v>
      </c>
      <c r="O59" s="432">
        <v>47920.990934588437</v>
      </c>
      <c r="P59" s="432">
        <v>184527.89899958792</v>
      </c>
      <c r="Q59" s="83"/>
      <c r="R59" s="83"/>
      <c r="S59" s="83"/>
      <c r="T59" s="83"/>
      <c r="U59" s="83"/>
      <c r="V59" s="83"/>
      <c r="W59" s="83"/>
      <c r="X59" s="83"/>
      <c r="Y59" s="83"/>
    </row>
    <row r="60" spans="5:42" x14ac:dyDescent="0.3">
      <c r="E60" s="32"/>
      <c r="F60" s="72" t="s">
        <v>247</v>
      </c>
      <c r="G60" s="72" t="s">
        <v>206</v>
      </c>
      <c r="J60" s="79"/>
      <c r="K60" s="79"/>
      <c r="L60" s="433">
        <v>580223.48905632901</v>
      </c>
      <c r="M60" s="79"/>
      <c r="N60" s="433">
        <v>345964.34130102937</v>
      </c>
      <c r="O60" s="433">
        <v>176283.42969918164</v>
      </c>
      <c r="P60" s="433">
        <v>626482.3366347336</v>
      </c>
      <c r="Q60" s="79"/>
      <c r="R60" s="79"/>
      <c r="S60" s="79"/>
      <c r="T60" s="79"/>
      <c r="U60" s="79"/>
      <c r="V60" s="79"/>
      <c r="W60" s="79"/>
      <c r="X60" s="79"/>
      <c r="Y60" s="79"/>
    </row>
    <row r="61" spans="5:42" x14ac:dyDescent="0.3">
      <c r="E61" s="32"/>
      <c r="F61" s="72" t="s">
        <v>248</v>
      </c>
      <c r="G61" s="72" t="s">
        <v>206</v>
      </c>
      <c r="J61" s="79"/>
      <c r="K61" s="79"/>
      <c r="L61" s="433">
        <v>740183.69425474678</v>
      </c>
      <c r="M61" s="79"/>
      <c r="N61" s="433">
        <v>449297.70716443035</v>
      </c>
      <c r="O61" s="433">
        <v>242466.23059252711</v>
      </c>
      <c r="P61" s="433">
        <v>1042451.6644813707</v>
      </c>
      <c r="Q61" s="79"/>
      <c r="R61" s="79"/>
      <c r="S61" s="79"/>
      <c r="T61" s="79"/>
      <c r="U61" s="79"/>
      <c r="V61" s="79"/>
      <c r="W61" s="79"/>
      <c r="X61" s="79"/>
      <c r="Y61" s="79"/>
    </row>
    <row r="62" spans="5:42" x14ac:dyDescent="0.3">
      <c r="E62" s="32"/>
      <c r="F62" s="72" t="s">
        <v>211</v>
      </c>
      <c r="G62" s="72" t="s">
        <v>211</v>
      </c>
      <c r="J62" s="79"/>
      <c r="K62" s="79"/>
      <c r="L62" s="433">
        <v>25494.536468374245</v>
      </c>
      <c r="M62" s="79"/>
      <c r="N62" s="433">
        <v>1786.803738854125</v>
      </c>
      <c r="O62" s="433">
        <v>291.10331418595791</v>
      </c>
      <c r="P62" s="433">
        <v>236.74035437319895</v>
      </c>
      <c r="Q62" s="79"/>
      <c r="R62" s="79"/>
      <c r="S62" s="79"/>
      <c r="T62" s="79"/>
      <c r="U62" s="79"/>
      <c r="V62" s="79"/>
      <c r="W62" s="79"/>
      <c r="X62" s="79"/>
      <c r="Y62" s="79"/>
    </row>
    <row r="63" spans="5:42" x14ac:dyDescent="0.3">
      <c r="E63" s="32"/>
      <c r="F63" s="72" t="s">
        <v>249</v>
      </c>
      <c r="G63" s="72" t="s">
        <v>250</v>
      </c>
      <c r="J63" s="79"/>
      <c r="K63" s="79"/>
      <c r="L63" s="79"/>
      <c r="M63" s="79"/>
      <c r="N63" s="433">
        <v>577497.95911297586</v>
      </c>
      <c r="O63" s="433">
        <v>266434.63385185215</v>
      </c>
      <c r="P63" s="433">
        <v>774263.32386191655</v>
      </c>
      <c r="Q63" s="79"/>
      <c r="R63" s="79"/>
      <c r="S63" s="79"/>
      <c r="T63" s="79"/>
      <c r="U63" s="79"/>
      <c r="V63" s="79"/>
      <c r="W63" s="79"/>
      <c r="X63" s="79"/>
      <c r="Y63" s="79"/>
    </row>
    <row r="64" spans="5:42" x14ac:dyDescent="0.3">
      <c r="E64" s="32"/>
      <c r="F64" s="72" t="s">
        <v>251</v>
      </c>
      <c r="G64" s="72" t="s">
        <v>250</v>
      </c>
      <c r="J64" s="79"/>
      <c r="K64" s="79"/>
      <c r="L64" s="79"/>
      <c r="M64" s="79"/>
      <c r="N64" s="433">
        <v>12343.145409454977</v>
      </c>
      <c r="O64" s="433">
        <v>2468.2355142341848</v>
      </c>
      <c r="P64" s="433">
        <v>6848.1443885828394</v>
      </c>
      <c r="Q64" s="79"/>
      <c r="R64" s="79"/>
      <c r="S64" s="79"/>
      <c r="T64" s="79"/>
      <c r="U64" s="79"/>
      <c r="V64" s="79"/>
      <c r="W64" s="79"/>
      <c r="X64" s="79"/>
      <c r="Y64" s="79"/>
    </row>
    <row r="65" spans="4:43" x14ac:dyDescent="0.3">
      <c r="E65" s="32"/>
      <c r="F65" s="80" t="s">
        <v>252</v>
      </c>
      <c r="G65" s="80" t="s">
        <v>253</v>
      </c>
      <c r="H65" s="37"/>
      <c r="I65" s="37"/>
      <c r="J65" s="81"/>
      <c r="K65" s="81"/>
      <c r="L65" s="81"/>
      <c r="M65" s="81"/>
      <c r="N65" s="434">
        <v>72457.730852167268</v>
      </c>
      <c r="O65" s="434">
        <v>35217.738894554976</v>
      </c>
      <c r="P65" s="434">
        <v>141659.74393105085</v>
      </c>
      <c r="Q65" s="81"/>
      <c r="R65" s="81"/>
      <c r="S65" s="81"/>
      <c r="T65" s="81"/>
      <c r="U65" s="81"/>
      <c r="V65" s="81"/>
      <c r="W65" s="81"/>
      <c r="X65" s="81"/>
      <c r="Y65" s="81"/>
    </row>
    <row r="66" spans="4:43" x14ac:dyDescent="0.3">
      <c r="E66" s="253"/>
      <c r="F66" s="235"/>
      <c r="G66" s="235"/>
      <c r="H66" s="252"/>
      <c r="I66" s="252"/>
      <c r="J66" s="254"/>
      <c r="K66" s="254"/>
      <c r="L66" s="254"/>
      <c r="M66" s="254"/>
      <c r="N66" s="255"/>
      <c r="O66" s="255"/>
      <c r="P66" s="255"/>
      <c r="Q66" s="254"/>
      <c r="R66" s="254"/>
      <c r="S66" s="254"/>
      <c r="T66" s="255"/>
      <c r="U66" s="254"/>
      <c r="V66" s="255"/>
      <c r="W66" s="254"/>
      <c r="X66" s="255"/>
      <c r="Y66" s="254"/>
      <c r="Z66" s="252"/>
      <c r="AA66" s="252"/>
      <c r="AB66" s="252"/>
      <c r="AC66" s="252"/>
      <c r="AD66" s="252"/>
      <c r="AE66" s="252"/>
      <c r="AF66" s="252"/>
      <c r="AG66" s="252"/>
      <c r="AH66" s="252"/>
      <c r="AI66" s="252"/>
      <c r="AJ66" s="252"/>
      <c r="AK66" s="252"/>
      <c r="AL66" s="252"/>
      <c r="AM66" s="252"/>
      <c r="AN66" s="252"/>
      <c r="AO66" s="252"/>
      <c r="AP66" s="252"/>
    </row>
    <row r="67" spans="4:43" x14ac:dyDescent="0.3">
      <c r="D67" s="29" t="s">
        <v>961</v>
      </c>
      <c r="G67" s="13"/>
      <c r="I67" t="s">
        <v>153</v>
      </c>
      <c r="AQ67" t="s">
        <v>245</v>
      </c>
    </row>
    <row r="68" spans="4:43" x14ac:dyDescent="0.3">
      <c r="G68" s="13"/>
    </row>
    <row r="69" spans="4:43" x14ac:dyDescent="0.3">
      <c r="E69" s="32" t="s">
        <v>909</v>
      </c>
      <c r="G69" s="13"/>
    </row>
    <row r="70" spans="4:43" x14ac:dyDescent="0.3">
      <c r="E70" s="32"/>
      <c r="F70" s="78" t="s">
        <v>246</v>
      </c>
      <c r="G70" s="78" t="s">
        <v>206</v>
      </c>
      <c r="H70" s="23"/>
      <c r="I70" s="23"/>
      <c r="J70" s="83"/>
      <c r="K70" s="432">
        <v>0</v>
      </c>
      <c r="L70" s="432">
        <v>0</v>
      </c>
      <c r="M70" s="432">
        <v>0</v>
      </c>
      <c r="N70" s="432">
        <v>0</v>
      </c>
      <c r="O70" s="83"/>
      <c r="P70" s="83"/>
      <c r="Q70" s="83"/>
      <c r="R70" s="432">
        <v>0</v>
      </c>
      <c r="S70" s="83"/>
      <c r="T70" s="432">
        <v>0</v>
      </c>
      <c r="U70" s="83"/>
      <c r="V70" s="83"/>
      <c r="W70" s="83"/>
      <c r="X70" s="83"/>
      <c r="Y70" s="83"/>
    </row>
    <row r="71" spans="4:43" x14ac:dyDescent="0.3">
      <c r="E71" s="32"/>
      <c r="F71" s="72" t="s">
        <v>247</v>
      </c>
      <c r="G71" s="72" t="s">
        <v>206</v>
      </c>
      <c r="J71" s="79"/>
      <c r="K71" s="433">
        <v>0</v>
      </c>
      <c r="L71" s="433">
        <v>0</v>
      </c>
      <c r="M71" s="433">
        <v>0</v>
      </c>
      <c r="N71" s="433">
        <v>0</v>
      </c>
      <c r="O71" s="79"/>
      <c r="P71" s="79"/>
      <c r="Q71" s="79"/>
      <c r="R71" s="438">
        <v>0</v>
      </c>
      <c r="S71" s="79"/>
      <c r="T71" s="433">
        <v>0</v>
      </c>
      <c r="U71" s="79"/>
      <c r="V71" s="79"/>
      <c r="W71" s="79"/>
      <c r="X71" s="79"/>
      <c r="Y71" s="79"/>
    </row>
    <row r="72" spans="4:43" x14ac:dyDescent="0.3">
      <c r="E72" s="32"/>
      <c r="F72" s="72" t="s">
        <v>248</v>
      </c>
      <c r="G72" s="72" t="s">
        <v>206</v>
      </c>
      <c r="J72" s="79"/>
      <c r="K72" s="433">
        <v>0</v>
      </c>
      <c r="L72" s="433">
        <v>0</v>
      </c>
      <c r="M72" s="433">
        <v>0</v>
      </c>
      <c r="N72" s="433">
        <v>0</v>
      </c>
      <c r="O72" s="79"/>
      <c r="P72" s="79"/>
      <c r="Q72" s="79"/>
      <c r="R72" s="438">
        <v>0</v>
      </c>
      <c r="S72" s="79"/>
      <c r="T72" s="433">
        <v>0</v>
      </c>
      <c r="U72" s="79"/>
      <c r="V72" s="79"/>
      <c r="W72" s="79"/>
      <c r="X72" s="79"/>
      <c r="Y72" s="79"/>
    </row>
    <row r="73" spans="4:43" x14ac:dyDescent="0.3">
      <c r="E73" s="32"/>
      <c r="F73" s="72" t="s">
        <v>211</v>
      </c>
      <c r="G73" s="72" t="s">
        <v>211</v>
      </c>
      <c r="J73" s="79"/>
      <c r="K73" s="433">
        <v>0</v>
      </c>
      <c r="L73" s="433">
        <v>0</v>
      </c>
      <c r="M73" s="433">
        <v>0</v>
      </c>
      <c r="N73" s="433">
        <v>0</v>
      </c>
      <c r="O73" s="79"/>
      <c r="P73" s="79"/>
      <c r="Q73" s="79"/>
      <c r="R73" s="433">
        <v>0</v>
      </c>
      <c r="S73" s="79"/>
      <c r="T73" s="433">
        <v>0</v>
      </c>
      <c r="U73" s="79"/>
      <c r="V73" s="79"/>
      <c r="W73" s="79"/>
      <c r="X73" s="79"/>
      <c r="Y73" s="79"/>
    </row>
    <row r="74" spans="4:43" x14ac:dyDescent="0.3">
      <c r="E74" s="32"/>
      <c r="F74" s="72" t="s">
        <v>249</v>
      </c>
      <c r="G74" s="72" t="s">
        <v>250</v>
      </c>
      <c r="J74" s="79"/>
      <c r="K74" s="79"/>
      <c r="L74" s="79"/>
      <c r="M74" s="79"/>
      <c r="N74" s="433">
        <v>0</v>
      </c>
      <c r="O74" s="79"/>
      <c r="P74" s="79"/>
      <c r="Q74" s="79"/>
      <c r="R74" s="79"/>
      <c r="S74" s="79"/>
      <c r="T74" s="79"/>
      <c r="U74" s="79"/>
      <c r="V74" s="79"/>
      <c r="W74" s="79"/>
      <c r="X74" s="79"/>
      <c r="Y74" s="79"/>
    </row>
    <row r="75" spans="4:43" x14ac:dyDescent="0.3">
      <c r="E75" s="32"/>
      <c r="F75" s="72" t="s">
        <v>251</v>
      </c>
      <c r="G75" s="72" t="s">
        <v>250</v>
      </c>
      <c r="J75" s="79"/>
      <c r="K75" s="79"/>
      <c r="L75" s="79"/>
      <c r="M75" s="79"/>
      <c r="N75" s="433">
        <v>0</v>
      </c>
      <c r="O75" s="79"/>
      <c r="P75" s="79"/>
      <c r="Q75" s="79"/>
      <c r="R75" s="79"/>
      <c r="S75" s="79"/>
      <c r="T75" s="79"/>
      <c r="U75" s="79"/>
      <c r="V75" s="79"/>
      <c r="W75" s="79"/>
      <c r="X75" s="79"/>
      <c r="Y75" s="79"/>
    </row>
    <row r="76" spans="4:43" x14ac:dyDescent="0.3">
      <c r="E76" s="32"/>
      <c r="F76" s="80" t="s">
        <v>252</v>
      </c>
      <c r="G76" s="80" t="s">
        <v>253</v>
      </c>
      <c r="H76" s="37"/>
      <c r="I76" s="37"/>
      <c r="J76" s="81"/>
      <c r="K76" s="81"/>
      <c r="L76" s="81"/>
      <c r="M76" s="81"/>
      <c r="N76" s="434">
        <v>0</v>
      </c>
      <c r="O76" s="81"/>
      <c r="P76" s="81"/>
      <c r="Q76" s="81"/>
      <c r="R76" s="81"/>
      <c r="S76" s="81"/>
      <c r="T76" s="434">
        <v>0</v>
      </c>
      <c r="U76" s="81"/>
      <c r="V76" s="81"/>
      <c r="W76" s="81"/>
      <c r="X76" s="81"/>
      <c r="Y76" s="81"/>
    </row>
    <row r="77" spans="4:43" x14ac:dyDescent="0.3">
      <c r="E77" s="253"/>
      <c r="F77" s="235"/>
      <c r="G77" s="235"/>
      <c r="H77" s="252"/>
      <c r="I77" s="252"/>
      <c r="J77" s="254"/>
      <c r="K77" s="254"/>
      <c r="L77" s="254"/>
      <c r="M77" s="254"/>
      <c r="N77" s="255"/>
      <c r="O77" s="254"/>
      <c r="P77" s="254"/>
      <c r="Q77" s="254"/>
      <c r="R77" s="254"/>
      <c r="S77" s="254"/>
      <c r="T77" s="255"/>
      <c r="U77" s="254"/>
      <c r="V77" s="255"/>
      <c r="W77" s="254"/>
      <c r="X77" s="255"/>
      <c r="Y77" s="254"/>
      <c r="Z77" s="252"/>
      <c r="AA77" s="252"/>
      <c r="AB77" s="252"/>
      <c r="AC77" s="252"/>
      <c r="AD77" s="252"/>
      <c r="AE77" s="252"/>
      <c r="AF77" s="252"/>
      <c r="AG77" s="252"/>
      <c r="AH77" s="252"/>
      <c r="AI77" s="252"/>
      <c r="AJ77" s="252"/>
      <c r="AK77" s="252"/>
      <c r="AL77" s="252"/>
      <c r="AM77" s="252"/>
      <c r="AN77" s="252"/>
      <c r="AO77" s="252"/>
      <c r="AP77" s="252"/>
    </row>
    <row r="78" spans="4:43" x14ac:dyDescent="0.3">
      <c r="E78" s="32" t="s">
        <v>952</v>
      </c>
      <c r="G78" s="13"/>
    </row>
    <row r="79" spans="4:43" x14ac:dyDescent="0.3">
      <c r="E79" s="32"/>
      <c r="F79" s="78" t="s">
        <v>246</v>
      </c>
      <c r="G79" s="78" t="s">
        <v>206</v>
      </c>
      <c r="H79" s="23"/>
      <c r="I79" s="23"/>
      <c r="J79" s="432">
        <v>17617.880855232706</v>
      </c>
      <c r="K79" s="83"/>
      <c r="L79" s="432">
        <v>29.734926765165721</v>
      </c>
      <c r="M79" s="83"/>
      <c r="N79" s="432">
        <v>67.654939959149416</v>
      </c>
      <c r="O79" s="83"/>
      <c r="P79" s="83"/>
      <c r="Q79" s="432">
        <v>11.706974816638677</v>
      </c>
      <c r="R79" s="83"/>
      <c r="S79" s="83"/>
      <c r="T79" s="83"/>
      <c r="U79" s="83"/>
      <c r="V79" s="83"/>
      <c r="W79" s="83"/>
      <c r="X79" s="83"/>
      <c r="Y79" s="83"/>
    </row>
    <row r="80" spans="4:43" x14ac:dyDescent="0.3">
      <c r="E80" s="32"/>
      <c r="F80" s="72" t="s">
        <v>247</v>
      </c>
      <c r="G80" s="72" t="s">
        <v>206</v>
      </c>
      <c r="J80" s="433">
        <v>44385.700516611476</v>
      </c>
      <c r="K80" s="79"/>
      <c r="L80" s="433">
        <v>106.80279337662498</v>
      </c>
      <c r="M80" s="322"/>
      <c r="N80" s="433">
        <v>232.43787515006068</v>
      </c>
      <c r="O80" s="79"/>
      <c r="P80" s="79"/>
      <c r="Q80" s="438">
        <v>38.856606082022459</v>
      </c>
      <c r="R80" s="79"/>
      <c r="S80" s="79"/>
      <c r="T80" s="79"/>
      <c r="U80" s="79"/>
      <c r="V80" s="79"/>
      <c r="W80" s="79"/>
      <c r="X80" s="79"/>
      <c r="Y80" s="79"/>
    </row>
    <row r="81" spans="5:42" x14ac:dyDescent="0.3">
      <c r="E81" s="32"/>
      <c r="F81" s="72" t="s">
        <v>248</v>
      </c>
      <c r="G81" s="72" t="s">
        <v>206</v>
      </c>
      <c r="J81" s="433">
        <v>81534.262508646862</v>
      </c>
      <c r="K81" s="79"/>
      <c r="L81" s="433">
        <v>136.24695940319302</v>
      </c>
      <c r="M81" s="322"/>
      <c r="N81" s="433">
        <v>344.15677431693729</v>
      </c>
      <c r="O81" s="79"/>
      <c r="P81" s="79"/>
      <c r="Q81" s="438">
        <v>200.79134011510283</v>
      </c>
      <c r="R81" s="79"/>
      <c r="S81" s="79"/>
      <c r="T81" s="79"/>
      <c r="U81" s="79"/>
      <c r="V81" s="79"/>
      <c r="W81" s="79"/>
      <c r="X81" s="79"/>
      <c r="Y81" s="79"/>
    </row>
    <row r="82" spans="5:42" x14ac:dyDescent="0.3">
      <c r="E82" s="32"/>
      <c r="F82" s="72" t="s">
        <v>211</v>
      </c>
      <c r="G82" s="72" t="s">
        <v>211</v>
      </c>
      <c r="J82" s="433">
        <v>52808.841615088189</v>
      </c>
      <c r="K82" s="79"/>
      <c r="L82" s="433">
        <v>362.13214272409368</v>
      </c>
      <c r="M82" s="322"/>
      <c r="N82" s="433">
        <v>16.620369738727064</v>
      </c>
      <c r="O82" s="79"/>
      <c r="P82" s="79"/>
      <c r="Q82" s="433">
        <v>74</v>
      </c>
      <c r="R82" s="79"/>
      <c r="S82" s="79"/>
      <c r="T82" s="79"/>
      <c r="U82" s="79"/>
      <c r="V82" s="79"/>
      <c r="W82" s="79"/>
      <c r="X82" s="79"/>
      <c r="Y82" s="79"/>
    </row>
    <row r="83" spans="5:42" x14ac:dyDescent="0.3">
      <c r="E83" s="32"/>
      <c r="F83" s="72" t="s">
        <v>249</v>
      </c>
      <c r="G83" s="72" t="s">
        <v>250</v>
      </c>
      <c r="J83" s="79"/>
      <c r="K83" s="79"/>
      <c r="L83" s="79"/>
      <c r="M83" s="322"/>
      <c r="N83" s="433">
        <v>726.76374638232608</v>
      </c>
      <c r="O83" s="79"/>
      <c r="P83" s="79"/>
      <c r="Q83" s="79"/>
      <c r="R83" s="79"/>
      <c r="S83" s="79"/>
      <c r="T83" s="79"/>
      <c r="U83" s="79"/>
      <c r="V83" s="79"/>
      <c r="W83" s="79"/>
      <c r="X83" s="79"/>
      <c r="Y83" s="79"/>
    </row>
    <row r="84" spans="5:42" x14ac:dyDescent="0.3">
      <c r="E84" s="32"/>
      <c r="F84" s="72" t="s">
        <v>251</v>
      </c>
      <c r="G84" s="72" t="s">
        <v>250</v>
      </c>
      <c r="J84" s="79"/>
      <c r="K84" s="79"/>
      <c r="L84" s="79"/>
      <c r="M84" s="322"/>
      <c r="N84" s="433">
        <v>7.4961176122136077</v>
      </c>
      <c r="O84" s="79"/>
      <c r="P84" s="79"/>
      <c r="Q84" s="79"/>
      <c r="R84" s="79"/>
      <c r="S84" s="79"/>
      <c r="T84" s="79"/>
      <c r="U84" s="79"/>
      <c r="V84" s="79"/>
      <c r="W84" s="79"/>
      <c r="X84" s="79"/>
      <c r="Y84" s="79"/>
    </row>
    <row r="85" spans="5:42" x14ac:dyDescent="0.3">
      <c r="E85" s="32"/>
      <c r="F85" s="80" t="s">
        <v>252</v>
      </c>
      <c r="G85" s="80" t="s">
        <v>253</v>
      </c>
      <c r="H85" s="37"/>
      <c r="I85" s="37"/>
      <c r="J85" s="81"/>
      <c r="K85" s="81"/>
      <c r="L85" s="81"/>
      <c r="M85" s="81"/>
      <c r="N85" s="434">
        <v>65.399025966558455</v>
      </c>
      <c r="O85" s="81"/>
      <c r="P85" s="81"/>
      <c r="Q85" s="81"/>
      <c r="R85" s="81"/>
      <c r="S85" s="81"/>
      <c r="T85" s="81"/>
      <c r="U85" s="81"/>
      <c r="V85" s="81"/>
      <c r="W85" s="81"/>
      <c r="X85" s="81"/>
      <c r="Y85" s="81"/>
    </row>
    <row r="86" spans="5:42" x14ac:dyDescent="0.3">
      <c r="E86" s="253"/>
      <c r="F86" s="235"/>
      <c r="G86" s="235"/>
      <c r="H86" s="252"/>
      <c r="I86" s="252"/>
      <c r="J86" s="254"/>
      <c r="K86" s="254"/>
      <c r="L86" s="254"/>
      <c r="M86" s="254"/>
      <c r="N86" s="255"/>
      <c r="O86" s="254"/>
      <c r="P86" s="254"/>
      <c r="Q86" s="254"/>
      <c r="R86" s="254"/>
      <c r="S86" s="254"/>
      <c r="T86" s="255"/>
      <c r="U86" s="254"/>
      <c r="V86" s="255"/>
      <c r="W86" s="254"/>
      <c r="X86" s="255"/>
      <c r="Y86" s="254"/>
      <c r="Z86" s="252"/>
      <c r="AA86" s="252"/>
      <c r="AB86" s="252"/>
      <c r="AC86" s="252"/>
      <c r="AD86" s="252"/>
      <c r="AE86" s="252"/>
      <c r="AF86" s="252"/>
      <c r="AG86" s="252"/>
      <c r="AH86" s="252"/>
      <c r="AI86" s="252"/>
      <c r="AJ86" s="252"/>
      <c r="AK86" s="252"/>
      <c r="AL86" s="252"/>
      <c r="AM86" s="252"/>
      <c r="AN86" s="252"/>
      <c r="AO86" s="252"/>
      <c r="AP86" s="252"/>
    </row>
    <row r="87" spans="5:42" x14ac:dyDescent="0.3">
      <c r="E87" s="32" t="s">
        <v>953</v>
      </c>
      <c r="G87" s="13"/>
    </row>
    <row r="88" spans="5:42" x14ac:dyDescent="0.3">
      <c r="E88" s="32"/>
      <c r="F88" s="78" t="s">
        <v>246</v>
      </c>
      <c r="G88" s="78" t="s">
        <v>206</v>
      </c>
      <c r="H88" s="23"/>
      <c r="I88" s="23"/>
      <c r="J88" s="83"/>
      <c r="K88" s="83"/>
      <c r="L88" s="432">
        <v>130.62801563109156</v>
      </c>
      <c r="M88" s="83"/>
      <c r="N88" s="432">
        <v>155.06647043258474</v>
      </c>
      <c r="O88" s="83"/>
      <c r="P88" s="83"/>
      <c r="Q88" s="83"/>
      <c r="R88" s="83"/>
      <c r="S88" s="83"/>
      <c r="T88" s="83"/>
      <c r="U88" s="83"/>
      <c r="V88" s="83"/>
      <c r="W88" s="83"/>
      <c r="X88" s="83"/>
      <c r="Y88" s="83"/>
    </row>
    <row r="89" spans="5:42" x14ac:dyDescent="0.3">
      <c r="E89" s="32"/>
      <c r="F89" s="72" t="s">
        <v>247</v>
      </c>
      <c r="G89" s="72" t="s">
        <v>206</v>
      </c>
      <c r="J89" s="79"/>
      <c r="K89" s="79"/>
      <c r="L89" s="433">
        <v>469.19358748816654</v>
      </c>
      <c r="M89" s="79"/>
      <c r="N89" s="433">
        <v>532.75224124259</v>
      </c>
      <c r="O89" s="79"/>
      <c r="P89" s="79"/>
      <c r="Q89" s="79"/>
      <c r="R89" s="79"/>
      <c r="S89" s="79"/>
      <c r="T89" s="79"/>
      <c r="U89" s="79"/>
      <c r="V89" s="79"/>
      <c r="W89" s="79"/>
      <c r="X89" s="79"/>
      <c r="Y89" s="79"/>
    </row>
    <row r="90" spans="5:42" x14ac:dyDescent="0.3">
      <c r="E90" s="32"/>
      <c r="F90" s="72" t="s">
        <v>248</v>
      </c>
      <c r="G90" s="72" t="s">
        <v>206</v>
      </c>
      <c r="J90" s="79"/>
      <c r="K90" s="79"/>
      <c r="L90" s="433">
        <v>598.5442669211094</v>
      </c>
      <c r="M90" s="79"/>
      <c r="N90" s="433">
        <v>788.81418416769884</v>
      </c>
      <c r="O90" s="79"/>
      <c r="P90" s="79"/>
      <c r="Q90" s="79"/>
      <c r="R90" s="79"/>
      <c r="S90" s="79"/>
      <c r="T90" s="79"/>
      <c r="U90" s="79"/>
      <c r="V90" s="79"/>
      <c r="W90" s="79"/>
      <c r="X90" s="79"/>
      <c r="Y90" s="79"/>
    </row>
    <row r="91" spans="5:42" x14ac:dyDescent="0.3">
      <c r="E91" s="32"/>
      <c r="F91" s="72" t="s">
        <v>211</v>
      </c>
      <c r="G91" s="72" t="s">
        <v>211</v>
      </c>
      <c r="J91" s="79"/>
      <c r="K91" s="79"/>
      <c r="L91" s="433">
        <v>322.45540923447231</v>
      </c>
      <c r="M91" s="79"/>
      <c r="N91" s="433">
        <v>15.276894740432498</v>
      </c>
      <c r="O91" s="79"/>
      <c r="P91" s="79"/>
      <c r="Q91" s="79"/>
      <c r="R91" s="79"/>
      <c r="S91" s="79"/>
      <c r="T91" s="79"/>
      <c r="U91" s="79"/>
      <c r="V91" s="79"/>
      <c r="W91" s="79"/>
      <c r="X91" s="79"/>
      <c r="Y91" s="79"/>
    </row>
    <row r="92" spans="5:42" x14ac:dyDescent="0.3">
      <c r="E92" s="32"/>
      <c r="F92" s="72" t="s">
        <v>249</v>
      </c>
      <c r="G92" s="72" t="s">
        <v>250</v>
      </c>
      <c r="J92" s="79"/>
      <c r="K92" s="79"/>
      <c r="L92" s="79"/>
      <c r="M92" s="79"/>
      <c r="N92" s="433">
        <v>1665.7569877072781</v>
      </c>
      <c r="O92" s="79"/>
      <c r="P92" s="79"/>
      <c r="Q92" s="79"/>
      <c r="R92" s="79"/>
      <c r="S92" s="79"/>
      <c r="T92" s="79"/>
      <c r="U92" s="79"/>
      <c r="V92" s="79"/>
      <c r="W92" s="79"/>
      <c r="X92" s="79"/>
      <c r="Y92" s="79"/>
    </row>
    <row r="93" spans="5:42" x14ac:dyDescent="0.3">
      <c r="E93" s="32"/>
      <c r="F93" s="72" t="s">
        <v>251</v>
      </c>
      <c r="G93" s="72" t="s">
        <v>250</v>
      </c>
      <c r="J93" s="79"/>
      <c r="K93" s="79"/>
      <c r="L93" s="79"/>
      <c r="M93" s="79"/>
      <c r="N93" s="433">
        <v>17.181250929723141</v>
      </c>
      <c r="O93" s="79"/>
      <c r="P93" s="79"/>
      <c r="Q93" s="79"/>
      <c r="R93" s="79"/>
      <c r="S93" s="79"/>
      <c r="T93" s="79"/>
      <c r="U93" s="79"/>
      <c r="V93" s="79"/>
      <c r="W93" s="79"/>
      <c r="X93" s="79"/>
      <c r="Y93" s="79"/>
    </row>
    <row r="94" spans="5:42" x14ac:dyDescent="0.3">
      <c r="E94" s="32"/>
      <c r="F94" s="80" t="s">
        <v>252</v>
      </c>
      <c r="G94" s="80" t="s">
        <v>253</v>
      </c>
      <c r="H94" s="37"/>
      <c r="I94" s="37"/>
      <c r="J94" s="81"/>
      <c r="K94" s="81"/>
      <c r="L94" s="81"/>
      <c r="M94" s="81"/>
      <c r="N94" s="434">
        <v>149.89587061176186</v>
      </c>
      <c r="O94" s="81"/>
      <c r="P94" s="81"/>
      <c r="Q94" s="81"/>
      <c r="R94" s="81"/>
      <c r="S94" s="81"/>
      <c r="T94" s="81"/>
      <c r="U94" s="81"/>
      <c r="V94" s="81"/>
      <c r="W94" s="81"/>
      <c r="X94" s="81"/>
      <c r="Y94" s="81"/>
    </row>
    <row r="95" spans="5:42" x14ac:dyDescent="0.3">
      <c r="E95" s="253"/>
      <c r="F95" s="235"/>
      <c r="G95" s="235"/>
      <c r="H95" s="252"/>
      <c r="I95" s="252"/>
      <c r="J95" s="254"/>
      <c r="K95" s="254"/>
      <c r="L95" s="254"/>
      <c r="M95" s="254"/>
      <c r="N95" s="255"/>
      <c r="O95" s="254"/>
      <c r="P95" s="254"/>
      <c r="Q95" s="254"/>
      <c r="R95" s="254"/>
      <c r="S95" s="254"/>
      <c r="T95" s="255"/>
      <c r="U95" s="254"/>
      <c r="V95" s="255"/>
      <c r="W95" s="254"/>
      <c r="X95" s="255"/>
      <c r="Y95" s="254"/>
      <c r="Z95" s="252"/>
      <c r="AA95" s="252"/>
      <c r="AB95" s="252"/>
      <c r="AC95" s="252"/>
      <c r="AD95" s="252"/>
      <c r="AE95" s="252"/>
      <c r="AF95" s="252"/>
      <c r="AG95" s="252"/>
      <c r="AH95" s="252"/>
      <c r="AI95" s="252"/>
      <c r="AJ95" s="252"/>
      <c r="AK95" s="252"/>
      <c r="AL95" s="252"/>
      <c r="AM95" s="252"/>
      <c r="AN95" s="252"/>
      <c r="AO95" s="252"/>
      <c r="AP95" s="252"/>
    </row>
    <row r="96" spans="5:42" x14ac:dyDescent="0.3">
      <c r="E96" s="32" t="s">
        <v>954</v>
      </c>
      <c r="G96" s="13"/>
    </row>
    <row r="97" spans="5:42" x14ac:dyDescent="0.3">
      <c r="E97" s="32"/>
      <c r="F97" s="78" t="s">
        <v>246</v>
      </c>
      <c r="G97" s="78" t="s">
        <v>206</v>
      </c>
      <c r="H97" s="23"/>
      <c r="I97" s="23"/>
      <c r="J97" s="83"/>
      <c r="K97" s="83"/>
      <c r="L97" s="432">
        <v>166.7794811156875</v>
      </c>
      <c r="M97" s="83"/>
      <c r="N97" s="432">
        <v>89.600811364467745</v>
      </c>
      <c r="O97" s="83"/>
      <c r="P97" s="83"/>
      <c r="Q97" s="83"/>
      <c r="R97" s="83"/>
      <c r="S97" s="83"/>
      <c r="T97" s="83"/>
      <c r="U97" s="83"/>
      <c r="V97" s="83"/>
      <c r="W97" s="83"/>
      <c r="X97" s="83"/>
      <c r="Y97" s="83"/>
    </row>
    <row r="98" spans="5:42" x14ac:dyDescent="0.3">
      <c r="E98" s="32"/>
      <c r="F98" s="72" t="s">
        <v>247</v>
      </c>
      <c r="G98" s="72" t="s">
        <v>206</v>
      </c>
      <c r="J98" s="79"/>
      <c r="K98" s="79"/>
      <c r="L98" s="433">
        <v>599.04349527192198</v>
      </c>
      <c r="M98" s="79"/>
      <c r="N98" s="433">
        <v>307.8359424729897</v>
      </c>
      <c r="O98" s="79"/>
      <c r="P98" s="79"/>
      <c r="Q98" s="79"/>
      <c r="R98" s="79"/>
      <c r="S98" s="79"/>
      <c r="T98" s="79"/>
      <c r="U98" s="79"/>
      <c r="V98" s="79"/>
      <c r="W98" s="79"/>
      <c r="X98" s="79"/>
      <c r="Y98" s="79"/>
    </row>
    <row r="99" spans="5:42" x14ac:dyDescent="0.3">
      <c r="E99" s="32"/>
      <c r="F99" s="72" t="s">
        <v>248</v>
      </c>
      <c r="G99" s="72" t="s">
        <v>206</v>
      </c>
      <c r="J99" s="79"/>
      <c r="K99" s="79"/>
      <c r="L99" s="433">
        <v>764.19213581096665</v>
      </c>
      <c r="M99" s="79"/>
      <c r="N99" s="433">
        <v>455.79415537128625</v>
      </c>
      <c r="O99" s="79"/>
      <c r="P99" s="79"/>
      <c r="Q99" s="79"/>
      <c r="R99" s="79"/>
      <c r="S99" s="79"/>
      <c r="T99" s="79"/>
      <c r="U99" s="79"/>
      <c r="V99" s="79"/>
      <c r="W99" s="79"/>
      <c r="X99" s="79"/>
      <c r="Y99" s="79"/>
    </row>
    <row r="100" spans="5:42" x14ac:dyDescent="0.3">
      <c r="E100" s="32"/>
      <c r="F100" s="72" t="s">
        <v>211</v>
      </c>
      <c r="G100" s="72" t="s">
        <v>211</v>
      </c>
      <c r="J100" s="79"/>
      <c r="K100" s="79"/>
      <c r="L100" s="433">
        <v>166.16762839192711</v>
      </c>
      <c r="M100" s="79"/>
      <c r="N100" s="433">
        <v>5.4120335629988405</v>
      </c>
      <c r="O100" s="79"/>
      <c r="P100" s="79"/>
      <c r="Q100" s="79"/>
      <c r="R100" s="79"/>
      <c r="S100" s="79"/>
      <c r="T100" s="79"/>
      <c r="U100" s="79"/>
      <c r="V100" s="79"/>
      <c r="W100" s="79"/>
      <c r="X100" s="79"/>
      <c r="Y100" s="79"/>
    </row>
    <row r="101" spans="5:42" x14ac:dyDescent="0.3">
      <c r="E101" s="32"/>
      <c r="F101" s="72" t="s">
        <v>249</v>
      </c>
      <c r="G101" s="72" t="s">
        <v>250</v>
      </c>
      <c r="J101" s="79"/>
      <c r="K101" s="79"/>
      <c r="L101" s="79"/>
      <c r="M101" s="79"/>
      <c r="N101" s="433">
        <v>962.51096202961401</v>
      </c>
      <c r="O101" s="79"/>
      <c r="P101" s="79"/>
      <c r="Q101" s="79"/>
      <c r="R101" s="79"/>
      <c r="S101" s="79"/>
      <c r="T101" s="79"/>
      <c r="U101" s="79"/>
      <c r="V101" s="79"/>
      <c r="W101" s="79"/>
      <c r="X101" s="79"/>
      <c r="Y101" s="79"/>
    </row>
    <row r="102" spans="5:42" x14ac:dyDescent="0.3">
      <c r="E102" s="32"/>
      <c r="F102" s="72" t="s">
        <v>251</v>
      </c>
      <c r="G102" s="72" t="s">
        <v>250</v>
      </c>
      <c r="J102" s="79"/>
      <c r="K102" s="79"/>
      <c r="L102" s="79"/>
      <c r="M102" s="79"/>
      <c r="N102" s="433">
        <v>9.9277040308271403</v>
      </c>
      <c r="O102" s="79"/>
      <c r="P102" s="79"/>
      <c r="Q102" s="79"/>
      <c r="R102" s="79"/>
      <c r="S102" s="79"/>
      <c r="T102" s="79"/>
      <c r="U102" s="79"/>
      <c r="V102" s="79"/>
      <c r="W102" s="79"/>
      <c r="X102" s="79"/>
      <c r="Y102" s="79"/>
    </row>
    <row r="103" spans="5:42" x14ac:dyDescent="0.3">
      <c r="E103" s="32"/>
      <c r="F103" s="80" t="s">
        <v>252</v>
      </c>
      <c r="G103" s="80" t="s">
        <v>253</v>
      </c>
      <c r="H103" s="37"/>
      <c r="I103" s="37"/>
      <c r="J103" s="81"/>
      <c r="K103" s="81"/>
      <c r="L103" s="81"/>
      <c r="M103" s="81"/>
      <c r="N103" s="434">
        <v>86.613125258668887</v>
      </c>
      <c r="O103" s="81"/>
      <c r="P103" s="81"/>
      <c r="Q103" s="81"/>
      <c r="R103" s="81"/>
      <c r="S103" s="81"/>
      <c r="T103" s="81"/>
      <c r="U103" s="81"/>
      <c r="V103" s="81"/>
      <c r="W103" s="81"/>
      <c r="X103" s="81"/>
      <c r="Y103" s="81"/>
    </row>
    <row r="104" spans="5:42" x14ac:dyDescent="0.3">
      <c r="E104" s="253"/>
      <c r="F104" s="235"/>
      <c r="G104" s="235"/>
      <c r="H104" s="252"/>
      <c r="I104" s="252"/>
      <c r="J104" s="254"/>
      <c r="K104" s="254"/>
      <c r="L104" s="254"/>
      <c r="M104" s="254"/>
      <c r="N104" s="255"/>
      <c r="O104" s="254"/>
      <c r="P104" s="254"/>
      <c r="Q104" s="254"/>
      <c r="R104" s="254"/>
      <c r="S104" s="254"/>
      <c r="T104" s="255"/>
      <c r="U104" s="254"/>
      <c r="V104" s="255"/>
      <c r="W104" s="254"/>
      <c r="X104" s="255"/>
      <c r="Y104" s="254"/>
      <c r="Z104" s="252"/>
      <c r="AA104" s="252"/>
      <c r="AB104" s="252"/>
      <c r="AC104" s="252"/>
      <c r="AD104" s="252"/>
      <c r="AE104" s="252"/>
      <c r="AF104" s="252"/>
      <c r="AG104" s="252"/>
      <c r="AH104" s="252"/>
      <c r="AI104" s="252"/>
      <c r="AJ104" s="252"/>
      <c r="AK104" s="252"/>
      <c r="AL104" s="252"/>
      <c r="AM104" s="252"/>
      <c r="AN104" s="252"/>
      <c r="AO104" s="252"/>
      <c r="AP104" s="252"/>
    </row>
    <row r="105" spans="5:42" x14ac:dyDescent="0.3">
      <c r="E105" s="32" t="s">
        <v>955</v>
      </c>
      <c r="G105" s="13"/>
    </row>
    <row r="106" spans="5:42" x14ac:dyDescent="0.3">
      <c r="E106" s="32"/>
      <c r="F106" s="78" t="s">
        <v>246</v>
      </c>
      <c r="G106" s="78" t="s">
        <v>206</v>
      </c>
      <c r="H106" s="23"/>
      <c r="I106" s="23"/>
      <c r="J106" s="83"/>
      <c r="K106" s="83"/>
      <c r="L106" s="432">
        <v>498.00520788658537</v>
      </c>
      <c r="M106" s="83"/>
      <c r="N106" s="432">
        <v>197.80196853522401</v>
      </c>
      <c r="O106" s="83"/>
      <c r="P106" s="83"/>
      <c r="Q106" s="83"/>
      <c r="R106" s="83"/>
      <c r="S106" s="83"/>
      <c r="T106" s="83"/>
      <c r="U106" s="83"/>
      <c r="V106" s="83"/>
      <c r="W106" s="83"/>
      <c r="X106" s="83"/>
      <c r="Y106" s="83"/>
    </row>
    <row r="107" spans="5:42" x14ac:dyDescent="0.3">
      <c r="E107" s="32"/>
      <c r="F107" s="72" t="s">
        <v>247</v>
      </c>
      <c r="G107" s="72" t="s">
        <v>206</v>
      </c>
      <c r="J107" s="79"/>
      <c r="K107" s="79"/>
      <c r="L107" s="433">
        <v>1788.7499013686474</v>
      </c>
      <c r="M107" s="79"/>
      <c r="N107" s="433">
        <v>679.57593775986948</v>
      </c>
      <c r="O107" s="79"/>
      <c r="P107" s="79"/>
      <c r="Q107" s="79"/>
      <c r="R107" s="79"/>
      <c r="S107" s="79"/>
      <c r="T107" s="79"/>
      <c r="U107" s="79"/>
      <c r="V107" s="79"/>
      <c r="W107" s="79"/>
      <c r="X107" s="79"/>
      <c r="Y107" s="79"/>
    </row>
    <row r="108" spans="5:42" x14ac:dyDescent="0.3">
      <c r="E108" s="32"/>
      <c r="F108" s="72" t="s">
        <v>248</v>
      </c>
      <c r="G108" s="72" t="s">
        <v>206</v>
      </c>
      <c r="J108" s="79"/>
      <c r="K108" s="79"/>
      <c r="L108" s="433">
        <v>2281.8854028922688</v>
      </c>
      <c r="M108" s="79"/>
      <c r="N108" s="433">
        <v>1006.2071961888839</v>
      </c>
      <c r="O108" s="79"/>
      <c r="P108" s="79"/>
      <c r="Q108" s="79"/>
      <c r="R108" s="79"/>
      <c r="S108" s="79"/>
      <c r="T108" s="79"/>
      <c r="U108" s="79"/>
      <c r="V108" s="79"/>
      <c r="W108" s="79"/>
      <c r="X108" s="79"/>
      <c r="Y108" s="79"/>
    </row>
    <row r="109" spans="5:42" x14ac:dyDescent="0.3">
      <c r="E109" s="32"/>
      <c r="F109" s="72" t="s">
        <v>211</v>
      </c>
      <c r="G109" s="72" t="s">
        <v>211</v>
      </c>
      <c r="J109" s="79"/>
      <c r="K109" s="79"/>
      <c r="L109" s="433">
        <v>159.32975115635622</v>
      </c>
      <c r="M109" s="79"/>
      <c r="N109" s="433">
        <v>5.6907019578415996</v>
      </c>
      <c r="O109" s="79"/>
      <c r="P109" s="79"/>
      <c r="Q109" s="79"/>
      <c r="R109" s="79"/>
      <c r="S109" s="79"/>
      <c r="T109" s="79"/>
      <c r="U109" s="79"/>
      <c r="V109" s="79"/>
      <c r="W109" s="79"/>
      <c r="X109" s="79"/>
      <c r="Y109" s="79"/>
    </row>
    <row r="110" spans="5:42" x14ac:dyDescent="0.3">
      <c r="E110" s="32"/>
      <c r="F110" s="72" t="s">
        <v>249</v>
      </c>
      <c r="G110" s="72" t="s">
        <v>250</v>
      </c>
      <c r="J110" s="79"/>
      <c r="K110" s="79"/>
      <c r="L110" s="79"/>
      <c r="M110" s="79"/>
      <c r="N110" s="433">
        <v>2124.830792566795</v>
      </c>
      <c r="O110" s="79"/>
      <c r="P110" s="79"/>
      <c r="Q110" s="79"/>
      <c r="R110" s="79"/>
      <c r="S110" s="79"/>
      <c r="T110" s="79"/>
      <c r="U110" s="79"/>
      <c r="V110" s="79"/>
      <c r="W110" s="79"/>
      <c r="X110" s="79"/>
      <c r="Y110" s="79"/>
    </row>
    <row r="111" spans="5:42" x14ac:dyDescent="0.3">
      <c r="E111" s="32"/>
      <c r="F111" s="72" t="s">
        <v>251</v>
      </c>
      <c r="G111" s="72" t="s">
        <v>250</v>
      </c>
      <c r="J111" s="79"/>
      <c r="K111" s="79"/>
      <c r="L111" s="79"/>
      <c r="M111" s="79"/>
      <c r="N111" s="433">
        <v>21.916312703295706</v>
      </c>
      <c r="O111" s="79"/>
      <c r="P111" s="79"/>
      <c r="Q111" s="79"/>
      <c r="R111" s="79"/>
      <c r="S111" s="79"/>
      <c r="T111" s="79"/>
      <c r="U111" s="79"/>
      <c r="V111" s="79"/>
      <c r="W111" s="79"/>
      <c r="X111" s="79"/>
      <c r="Y111" s="79"/>
    </row>
    <row r="112" spans="5:42" x14ac:dyDescent="0.3">
      <c r="E112" s="32"/>
      <c r="F112" s="80" t="s">
        <v>252</v>
      </c>
      <c r="G112" s="80" t="s">
        <v>253</v>
      </c>
      <c r="H112" s="37"/>
      <c r="I112" s="37"/>
      <c r="J112" s="81"/>
      <c r="K112" s="81"/>
      <c r="L112" s="81"/>
      <c r="M112" s="81"/>
      <c r="N112" s="434">
        <v>191.20637878449654</v>
      </c>
      <c r="O112" s="81"/>
      <c r="P112" s="81"/>
      <c r="Q112" s="81"/>
      <c r="R112" s="81"/>
      <c r="S112" s="81"/>
      <c r="T112" s="81"/>
      <c r="U112" s="81"/>
      <c r="V112" s="81"/>
      <c r="W112" s="81"/>
      <c r="X112" s="81"/>
      <c r="Y112" s="81"/>
    </row>
    <row r="113" spans="4:43" x14ac:dyDescent="0.3">
      <c r="E113" s="253"/>
      <c r="F113" s="235"/>
      <c r="G113" s="235"/>
      <c r="H113" s="252"/>
      <c r="I113" s="252"/>
      <c r="J113" s="254"/>
      <c r="K113" s="254"/>
      <c r="L113" s="254"/>
      <c r="M113" s="254"/>
      <c r="N113" s="255"/>
      <c r="O113" s="255"/>
      <c r="P113" s="255"/>
      <c r="Q113" s="254"/>
      <c r="R113" s="254"/>
      <c r="S113" s="254"/>
      <c r="T113" s="255"/>
      <c r="U113" s="254"/>
      <c r="V113" s="255"/>
      <c r="W113" s="254"/>
      <c r="X113" s="255"/>
      <c r="Y113" s="254"/>
      <c r="Z113" s="252"/>
      <c r="AA113" s="252"/>
      <c r="AB113" s="252"/>
      <c r="AC113" s="252"/>
      <c r="AD113" s="252"/>
      <c r="AE113" s="252"/>
      <c r="AF113" s="252"/>
      <c r="AG113" s="252"/>
      <c r="AH113" s="252"/>
      <c r="AI113" s="252"/>
      <c r="AJ113" s="252"/>
      <c r="AK113" s="252"/>
      <c r="AL113" s="252"/>
      <c r="AM113" s="252"/>
      <c r="AN113" s="252"/>
      <c r="AO113" s="252"/>
      <c r="AP113" s="252"/>
    </row>
    <row r="114" spans="4:43" x14ac:dyDescent="0.3">
      <c r="D114" s="29" t="s">
        <v>962</v>
      </c>
      <c r="G114" s="13"/>
      <c r="I114" t="s">
        <v>153</v>
      </c>
      <c r="AQ114" t="s">
        <v>245</v>
      </c>
    </row>
    <row r="115" spans="4:43" x14ac:dyDescent="0.3">
      <c r="G115" s="13"/>
    </row>
    <row r="116" spans="4:43" x14ac:dyDescent="0.3">
      <c r="E116" s="32" t="s">
        <v>910</v>
      </c>
      <c r="G116" s="13"/>
    </row>
    <row r="117" spans="4:43" x14ac:dyDescent="0.3">
      <c r="E117" s="32"/>
      <c r="F117" s="78" t="s">
        <v>246</v>
      </c>
      <c r="G117" s="78" t="s">
        <v>206</v>
      </c>
      <c r="H117" s="23"/>
      <c r="I117" s="23"/>
      <c r="J117" s="83"/>
      <c r="K117" s="432">
        <v>0</v>
      </c>
      <c r="L117" s="432">
        <v>0</v>
      </c>
      <c r="M117" s="432">
        <v>0</v>
      </c>
      <c r="N117" s="432">
        <v>0</v>
      </c>
      <c r="O117" s="432">
        <v>0</v>
      </c>
      <c r="P117" s="432">
        <v>0</v>
      </c>
      <c r="Q117" s="83"/>
      <c r="R117" s="432">
        <v>0</v>
      </c>
      <c r="S117" s="432">
        <v>0</v>
      </c>
      <c r="T117" s="432">
        <v>0</v>
      </c>
      <c r="U117" s="83"/>
      <c r="V117" s="432">
        <v>0</v>
      </c>
      <c r="W117" s="83"/>
      <c r="X117" s="432">
        <v>0</v>
      </c>
      <c r="Y117" s="83"/>
    </row>
    <row r="118" spans="4:43" x14ac:dyDescent="0.3">
      <c r="E118" s="32"/>
      <c r="F118" s="72" t="s">
        <v>247</v>
      </c>
      <c r="G118" s="72" t="s">
        <v>206</v>
      </c>
      <c r="J118" s="79"/>
      <c r="K118" s="433">
        <v>0</v>
      </c>
      <c r="L118" s="433">
        <v>0</v>
      </c>
      <c r="M118" s="433">
        <v>0</v>
      </c>
      <c r="N118" s="433">
        <v>0</v>
      </c>
      <c r="O118" s="433">
        <v>0</v>
      </c>
      <c r="P118" s="433">
        <v>0</v>
      </c>
      <c r="Q118" s="79"/>
      <c r="R118" s="438">
        <v>0</v>
      </c>
      <c r="S118" s="438">
        <v>0</v>
      </c>
      <c r="T118" s="433">
        <v>0</v>
      </c>
      <c r="U118" s="79"/>
      <c r="V118" s="433">
        <v>0</v>
      </c>
      <c r="W118" s="79"/>
      <c r="X118" s="433">
        <v>0</v>
      </c>
      <c r="Y118" s="79"/>
    </row>
    <row r="119" spans="4:43" x14ac:dyDescent="0.3">
      <c r="E119" s="32"/>
      <c r="F119" s="72" t="s">
        <v>248</v>
      </c>
      <c r="G119" s="72" t="s">
        <v>206</v>
      </c>
      <c r="J119" s="79"/>
      <c r="K119" s="433">
        <v>0</v>
      </c>
      <c r="L119" s="433">
        <v>0</v>
      </c>
      <c r="M119" s="433">
        <v>0</v>
      </c>
      <c r="N119" s="433">
        <v>0</v>
      </c>
      <c r="O119" s="433">
        <v>0</v>
      </c>
      <c r="P119" s="433">
        <v>0</v>
      </c>
      <c r="Q119" s="79"/>
      <c r="R119" s="438">
        <v>0</v>
      </c>
      <c r="S119" s="438">
        <v>0</v>
      </c>
      <c r="T119" s="433">
        <v>0</v>
      </c>
      <c r="U119" s="79"/>
      <c r="V119" s="433">
        <v>0</v>
      </c>
      <c r="W119" s="79"/>
      <c r="X119" s="433">
        <v>0</v>
      </c>
      <c r="Y119" s="79"/>
    </row>
    <row r="120" spans="4:43" x14ac:dyDescent="0.3">
      <c r="E120" s="32"/>
      <c r="F120" s="72" t="s">
        <v>211</v>
      </c>
      <c r="G120" s="72" t="s">
        <v>211</v>
      </c>
      <c r="J120" s="79"/>
      <c r="K120" s="433">
        <v>0</v>
      </c>
      <c r="L120" s="433">
        <v>0</v>
      </c>
      <c r="M120" s="433">
        <v>0</v>
      </c>
      <c r="N120" s="433">
        <v>0</v>
      </c>
      <c r="O120" s="433">
        <v>0</v>
      </c>
      <c r="P120" s="433">
        <v>0</v>
      </c>
      <c r="Q120" s="79"/>
      <c r="R120" s="433">
        <v>0</v>
      </c>
      <c r="S120" s="433">
        <v>0</v>
      </c>
      <c r="T120" s="433">
        <v>0</v>
      </c>
      <c r="U120" s="79"/>
      <c r="V120" s="433">
        <v>0</v>
      </c>
      <c r="W120" s="79"/>
      <c r="X120" s="433">
        <v>0</v>
      </c>
      <c r="Y120" s="79"/>
    </row>
    <row r="121" spans="4:43" x14ac:dyDescent="0.3">
      <c r="E121" s="32"/>
      <c r="F121" s="72" t="s">
        <v>249</v>
      </c>
      <c r="G121" s="72" t="s">
        <v>250</v>
      </c>
      <c r="J121" s="79"/>
      <c r="K121" s="79"/>
      <c r="L121" s="79"/>
      <c r="M121" s="79"/>
      <c r="N121" s="433">
        <v>0</v>
      </c>
      <c r="O121" s="433">
        <v>0</v>
      </c>
      <c r="P121" s="433">
        <v>0</v>
      </c>
      <c r="Q121" s="79"/>
      <c r="R121" s="79"/>
      <c r="S121" s="79"/>
      <c r="T121" s="79"/>
      <c r="U121" s="79"/>
      <c r="V121" s="79"/>
      <c r="W121" s="79"/>
      <c r="X121" s="79"/>
      <c r="Y121" s="79"/>
    </row>
    <row r="122" spans="4:43" x14ac:dyDescent="0.3">
      <c r="E122" s="32"/>
      <c r="F122" s="72" t="s">
        <v>251</v>
      </c>
      <c r="G122" s="72" t="s">
        <v>250</v>
      </c>
      <c r="J122" s="79"/>
      <c r="K122" s="79"/>
      <c r="L122" s="79"/>
      <c r="M122" s="79"/>
      <c r="N122" s="433">
        <v>0</v>
      </c>
      <c r="O122" s="433">
        <v>0</v>
      </c>
      <c r="P122" s="433">
        <v>0</v>
      </c>
      <c r="Q122" s="79"/>
      <c r="R122" s="79"/>
      <c r="S122" s="79"/>
      <c r="T122" s="79"/>
      <c r="U122" s="79"/>
      <c r="V122" s="79"/>
      <c r="W122" s="79"/>
      <c r="X122" s="79"/>
      <c r="Y122" s="79"/>
    </row>
    <row r="123" spans="4:43" x14ac:dyDescent="0.3">
      <c r="E123" s="32"/>
      <c r="F123" s="80" t="s">
        <v>252</v>
      </c>
      <c r="G123" s="80" t="s">
        <v>253</v>
      </c>
      <c r="H123" s="37"/>
      <c r="I123" s="37"/>
      <c r="J123" s="81"/>
      <c r="K123" s="81"/>
      <c r="L123" s="81"/>
      <c r="M123" s="81"/>
      <c r="N123" s="434">
        <v>0</v>
      </c>
      <c r="O123" s="434">
        <v>0</v>
      </c>
      <c r="P123" s="434">
        <v>0</v>
      </c>
      <c r="Q123" s="81"/>
      <c r="R123" s="81"/>
      <c r="S123" s="81"/>
      <c r="T123" s="434">
        <v>0</v>
      </c>
      <c r="U123" s="81"/>
      <c r="V123" s="434">
        <v>0</v>
      </c>
      <c r="W123" s="81"/>
      <c r="X123" s="434">
        <v>0</v>
      </c>
      <c r="Y123" s="81"/>
    </row>
    <row r="124" spans="4:43" x14ac:dyDescent="0.3">
      <c r="E124" s="253"/>
      <c r="F124" s="235"/>
      <c r="G124" s="235"/>
      <c r="H124" s="252"/>
      <c r="I124" s="252"/>
      <c r="J124" s="254"/>
      <c r="K124" s="254"/>
      <c r="L124" s="254"/>
      <c r="M124" s="254"/>
      <c r="N124" s="255"/>
      <c r="O124" s="255"/>
      <c r="P124" s="255"/>
      <c r="Q124" s="254"/>
      <c r="R124" s="254"/>
      <c r="S124" s="254"/>
      <c r="T124" s="255"/>
      <c r="U124" s="254"/>
      <c r="V124" s="255"/>
      <c r="W124" s="254"/>
      <c r="X124" s="255"/>
      <c r="Y124" s="254"/>
      <c r="Z124" s="252"/>
      <c r="AA124" s="252"/>
      <c r="AB124" s="252"/>
      <c r="AC124" s="252"/>
      <c r="AD124" s="252"/>
      <c r="AE124" s="252"/>
      <c r="AF124" s="252"/>
      <c r="AG124" s="252"/>
      <c r="AH124" s="252"/>
      <c r="AI124" s="252"/>
      <c r="AJ124" s="252"/>
      <c r="AK124" s="252"/>
      <c r="AL124" s="252"/>
      <c r="AM124" s="252"/>
      <c r="AN124" s="252"/>
      <c r="AO124" s="252"/>
      <c r="AP124" s="252"/>
    </row>
    <row r="125" spans="4:43" x14ac:dyDescent="0.3">
      <c r="E125" s="32" t="s">
        <v>956</v>
      </c>
      <c r="G125" s="13"/>
    </row>
    <row r="126" spans="4:43" x14ac:dyDescent="0.3">
      <c r="E126" s="32"/>
      <c r="F126" s="78" t="s">
        <v>246</v>
      </c>
      <c r="G126" s="78" t="s">
        <v>206</v>
      </c>
      <c r="H126" s="23"/>
      <c r="I126" s="23"/>
      <c r="J126" s="432">
        <v>20406.995946034098</v>
      </c>
      <c r="K126" s="83"/>
      <c r="L126" s="432">
        <v>53.032577897376015</v>
      </c>
      <c r="M126" s="83"/>
      <c r="N126" s="432">
        <v>2005.8837928996877</v>
      </c>
      <c r="O126" s="432">
        <v>225.17186397576623</v>
      </c>
      <c r="P126" s="432">
        <v>339.68738876924675</v>
      </c>
      <c r="Q126" s="432">
        <v>0.80750664611319134</v>
      </c>
      <c r="R126" s="83"/>
      <c r="S126" s="83"/>
      <c r="T126" s="83"/>
      <c r="U126" s="83"/>
      <c r="V126" s="83"/>
      <c r="W126" s="83"/>
      <c r="X126" s="83"/>
      <c r="Y126" s="83"/>
    </row>
    <row r="127" spans="4:43" x14ac:dyDescent="0.3">
      <c r="E127" s="32"/>
      <c r="F127" s="72" t="s">
        <v>247</v>
      </c>
      <c r="G127" s="72" t="s">
        <v>206</v>
      </c>
      <c r="J127" s="433">
        <v>51412.47224607876</v>
      </c>
      <c r="K127" s="79"/>
      <c r="L127" s="433">
        <v>190.48398888402818</v>
      </c>
      <c r="M127" s="322"/>
      <c r="N127" s="433">
        <v>6871.0443364567927</v>
      </c>
      <c r="O127" s="433">
        <v>762.73814117400013</v>
      </c>
      <c r="P127" s="433">
        <v>1114.3185927442644</v>
      </c>
      <c r="Q127" s="438">
        <v>2.6801943412435212</v>
      </c>
      <c r="R127" s="79"/>
      <c r="S127" s="79"/>
      <c r="T127" s="79"/>
      <c r="U127" s="79"/>
      <c r="V127" s="79"/>
      <c r="W127" s="79"/>
      <c r="X127" s="79"/>
      <c r="Y127" s="79"/>
    </row>
    <row r="128" spans="4:43" x14ac:dyDescent="0.3">
      <c r="E128" s="32"/>
      <c r="F128" s="72" t="s">
        <v>248</v>
      </c>
      <c r="G128" s="72" t="s">
        <v>206</v>
      </c>
      <c r="J128" s="433">
        <v>94442.082912749902</v>
      </c>
      <c r="K128" s="79"/>
      <c r="L128" s="433">
        <v>242.99799171845012</v>
      </c>
      <c r="M128" s="322"/>
      <c r="N128" s="433">
        <v>9839.6340631348776</v>
      </c>
      <c r="O128" s="433">
        <v>1348.6582903048354</v>
      </c>
      <c r="P128" s="433">
        <v>2079.3104615419602</v>
      </c>
      <c r="Q128" s="438">
        <v>13.849892407257586</v>
      </c>
      <c r="R128" s="79"/>
      <c r="S128" s="79"/>
      <c r="T128" s="79"/>
      <c r="U128" s="79"/>
      <c r="V128" s="79"/>
      <c r="W128" s="79"/>
      <c r="X128" s="79"/>
      <c r="Y128" s="79"/>
    </row>
    <row r="129" spans="5:42" x14ac:dyDescent="0.3">
      <c r="E129" s="32"/>
      <c r="F129" s="72" t="s">
        <v>211</v>
      </c>
      <c r="G129" s="72" t="s">
        <v>211</v>
      </c>
      <c r="J129" s="433">
        <v>58864.02895910322</v>
      </c>
      <c r="K129" s="79"/>
      <c r="L129" s="433">
        <v>328.36872591119032</v>
      </c>
      <c r="M129" s="322"/>
      <c r="N129" s="433">
        <v>226.66499144478075</v>
      </c>
      <c r="O129" s="433">
        <v>10.436046115014667</v>
      </c>
      <c r="P129" s="433">
        <v>8.2961556715709541</v>
      </c>
      <c r="Q129" s="433">
        <v>7</v>
      </c>
      <c r="R129" s="79"/>
      <c r="S129" s="79"/>
      <c r="T129" s="79"/>
      <c r="U129" s="79"/>
      <c r="V129" s="79"/>
      <c r="W129" s="79"/>
      <c r="X129" s="79"/>
      <c r="Y129" s="79"/>
    </row>
    <row r="130" spans="5:42" x14ac:dyDescent="0.3">
      <c r="E130" s="32"/>
      <c r="F130" s="72" t="s">
        <v>249</v>
      </c>
      <c r="G130" s="72" t="s">
        <v>250</v>
      </c>
      <c r="J130" s="79"/>
      <c r="K130" s="79"/>
      <c r="L130" s="79"/>
      <c r="M130" s="322"/>
      <c r="N130" s="433">
        <v>17018.460305805136</v>
      </c>
      <c r="O130" s="433">
        <v>1839.728974436614</v>
      </c>
      <c r="P130" s="433">
        <v>2487.4867868715646</v>
      </c>
      <c r="Q130" s="79"/>
      <c r="R130" s="79"/>
      <c r="S130" s="79"/>
      <c r="T130" s="79"/>
      <c r="U130" s="79"/>
      <c r="V130" s="79"/>
      <c r="W130" s="79"/>
      <c r="X130" s="79"/>
      <c r="Y130" s="79"/>
    </row>
    <row r="131" spans="5:42" x14ac:dyDescent="0.3">
      <c r="E131" s="32"/>
      <c r="F131" s="72" t="s">
        <v>251</v>
      </c>
      <c r="G131" s="72" t="s">
        <v>250</v>
      </c>
      <c r="J131" s="79"/>
      <c r="K131" s="79"/>
      <c r="L131" s="79"/>
      <c r="M131" s="322"/>
      <c r="N131" s="433">
        <v>26.384236197306283</v>
      </c>
      <c r="O131" s="433">
        <v>1.9735225106147678</v>
      </c>
      <c r="P131" s="433">
        <v>6.1253145410581782</v>
      </c>
      <c r="Q131" s="79"/>
      <c r="R131" s="79"/>
      <c r="S131" s="79"/>
      <c r="T131" s="79"/>
      <c r="U131" s="79"/>
      <c r="V131" s="79"/>
      <c r="W131" s="79"/>
      <c r="X131" s="79"/>
      <c r="Y131" s="79"/>
    </row>
    <row r="132" spans="5:42" x14ac:dyDescent="0.3">
      <c r="E132" s="32"/>
      <c r="F132" s="80" t="s">
        <v>252</v>
      </c>
      <c r="G132" s="80" t="s">
        <v>253</v>
      </c>
      <c r="H132" s="37"/>
      <c r="I132" s="37"/>
      <c r="J132" s="81"/>
      <c r="K132" s="81"/>
      <c r="L132" s="81"/>
      <c r="M132" s="81"/>
      <c r="N132" s="434">
        <v>1075.5292877710742</v>
      </c>
      <c r="O132" s="434">
        <v>192.61389199590087</v>
      </c>
      <c r="P132" s="434">
        <v>304.33853779489351</v>
      </c>
      <c r="Q132" s="81"/>
      <c r="R132" s="81"/>
      <c r="S132" s="81"/>
      <c r="T132" s="81"/>
      <c r="U132" s="81"/>
      <c r="V132" s="81"/>
      <c r="W132" s="81"/>
      <c r="X132" s="81"/>
      <c r="Y132" s="81"/>
    </row>
    <row r="133" spans="5:42" x14ac:dyDescent="0.3">
      <c r="E133" s="253"/>
      <c r="F133" s="235"/>
      <c r="G133" s="235"/>
      <c r="H133" s="252"/>
      <c r="I133" s="252"/>
      <c r="J133" s="254"/>
      <c r="K133" s="254"/>
      <c r="L133" s="254"/>
      <c r="M133" s="254"/>
      <c r="N133" s="255"/>
      <c r="O133" s="255"/>
      <c r="P133" s="255"/>
      <c r="Q133" s="254"/>
      <c r="R133" s="254"/>
      <c r="S133" s="254"/>
      <c r="T133" s="255"/>
      <c r="U133" s="254"/>
      <c r="V133" s="255"/>
      <c r="W133" s="254"/>
      <c r="X133" s="255"/>
      <c r="Y133" s="254"/>
      <c r="Z133" s="252"/>
      <c r="AA133" s="252"/>
      <c r="AB133" s="252"/>
      <c r="AC133" s="252"/>
      <c r="AD133" s="252"/>
      <c r="AE133" s="252"/>
      <c r="AF133" s="252"/>
      <c r="AG133" s="252"/>
      <c r="AH133" s="252"/>
      <c r="AI133" s="252"/>
      <c r="AJ133" s="252"/>
      <c r="AK133" s="252"/>
      <c r="AL133" s="252"/>
      <c r="AM133" s="252"/>
      <c r="AN133" s="252"/>
      <c r="AO133" s="252"/>
      <c r="AP133" s="252"/>
    </row>
    <row r="134" spans="5:42" x14ac:dyDescent="0.3">
      <c r="E134" s="32" t="s">
        <v>957</v>
      </c>
      <c r="G134" s="13"/>
    </row>
    <row r="135" spans="5:42" x14ac:dyDescent="0.3">
      <c r="E135" s="32"/>
      <c r="F135" s="78" t="s">
        <v>246</v>
      </c>
      <c r="G135" s="78" t="s">
        <v>206</v>
      </c>
      <c r="H135" s="23"/>
      <c r="I135" s="23"/>
      <c r="J135" s="83"/>
      <c r="K135" s="83"/>
      <c r="L135" s="432">
        <v>232.97654200551398</v>
      </c>
      <c r="M135" s="83"/>
      <c r="N135" s="432">
        <v>4597.5256211991609</v>
      </c>
      <c r="O135" s="432">
        <v>516.09839885352153</v>
      </c>
      <c r="P135" s="432">
        <v>898.17967324229562</v>
      </c>
      <c r="Q135" s="83"/>
      <c r="R135" s="83"/>
      <c r="S135" s="83"/>
      <c r="T135" s="83"/>
      <c r="U135" s="83"/>
      <c r="V135" s="83"/>
      <c r="W135" s="83"/>
      <c r="X135" s="83"/>
      <c r="Y135" s="83"/>
    </row>
    <row r="136" spans="5:42" x14ac:dyDescent="0.3">
      <c r="E136" s="32"/>
      <c r="F136" s="72" t="s">
        <v>247</v>
      </c>
      <c r="G136" s="72" t="s">
        <v>206</v>
      </c>
      <c r="J136" s="79"/>
      <c r="K136" s="79"/>
      <c r="L136" s="429">
        <v>836.8120652836194</v>
      </c>
      <c r="M136" s="79"/>
      <c r="N136" s="433">
        <v>15748.570526904532</v>
      </c>
      <c r="O136" s="433">
        <v>1748.2110173710623</v>
      </c>
      <c r="P136" s="433">
        <v>2946.4099716658943</v>
      </c>
      <c r="Q136" s="79"/>
      <c r="R136" s="79"/>
      <c r="S136" s="79"/>
      <c r="T136" s="79"/>
      <c r="U136" s="79"/>
      <c r="V136" s="79"/>
      <c r="W136" s="79"/>
      <c r="X136" s="79"/>
      <c r="Y136" s="79"/>
    </row>
    <row r="137" spans="5:42" x14ac:dyDescent="0.3">
      <c r="E137" s="32"/>
      <c r="F137" s="72" t="s">
        <v>248</v>
      </c>
      <c r="G137" s="72" t="s">
        <v>206</v>
      </c>
      <c r="J137" s="79"/>
      <c r="K137" s="79"/>
      <c r="L137" s="429">
        <v>1067.5104637455343</v>
      </c>
      <c r="M137" s="79"/>
      <c r="N137" s="433">
        <v>22552.637330545949</v>
      </c>
      <c r="O137" s="433">
        <v>3091.1516738244159</v>
      </c>
      <c r="P137" s="433">
        <v>5497.9797680558622</v>
      </c>
      <c r="Q137" s="79"/>
      <c r="R137" s="79"/>
      <c r="S137" s="79"/>
      <c r="T137" s="79"/>
      <c r="U137" s="79"/>
      <c r="V137" s="79"/>
      <c r="W137" s="79"/>
      <c r="X137" s="79"/>
      <c r="Y137" s="79"/>
    </row>
    <row r="138" spans="5:42" x14ac:dyDescent="0.3">
      <c r="E138" s="32"/>
      <c r="F138" s="72" t="s">
        <v>211</v>
      </c>
      <c r="G138" s="72" t="s">
        <v>211</v>
      </c>
      <c r="J138" s="79"/>
      <c r="K138" s="79"/>
      <c r="L138" s="433">
        <v>292.39125557039483</v>
      </c>
      <c r="M138" s="79"/>
      <c r="N138" s="433">
        <v>208.34297131034558</v>
      </c>
      <c r="O138" s="433">
        <v>9.5924687905041264</v>
      </c>
      <c r="P138" s="433">
        <v>6.7109634551495017</v>
      </c>
      <c r="Q138" s="79"/>
      <c r="R138" s="79"/>
      <c r="S138" s="79"/>
      <c r="T138" s="79"/>
      <c r="U138" s="79"/>
      <c r="V138" s="79"/>
      <c r="W138" s="79"/>
      <c r="X138" s="79"/>
      <c r="Y138" s="79"/>
    </row>
    <row r="139" spans="5:42" x14ac:dyDescent="0.3">
      <c r="E139" s="32"/>
      <c r="F139" s="72" t="s">
        <v>249</v>
      </c>
      <c r="G139" s="72" t="s">
        <v>250</v>
      </c>
      <c r="J139" s="79"/>
      <c r="K139" s="79"/>
      <c r="L139" s="79"/>
      <c r="M139" s="79"/>
      <c r="N139" s="433">
        <v>39006.6501191442</v>
      </c>
      <c r="O139" s="433">
        <v>4216.6954665941485</v>
      </c>
      <c r="P139" s="433">
        <v>6577.2535080616499</v>
      </c>
      <c r="Q139" s="79"/>
      <c r="R139" s="79"/>
      <c r="S139" s="79"/>
      <c r="T139" s="79"/>
      <c r="U139" s="79"/>
      <c r="V139" s="79"/>
      <c r="W139" s="79"/>
      <c r="X139" s="79"/>
      <c r="Y139" s="79"/>
    </row>
    <row r="140" spans="5:42" x14ac:dyDescent="0.3">
      <c r="E140" s="32"/>
      <c r="F140" s="72" t="s">
        <v>251</v>
      </c>
      <c r="G140" s="72" t="s">
        <v>250</v>
      </c>
      <c r="J140" s="79"/>
      <c r="K140" s="79"/>
      <c r="L140" s="79"/>
      <c r="M140" s="79"/>
      <c r="N140" s="433">
        <v>60.473195078530736</v>
      </c>
      <c r="O140" s="433">
        <v>4.5233529173932743</v>
      </c>
      <c r="P140" s="433">
        <v>16.196165047302458</v>
      </c>
      <c r="Q140" s="79"/>
      <c r="R140" s="79"/>
      <c r="S140" s="79"/>
      <c r="T140" s="79"/>
      <c r="U140" s="79"/>
      <c r="V140" s="79"/>
      <c r="W140" s="79"/>
      <c r="X140" s="79"/>
      <c r="Y140" s="79"/>
    </row>
    <row r="141" spans="5:42" x14ac:dyDescent="0.3">
      <c r="E141" s="32"/>
      <c r="F141" s="80" t="s">
        <v>252</v>
      </c>
      <c r="G141" s="80" t="s">
        <v>253</v>
      </c>
      <c r="H141" s="37"/>
      <c r="I141" s="37"/>
      <c r="J141" s="81"/>
      <c r="K141" s="81"/>
      <c r="L141" s="81"/>
      <c r="M141" s="81"/>
      <c r="N141" s="434">
        <v>2465.1345578347182</v>
      </c>
      <c r="O141" s="434">
        <v>441.47487834771471</v>
      </c>
      <c r="P141" s="434">
        <v>804.71250175656508</v>
      </c>
      <c r="Q141" s="81"/>
      <c r="R141" s="81"/>
      <c r="S141" s="81"/>
      <c r="T141" s="81"/>
      <c r="U141" s="81"/>
      <c r="V141" s="81"/>
      <c r="W141" s="81"/>
      <c r="X141" s="81"/>
      <c r="Y141" s="81"/>
    </row>
    <row r="142" spans="5:42" x14ac:dyDescent="0.3">
      <c r="E142" s="253"/>
      <c r="F142" s="235"/>
      <c r="G142" s="235"/>
      <c r="H142" s="252"/>
      <c r="I142" s="252"/>
      <c r="J142" s="254"/>
      <c r="K142" s="254"/>
      <c r="L142" s="254"/>
      <c r="M142" s="254"/>
      <c r="N142" s="255"/>
      <c r="O142" s="255"/>
      <c r="P142" s="255"/>
      <c r="Q142" s="254"/>
      <c r="R142" s="254"/>
      <c r="S142" s="254"/>
      <c r="T142" s="255"/>
      <c r="U142" s="254"/>
      <c r="V142" s="255"/>
      <c r="W142" s="254"/>
      <c r="X142" s="255"/>
      <c r="Y142" s="254"/>
      <c r="Z142" s="252"/>
      <c r="AA142" s="252"/>
      <c r="AB142" s="252"/>
      <c r="AC142" s="252"/>
      <c r="AD142" s="252"/>
      <c r="AE142" s="252"/>
      <c r="AF142" s="252"/>
      <c r="AG142" s="252"/>
      <c r="AH142" s="252"/>
      <c r="AI142" s="252"/>
      <c r="AJ142" s="252"/>
      <c r="AK142" s="252"/>
      <c r="AL142" s="252"/>
      <c r="AM142" s="252"/>
      <c r="AN142" s="252"/>
      <c r="AO142" s="252"/>
      <c r="AP142" s="252"/>
    </row>
    <row r="143" spans="5:42" x14ac:dyDescent="0.3">
      <c r="E143" s="32" t="s">
        <v>958</v>
      </c>
      <c r="G143" s="13"/>
    </row>
    <row r="144" spans="5:42" x14ac:dyDescent="0.3">
      <c r="E144" s="32"/>
      <c r="F144" s="78" t="s">
        <v>246</v>
      </c>
      <c r="G144" s="78" t="s">
        <v>206</v>
      </c>
      <c r="H144" s="23"/>
      <c r="I144" s="23"/>
      <c r="J144" s="83"/>
      <c r="K144" s="83"/>
      <c r="L144" s="432">
        <v>297.45308921739843</v>
      </c>
      <c r="M144" s="83"/>
      <c r="N144" s="432">
        <v>2656.5512504359572</v>
      </c>
      <c r="O144" s="432">
        <v>298.21298667710585</v>
      </c>
      <c r="P144" s="432">
        <v>772.29570489430557</v>
      </c>
      <c r="Q144" s="83"/>
      <c r="R144" s="83"/>
      <c r="S144" s="83"/>
      <c r="T144" s="83"/>
      <c r="U144" s="83"/>
      <c r="V144" s="83"/>
      <c r="W144" s="83"/>
      <c r="X144" s="83"/>
      <c r="Y144" s="83"/>
    </row>
    <row r="145" spans="5:42" x14ac:dyDescent="0.3">
      <c r="E145" s="32"/>
      <c r="F145" s="72" t="s">
        <v>247</v>
      </c>
      <c r="G145" s="72" t="s">
        <v>206</v>
      </c>
      <c r="J145" s="79"/>
      <c r="K145" s="79"/>
      <c r="L145" s="433">
        <v>1068.4008431506068</v>
      </c>
      <c r="M145" s="79"/>
      <c r="N145" s="433">
        <v>9099.8698371396767</v>
      </c>
      <c r="O145" s="433">
        <v>1010.1547107880335</v>
      </c>
      <c r="P145" s="433">
        <v>2533.457206575501</v>
      </c>
      <c r="Q145" s="79"/>
      <c r="R145" s="79"/>
      <c r="S145" s="79"/>
      <c r="T145" s="79"/>
      <c r="U145" s="79"/>
      <c r="V145" s="79"/>
      <c r="W145" s="79"/>
      <c r="X145" s="79"/>
      <c r="Y145" s="79"/>
    </row>
    <row r="146" spans="5:42" x14ac:dyDescent="0.3">
      <c r="E146" s="32"/>
      <c r="F146" s="72" t="s">
        <v>248</v>
      </c>
      <c r="G146" s="72" t="s">
        <v>206</v>
      </c>
      <c r="J146" s="79"/>
      <c r="K146" s="79"/>
      <c r="L146" s="433">
        <v>1362.9453097706787</v>
      </c>
      <c r="M146" s="79"/>
      <c r="N146" s="433">
        <v>13031.409031161362</v>
      </c>
      <c r="O146" s="433">
        <v>1786.1353086366466</v>
      </c>
      <c r="P146" s="433">
        <v>4727.4128851498745</v>
      </c>
      <c r="Q146" s="79"/>
      <c r="R146" s="79"/>
      <c r="S146" s="79"/>
      <c r="T146" s="79"/>
      <c r="U146" s="79"/>
      <c r="V146" s="79"/>
      <c r="W146" s="79"/>
      <c r="X146" s="79"/>
      <c r="Y146" s="79"/>
    </row>
    <row r="147" spans="5:42" x14ac:dyDescent="0.3">
      <c r="E147" s="32"/>
      <c r="F147" s="72" t="s">
        <v>211</v>
      </c>
      <c r="G147" s="72" t="s">
        <v>211</v>
      </c>
      <c r="J147" s="79"/>
      <c r="K147" s="79"/>
      <c r="L147" s="433">
        <v>150.6749774054534</v>
      </c>
      <c r="M147" s="79"/>
      <c r="N147" s="433">
        <v>73.808137877801002</v>
      </c>
      <c r="O147" s="433">
        <v>3.3982536325806674</v>
      </c>
      <c r="P147" s="433">
        <v>2.7527289985761749</v>
      </c>
      <c r="Q147" s="79"/>
      <c r="R147" s="79"/>
      <c r="S147" s="79"/>
      <c r="T147" s="79"/>
      <c r="U147" s="79"/>
      <c r="V147" s="79"/>
      <c r="W147" s="79"/>
      <c r="X147" s="79"/>
      <c r="Y147" s="79"/>
    </row>
    <row r="148" spans="5:42" x14ac:dyDescent="0.3">
      <c r="E148" s="32"/>
      <c r="F148" s="72" t="s">
        <v>249</v>
      </c>
      <c r="G148" s="72" t="s">
        <v>250</v>
      </c>
      <c r="J148" s="79"/>
      <c r="K148" s="79"/>
      <c r="L148" s="79"/>
      <c r="M148" s="79"/>
      <c r="N148" s="433">
        <v>22538.898896294271</v>
      </c>
      <c r="O148" s="433">
        <v>2436.4992253303772</v>
      </c>
      <c r="P148" s="433">
        <v>5655.4214992869602</v>
      </c>
      <c r="Q148" s="79"/>
      <c r="R148" s="79"/>
      <c r="S148" s="79"/>
      <c r="T148" s="79"/>
      <c r="U148" s="79"/>
      <c r="V148" s="79"/>
      <c r="W148" s="79"/>
      <c r="X148" s="79"/>
      <c r="Y148" s="79"/>
    </row>
    <row r="149" spans="5:42" x14ac:dyDescent="0.3">
      <c r="E149" s="32"/>
      <c r="F149" s="72" t="s">
        <v>251</v>
      </c>
      <c r="G149" s="72" t="s">
        <v>250</v>
      </c>
      <c r="J149" s="79"/>
      <c r="K149" s="79"/>
      <c r="L149" s="79"/>
      <c r="M149" s="79"/>
      <c r="N149" s="433">
        <v>34.942739908391509</v>
      </c>
      <c r="O149" s="433">
        <v>2.6136926335888475</v>
      </c>
      <c r="P149" s="433">
        <v>13.926198815698102</v>
      </c>
      <c r="Q149" s="79"/>
      <c r="R149" s="79"/>
      <c r="S149" s="79"/>
      <c r="T149" s="79"/>
      <c r="U149" s="79"/>
      <c r="V149" s="79"/>
      <c r="W149" s="79"/>
      <c r="X149" s="79"/>
      <c r="Y149" s="79"/>
    </row>
    <row r="150" spans="5:42" x14ac:dyDescent="0.3">
      <c r="E150" s="32"/>
      <c r="F150" s="80" t="s">
        <v>252</v>
      </c>
      <c r="G150" s="80" t="s">
        <v>253</v>
      </c>
      <c r="H150" s="37"/>
      <c r="I150" s="37"/>
      <c r="J150" s="81"/>
      <c r="K150" s="81"/>
      <c r="L150" s="81"/>
      <c r="M150" s="81"/>
      <c r="N150" s="434">
        <v>1424.4088737455727</v>
      </c>
      <c r="O150" s="434">
        <v>255.09387804233378</v>
      </c>
      <c r="P150" s="434">
        <v>691.92838281221634</v>
      </c>
      <c r="Q150" s="81"/>
      <c r="R150" s="81"/>
      <c r="S150" s="81"/>
      <c r="T150" s="81"/>
      <c r="U150" s="81"/>
      <c r="V150" s="81"/>
      <c r="W150" s="81"/>
      <c r="X150" s="81"/>
      <c r="Y150" s="81"/>
    </row>
    <row r="151" spans="5:42" x14ac:dyDescent="0.3">
      <c r="E151" s="253"/>
      <c r="F151" s="235"/>
      <c r="G151" s="235"/>
      <c r="H151" s="252"/>
      <c r="I151" s="252"/>
      <c r="J151" s="254"/>
      <c r="K151" s="254"/>
      <c r="L151" s="254"/>
      <c r="M151" s="254"/>
      <c r="N151" s="255"/>
      <c r="O151" s="255"/>
      <c r="P151" s="255"/>
      <c r="Q151" s="254"/>
      <c r="R151" s="254"/>
      <c r="S151" s="254"/>
      <c r="T151" s="255"/>
      <c r="U151" s="254"/>
      <c r="V151" s="255"/>
      <c r="W151" s="254"/>
      <c r="X151" s="255"/>
      <c r="Y151" s="254"/>
      <c r="Z151" s="252"/>
      <c r="AA151" s="252"/>
      <c r="AB151" s="252"/>
      <c r="AC151" s="252"/>
      <c r="AD151" s="252"/>
      <c r="AE151" s="252"/>
      <c r="AF151" s="252"/>
      <c r="AG151" s="252"/>
      <c r="AH151" s="252"/>
      <c r="AI151" s="252"/>
      <c r="AJ151" s="252"/>
      <c r="AK151" s="252"/>
      <c r="AL151" s="252"/>
      <c r="AM151" s="252"/>
      <c r="AN151" s="252"/>
      <c r="AO151" s="252"/>
      <c r="AP151" s="252"/>
    </row>
    <row r="152" spans="5:42" x14ac:dyDescent="0.3">
      <c r="E152" s="32" t="s">
        <v>959</v>
      </c>
      <c r="G152" s="13"/>
    </row>
    <row r="153" spans="5:42" x14ac:dyDescent="0.3">
      <c r="E153" s="32"/>
      <c r="F153" s="78" t="s">
        <v>246</v>
      </c>
      <c r="G153" s="78" t="s">
        <v>206</v>
      </c>
      <c r="H153" s="23"/>
      <c r="I153" s="23"/>
      <c r="J153" s="83"/>
      <c r="K153" s="83"/>
      <c r="L153" s="432">
        <v>888.197915842322</v>
      </c>
      <c r="M153" s="83"/>
      <c r="N153" s="432">
        <v>5864.5793363800385</v>
      </c>
      <c r="O153" s="432">
        <v>658.33238459816118</v>
      </c>
      <c r="P153" s="432">
        <v>1465.6503004968586</v>
      </c>
      <c r="Q153" s="83"/>
      <c r="R153" s="83"/>
      <c r="S153" s="83"/>
      <c r="T153" s="83"/>
      <c r="U153" s="83"/>
      <c r="V153" s="83"/>
      <c r="W153" s="83"/>
      <c r="X153" s="83"/>
      <c r="Y153" s="83"/>
    </row>
    <row r="154" spans="5:42" x14ac:dyDescent="0.3">
      <c r="E154" s="32"/>
      <c r="F154" s="72" t="s">
        <v>247</v>
      </c>
      <c r="G154" s="72" t="s">
        <v>206</v>
      </c>
      <c r="J154" s="79"/>
      <c r="K154" s="79"/>
      <c r="L154" s="433">
        <v>3190.255662387799</v>
      </c>
      <c r="M154" s="79"/>
      <c r="N154" s="433">
        <v>20088.793168164731</v>
      </c>
      <c r="O154" s="433">
        <v>2230.0087161737488</v>
      </c>
      <c r="P154" s="433">
        <v>4807.9541198814377</v>
      </c>
      <c r="Q154" s="79"/>
      <c r="R154" s="79"/>
      <c r="S154" s="79"/>
      <c r="T154" s="79"/>
      <c r="U154" s="79"/>
      <c r="V154" s="79"/>
      <c r="W154" s="79"/>
      <c r="X154" s="79"/>
      <c r="Y154" s="79"/>
    </row>
    <row r="155" spans="5:42" x14ac:dyDescent="0.3">
      <c r="E155" s="32"/>
      <c r="F155" s="72" t="s">
        <v>248</v>
      </c>
      <c r="G155" s="72" t="s">
        <v>206</v>
      </c>
      <c r="J155" s="79"/>
      <c r="K155" s="79"/>
      <c r="L155" s="433">
        <v>4069.7684019029416</v>
      </c>
      <c r="M155" s="79"/>
      <c r="N155" s="433">
        <v>28768.024752213423</v>
      </c>
      <c r="O155" s="433">
        <v>3943.05670605461</v>
      </c>
      <c r="P155" s="433">
        <v>8971.6077297631546</v>
      </c>
      <c r="Q155" s="79"/>
      <c r="R155" s="79"/>
      <c r="S155" s="79"/>
      <c r="T155" s="79"/>
      <c r="U155" s="79"/>
      <c r="V155" s="79"/>
      <c r="W155" s="79"/>
      <c r="X155" s="79"/>
      <c r="Y155" s="79"/>
    </row>
    <row r="156" spans="5:42" x14ac:dyDescent="0.3">
      <c r="E156" s="32"/>
      <c r="F156" s="72" t="s">
        <v>211</v>
      </c>
      <c r="G156" s="72" t="s">
        <v>211</v>
      </c>
      <c r="J156" s="79"/>
      <c r="K156" s="79"/>
      <c r="L156" s="433">
        <v>144.47463015405725</v>
      </c>
      <c r="M156" s="79"/>
      <c r="N156" s="433">
        <v>77.608556901319218</v>
      </c>
      <c r="O156" s="433">
        <v>3.573231461900539</v>
      </c>
      <c r="P156" s="433">
        <v>2.2401518747033697</v>
      </c>
      <c r="Q156" s="79"/>
      <c r="R156" s="79"/>
      <c r="S156" s="79"/>
      <c r="T156" s="79"/>
      <c r="U156" s="79"/>
      <c r="V156" s="79"/>
      <c r="W156" s="79"/>
      <c r="X156" s="79"/>
      <c r="Y156" s="79"/>
    </row>
    <row r="157" spans="5:42" x14ac:dyDescent="0.3">
      <c r="E157" s="32"/>
      <c r="F157" s="72" t="s">
        <v>249</v>
      </c>
      <c r="G157" s="72" t="s">
        <v>250</v>
      </c>
      <c r="J157" s="79"/>
      <c r="K157" s="79"/>
      <c r="L157" s="79"/>
      <c r="M157" s="79"/>
      <c r="N157" s="433">
        <v>49756.676333752061</v>
      </c>
      <c r="O157" s="433">
        <v>5378.7944078374467</v>
      </c>
      <c r="P157" s="433">
        <v>10732.767471496843</v>
      </c>
      <c r="Q157" s="79"/>
      <c r="R157" s="79"/>
      <c r="S157" s="79"/>
      <c r="T157" s="79"/>
      <c r="U157" s="79"/>
      <c r="V157" s="79"/>
      <c r="W157" s="79"/>
      <c r="X157" s="79"/>
      <c r="Y157" s="79"/>
    </row>
    <row r="158" spans="5:42" x14ac:dyDescent="0.3">
      <c r="E158" s="32"/>
      <c r="F158" s="72" t="s">
        <v>251</v>
      </c>
      <c r="G158" s="72" t="s">
        <v>250</v>
      </c>
      <c r="J158" s="79"/>
      <c r="K158" s="79"/>
      <c r="L158" s="79"/>
      <c r="M158" s="79"/>
      <c r="N158" s="433">
        <v>77.139287408675273</v>
      </c>
      <c r="O158" s="433">
        <v>5.7699650281839734</v>
      </c>
      <c r="P158" s="433">
        <v>26.428914921649486</v>
      </c>
      <c r="Q158" s="79"/>
      <c r="R158" s="79"/>
      <c r="S158" s="79"/>
      <c r="T158" s="79"/>
      <c r="U158" s="79"/>
      <c r="V158" s="79"/>
      <c r="W158" s="79"/>
      <c r="X158" s="79"/>
      <c r="Y158" s="79"/>
    </row>
    <row r="159" spans="5:42" x14ac:dyDescent="0.3">
      <c r="E159" s="32"/>
      <c r="F159" s="80" t="s">
        <v>252</v>
      </c>
      <c r="G159" s="80" t="s">
        <v>253</v>
      </c>
      <c r="H159" s="37"/>
      <c r="I159" s="37"/>
      <c r="J159" s="81"/>
      <c r="K159" s="81"/>
      <c r="L159" s="81"/>
      <c r="M159" s="81"/>
      <c r="N159" s="434">
        <v>3144.5125879479178</v>
      </c>
      <c r="O159" s="434">
        <v>563.14301700696126</v>
      </c>
      <c r="P159" s="434">
        <v>1313.130496213003</v>
      </c>
      <c r="Q159" s="81"/>
      <c r="R159" s="81"/>
      <c r="S159" s="81"/>
      <c r="T159" s="81"/>
      <c r="U159" s="81"/>
      <c r="V159" s="81"/>
      <c r="W159" s="81"/>
      <c r="X159" s="81"/>
      <c r="Y159" s="81"/>
    </row>
    <row r="160" spans="5:42" x14ac:dyDescent="0.3">
      <c r="E160" s="253"/>
      <c r="F160" s="235"/>
      <c r="G160" s="235"/>
      <c r="H160" s="252"/>
      <c r="I160" s="252"/>
      <c r="J160" s="254"/>
      <c r="K160" s="254"/>
      <c r="L160" s="254"/>
      <c r="M160" s="254"/>
      <c r="N160" s="255"/>
      <c r="O160" s="255"/>
      <c r="P160" s="255"/>
      <c r="Q160" s="254"/>
      <c r="R160" s="254"/>
      <c r="S160" s="254"/>
      <c r="T160" s="255"/>
      <c r="U160" s="254"/>
      <c r="V160" s="255"/>
      <c r="W160" s="254"/>
      <c r="X160" s="255"/>
      <c r="Y160" s="254"/>
      <c r="Z160" s="252"/>
      <c r="AA160" s="252"/>
      <c r="AB160" s="252"/>
      <c r="AC160" s="252"/>
      <c r="AD160" s="252"/>
      <c r="AE160" s="252"/>
      <c r="AF160" s="252"/>
      <c r="AG160" s="252"/>
      <c r="AH160" s="252"/>
      <c r="AI160" s="252"/>
      <c r="AJ160" s="252"/>
      <c r="AK160" s="252"/>
      <c r="AL160" s="252"/>
      <c r="AM160" s="252"/>
      <c r="AN160" s="252"/>
      <c r="AO160" s="252"/>
      <c r="AP160" s="252"/>
    </row>
    <row r="161" spans="3:43" x14ac:dyDescent="0.3">
      <c r="E161" s="32" t="s">
        <v>886</v>
      </c>
      <c r="G161" s="13" t="s">
        <v>211</v>
      </c>
      <c r="I161" t="s">
        <v>153</v>
      </c>
      <c r="J161" s="439">
        <v>1585.9597882364271</v>
      </c>
      <c r="K161" s="439">
        <v>0</v>
      </c>
      <c r="L161" s="439">
        <v>0</v>
      </c>
      <c r="M161" s="439">
        <v>0</v>
      </c>
      <c r="N161" s="439">
        <v>17.117519649904168</v>
      </c>
      <c r="O161" s="439">
        <v>0</v>
      </c>
      <c r="P161" s="439">
        <v>0.56003796867584243</v>
      </c>
      <c r="Q161" s="439">
        <v>0</v>
      </c>
      <c r="R161" s="439">
        <v>0</v>
      </c>
      <c r="S161" s="439">
        <v>0</v>
      </c>
      <c r="T161" s="439">
        <v>0</v>
      </c>
      <c r="U161" s="439">
        <v>0</v>
      </c>
      <c r="V161" s="439">
        <v>0</v>
      </c>
      <c r="W161" s="439">
        <v>0</v>
      </c>
      <c r="X161" s="439">
        <v>0</v>
      </c>
      <c r="Y161" s="439">
        <v>0</v>
      </c>
      <c r="AQ161" t="s">
        <v>904</v>
      </c>
    </row>
    <row r="162" spans="3:43" x14ac:dyDescent="0.3">
      <c r="G162" s="13"/>
    </row>
    <row r="163" spans="3:43" x14ac:dyDescent="0.3">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3">
      <c r="G164" s="13"/>
    </row>
    <row r="165" spans="3:43" x14ac:dyDescent="0.3">
      <c r="D165" s="29" t="s">
        <v>1130</v>
      </c>
      <c r="G165" s="13"/>
      <c r="I165" t="s">
        <v>153</v>
      </c>
      <c r="AQ165" t="s">
        <v>1144</v>
      </c>
    </row>
    <row r="166" spans="3:43" x14ac:dyDescent="0.3">
      <c r="D166" s="29" t="s">
        <v>1131</v>
      </c>
      <c r="G166" s="13"/>
    </row>
    <row r="167" spans="3:43" x14ac:dyDescent="0.3">
      <c r="G167" s="13"/>
    </row>
    <row r="168" spans="3:43" x14ac:dyDescent="0.3">
      <c r="E168" s="32" t="s">
        <v>991</v>
      </c>
      <c r="G168" s="13"/>
      <c r="J168" s="292" t="s">
        <v>982</v>
      </c>
      <c r="K168" s="292" t="s">
        <v>987</v>
      </c>
      <c r="L168" s="292" t="s">
        <v>988</v>
      </c>
      <c r="M168" s="292" t="s">
        <v>989</v>
      </c>
      <c r="N168" s="292" t="s">
        <v>990</v>
      </c>
    </row>
    <row r="169" spans="3:43" x14ac:dyDescent="0.3">
      <c r="E169" s="32"/>
      <c r="F169" s="78" t="s">
        <v>246</v>
      </c>
      <c r="G169" s="78" t="s">
        <v>166</v>
      </c>
      <c r="H169" s="408"/>
      <c r="I169" s="23"/>
      <c r="J169" s="423">
        <v>6.2189580752375685E-7</v>
      </c>
      <c r="K169" s="423">
        <v>3.6035864543102654E-2</v>
      </c>
      <c r="L169" s="423">
        <v>0.15830856130881329</v>
      </c>
      <c r="M169" s="423">
        <v>0.20212065217172787</v>
      </c>
      <c r="N169" s="423">
        <v>0.60353430008054865</v>
      </c>
    </row>
    <row r="170" spans="3:43" x14ac:dyDescent="0.3">
      <c r="E170" s="32"/>
      <c r="F170" s="342" t="s">
        <v>247</v>
      </c>
      <c r="G170" s="342" t="s">
        <v>166</v>
      </c>
      <c r="H170" s="409"/>
      <c r="I170" s="303"/>
      <c r="J170" s="424">
        <v>6.2189580752375685E-7</v>
      </c>
      <c r="K170" s="424">
        <v>3.6035864543102654E-2</v>
      </c>
      <c r="L170" s="424">
        <v>0.15830856130881329</v>
      </c>
      <c r="M170" s="424">
        <v>0.20212065217172787</v>
      </c>
      <c r="N170" s="424">
        <v>0.60353430008054876</v>
      </c>
    </row>
    <row r="171" spans="3:43" x14ac:dyDescent="0.3">
      <c r="E171" s="32"/>
      <c r="F171" s="80" t="s">
        <v>248</v>
      </c>
      <c r="G171" s="80" t="s">
        <v>166</v>
      </c>
      <c r="H171" s="410"/>
      <c r="I171" s="37"/>
      <c r="J171" s="425">
        <v>6.2189580752375675E-7</v>
      </c>
      <c r="K171" s="425">
        <v>3.6035864543102654E-2</v>
      </c>
      <c r="L171" s="425">
        <v>0.15830856130881329</v>
      </c>
      <c r="M171" s="425">
        <v>0.20212065217172784</v>
      </c>
      <c r="N171" s="425">
        <v>0.60353430008054865</v>
      </c>
    </row>
    <row r="172" spans="3:43" x14ac:dyDescent="0.3">
      <c r="E172" s="253"/>
      <c r="F172" s="235"/>
      <c r="G172" s="235"/>
      <c r="H172" s="252"/>
      <c r="I172" s="252"/>
      <c r="J172" s="254"/>
      <c r="K172" s="254"/>
      <c r="L172" s="254"/>
      <c r="M172" s="254"/>
      <c r="N172" s="254"/>
    </row>
    <row r="173" spans="3:43" x14ac:dyDescent="0.3">
      <c r="E173" s="32" t="s">
        <v>992</v>
      </c>
      <c r="G173" s="13"/>
      <c r="J173" s="292" t="s">
        <v>982</v>
      </c>
      <c r="K173" s="292" t="s">
        <v>987</v>
      </c>
      <c r="L173" s="292" t="s">
        <v>988</v>
      </c>
      <c r="M173" s="292" t="s">
        <v>989</v>
      </c>
      <c r="N173" s="292" t="s">
        <v>990</v>
      </c>
    </row>
    <row r="174" spans="3:43" x14ac:dyDescent="0.3">
      <c r="E174" s="32"/>
      <c r="F174" s="78" t="s">
        <v>246</v>
      </c>
      <c r="G174" s="78" t="s">
        <v>166</v>
      </c>
      <c r="H174" s="408"/>
      <c r="I174" s="23"/>
      <c r="J174" s="423">
        <v>6.2189580752375685E-7</v>
      </c>
      <c r="K174" s="423">
        <v>3.6035864543102654E-2</v>
      </c>
      <c r="L174" s="423">
        <v>0.15830856130881329</v>
      </c>
      <c r="M174" s="423">
        <v>0.20212065217172787</v>
      </c>
      <c r="N174" s="423">
        <v>0.60353430008054865</v>
      </c>
    </row>
    <row r="175" spans="3:43" x14ac:dyDescent="0.3">
      <c r="E175" s="32"/>
      <c r="F175" s="342" t="s">
        <v>247</v>
      </c>
      <c r="G175" s="342" t="s">
        <v>166</v>
      </c>
      <c r="H175" s="409"/>
      <c r="I175" s="303"/>
      <c r="J175" s="424">
        <v>6.2189580752375685E-7</v>
      </c>
      <c r="K175" s="424">
        <v>3.6035864543102654E-2</v>
      </c>
      <c r="L175" s="424">
        <v>0.15830856130881329</v>
      </c>
      <c r="M175" s="424">
        <v>0.20212065217172787</v>
      </c>
      <c r="N175" s="424">
        <v>0.60353430008054876</v>
      </c>
    </row>
    <row r="176" spans="3:43" x14ac:dyDescent="0.3">
      <c r="E176" s="32"/>
      <c r="F176" s="80" t="s">
        <v>248</v>
      </c>
      <c r="G176" s="80" t="s">
        <v>166</v>
      </c>
      <c r="H176" s="410"/>
      <c r="I176" s="37"/>
      <c r="J176" s="425">
        <v>6.2189580752375675E-7</v>
      </c>
      <c r="K176" s="425">
        <v>3.6035864543102654E-2</v>
      </c>
      <c r="L176" s="425">
        <v>0.15830856130881329</v>
      </c>
      <c r="M176" s="425">
        <v>0.20212065217172784</v>
      </c>
      <c r="N176" s="425">
        <v>0.60353430008054865</v>
      </c>
    </row>
    <row r="177" spans="3:43" x14ac:dyDescent="0.3">
      <c r="E177" s="253"/>
      <c r="F177" s="235"/>
      <c r="G177" s="235"/>
      <c r="H177" s="252"/>
      <c r="I177" s="252"/>
      <c r="J177" s="254"/>
      <c r="K177" s="254"/>
      <c r="L177" s="254"/>
      <c r="M177" s="254"/>
      <c r="N177" s="254"/>
    </row>
    <row r="178" spans="3:43" x14ac:dyDescent="0.3">
      <c r="E178" s="32" t="s">
        <v>993</v>
      </c>
      <c r="G178" s="13"/>
      <c r="J178" s="292" t="s">
        <v>982</v>
      </c>
      <c r="K178" s="292" t="s">
        <v>987</v>
      </c>
      <c r="L178" s="292" t="s">
        <v>988</v>
      </c>
      <c r="M178" s="292" t="s">
        <v>989</v>
      </c>
      <c r="N178" s="292" t="s">
        <v>990</v>
      </c>
    </row>
    <row r="179" spans="3:43" x14ac:dyDescent="0.3">
      <c r="E179" s="32"/>
      <c r="F179" s="78" t="s">
        <v>246</v>
      </c>
      <c r="G179" s="78" t="s">
        <v>166</v>
      </c>
      <c r="H179" s="408"/>
      <c r="I179" s="23"/>
      <c r="J179" s="423">
        <v>6.2189580752375685E-7</v>
      </c>
      <c r="K179" s="423">
        <v>3.6035864543102654E-2</v>
      </c>
      <c r="L179" s="423">
        <v>0.15830856130881329</v>
      </c>
      <c r="M179" s="423">
        <v>0.20212065217172787</v>
      </c>
      <c r="N179" s="423">
        <v>0.60353430008054865</v>
      </c>
    </row>
    <row r="180" spans="3:43" x14ac:dyDescent="0.3">
      <c r="E180" s="32"/>
      <c r="F180" s="342" t="s">
        <v>247</v>
      </c>
      <c r="G180" s="342" t="s">
        <v>166</v>
      </c>
      <c r="H180" s="409"/>
      <c r="I180" s="303"/>
      <c r="J180" s="424">
        <v>6.2189580752375685E-7</v>
      </c>
      <c r="K180" s="424">
        <v>3.6035864543102654E-2</v>
      </c>
      <c r="L180" s="424">
        <v>0.15830856130881329</v>
      </c>
      <c r="M180" s="424">
        <v>0.20212065217172787</v>
      </c>
      <c r="N180" s="424">
        <v>0.60353430008054876</v>
      </c>
    </row>
    <row r="181" spans="3:43" x14ac:dyDescent="0.3">
      <c r="E181" s="32"/>
      <c r="F181" s="80" t="s">
        <v>248</v>
      </c>
      <c r="G181" s="80" t="s">
        <v>166</v>
      </c>
      <c r="H181" s="410"/>
      <c r="I181" s="37"/>
      <c r="J181" s="425">
        <v>6.2189580752375675E-7</v>
      </c>
      <c r="K181" s="425">
        <v>3.6035864543102654E-2</v>
      </c>
      <c r="L181" s="425">
        <v>0.15830856130881329</v>
      </c>
      <c r="M181" s="425">
        <v>0.20212065217172784</v>
      </c>
      <c r="N181" s="425">
        <v>0.60353430008054865</v>
      </c>
    </row>
    <row r="182" spans="3:43" x14ac:dyDescent="0.3">
      <c r="E182" s="253"/>
      <c r="F182" s="235"/>
      <c r="G182" s="235"/>
      <c r="H182" s="252"/>
      <c r="I182" s="252"/>
      <c r="J182" s="254"/>
      <c r="K182" s="254"/>
      <c r="L182" s="254"/>
      <c r="M182" s="254"/>
      <c r="N182" s="255"/>
      <c r="O182" s="255"/>
      <c r="P182" s="255"/>
      <c r="Q182" s="254"/>
      <c r="R182" s="254"/>
      <c r="S182" s="254"/>
      <c r="T182" s="255"/>
      <c r="U182" s="254"/>
      <c r="V182" s="255"/>
      <c r="W182" s="254"/>
      <c r="X182" s="255"/>
      <c r="Y182" s="254"/>
      <c r="Z182" s="252"/>
      <c r="AA182" s="252"/>
      <c r="AB182" s="252"/>
      <c r="AC182" s="252"/>
      <c r="AD182" s="252"/>
      <c r="AE182" s="252"/>
      <c r="AF182" s="252"/>
      <c r="AG182" s="252"/>
      <c r="AH182" s="252"/>
      <c r="AI182" s="252"/>
      <c r="AJ182" s="252"/>
      <c r="AK182" s="252"/>
      <c r="AL182" s="252"/>
      <c r="AM182" s="252"/>
      <c r="AN182" s="252"/>
      <c r="AO182" s="252"/>
      <c r="AP182" s="252"/>
    </row>
    <row r="183" spans="3:43" x14ac:dyDescent="0.3">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3">
      <c r="G184" s="13"/>
    </row>
    <row r="185" spans="3:43" x14ac:dyDescent="0.3">
      <c r="D185" s="29" t="s">
        <v>257</v>
      </c>
      <c r="H185" s="63"/>
    </row>
    <row r="186" spans="3:43" x14ac:dyDescent="0.3">
      <c r="G186" s="13"/>
      <c r="I186" t="s">
        <v>153</v>
      </c>
      <c r="AQ186" t="s">
        <v>258</v>
      </c>
    </row>
    <row r="187" spans="3:43" x14ac:dyDescent="0.3">
      <c r="D187" s="88"/>
      <c r="E187" t="s">
        <v>259</v>
      </c>
      <c r="G187" t="s">
        <v>260</v>
      </c>
      <c r="H187" s="51"/>
      <c r="J187" s="433">
        <v>586.26947268314552</v>
      </c>
      <c r="K187" s="79"/>
      <c r="L187" s="433">
        <v>586.26947268314552</v>
      </c>
      <c r="M187" s="79"/>
      <c r="N187" s="433">
        <v>2741.3031426249267</v>
      </c>
      <c r="O187" s="433">
        <v>8847.8085665497201</v>
      </c>
      <c r="P187" s="79"/>
      <c r="Q187" s="79"/>
      <c r="R187" s="433">
        <v>0</v>
      </c>
      <c r="S187" s="433">
        <v>0</v>
      </c>
      <c r="T187" s="433">
        <v>0</v>
      </c>
      <c r="U187" s="433">
        <v>0</v>
      </c>
      <c r="V187" s="433">
        <v>0</v>
      </c>
      <c r="W187" s="433">
        <v>0</v>
      </c>
      <c r="X187" s="79"/>
      <c r="Y187" s="79"/>
    </row>
    <row r="188" spans="3:43" x14ac:dyDescent="0.3">
      <c r="D188" s="88"/>
      <c r="E188" t="s">
        <v>261</v>
      </c>
      <c r="G188" t="s">
        <v>260</v>
      </c>
      <c r="H188" s="51"/>
      <c r="J188" s="79"/>
      <c r="K188" s="79"/>
      <c r="L188" s="79"/>
      <c r="M188" s="79"/>
      <c r="N188" s="79"/>
      <c r="O188" s="79"/>
      <c r="P188" s="433">
        <v>19455.151334465525</v>
      </c>
      <c r="Q188" s="79"/>
      <c r="R188" s="79"/>
      <c r="S188" s="79"/>
      <c r="T188" s="79"/>
      <c r="U188" s="79"/>
      <c r="V188" s="79"/>
      <c r="W188" s="79"/>
      <c r="X188" s="433">
        <v>1310.0462107208873</v>
      </c>
      <c r="Y188" s="433">
        <v>1310.0462107208873</v>
      </c>
    </row>
    <row r="189" spans="3:43" x14ac:dyDescent="0.3">
      <c r="G189" s="13"/>
      <c r="J189" s="89"/>
      <c r="K189" s="89"/>
      <c r="L189" s="89"/>
      <c r="M189" s="89"/>
      <c r="N189" s="89"/>
      <c r="O189" s="89"/>
      <c r="P189" s="89"/>
      <c r="Q189" s="89"/>
      <c r="R189" s="89"/>
      <c r="S189" s="89"/>
      <c r="T189" s="89"/>
      <c r="U189" s="89"/>
      <c r="V189" s="89"/>
      <c r="W189" s="89"/>
      <c r="X189" s="89"/>
      <c r="Y189" s="89"/>
    </row>
    <row r="190" spans="3:43" x14ac:dyDescent="0.3">
      <c r="D190" s="88"/>
      <c r="E190" t="s">
        <v>262</v>
      </c>
      <c r="G190" t="s">
        <v>263</v>
      </c>
      <c r="I190" t="s">
        <v>153</v>
      </c>
      <c r="J190" s="79"/>
      <c r="K190" s="79"/>
      <c r="L190" s="79"/>
      <c r="M190" s="79"/>
      <c r="N190" s="79"/>
      <c r="O190" s="79"/>
      <c r="P190" s="79"/>
      <c r="Q190" s="433">
        <v>925.70157191985481</v>
      </c>
      <c r="R190" s="79"/>
      <c r="S190" s="79"/>
      <c r="T190" s="79"/>
      <c r="U190" s="79"/>
      <c r="V190" s="79"/>
      <c r="W190" s="79"/>
      <c r="X190" s="79"/>
      <c r="Y190" s="79"/>
      <c r="AQ190" t="s">
        <v>264</v>
      </c>
    </row>
    <row r="191" spans="3:43" x14ac:dyDescent="0.3">
      <c r="D191" s="88"/>
      <c r="J191" s="89"/>
      <c r="K191" s="89"/>
      <c r="L191" s="89"/>
      <c r="M191" s="89"/>
      <c r="N191" s="89"/>
      <c r="O191" s="89"/>
      <c r="P191" s="89"/>
      <c r="Q191" s="89"/>
      <c r="R191" s="89"/>
      <c r="S191" s="89"/>
      <c r="T191" s="89"/>
      <c r="U191" s="89"/>
      <c r="V191" s="89"/>
      <c r="W191" s="89"/>
      <c r="X191" s="89"/>
      <c r="Y191" s="89"/>
    </row>
    <row r="192" spans="3:43" x14ac:dyDescent="0.3">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3">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3">
      <c r="D194" s="29" t="s">
        <v>265</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3">
      <c r="D195" s="91" t="s">
        <v>266</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3">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43.2" x14ac:dyDescent="0.3">
      <c r="E197" s="32" t="s">
        <v>267</v>
      </c>
      <c r="G197" s="13"/>
      <c r="J197" s="114" t="s">
        <v>912</v>
      </c>
      <c r="K197" s="114" t="s">
        <v>830</v>
      </c>
      <c r="L197" s="114" t="s">
        <v>913</v>
      </c>
      <c r="M197" s="114" t="s">
        <v>914</v>
      </c>
      <c r="N197" s="114" t="s">
        <v>915</v>
      </c>
      <c r="O197" s="114" t="s">
        <v>916</v>
      </c>
      <c r="P197" s="114" t="s">
        <v>917</v>
      </c>
      <c r="Q197" s="114" t="s">
        <v>831</v>
      </c>
      <c r="R197" s="114" t="s">
        <v>918</v>
      </c>
      <c r="S197" s="114" t="s">
        <v>919</v>
      </c>
      <c r="T197" s="114" t="s">
        <v>920</v>
      </c>
      <c r="U197" s="114" t="s">
        <v>921</v>
      </c>
      <c r="V197" s="114" t="s">
        <v>922</v>
      </c>
      <c r="W197" s="114" t="s">
        <v>923</v>
      </c>
      <c r="X197" s="114" t="s">
        <v>924</v>
      </c>
      <c r="Y197" s="114" t="s">
        <v>925</v>
      </c>
      <c r="Z197" s="114" t="s">
        <v>926</v>
      </c>
      <c r="AA197" s="114" t="s">
        <v>927</v>
      </c>
      <c r="AB197" s="114" t="s">
        <v>928</v>
      </c>
      <c r="AC197" s="114" t="s">
        <v>929</v>
      </c>
      <c r="AD197" s="114" t="s">
        <v>930</v>
      </c>
      <c r="AE197" s="114" t="s">
        <v>931</v>
      </c>
      <c r="AF197" s="114" t="s">
        <v>932</v>
      </c>
      <c r="AG197" s="114" t="s">
        <v>840</v>
      </c>
      <c r="AH197" s="114" t="s">
        <v>832</v>
      </c>
      <c r="AI197" s="114" t="s">
        <v>833</v>
      </c>
      <c r="AJ197" s="114" t="s">
        <v>834</v>
      </c>
      <c r="AK197" s="114" t="s">
        <v>843</v>
      </c>
      <c r="AL197" s="114" t="s">
        <v>835</v>
      </c>
      <c r="AM197" s="114" t="s">
        <v>842</v>
      </c>
      <c r="AN197" s="114" t="s">
        <v>836</v>
      </c>
      <c r="AO197" s="114" t="s">
        <v>841</v>
      </c>
    </row>
    <row r="198" spans="3:43" x14ac:dyDescent="0.3">
      <c r="D198" s="32"/>
      <c r="F198" s="23" t="s">
        <v>155</v>
      </c>
      <c r="G198" s="23" t="s">
        <v>268</v>
      </c>
      <c r="H198" s="23"/>
      <c r="I198" s="23"/>
      <c r="J198" s="426">
        <v>9.1803814083127246</v>
      </c>
      <c r="K198" s="426">
        <v>9.1803814083127246</v>
      </c>
      <c r="L198" s="426">
        <f>+M198</f>
        <v>10.248716565721606</v>
      </c>
      <c r="M198" s="426">
        <v>10.248716565721606</v>
      </c>
      <c r="N198" s="426">
        <f>+M198</f>
        <v>10.248716565721606</v>
      </c>
      <c r="O198" s="426">
        <f>+N198</f>
        <v>10.248716565721606</v>
      </c>
      <c r="P198" s="426">
        <f>+O198</f>
        <v>10.248716565721606</v>
      </c>
      <c r="Q198" s="426">
        <v>10.248716565721606</v>
      </c>
      <c r="R198" s="426">
        <v>7.7649879930657857</v>
      </c>
      <c r="S198" s="426">
        <f>+R198</f>
        <v>7.7649879930657857</v>
      </c>
      <c r="T198" s="426">
        <f t="shared" ref="T198:V198" si="0">+S198</f>
        <v>7.7649879930657857</v>
      </c>
      <c r="U198" s="426">
        <f t="shared" si="0"/>
        <v>7.7649879930657857</v>
      </c>
      <c r="V198" s="426">
        <f t="shared" si="0"/>
        <v>7.7649879930657857</v>
      </c>
      <c r="W198" s="426">
        <v>6.2532285920667201</v>
      </c>
      <c r="X198" s="426">
        <f>W198</f>
        <v>6.2532285920667201</v>
      </c>
      <c r="Y198" s="426">
        <f t="shared" ref="Y198:AA198" si="1">X198</f>
        <v>6.2532285920667201</v>
      </c>
      <c r="Z198" s="426">
        <f t="shared" si="1"/>
        <v>6.2532285920667201</v>
      </c>
      <c r="AA198" s="426">
        <f t="shared" si="1"/>
        <v>6.2532285920667201</v>
      </c>
      <c r="AB198" s="426">
        <v>4.5041150978009261</v>
      </c>
      <c r="AC198" s="426">
        <f>AB198</f>
        <v>4.5041150978009261</v>
      </c>
      <c r="AD198" s="426">
        <f t="shared" ref="AD198:AF198" si="2">AC198</f>
        <v>4.5041150978009261</v>
      </c>
      <c r="AE198" s="426">
        <f t="shared" si="2"/>
        <v>4.5041150978009261</v>
      </c>
      <c r="AF198" s="426">
        <f t="shared" si="2"/>
        <v>4.5041150978009261</v>
      </c>
      <c r="AG198" s="426">
        <v>17.522107696624005</v>
      </c>
      <c r="AH198" s="426">
        <v>-6.7741813067944729</v>
      </c>
      <c r="AI198" s="426">
        <v>-5.5987083011732972</v>
      </c>
      <c r="AJ198" s="426">
        <v>-6.7741813067944729</v>
      </c>
      <c r="AK198" s="426">
        <f>AJ198</f>
        <v>-6.7741813067944729</v>
      </c>
      <c r="AL198" s="426">
        <v>-5.5987083011732972</v>
      </c>
      <c r="AM198" s="426">
        <f>+AL198</f>
        <v>-5.5987083011732972</v>
      </c>
      <c r="AN198" s="426">
        <v>-4.2519221851466371</v>
      </c>
      <c r="AO198" s="426">
        <f>+AN198</f>
        <v>-4.2519221851466371</v>
      </c>
    </row>
    <row r="199" spans="3:43" x14ac:dyDescent="0.3">
      <c r="D199" s="32"/>
      <c r="F199" s="303" t="s">
        <v>156</v>
      </c>
      <c r="G199" s="303" t="s">
        <v>268</v>
      </c>
      <c r="H199" s="303"/>
      <c r="I199" s="303"/>
      <c r="J199" s="427">
        <v>1.8805456221506318</v>
      </c>
      <c r="K199" s="427">
        <v>1.8805456221506318</v>
      </c>
      <c r="L199" s="427">
        <f>+M199</f>
        <v>2.0522743010683651</v>
      </c>
      <c r="M199" s="427">
        <v>2.0522743010683651</v>
      </c>
      <c r="N199" s="427">
        <f t="shared" ref="N199:P199" si="3">+M199</f>
        <v>2.0522743010683651</v>
      </c>
      <c r="O199" s="427">
        <f t="shared" si="3"/>
        <v>2.0522743010683651</v>
      </c>
      <c r="P199" s="427">
        <f t="shared" si="3"/>
        <v>2.0522743010683651</v>
      </c>
      <c r="Q199" s="427">
        <v>2.0522743010683651</v>
      </c>
      <c r="R199" s="427">
        <v>1.5653444654355066</v>
      </c>
      <c r="S199" s="427">
        <f t="shared" ref="S199:V199" si="4">+R199</f>
        <v>1.5653444654355066</v>
      </c>
      <c r="T199" s="427">
        <f t="shared" si="4"/>
        <v>1.5653444654355066</v>
      </c>
      <c r="U199" s="427">
        <f t="shared" si="4"/>
        <v>1.5653444654355066</v>
      </c>
      <c r="V199" s="427">
        <f t="shared" si="4"/>
        <v>1.5653444654355066</v>
      </c>
      <c r="W199" s="427">
        <v>1.2692633037069587</v>
      </c>
      <c r="X199" s="427">
        <f t="shared" ref="X199:AA199" si="5">W199</f>
        <v>1.2692633037069587</v>
      </c>
      <c r="Y199" s="427">
        <f t="shared" si="5"/>
        <v>1.2692633037069587</v>
      </c>
      <c r="Z199" s="427">
        <f t="shared" si="5"/>
        <v>1.2692633037069587</v>
      </c>
      <c r="AA199" s="427">
        <f t="shared" si="5"/>
        <v>1.2692633037069587</v>
      </c>
      <c r="AB199" s="427">
        <v>0.94753377621146961</v>
      </c>
      <c r="AC199" s="427">
        <f t="shared" ref="AC199:AF199" si="6">AB199</f>
        <v>0.94753377621146961</v>
      </c>
      <c r="AD199" s="427">
        <f t="shared" si="6"/>
        <v>0.94753377621146961</v>
      </c>
      <c r="AE199" s="427">
        <f t="shared" si="6"/>
        <v>0.94753377621146961</v>
      </c>
      <c r="AF199" s="427">
        <f t="shared" si="6"/>
        <v>0.94753377621146961</v>
      </c>
      <c r="AG199" s="427">
        <v>3.6041670136886585</v>
      </c>
      <c r="AH199" s="427">
        <v>-1.08891034662429</v>
      </c>
      <c r="AI199" s="427">
        <v>-0.84671422114183248</v>
      </c>
      <c r="AJ199" s="427">
        <v>-1.08891034662429</v>
      </c>
      <c r="AK199" s="427">
        <f>+AJ199</f>
        <v>-1.08891034662429</v>
      </c>
      <c r="AL199" s="427">
        <v>-0.84671422114183248</v>
      </c>
      <c r="AM199" s="427">
        <f>+AL199</f>
        <v>-0.84671422114183248</v>
      </c>
      <c r="AN199" s="427">
        <v>-0.55783163000939984</v>
      </c>
      <c r="AO199" s="427">
        <f>+AN199</f>
        <v>-0.55783163000939984</v>
      </c>
    </row>
    <row r="200" spans="3:43" x14ac:dyDescent="0.3">
      <c r="D200" s="32"/>
      <c r="F200" s="303" t="s">
        <v>157</v>
      </c>
      <c r="G200" s="303" t="s">
        <v>268</v>
      </c>
      <c r="H200" s="303"/>
      <c r="I200" s="303"/>
      <c r="J200" s="427">
        <v>0.68593056534985286</v>
      </c>
      <c r="K200" s="427">
        <v>0.68593056534985286</v>
      </c>
      <c r="L200" s="427">
        <f>+M200</f>
        <v>0.71092997108844502</v>
      </c>
      <c r="M200" s="427">
        <v>0.71092997108844502</v>
      </c>
      <c r="N200" s="427">
        <f t="shared" ref="N200:P200" si="7">+M200</f>
        <v>0.71092997108844502</v>
      </c>
      <c r="O200" s="427">
        <f t="shared" si="7"/>
        <v>0.71092997108844502</v>
      </c>
      <c r="P200" s="427">
        <f t="shared" si="7"/>
        <v>0.71092997108844502</v>
      </c>
      <c r="Q200" s="427">
        <v>0.71092997108844502</v>
      </c>
      <c r="R200" s="427">
        <v>0.6418161528592663</v>
      </c>
      <c r="S200" s="427">
        <f t="shared" ref="S200:V200" si="8">+R200</f>
        <v>0.6418161528592663</v>
      </c>
      <c r="T200" s="427">
        <f t="shared" si="8"/>
        <v>0.6418161528592663</v>
      </c>
      <c r="U200" s="427">
        <f t="shared" si="8"/>
        <v>0.6418161528592663</v>
      </c>
      <c r="V200" s="427">
        <f t="shared" si="8"/>
        <v>0.6418161528592663</v>
      </c>
      <c r="W200" s="427">
        <v>0.59978609837429864</v>
      </c>
      <c r="X200" s="427">
        <f t="shared" ref="X200:AA200" si="9">W200</f>
        <v>0.59978609837429864</v>
      </c>
      <c r="Y200" s="427">
        <f t="shared" si="9"/>
        <v>0.59978609837429864</v>
      </c>
      <c r="Z200" s="427">
        <f t="shared" si="9"/>
        <v>0.59978609837429864</v>
      </c>
      <c r="AA200" s="427">
        <f t="shared" si="9"/>
        <v>0.59978609837429864</v>
      </c>
      <c r="AB200" s="427">
        <v>0.55376971617018966</v>
      </c>
      <c r="AC200" s="427">
        <f t="shared" ref="AC200:AF200" si="10">AB200</f>
        <v>0.55376971617018966</v>
      </c>
      <c r="AD200" s="427">
        <f t="shared" si="10"/>
        <v>0.55376971617018966</v>
      </c>
      <c r="AE200" s="427">
        <f t="shared" si="10"/>
        <v>0.55376971617018966</v>
      </c>
      <c r="AF200" s="427">
        <f t="shared" si="10"/>
        <v>0.55376971617018966</v>
      </c>
      <c r="AG200" s="427">
        <v>2.7138435387353521</v>
      </c>
      <c r="AH200" s="427">
        <v>-0.15851814466733588</v>
      </c>
      <c r="AI200" s="427">
        <v>-0.1243358601464169</v>
      </c>
      <c r="AJ200" s="427">
        <v>-0.15851814466733588</v>
      </c>
      <c r="AK200" s="427">
        <f>+AJ200</f>
        <v>-0.15851814466733588</v>
      </c>
      <c r="AL200" s="427">
        <v>-0.1243358601464169</v>
      </c>
      <c r="AM200" s="427">
        <f>+AL200</f>
        <v>-0.1243358601464169</v>
      </c>
      <c r="AN200" s="427">
        <v>-8.3743949023261655E-2</v>
      </c>
      <c r="AO200" s="427">
        <f>+AN200</f>
        <v>-8.3743949023261655E-2</v>
      </c>
    </row>
    <row r="201" spans="3:43" x14ac:dyDescent="0.3">
      <c r="D201" s="32"/>
      <c r="F201" s="303" t="s">
        <v>158</v>
      </c>
      <c r="G201" s="303" t="s">
        <v>269</v>
      </c>
      <c r="H201" s="303"/>
      <c r="I201" s="303"/>
      <c r="J201" s="427">
        <v>4.1686809374723941</v>
      </c>
      <c r="K201" s="322"/>
      <c r="L201" s="427">
        <f>+M201</f>
        <v>4.1686809374723941</v>
      </c>
      <c r="M201" s="427">
        <v>4.1686809374723941</v>
      </c>
      <c r="N201" s="427">
        <f t="shared" ref="N201:P201" si="11">+M201</f>
        <v>4.1686809374723941</v>
      </c>
      <c r="O201" s="427">
        <f t="shared" si="11"/>
        <v>4.1686809374723941</v>
      </c>
      <c r="P201" s="427">
        <f t="shared" si="11"/>
        <v>4.1686809374723941</v>
      </c>
      <c r="Q201" s="322"/>
      <c r="R201" s="427">
        <v>16.980486651355562</v>
      </c>
      <c r="S201" s="427">
        <f t="shared" ref="S201:V201" si="12">+R201</f>
        <v>16.980486651355562</v>
      </c>
      <c r="T201" s="427">
        <f t="shared" si="12"/>
        <v>16.980486651355562</v>
      </c>
      <c r="U201" s="427">
        <f t="shared" si="12"/>
        <v>16.980486651355562</v>
      </c>
      <c r="V201" s="427">
        <f t="shared" si="12"/>
        <v>16.980486651355562</v>
      </c>
      <c r="W201" s="427">
        <v>54.806085807126372</v>
      </c>
      <c r="X201" s="427">
        <f t="shared" ref="X201:AA201" si="13">W201</f>
        <v>54.806085807126372</v>
      </c>
      <c r="Y201" s="427">
        <f t="shared" si="13"/>
        <v>54.806085807126372</v>
      </c>
      <c r="Z201" s="427">
        <f t="shared" si="13"/>
        <v>54.806085807126372</v>
      </c>
      <c r="AA201" s="427">
        <f t="shared" si="13"/>
        <v>54.806085807126372</v>
      </c>
      <c r="AB201" s="427">
        <v>120.51127523921377</v>
      </c>
      <c r="AC201" s="427">
        <f t="shared" ref="AC201:AF201" si="14">AB201</f>
        <v>120.51127523921377</v>
      </c>
      <c r="AD201" s="427">
        <f t="shared" si="14"/>
        <v>120.51127523921377</v>
      </c>
      <c r="AE201" s="427">
        <f t="shared" si="14"/>
        <v>120.51127523921377</v>
      </c>
      <c r="AF201" s="427">
        <f t="shared" si="14"/>
        <v>120.51127523921377</v>
      </c>
      <c r="AG201" s="322"/>
      <c r="AH201" s="322"/>
      <c r="AI201" s="322"/>
      <c r="AJ201" s="322"/>
      <c r="AK201" s="322"/>
      <c r="AL201" s="322"/>
      <c r="AM201" s="322"/>
      <c r="AN201" s="427">
        <v>8.1148348199477542</v>
      </c>
      <c r="AO201" s="427">
        <f>+AN201</f>
        <v>8.1148348199477542</v>
      </c>
    </row>
    <row r="202" spans="3:43" x14ac:dyDescent="0.3">
      <c r="D202" s="32"/>
      <c r="F202" s="303" t="s">
        <v>159</v>
      </c>
      <c r="G202" s="303" t="s">
        <v>270</v>
      </c>
      <c r="H202" s="303"/>
      <c r="I202" s="303"/>
      <c r="J202" s="322"/>
      <c r="K202" s="322"/>
      <c r="L202" s="322"/>
      <c r="M202" s="322"/>
      <c r="N202" s="322"/>
      <c r="O202" s="322"/>
      <c r="P202" s="322"/>
      <c r="Q202" s="322"/>
      <c r="R202" s="427">
        <v>3.2611547930687497</v>
      </c>
      <c r="S202" s="427">
        <f t="shared" ref="S202:V202" si="15">+R202</f>
        <v>3.2611547930687497</v>
      </c>
      <c r="T202" s="427">
        <f t="shared" si="15"/>
        <v>3.2611547930687497</v>
      </c>
      <c r="U202" s="427">
        <f t="shared" si="15"/>
        <v>3.2611547930687497</v>
      </c>
      <c r="V202" s="427">
        <f t="shared" si="15"/>
        <v>3.2611547930687497</v>
      </c>
      <c r="W202" s="427">
        <v>3.3426854960088237</v>
      </c>
      <c r="X202" s="427">
        <f t="shared" ref="X202:AA202" si="16">W202</f>
        <v>3.3426854960088237</v>
      </c>
      <c r="Y202" s="427">
        <f t="shared" si="16"/>
        <v>3.3426854960088237</v>
      </c>
      <c r="Z202" s="427">
        <f t="shared" si="16"/>
        <v>3.3426854960088237</v>
      </c>
      <c r="AA202" s="427">
        <f t="shared" si="16"/>
        <v>3.3426854960088237</v>
      </c>
      <c r="AB202" s="427">
        <v>3.1858038920470904</v>
      </c>
      <c r="AC202" s="427">
        <f t="shared" ref="AC202:AF202" si="17">AB202</f>
        <v>3.1858038920470904</v>
      </c>
      <c r="AD202" s="427">
        <f t="shared" si="17"/>
        <v>3.1858038920470904</v>
      </c>
      <c r="AE202" s="427">
        <f t="shared" si="17"/>
        <v>3.1858038920470904</v>
      </c>
      <c r="AF202" s="427">
        <f t="shared" si="17"/>
        <v>3.1858038920470904</v>
      </c>
      <c r="AG202" s="322"/>
      <c r="AH202" s="322"/>
      <c r="AI202" s="322"/>
      <c r="AJ202" s="322"/>
      <c r="AK202" s="322"/>
      <c r="AL202" s="322"/>
      <c r="AM202" s="322"/>
      <c r="AN202" s="322"/>
      <c r="AO202" s="322"/>
    </row>
    <row r="203" spans="3:43" x14ac:dyDescent="0.3">
      <c r="C203" s="303"/>
      <c r="D203" s="381"/>
      <c r="E203" s="303"/>
      <c r="F203" s="303" t="s">
        <v>160</v>
      </c>
      <c r="G203" s="303" t="s">
        <v>270</v>
      </c>
      <c r="H203" s="303"/>
      <c r="I203" s="303"/>
      <c r="J203" s="322"/>
      <c r="K203" s="322"/>
      <c r="L203" s="322"/>
      <c r="M203" s="322"/>
      <c r="N203" s="322"/>
      <c r="O203" s="322"/>
      <c r="P203" s="322"/>
      <c r="Q203" s="322"/>
      <c r="R203" s="427">
        <v>4.9134964790022604</v>
      </c>
      <c r="S203" s="427">
        <f t="shared" ref="S203:V203" si="18">+R203</f>
        <v>4.9134964790022604</v>
      </c>
      <c r="T203" s="427">
        <f t="shared" si="18"/>
        <v>4.9134964790022604</v>
      </c>
      <c r="U203" s="427">
        <f t="shared" si="18"/>
        <v>4.9134964790022604</v>
      </c>
      <c r="V203" s="427">
        <f t="shared" si="18"/>
        <v>4.9134964790022604</v>
      </c>
      <c r="W203" s="427">
        <v>5.7591581281844411</v>
      </c>
      <c r="X203" s="427">
        <f t="shared" ref="X203:AA203" si="19">W203</f>
        <v>5.7591581281844411</v>
      </c>
      <c r="Y203" s="427">
        <f t="shared" si="19"/>
        <v>5.7591581281844411</v>
      </c>
      <c r="Z203" s="427">
        <f t="shared" si="19"/>
        <v>5.7591581281844411</v>
      </c>
      <c r="AA203" s="427">
        <f t="shared" si="19"/>
        <v>5.7591581281844411</v>
      </c>
      <c r="AB203" s="427">
        <v>5.8703965715134308</v>
      </c>
      <c r="AC203" s="427">
        <f t="shared" ref="AC203:AF203" si="20">AB203</f>
        <v>5.8703965715134308</v>
      </c>
      <c r="AD203" s="427">
        <f t="shared" si="20"/>
        <v>5.8703965715134308</v>
      </c>
      <c r="AE203" s="427">
        <f t="shared" si="20"/>
        <v>5.8703965715134308</v>
      </c>
      <c r="AF203" s="427">
        <f t="shared" si="20"/>
        <v>5.8703965715134308</v>
      </c>
      <c r="AG203" s="322"/>
      <c r="AH203" s="322"/>
      <c r="AI203" s="322"/>
      <c r="AJ203" s="322"/>
      <c r="AK203" s="322"/>
      <c r="AL203" s="322"/>
      <c r="AM203" s="322"/>
      <c r="AN203" s="322"/>
      <c r="AO203" s="322"/>
    </row>
    <row r="204" spans="3:43" x14ac:dyDescent="0.3">
      <c r="C204" s="303"/>
      <c r="D204" s="381"/>
      <c r="E204" s="303"/>
      <c r="F204" s="37" t="s">
        <v>161</v>
      </c>
      <c r="G204" s="37" t="s">
        <v>271</v>
      </c>
      <c r="H204" s="37"/>
      <c r="I204" s="37"/>
      <c r="J204" s="81"/>
      <c r="K204" s="81"/>
      <c r="L204" s="81"/>
      <c r="M204" s="81"/>
      <c r="N204" s="81"/>
      <c r="O204" s="81"/>
      <c r="P204" s="81"/>
      <c r="Q204" s="81"/>
      <c r="R204" s="428">
        <v>0.21400363187384594</v>
      </c>
      <c r="S204" s="428">
        <f t="shared" ref="S204:V204" si="21">+R204</f>
        <v>0.21400363187384594</v>
      </c>
      <c r="T204" s="428">
        <f t="shared" si="21"/>
        <v>0.21400363187384594</v>
      </c>
      <c r="U204" s="428">
        <f t="shared" si="21"/>
        <v>0.21400363187384594</v>
      </c>
      <c r="V204" s="428">
        <f t="shared" si="21"/>
        <v>0.21400363187384594</v>
      </c>
      <c r="W204" s="428">
        <v>0.16716345734997168</v>
      </c>
      <c r="X204" s="428">
        <f t="shared" ref="X204:AA204" si="22">W204</f>
        <v>0.16716345734997168</v>
      </c>
      <c r="Y204" s="428">
        <f t="shared" si="22"/>
        <v>0.16716345734997168</v>
      </c>
      <c r="Z204" s="428">
        <f t="shared" si="22"/>
        <v>0.16716345734997168</v>
      </c>
      <c r="AA204" s="428">
        <f t="shared" si="22"/>
        <v>0.16716345734997168</v>
      </c>
      <c r="AB204" s="428">
        <v>0.11237638198294203</v>
      </c>
      <c r="AC204" s="428">
        <f t="shared" ref="AC204:AF204" si="23">AB204</f>
        <v>0.11237638198294203</v>
      </c>
      <c r="AD204" s="428">
        <f t="shared" si="23"/>
        <v>0.11237638198294203</v>
      </c>
      <c r="AE204" s="428">
        <f t="shared" si="23"/>
        <v>0.11237638198294203</v>
      </c>
      <c r="AF204" s="428">
        <f t="shared" si="23"/>
        <v>0.11237638198294203</v>
      </c>
      <c r="AG204" s="81"/>
      <c r="AH204" s="428">
        <v>0</v>
      </c>
      <c r="AI204" s="428">
        <v>0</v>
      </c>
      <c r="AJ204" s="428">
        <v>0.1634095540344169</v>
      </c>
      <c r="AK204" s="81"/>
      <c r="AL204" s="428">
        <v>0.142353520419847</v>
      </c>
      <c r="AM204" s="81"/>
      <c r="AN204" s="428">
        <v>0.11676034184459015</v>
      </c>
      <c r="AO204" s="81"/>
    </row>
    <row r="205" spans="3:43" x14ac:dyDescent="0.3">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3">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3">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3">
      <c r="D208" s="29" t="s">
        <v>272</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3">
      <c r="D209" s="91" t="s">
        <v>273</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3">
      <c r="D210" s="29" t="s">
        <v>274</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3">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43.2" x14ac:dyDescent="0.3">
      <c r="F212" s="303"/>
      <c r="G212" s="303"/>
      <c r="H212" s="303"/>
      <c r="I212" s="303"/>
      <c r="J212" s="385" t="s">
        <v>912</v>
      </c>
      <c r="K212" s="385" t="s">
        <v>830</v>
      </c>
      <c r="L212" s="385" t="s">
        <v>913</v>
      </c>
      <c r="M212" s="385" t="s">
        <v>914</v>
      </c>
      <c r="N212" s="385" t="s">
        <v>915</v>
      </c>
      <c r="O212" s="385" t="s">
        <v>916</v>
      </c>
      <c r="P212" s="385" t="s">
        <v>917</v>
      </c>
      <c r="Q212" s="385" t="s">
        <v>831</v>
      </c>
      <c r="R212" s="385" t="s">
        <v>918</v>
      </c>
      <c r="S212" s="385" t="s">
        <v>919</v>
      </c>
      <c r="T212" s="385" t="s">
        <v>920</v>
      </c>
      <c r="U212" s="385" t="s">
        <v>921</v>
      </c>
      <c r="V212" s="385" t="s">
        <v>922</v>
      </c>
      <c r="W212" s="385" t="s">
        <v>923</v>
      </c>
      <c r="X212" s="385" t="s">
        <v>924</v>
      </c>
      <c r="Y212" s="385" t="s">
        <v>925</v>
      </c>
      <c r="Z212" s="385" t="s">
        <v>926</v>
      </c>
      <c r="AA212" s="385" t="s">
        <v>927</v>
      </c>
      <c r="AB212" s="385" t="s">
        <v>928</v>
      </c>
      <c r="AC212" s="385" t="s">
        <v>929</v>
      </c>
      <c r="AD212" s="385" t="s">
        <v>930</v>
      </c>
      <c r="AE212" s="385" t="s">
        <v>931</v>
      </c>
      <c r="AF212" s="385" t="s">
        <v>932</v>
      </c>
      <c r="AG212" s="385" t="s">
        <v>840</v>
      </c>
      <c r="AH212" s="385" t="s">
        <v>832</v>
      </c>
      <c r="AI212" s="385" t="s">
        <v>833</v>
      </c>
      <c r="AJ212" s="385" t="s">
        <v>834</v>
      </c>
      <c r="AK212" s="385" t="s">
        <v>843</v>
      </c>
      <c r="AL212" s="385" t="s">
        <v>835</v>
      </c>
      <c r="AM212" s="385" t="s">
        <v>842</v>
      </c>
      <c r="AN212" s="385" t="s">
        <v>836</v>
      </c>
      <c r="AO212" s="385" t="s">
        <v>841</v>
      </c>
      <c r="AP212" s="303"/>
      <c r="AQ212" s="303"/>
      <c r="AR212" s="303"/>
    </row>
    <row r="213" spans="2:44" x14ac:dyDescent="0.3">
      <c r="E213" s="28" t="s">
        <v>275</v>
      </c>
      <c r="F213" s="303"/>
      <c r="G213" s="303" t="s">
        <v>276</v>
      </c>
      <c r="H213" s="303"/>
      <c r="I213" s="303"/>
      <c r="J213" s="429">
        <v>183984361.67358157</v>
      </c>
      <c r="K213" s="429">
        <v>57201.09603714454</v>
      </c>
      <c r="L213" s="429">
        <v>0</v>
      </c>
      <c r="M213" s="429">
        <v>14924224.482243927</v>
      </c>
      <c r="N213" s="429">
        <v>14924224.482243927</v>
      </c>
      <c r="O213" s="429">
        <v>14924224.482243927</v>
      </c>
      <c r="P213" s="429">
        <v>14924224.482243927</v>
      </c>
      <c r="Q213" s="429">
        <v>126146.24657700799</v>
      </c>
      <c r="R213" s="429">
        <v>0</v>
      </c>
      <c r="S213" s="429">
        <v>15596332.73372785</v>
      </c>
      <c r="T213" s="429">
        <v>15596332.73372785</v>
      </c>
      <c r="U213" s="429">
        <v>15596332.73372785</v>
      </c>
      <c r="V213" s="429">
        <v>15596332.73372785</v>
      </c>
      <c r="W213" s="429">
        <v>0</v>
      </c>
      <c r="X213" s="429">
        <v>6755348.2883451479</v>
      </c>
      <c r="Y213" s="429">
        <v>6755348.2883451479</v>
      </c>
      <c r="Z213" s="429">
        <v>6755348.2883451479</v>
      </c>
      <c r="AA213" s="429">
        <v>6755348.2883451479</v>
      </c>
      <c r="AB213" s="429">
        <v>0</v>
      </c>
      <c r="AC213" s="429">
        <v>18434782.263666593</v>
      </c>
      <c r="AD213" s="429">
        <v>18434782.263666593</v>
      </c>
      <c r="AE213" s="429">
        <v>18434782.263666593</v>
      </c>
      <c r="AF213" s="429">
        <v>18434782.263666593</v>
      </c>
      <c r="AG213" s="429">
        <v>7730487.0598167591</v>
      </c>
      <c r="AH213" s="429">
        <v>-18283.121980659518</v>
      </c>
      <c r="AI213" s="429">
        <v>-47.626482033856242</v>
      </c>
      <c r="AJ213" s="429">
        <v>-306632.33136619668</v>
      </c>
      <c r="AK213" s="429">
        <v>0</v>
      </c>
      <c r="AL213" s="429">
        <v>-37298.192981983782</v>
      </c>
      <c r="AM213" s="429">
        <v>0</v>
      </c>
      <c r="AN213" s="429">
        <v>-7240820.2577991802</v>
      </c>
      <c r="AO213" s="429">
        <v>0</v>
      </c>
      <c r="AP213" s="303"/>
      <c r="AQ213" s="303"/>
      <c r="AR213" s="303"/>
    </row>
    <row r="214" spans="2:44" x14ac:dyDescent="0.3">
      <c r="G214" s="13"/>
    </row>
    <row r="215" spans="2:44" x14ac:dyDescent="0.3">
      <c r="B215" s="30" t="s">
        <v>230</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3">
      <c r="G216" s="13"/>
    </row>
    <row r="217" spans="2:44" x14ac:dyDescent="0.3">
      <c r="E217" s="32" t="s">
        <v>1117</v>
      </c>
      <c r="G217" s="13"/>
    </row>
    <row r="218" spans="2:44" x14ac:dyDescent="0.3">
      <c r="E218" s="32"/>
      <c r="F218" s="78" t="s">
        <v>246</v>
      </c>
      <c r="G218" s="78" t="s">
        <v>208</v>
      </c>
      <c r="H218" s="408" t="b">
        <f>SUM(J169:N169)=1</f>
        <v>1</v>
      </c>
    </row>
    <row r="219" spans="2:44" x14ac:dyDescent="0.3">
      <c r="E219" s="32"/>
      <c r="F219" s="342" t="s">
        <v>247</v>
      </c>
      <c r="G219" s="342" t="s">
        <v>208</v>
      </c>
      <c r="H219" s="409" t="b">
        <f t="shared" ref="H219:H220" si="24">SUM(J170:N170)=1</f>
        <v>1</v>
      </c>
    </row>
    <row r="220" spans="2:44" x14ac:dyDescent="0.3">
      <c r="E220" s="32"/>
      <c r="F220" s="80" t="s">
        <v>248</v>
      </c>
      <c r="G220" s="80" t="s">
        <v>208</v>
      </c>
      <c r="H220" s="410" t="b">
        <f t="shared" si="24"/>
        <v>1</v>
      </c>
    </row>
    <row r="221" spans="2:44" x14ac:dyDescent="0.3">
      <c r="E221" s="253"/>
      <c r="F221" s="235"/>
      <c r="G221" s="235"/>
      <c r="H221" s="252"/>
    </row>
    <row r="222" spans="2:44" x14ac:dyDescent="0.3">
      <c r="E222" s="32" t="s">
        <v>1118</v>
      </c>
      <c r="G222" s="13"/>
    </row>
    <row r="223" spans="2:44" x14ac:dyDescent="0.3">
      <c r="E223" s="32"/>
      <c r="F223" s="78" t="s">
        <v>246</v>
      </c>
      <c r="G223" s="78" t="s">
        <v>208</v>
      </c>
      <c r="H223" s="408" t="b">
        <f>SUM(J174:N174)=1</f>
        <v>1</v>
      </c>
    </row>
    <row r="224" spans="2:44" x14ac:dyDescent="0.3">
      <c r="E224" s="32"/>
      <c r="F224" s="342" t="s">
        <v>247</v>
      </c>
      <c r="G224" s="342" t="s">
        <v>208</v>
      </c>
      <c r="H224" s="409" t="b">
        <f t="shared" ref="H224:H225" si="25">SUM(J175:N175)=1</f>
        <v>1</v>
      </c>
    </row>
    <row r="225" spans="2:43" x14ac:dyDescent="0.3">
      <c r="E225" s="32"/>
      <c r="F225" s="80" t="s">
        <v>248</v>
      </c>
      <c r="G225" s="80" t="s">
        <v>208</v>
      </c>
      <c r="H225" s="410" t="b">
        <f t="shared" si="25"/>
        <v>1</v>
      </c>
    </row>
    <row r="226" spans="2:43" x14ac:dyDescent="0.3">
      <c r="E226" s="253"/>
      <c r="F226" s="235"/>
      <c r="G226" s="235"/>
      <c r="H226" s="252"/>
    </row>
    <row r="227" spans="2:43" x14ac:dyDescent="0.3">
      <c r="E227" s="32" t="s">
        <v>1119</v>
      </c>
      <c r="G227" s="13"/>
    </row>
    <row r="228" spans="2:43" x14ac:dyDescent="0.3">
      <c r="E228" s="32"/>
      <c r="F228" s="78" t="s">
        <v>246</v>
      </c>
      <c r="G228" s="78" t="s">
        <v>208</v>
      </c>
      <c r="H228" s="408" t="b">
        <f>SUM(J179:N179)=1</f>
        <v>1</v>
      </c>
    </row>
    <row r="229" spans="2:43" x14ac:dyDescent="0.3">
      <c r="E229" s="32"/>
      <c r="F229" s="342" t="s">
        <v>247</v>
      </c>
      <c r="G229" s="342" t="s">
        <v>208</v>
      </c>
      <c r="H229" s="409" t="b">
        <f t="shared" ref="H229:H230" si="26">SUM(J180:N180)=1</f>
        <v>1</v>
      </c>
    </row>
    <row r="230" spans="2:43" x14ac:dyDescent="0.3">
      <c r="E230" s="32"/>
      <c r="F230" s="80" t="s">
        <v>248</v>
      </c>
      <c r="G230" s="80" t="s">
        <v>208</v>
      </c>
      <c r="H230" s="410" t="b">
        <f t="shared" si="26"/>
        <v>1</v>
      </c>
    </row>
    <row r="231" spans="2:43" x14ac:dyDescent="0.3">
      <c r="G231" s="13"/>
    </row>
    <row r="232" spans="2:43" x14ac:dyDescent="0.3">
      <c r="E232" t="s">
        <v>1120</v>
      </c>
      <c r="G232" s="6" t="s">
        <v>54</v>
      </c>
      <c r="H232" s="24">
        <f>COUNTIF(H218:H230,FALSE)</f>
        <v>0</v>
      </c>
    </row>
    <row r="233" spans="2:43" x14ac:dyDescent="0.3">
      <c r="G233" s="13"/>
    </row>
    <row r="234" spans="2:43" x14ac:dyDescent="0.3">
      <c r="E234" t="s">
        <v>231</v>
      </c>
      <c r="G234" s="6" t="s">
        <v>54</v>
      </c>
      <c r="H234" s="24">
        <f t="array" ref="H234">SUM(IF(ISERROR(H13:Y214), 1))</f>
        <v>0</v>
      </c>
    </row>
    <row r="235" spans="2:43" x14ac:dyDescent="0.3">
      <c r="G235" s="13"/>
    </row>
    <row r="236" spans="2:43" x14ac:dyDescent="0.3">
      <c r="E236" t="s">
        <v>238</v>
      </c>
      <c r="G236" s="6" t="s">
        <v>54</v>
      </c>
      <c r="H236" s="103">
        <f xml:space="preserve"> H232 + H234</f>
        <v>0</v>
      </c>
    </row>
    <row r="238" spans="2:43" x14ac:dyDescent="0.3">
      <c r="B238" s="30" t="s">
        <v>105</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3">
      <c r="L240" s="89"/>
    </row>
    <row r="241" spans="12:13" x14ac:dyDescent="0.3">
      <c r="L241" s="89"/>
    </row>
    <row r="242" spans="12:13" x14ac:dyDescent="0.3">
      <c r="L242" s="89"/>
    </row>
    <row r="243" spans="12:13" x14ac:dyDescent="0.3">
      <c r="L243" s="89"/>
    </row>
    <row r="245" spans="12:13" x14ac:dyDescent="0.3">
      <c r="L245" s="89"/>
      <c r="M245" s="355"/>
    </row>
    <row r="246" spans="12:13" x14ac:dyDescent="0.3">
      <c r="L246" s="89"/>
      <c r="M246" s="355"/>
    </row>
    <row r="247" spans="12:13" x14ac:dyDescent="0.3">
      <c r="L247" s="89"/>
      <c r="M247" s="355"/>
    </row>
    <row r="248" spans="12:13" x14ac:dyDescent="0.3">
      <c r="L248" s="89"/>
      <c r="M248" s="355"/>
    </row>
    <row r="250" spans="12:13" x14ac:dyDescent="0.3">
      <c r="L250" s="89"/>
    </row>
    <row r="251" spans="12:13" x14ac:dyDescent="0.3">
      <c r="L251" s="89"/>
    </row>
    <row r="252" spans="12:13" x14ac:dyDescent="0.3">
      <c r="L252" s="89"/>
    </row>
    <row r="253" spans="12:13" x14ac:dyDescent="0.3">
      <c r="L253" s="89"/>
    </row>
    <row r="255" spans="12:13" x14ac:dyDescent="0.3">
      <c r="L255" s="89"/>
      <c r="M255" s="355"/>
    </row>
    <row r="256" spans="12:13" x14ac:dyDescent="0.3">
      <c r="L256" s="89"/>
      <c r="M256" s="355"/>
    </row>
    <row r="257" spans="12:13" x14ac:dyDescent="0.3">
      <c r="L257" s="89"/>
      <c r="M257" s="355"/>
    </row>
    <row r="258" spans="12:13" x14ac:dyDescent="0.3">
      <c r="L258" s="89"/>
      <c r="M258" s="35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19" width="17" customWidth="1"/>
    <col min="20" max="20" width="2.44140625" customWidth="1"/>
    <col min="21" max="21" width="50.5546875" customWidth="1"/>
    <col min="22" max="22" width="2.44140625" customWidth="1"/>
    <col min="23" max="27" width="20.5546875" hidden="1" customWidth="1"/>
    <col min="28" max="28" width="2.5546875" hidden="1" customWidth="1"/>
    <col min="29" max="256" width="20.5546875" hidden="1" customWidth="1"/>
    <col min="257" max="16384" width="9.33203125" hidden="1"/>
  </cols>
  <sheetData>
    <row r="1" spans="1:27" s="1" customFormat="1" x14ac:dyDescent="0.3">
      <c r="A1" s="1" t="str">
        <f ca="1">MID(CELL("filename",A1),FIND("]",CELL("filename",A1))+1,255)</f>
        <v>Inputs by network level</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H56 &amp; IF(H56 = 1, " issue", " issues") &amp;" identified in checks on this sheet"</f>
        <v>0 issues identified in checks on this sheet</v>
      </c>
      <c r="B4" s="13"/>
      <c r="C4" s="13"/>
      <c r="D4" s="13"/>
      <c r="E4" s="13"/>
      <c r="F4" s="13"/>
      <c r="G4" s="13"/>
      <c r="H4" s="14"/>
      <c r="I4" s="14"/>
      <c r="J4" s="13"/>
    </row>
    <row r="5" spans="1:27" x14ac:dyDescent="0.3">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3">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3">
      <c r="C9" s="29" t="s">
        <v>277</v>
      </c>
    </row>
    <row r="11" spans="1:27" x14ac:dyDescent="0.3">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3">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3">
      <c r="E15" s="28" t="s">
        <v>278</v>
      </c>
      <c r="G15" s="28" t="s">
        <v>166</v>
      </c>
      <c r="I15" t="s">
        <v>153</v>
      </c>
      <c r="J15" s="94"/>
      <c r="K15" s="430">
        <v>6.4933942364639119E-2</v>
      </c>
      <c r="L15" s="430">
        <v>6.8054317243707585E-2</v>
      </c>
      <c r="M15" s="94"/>
      <c r="N15" s="430">
        <v>0.10068731023201583</v>
      </c>
      <c r="O15" s="94"/>
      <c r="P15" s="77"/>
      <c r="Q15" s="430">
        <v>0.4029928739003833</v>
      </c>
      <c r="R15" s="66"/>
      <c r="S15" s="66"/>
      <c r="U15" s="63" t="s">
        <v>279</v>
      </c>
    </row>
    <row r="17" spans="3:27" x14ac:dyDescent="0.3">
      <c r="E17" s="28" t="s">
        <v>280</v>
      </c>
      <c r="G17" s="28" t="s">
        <v>166</v>
      </c>
      <c r="H17" s="28"/>
      <c r="I17" s="95"/>
      <c r="J17" s="94"/>
      <c r="K17" s="66"/>
      <c r="L17" s="66"/>
      <c r="M17" s="66"/>
      <c r="N17" s="66"/>
      <c r="O17" s="66"/>
      <c r="P17" s="430">
        <v>0</v>
      </c>
      <c r="Q17" s="66"/>
      <c r="R17" s="66"/>
      <c r="S17" s="66"/>
    </row>
    <row r="19" spans="3:27" x14ac:dyDescent="0.3">
      <c r="E19" s="28" t="s">
        <v>281</v>
      </c>
      <c r="G19" s="28" t="s">
        <v>282</v>
      </c>
      <c r="I19" t="s">
        <v>153</v>
      </c>
      <c r="J19" s="79"/>
      <c r="K19" s="433">
        <v>1</v>
      </c>
      <c r="L19" s="433">
        <v>1.0069921140018139</v>
      </c>
      <c r="M19" s="433">
        <v>1.0120298017682567</v>
      </c>
      <c r="N19" s="433">
        <v>1.0169672276140249</v>
      </c>
      <c r="O19" s="433">
        <v>1.022345392317251</v>
      </c>
      <c r="P19" s="79"/>
      <c r="Q19" s="433">
        <v>1.030550424378613</v>
      </c>
      <c r="R19" s="433">
        <v>1.0463328683595021</v>
      </c>
      <c r="S19" s="433">
        <v>1.0811119475731934</v>
      </c>
      <c r="U19" s="63" t="s">
        <v>283</v>
      </c>
    </row>
    <row r="20" spans="3:27" x14ac:dyDescent="0.3">
      <c r="J20" s="89"/>
      <c r="K20" s="89"/>
      <c r="L20" s="89"/>
      <c r="M20" s="89"/>
      <c r="N20" s="89"/>
      <c r="O20" s="89"/>
      <c r="P20" s="89"/>
      <c r="Q20" s="89"/>
      <c r="R20" s="89"/>
      <c r="S20" s="89"/>
    </row>
    <row r="21" spans="3:27" x14ac:dyDescent="0.3">
      <c r="E21" s="28" t="s">
        <v>284</v>
      </c>
      <c r="G21" s="28" t="s">
        <v>285</v>
      </c>
      <c r="I21" t="s">
        <v>153</v>
      </c>
      <c r="J21" s="79"/>
      <c r="K21" s="437">
        <v>0.1021674158235461</v>
      </c>
      <c r="L21" s="437">
        <f>+K21</f>
        <v>0.1021674158235461</v>
      </c>
      <c r="M21" s="437">
        <v>0.14137231812674694</v>
      </c>
      <c r="N21" s="437">
        <f>+M21</f>
        <v>0.14137231812674694</v>
      </c>
      <c r="O21" s="437">
        <v>0.12653835536518473</v>
      </c>
      <c r="P21" s="437">
        <v>0</v>
      </c>
      <c r="Q21" s="437">
        <f>+O21</f>
        <v>0.12653835536518473</v>
      </c>
      <c r="R21" s="437">
        <f>+O21</f>
        <v>0.12653835536518473</v>
      </c>
      <c r="S21" s="437">
        <f>+O21</f>
        <v>0.12653835536518473</v>
      </c>
      <c r="U21" s="63" t="s">
        <v>286</v>
      </c>
    </row>
    <row r="23" spans="3:27" x14ac:dyDescent="0.3">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3">
      <c r="C24" s="32"/>
      <c r="I24" t="s">
        <v>153</v>
      </c>
      <c r="U24" t="s">
        <v>287</v>
      </c>
    </row>
    <row r="25" spans="3:27" x14ac:dyDescent="0.3">
      <c r="C25" s="32"/>
      <c r="E25" s="32" t="s">
        <v>288</v>
      </c>
    </row>
    <row r="26" spans="3:27" x14ac:dyDescent="0.3">
      <c r="F26" s="64" t="s">
        <v>185</v>
      </c>
      <c r="G26" s="64" t="s">
        <v>166</v>
      </c>
      <c r="H26" s="23"/>
      <c r="I26" s="23"/>
      <c r="J26" s="65"/>
      <c r="K26" s="65"/>
      <c r="L26" s="423">
        <v>0</v>
      </c>
      <c r="M26" s="423">
        <v>0</v>
      </c>
      <c r="N26" s="423">
        <v>0</v>
      </c>
      <c r="O26" s="423">
        <v>0</v>
      </c>
      <c r="P26" s="423">
        <v>0</v>
      </c>
      <c r="Q26" s="423">
        <v>0.3</v>
      </c>
      <c r="R26" s="423">
        <v>0.3</v>
      </c>
      <c r="S26" s="423">
        <v>0.97</v>
      </c>
    </row>
    <row r="27" spans="3:27" x14ac:dyDescent="0.3">
      <c r="F27" s="28" t="s">
        <v>184</v>
      </c>
      <c r="G27" s="28" t="s">
        <v>166</v>
      </c>
      <c r="J27" s="66"/>
      <c r="K27" s="66"/>
      <c r="L27" s="431">
        <v>0</v>
      </c>
      <c r="M27" s="431">
        <v>0</v>
      </c>
      <c r="N27" s="431">
        <v>0</v>
      </c>
      <c r="O27" s="431">
        <v>0</v>
      </c>
      <c r="P27" s="431">
        <v>0</v>
      </c>
      <c r="Q27" s="431">
        <v>0.3</v>
      </c>
      <c r="R27" s="431">
        <v>0.97</v>
      </c>
      <c r="S27" s="70"/>
    </row>
    <row r="28" spans="3:27" x14ac:dyDescent="0.3">
      <c r="F28" s="28" t="s">
        <v>183</v>
      </c>
      <c r="G28" s="28" t="s">
        <v>166</v>
      </c>
      <c r="J28" s="66"/>
      <c r="K28" s="66"/>
      <c r="L28" s="431">
        <v>0</v>
      </c>
      <c r="M28" s="431">
        <v>0</v>
      </c>
      <c r="N28" s="431">
        <v>0</v>
      </c>
      <c r="O28" s="431">
        <v>0.56999999999999995</v>
      </c>
      <c r="P28" s="431">
        <v>0</v>
      </c>
      <c r="Q28" s="431">
        <v>0.91</v>
      </c>
      <c r="R28" s="70"/>
      <c r="S28" s="70"/>
    </row>
    <row r="29" spans="3:27" x14ac:dyDescent="0.3">
      <c r="F29" s="67" t="s">
        <v>182</v>
      </c>
      <c r="G29" s="67" t="s">
        <v>166</v>
      </c>
      <c r="H29" s="37"/>
      <c r="I29" s="37"/>
      <c r="J29" s="68"/>
      <c r="K29" s="68"/>
      <c r="L29" s="425">
        <v>0</v>
      </c>
      <c r="M29" s="425">
        <v>0</v>
      </c>
      <c r="N29" s="425">
        <v>0.56999999999999995</v>
      </c>
      <c r="O29" s="425">
        <v>0.92</v>
      </c>
      <c r="P29" s="71"/>
      <c r="Q29" s="71"/>
      <c r="R29" s="71"/>
      <c r="S29" s="71"/>
    </row>
    <row r="31" spans="3:27" x14ac:dyDescent="0.3">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3">
      <c r="E33" s="28" t="s">
        <v>289</v>
      </c>
      <c r="G33" s="28" t="s">
        <v>276</v>
      </c>
      <c r="I33" t="s">
        <v>153</v>
      </c>
      <c r="J33" s="79"/>
      <c r="K33" s="79"/>
      <c r="L33" s="433">
        <v>107288380.00847399</v>
      </c>
      <c r="M33" s="433">
        <v>42438496.13651748</v>
      </c>
      <c r="N33" s="433">
        <v>107160071.95118052</v>
      </c>
      <c r="O33" s="433">
        <v>67596937.402801484</v>
      </c>
      <c r="P33" s="433">
        <v>0</v>
      </c>
      <c r="Q33" s="433">
        <v>122720933.33501378</v>
      </c>
      <c r="R33" s="433">
        <v>111420839.15663049</v>
      </c>
      <c r="S33" s="433">
        <v>61767446.814668365</v>
      </c>
    </row>
    <row r="35" spans="2:27" x14ac:dyDescent="0.3">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3">
      <c r="D37" s="29" t="s">
        <v>290</v>
      </c>
    </row>
    <row r="38" spans="2:27" x14ac:dyDescent="0.3">
      <c r="C38" s="29"/>
    </row>
    <row r="39" spans="2:27" x14ac:dyDescent="0.3">
      <c r="D39" s="32"/>
      <c r="E39" s="32" t="s">
        <v>291</v>
      </c>
      <c r="I39" t="s">
        <v>153</v>
      </c>
      <c r="U39" t="s">
        <v>292</v>
      </c>
    </row>
    <row r="40" spans="2:27" x14ac:dyDescent="0.3">
      <c r="F40" s="23" t="s">
        <v>293</v>
      </c>
      <c r="G40" s="78" t="s">
        <v>166</v>
      </c>
      <c r="H40" s="23"/>
      <c r="I40" s="23"/>
      <c r="J40" s="65"/>
      <c r="K40" s="423">
        <v>0.88888888888888895</v>
      </c>
      <c r="L40" s="423">
        <v>0.67470760233918126</v>
      </c>
      <c r="M40" s="423">
        <v>0.67470760233918126</v>
      </c>
      <c r="N40" s="423">
        <v>0.48791570271673684</v>
      </c>
      <c r="O40" s="423">
        <v>0.48791570271673684</v>
      </c>
      <c r="P40" s="423">
        <v>0</v>
      </c>
      <c r="Q40" s="423">
        <v>0.48791570271673684</v>
      </c>
      <c r="R40" s="423">
        <v>0.48791570271673684</v>
      </c>
      <c r="S40" s="423">
        <v>0.48791570271673684</v>
      </c>
    </row>
    <row r="41" spans="2:27" x14ac:dyDescent="0.3">
      <c r="F41" t="s">
        <v>294</v>
      </c>
      <c r="G41" s="72" t="s">
        <v>166</v>
      </c>
      <c r="J41" s="66"/>
      <c r="K41" s="431">
        <v>0.1111111111111111</v>
      </c>
      <c r="L41" s="431">
        <v>0.22249634502923976</v>
      </c>
      <c r="M41" s="431">
        <v>0.22249634502923976</v>
      </c>
      <c r="N41" s="431">
        <v>0.40138727033685773</v>
      </c>
      <c r="O41" s="431">
        <v>0.40138727033685773</v>
      </c>
      <c r="P41" s="431">
        <v>0</v>
      </c>
      <c r="Q41" s="431">
        <v>0.40138727033685773</v>
      </c>
      <c r="R41" s="431">
        <v>0.40138727033685773</v>
      </c>
      <c r="S41" s="431">
        <v>0.40138727033685773</v>
      </c>
    </row>
    <row r="42" spans="2:27" x14ac:dyDescent="0.3">
      <c r="F42" s="37" t="s">
        <v>256</v>
      </c>
      <c r="G42" s="80" t="s">
        <v>166</v>
      </c>
      <c r="H42" s="37"/>
      <c r="I42" s="37"/>
      <c r="J42" s="68"/>
      <c r="K42" s="425">
        <v>0</v>
      </c>
      <c r="L42" s="425">
        <v>0.10279605263157894</v>
      </c>
      <c r="M42" s="425">
        <v>0.10279605263157894</v>
      </c>
      <c r="N42" s="425">
        <v>0.11069702694640549</v>
      </c>
      <c r="O42" s="425">
        <v>0.11069702694640549</v>
      </c>
      <c r="P42" s="425">
        <v>0</v>
      </c>
      <c r="Q42" s="425">
        <v>0.11069702694640549</v>
      </c>
      <c r="R42" s="425">
        <v>0.11069702694640549</v>
      </c>
      <c r="S42" s="425">
        <v>0.11069702694640549</v>
      </c>
    </row>
    <row r="43" spans="2:27" x14ac:dyDescent="0.3">
      <c r="F43" s="37" t="s">
        <v>295</v>
      </c>
      <c r="G43" s="80" t="s">
        <v>166</v>
      </c>
      <c r="H43" s="37"/>
      <c r="I43" s="37"/>
      <c r="J43" s="68"/>
      <c r="K43" s="425">
        <v>0.77777777777777768</v>
      </c>
      <c r="L43" s="425">
        <v>0.515625</v>
      </c>
      <c r="M43" s="425">
        <v>0.515625</v>
      </c>
      <c r="N43" s="425">
        <v>0.42438652317235964</v>
      </c>
      <c r="O43" s="425">
        <v>0.42438652317235964</v>
      </c>
      <c r="P43" s="425">
        <v>0</v>
      </c>
      <c r="Q43" s="425">
        <v>0.42438652317235964</v>
      </c>
      <c r="R43" s="425">
        <v>0.42438652317235964</v>
      </c>
      <c r="S43" s="425">
        <v>0.42438652317235964</v>
      </c>
    </row>
    <row r="45" spans="2:27" x14ac:dyDescent="0.3">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3">
      <c r="E47" t="s">
        <v>231</v>
      </c>
      <c r="G47" s="6" t="s">
        <v>54</v>
      </c>
      <c r="H47" s="24">
        <f t="array" ref="H47">SUM(IF(ISERROR(H15:AA44), 1))</f>
        <v>0</v>
      </c>
    </row>
    <row r="49" spans="2:27" x14ac:dyDescent="0.3">
      <c r="E49" t="s">
        <v>296</v>
      </c>
      <c r="G49" s="6" t="s">
        <v>54</v>
      </c>
      <c r="H49" s="24">
        <f>IF(K19 = 1, 0, 1)</f>
        <v>0</v>
      </c>
    </row>
    <row r="51" spans="2:27" x14ac:dyDescent="0.3">
      <c r="E51" s="32" t="s">
        <v>297</v>
      </c>
    </row>
    <row r="52" spans="2:27" x14ac:dyDescent="0.3">
      <c r="E52" s="29" t="s">
        <v>298</v>
      </c>
    </row>
    <row r="53" spans="2:27" x14ac:dyDescent="0.3">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3">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3">
      <c r="E56" t="s">
        <v>238</v>
      </c>
      <c r="G56" s="6" t="s">
        <v>54</v>
      </c>
      <c r="H56" s="103">
        <f>SUM(H47:H54)</f>
        <v>0</v>
      </c>
    </row>
    <row r="58" spans="2:27" x14ac:dyDescent="0.3">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3">
      <c r="K61" s="84"/>
      <c r="L61" s="84"/>
      <c r="M61" s="84"/>
      <c r="O61" s="84"/>
      <c r="P61" s="84"/>
      <c r="Q61" s="84"/>
      <c r="R61" s="84"/>
    </row>
    <row r="62" spans="2:27" x14ac:dyDescent="0.3">
      <c r="K62" s="84"/>
      <c r="L62" s="84"/>
      <c r="M62" s="84"/>
      <c r="O62" s="84"/>
      <c r="P62" s="84"/>
      <c r="Q62" s="84"/>
      <c r="R62" s="84"/>
    </row>
    <row r="63" spans="2:27" x14ac:dyDescent="0.3">
      <c r="K63" s="84"/>
      <c r="L63" s="84"/>
      <c r="M63" s="84"/>
      <c r="O63" s="84"/>
      <c r="P63" s="84"/>
      <c r="Q63" s="84"/>
      <c r="R63" s="84"/>
    </row>
    <row r="64" spans="2:27" x14ac:dyDescent="0.3">
      <c r="K64" s="84"/>
      <c r="L64" s="84"/>
      <c r="M64" s="84"/>
      <c r="O64" s="84"/>
      <c r="P64" s="84"/>
      <c r="Q64" s="84"/>
      <c r="R64" s="84"/>
    </row>
    <row r="65" spans="11:18" x14ac:dyDescent="0.3">
      <c r="K65" s="84"/>
      <c r="L65" s="84"/>
      <c r="M65" s="84"/>
      <c r="O65" s="84"/>
      <c r="P65" s="84"/>
      <c r="Q65" s="84"/>
      <c r="R65" s="84"/>
    </row>
    <row r="66" spans="11:18" x14ac:dyDescent="0.3">
      <c r="K66" s="84"/>
      <c r="L66" s="84"/>
      <c r="M66" s="84"/>
      <c r="O66" s="84"/>
      <c r="P66" s="84"/>
      <c r="Q66" s="84"/>
      <c r="R66" s="84"/>
    </row>
    <row r="67" spans="11:18" x14ac:dyDescent="0.3">
      <c r="K67" s="84"/>
      <c r="L67" s="84"/>
      <c r="M67" s="84"/>
      <c r="O67" s="84"/>
      <c r="P67" s="84"/>
      <c r="Q67" s="84"/>
      <c r="R67" s="84"/>
    </row>
    <row r="68" spans="11:18" x14ac:dyDescent="0.3">
      <c r="K68" s="84"/>
      <c r="L68" s="84"/>
      <c r="M68" s="84"/>
      <c r="O68" s="84"/>
      <c r="P68" s="84"/>
      <c r="Q68" s="84"/>
      <c r="R68" s="84"/>
    </row>
    <row r="69" spans="11:18" x14ac:dyDescent="0.3">
      <c r="K69" s="84"/>
      <c r="L69" s="84"/>
      <c r="M69" s="84"/>
      <c r="O69" s="84"/>
      <c r="P69" s="84"/>
      <c r="Q69" s="84"/>
      <c r="R69" s="84"/>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tabSelected="1" zoomScale="55" zoomScaleNormal="55" workbookViewId="0">
      <pane ySplit="5" topLeftCell="A33" activePane="bottomLeft" state="frozen"/>
      <selection pane="bottomLeft" activeCell="H53" sqref="H53"/>
    </sheetView>
  </sheetViews>
  <sheetFormatPr defaultColWidth="0" defaultRowHeight="14.4" x14ac:dyDescent="0.3"/>
  <cols>
    <col min="1" max="5" width="2.5546875" customWidth="1"/>
    <col min="6" max="6" width="59.5546875" customWidth="1"/>
    <col min="7" max="8" width="20.5546875" customWidth="1"/>
    <col min="9" max="9" width="2.44140625" customWidth="1"/>
    <col min="10" max="10" width="50.5546875" customWidth="1"/>
    <col min="11" max="11" width="2.44140625" customWidth="1"/>
    <col min="12" max="17" width="15.44140625" hidden="1" customWidth="1"/>
    <col min="18" max="27" width="20.5546875" hidden="1" customWidth="1"/>
    <col min="28" max="28" width="2.5546875" hidden="1" customWidth="1"/>
    <col min="29" max="256" width="20.5546875" hidden="1" customWidth="1"/>
    <col min="257" max="16384" width="9.33203125" hidden="1"/>
  </cols>
  <sheetData>
    <row r="1" spans="1:27" s="1" customFormat="1" x14ac:dyDescent="0.3">
      <c r="A1" s="1" t="str">
        <f ca="1">MID(CELL("filename",A1),FIND("]",CELL("filename",A1))+1,255)</f>
        <v>General inputs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H114 &amp; IF(H114 = 1, " issue", " issues") &amp;" identified in checks on this sheet"</f>
        <v>0 issues identified in checks on this sheet</v>
      </c>
      <c r="B4" s="13"/>
      <c r="C4" s="13"/>
      <c r="D4" s="13"/>
      <c r="E4" s="13"/>
      <c r="F4" s="13"/>
      <c r="G4" s="13"/>
      <c r="H4" s="14"/>
      <c r="I4" s="14"/>
      <c r="J4" s="13"/>
    </row>
    <row r="5" spans="1:27" x14ac:dyDescent="0.3">
      <c r="B5" s="59" t="s">
        <v>141</v>
      </c>
      <c r="C5" s="60"/>
      <c r="D5" s="60"/>
      <c r="E5" s="60"/>
      <c r="F5" s="60"/>
      <c r="G5" s="21" t="s">
        <v>142</v>
      </c>
      <c r="H5" s="93" t="s">
        <v>143</v>
      </c>
      <c r="J5" s="61" t="s">
        <v>144</v>
      </c>
    </row>
    <row r="6" spans="1:27" x14ac:dyDescent="0.3">
      <c r="G6" s="13"/>
    </row>
    <row r="7" spans="1:27" x14ac:dyDescent="0.3">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3">
      <c r="G8" s="13"/>
    </row>
    <row r="9" spans="1:27" x14ac:dyDescent="0.3">
      <c r="C9" s="29" t="s">
        <v>300</v>
      </c>
      <c r="G9" s="13"/>
    </row>
    <row r="10" spans="1:27" x14ac:dyDescent="0.3">
      <c r="G10" s="13"/>
    </row>
    <row r="11" spans="1:27" x14ac:dyDescent="0.3">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3">
      <c r="G12" s="13"/>
    </row>
    <row r="13" spans="1:27" x14ac:dyDescent="0.3">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3">
      <c r="G14" s="13"/>
    </row>
    <row r="15" spans="1:27" x14ac:dyDescent="0.3">
      <c r="D15" s="32" t="s">
        <v>301</v>
      </c>
      <c r="E15" s="32"/>
      <c r="G15" s="13"/>
      <c r="I15" t="s">
        <v>153</v>
      </c>
      <c r="J15" t="s">
        <v>302</v>
      </c>
    </row>
    <row r="16" spans="1:27" x14ac:dyDescent="0.3">
      <c r="E16" s="64" t="s">
        <v>295</v>
      </c>
      <c r="F16" s="64"/>
      <c r="G16" s="85" t="s">
        <v>303</v>
      </c>
      <c r="H16" s="432">
        <v>258</v>
      </c>
    </row>
    <row r="17" spans="3:27" x14ac:dyDescent="0.3">
      <c r="E17" s="28" t="s">
        <v>304</v>
      </c>
      <c r="F17" s="28"/>
      <c r="G17" s="13" t="s">
        <v>303</v>
      </c>
      <c r="H17" s="433">
        <v>3055.5</v>
      </c>
    </row>
    <row r="18" spans="3:27" x14ac:dyDescent="0.3">
      <c r="E18" s="67" t="s">
        <v>256</v>
      </c>
      <c r="F18" s="67"/>
      <c r="G18" s="86" t="s">
        <v>303</v>
      </c>
      <c r="H18" s="434">
        <v>5446.5</v>
      </c>
    </row>
    <row r="19" spans="3:27" x14ac:dyDescent="0.3">
      <c r="G19" s="13"/>
      <c r="H19" s="89"/>
    </row>
    <row r="20" spans="3:27" x14ac:dyDescent="0.3">
      <c r="D20" s="32" t="s">
        <v>305</v>
      </c>
      <c r="E20" s="32"/>
      <c r="G20" s="13"/>
      <c r="H20" s="89"/>
      <c r="I20" t="s">
        <v>153</v>
      </c>
      <c r="J20" t="s">
        <v>302</v>
      </c>
    </row>
    <row r="21" spans="3:27" x14ac:dyDescent="0.3">
      <c r="E21" s="23" t="s">
        <v>293</v>
      </c>
      <c r="F21" s="23"/>
      <c r="G21" s="85" t="s">
        <v>303</v>
      </c>
      <c r="H21" s="432">
        <v>783</v>
      </c>
    </row>
    <row r="22" spans="3:27" x14ac:dyDescent="0.3">
      <c r="E22" t="s">
        <v>294</v>
      </c>
      <c r="G22" s="13" t="s">
        <v>303</v>
      </c>
      <c r="H22" s="433">
        <v>2530.5</v>
      </c>
    </row>
    <row r="23" spans="3:27" x14ac:dyDescent="0.3">
      <c r="E23" s="37" t="s">
        <v>256</v>
      </c>
      <c r="F23" s="37"/>
      <c r="G23" s="86" t="s">
        <v>303</v>
      </c>
      <c r="H23" s="434">
        <v>5446.5</v>
      </c>
    </row>
    <row r="24" spans="3:27" x14ac:dyDescent="0.3">
      <c r="G24" s="13"/>
    </row>
    <row r="25" spans="3:27" x14ac:dyDescent="0.3">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3">
      <c r="G26" s="13"/>
    </row>
    <row r="27" spans="3:27" x14ac:dyDescent="0.3">
      <c r="D27" s="29" t="s">
        <v>306</v>
      </c>
      <c r="E27" s="29"/>
      <c r="G27" s="13"/>
    </row>
    <row r="28" spans="3:27" x14ac:dyDescent="0.3">
      <c r="D28" s="29"/>
      <c r="E28" s="29"/>
      <c r="G28" s="13"/>
    </row>
    <row r="29" spans="3:27" x14ac:dyDescent="0.3">
      <c r="D29" s="32" t="s">
        <v>307</v>
      </c>
      <c r="E29" s="32"/>
      <c r="G29" s="13"/>
      <c r="I29" t="s">
        <v>153</v>
      </c>
      <c r="J29" t="s">
        <v>308</v>
      </c>
    </row>
    <row r="30" spans="3:27" x14ac:dyDescent="0.3">
      <c r="E30" s="64" t="s">
        <v>174</v>
      </c>
      <c r="F30" s="23"/>
      <c r="G30" s="78" t="s">
        <v>166</v>
      </c>
      <c r="H30" s="440">
        <v>0.34865983505227499</v>
      </c>
    </row>
    <row r="31" spans="3:27" x14ac:dyDescent="0.3">
      <c r="E31" s="28" t="s">
        <v>176</v>
      </c>
      <c r="G31" s="72" t="s">
        <v>166</v>
      </c>
      <c r="H31" s="441">
        <v>0.54319459284507854</v>
      </c>
    </row>
    <row r="32" spans="3:27" x14ac:dyDescent="0.3">
      <c r="E32" s="28" t="s">
        <v>177</v>
      </c>
      <c r="G32" s="72" t="s">
        <v>166</v>
      </c>
      <c r="H32" s="441">
        <v>0.27624476019334121</v>
      </c>
    </row>
    <row r="33" spans="3:27" x14ac:dyDescent="0.3">
      <c r="E33" s="67" t="s">
        <v>178</v>
      </c>
      <c r="F33" s="37"/>
      <c r="G33" s="80" t="s">
        <v>166</v>
      </c>
      <c r="H33" s="442">
        <v>0.14407962362625185</v>
      </c>
    </row>
    <row r="34" spans="3:27" x14ac:dyDescent="0.3">
      <c r="G34" s="13"/>
    </row>
    <row r="35" spans="3:27" x14ac:dyDescent="0.3">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3">
      <c r="D37" s="29" t="s">
        <v>309</v>
      </c>
      <c r="E37" s="29"/>
      <c r="G37" s="13"/>
      <c r="H37" s="13"/>
      <c r="I37" t="s">
        <v>153</v>
      </c>
      <c r="J37" t="s">
        <v>310</v>
      </c>
      <c r="K37" s="13"/>
      <c r="L37" s="13"/>
      <c r="M37" s="13"/>
      <c r="N37" s="13"/>
      <c r="O37" s="13"/>
      <c r="P37" s="13"/>
      <c r="Q37" s="13"/>
      <c r="R37" s="13"/>
      <c r="S37" s="13"/>
    </row>
    <row r="38" spans="3:27" x14ac:dyDescent="0.3">
      <c r="D38" s="29" t="s">
        <v>827</v>
      </c>
      <c r="E38" s="29"/>
      <c r="G38" s="13"/>
      <c r="H38" s="13"/>
      <c r="I38" s="13"/>
      <c r="J38" s="97"/>
      <c r="K38" s="13"/>
      <c r="L38" s="13"/>
      <c r="M38" s="13"/>
      <c r="N38" s="13"/>
      <c r="O38" s="13"/>
      <c r="P38" s="13"/>
      <c r="Q38" s="13"/>
      <c r="R38" s="13"/>
      <c r="S38" s="13"/>
    </row>
    <row r="39" spans="3:27" x14ac:dyDescent="0.3">
      <c r="E39" s="32"/>
    </row>
    <row r="40" spans="3:27" x14ac:dyDescent="0.3">
      <c r="E40" t="s">
        <v>311</v>
      </c>
      <c r="G40" t="s">
        <v>276</v>
      </c>
      <c r="H40" s="433">
        <v>350200000</v>
      </c>
    </row>
    <row r="41" spans="3:27" x14ac:dyDescent="0.3">
      <c r="E41" t="s">
        <v>312</v>
      </c>
      <c r="G41" t="s">
        <v>276</v>
      </c>
      <c r="H41" s="433">
        <v>-18899125.676661015</v>
      </c>
    </row>
    <row r="42" spans="3:27" x14ac:dyDescent="0.3">
      <c r="E42" t="s">
        <v>313</v>
      </c>
      <c r="G42" t="s">
        <v>276</v>
      </c>
      <c r="H42" s="433">
        <v>-2752635.8421914275</v>
      </c>
    </row>
    <row r="43" spans="3:27" x14ac:dyDescent="0.3">
      <c r="E43" s="37" t="s">
        <v>314</v>
      </c>
      <c r="F43" s="37"/>
      <c r="G43" s="37" t="s">
        <v>282</v>
      </c>
      <c r="H43" s="434">
        <v>1.2769999999999999</v>
      </c>
    </row>
    <row r="44" spans="3:27" x14ac:dyDescent="0.3">
      <c r="E44" t="s">
        <v>315</v>
      </c>
      <c r="G44" t="s">
        <v>276</v>
      </c>
      <c r="H44" s="98">
        <f>SUM(H40:H42)</f>
        <v>328548238.48114759</v>
      </c>
    </row>
    <row r="45" spans="3:27" x14ac:dyDescent="0.3">
      <c r="E45" t="s">
        <v>316</v>
      </c>
      <c r="G45" t="s">
        <v>276</v>
      </c>
      <c r="H45" s="98">
        <f>H44 * (H43 - 1)</f>
        <v>91007862.059277847</v>
      </c>
    </row>
    <row r="46" spans="3:27" x14ac:dyDescent="0.3">
      <c r="H46" s="89"/>
    </row>
    <row r="47" spans="3:27" x14ac:dyDescent="0.3">
      <c r="E47" t="s">
        <v>317</v>
      </c>
      <c r="G47" t="s">
        <v>276</v>
      </c>
      <c r="H47" s="433">
        <v>623137.67301612149</v>
      </c>
    </row>
    <row r="48" spans="3:27" x14ac:dyDescent="0.3">
      <c r="E48" t="s">
        <v>318</v>
      </c>
      <c r="G48" t="s">
        <v>276</v>
      </c>
      <c r="H48" s="433">
        <v>-6922515.9683836056</v>
      </c>
    </row>
    <row r="49" spans="5:8" x14ac:dyDescent="0.3">
      <c r="E49" t="s">
        <v>319</v>
      </c>
      <c r="G49" t="s">
        <v>276</v>
      </c>
      <c r="H49" s="433">
        <v>-2013980.6400620895</v>
      </c>
    </row>
    <row r="50" spans="5:8" x14ac:dyDescent="0.3">
      <c r="E50" t="s">
        <v>320</v>
      </c>
      <c r="G50" t="s">
        <v>276</v>
      </c>
      <c r="H50" s="433">
        <v>1551177.4646781951</v>
      </c>
    </row>
    <row r="51" spans="5:8" x14ac:dyDescent="0.3">
      <c r="E51" t="s">
        <v>321</v>
      </c>
      <c r="G51" t="s">
        <v>276</v>
      </c>
      <c r="H51" s="433">
        <v>-86687.945992946159</v>
      </c>
    </row>
    <row r="52" spans="5:8" x14ac:dyDescent="0.3">
      <c r="E52" t="s">
        <v>322</v>
      </c>
      <c r="G52" t="s">
        <v>276</v>
      </c>
      <c r="H52" s="433">
        <v>0</v>
      </c>
    </row>
    <row r="53" spans="5:8" x14ac:dyDescent="0.3">
      <c r="E53" t="s">
        <v>872</v>
      </c>
      <c r="G53" t="s">
        <v>276</v>
      </c>
      <c r="H53" s="433">
        <f>589743.635568692+79329494.28</f>
        <v>79919237.915568694</v>
      </c>
    </row>
    <row r="54" spans="5:8" x14ac:dyDescent="0.3">
      <c r="E54" t="s">
        <v>873</v>
      </c>
      <c r="G54" t="s">
        <v>276</v>
      </c>
      <c r="H54" s="433">
        <v>355501.80032860168</v>
      </c>
    </row>
    <row r="55" spans="5:8" x14ac:dyDescent="0.3">
      <c r="E55" s="37" t="s">
        <v>323</v>
      </c>
      <c r="F55" s="37"/>
      <c r="G55" s="37" t="s">
        <v>276</v>
      </c>
      <c r="H55" s="434">
        <v>0</v>
      </c>
    </row>
    <row r="56" spans="5:8" x14ac:dyDescent="0.3">
      <c r="E56" t="s">
        <v>324</v>
      </c>
      <c r="G56" t="s">
        <v>276</v>
      </c>
      <c r="H56" s="99">
        <f>SUM(H47:H55)</f>
        <v>73425870.29915297</v>
      </c>
    </row>
    <row r="57" spans="5:8" x14ac:dyDescent="0.3">
      <c r="H57" s="89"/>
    </row>
    <row r="58" spans="5:8" x14ac:dyDescent="0.3">
      <c r="E58" t="s">
        <v>325</v>
      </c>
      <c r="G58" t="s">
        <v>276</v>
      </c>
      <c r="H58" s="433">
        <v>3862178.7107714359</v>
      </c>
    </row>
    <row r="59" spans="5:8" x14ac:dyDescent="0.3">
      <c r="E59" t="s">
        <v>326</v>
      </c>
      <c r="G59" t="s">
        <v>276</v>
      </c>
      <c r="H59" s="433">
        <v>18498272.455167122</v>
      </c>
    </row>
    <row r="60" spans="5:8" x14ac:dyDescent="0.3">
      <c r="E60" t="s">
        <v>327</v>
      </c>
      <c r="G60" t="s">
        <v>276</v>
      </c>
      <c r="H60" s="433">
        <v>0</v>
      </c>
    </row>
    <row r="61" spans="5:8" x14ac:dyDescent="0.3">
      <c r="E61" t="s">
        <v>328</v>
      </c>
      <c r="G61" t="s">
        <v>276</v>
      </c>
      <c r="H61" s="433">
        <v>1449635.9801665682</v>
      </c>
    </row>
    <row r="62" spans="5:8" x14ac:dyDescent="0.3">
      <c r="E62" t="s">
        <v>329</v>
      </c>
      <c r="G62" t="s">
        <v>276</v>
      </c>
      <c r="H62" s="433">
        <v>0</v>
      </c>
    </row>
    <row r="63" spans="5:8" x14ac:dyDescent="0.3">
      <c r="E63" t="s">
        <v>330</v>
      </c>
      <c r="G63" t="s">
        <v>276</v>
      </c>
      <c r="H63" s="433">
        <v>2936892.703782978</v>
      </c>
    </row>
    <row r="64" spans="5:8" x14ac:dyDescent="0.3">
      <c r="E64" t="s">
        <v>331</v>
      </c>
      <c r="G64" t="s">
        <v>276</v>
      </c>
      <c r="H64" s="433">
        <v>0</v>
      </c>
    </row>
    <row r="65" spans="5:8" x14ac:dyDescent="0.3">
      <c r="E65" t="s">
        <v>332</v>
      </c>
      <c r="G65" t="s">
        <v>276</v>
      </c>
      <c r="H65" s="433">
        <v>0</v>
      </c>
    </row>
    <row r="66" spans="5:8" x14ac:dyDescent="0.3">
      <c r="E66" t="s">
        <v>333</v>
      </c>
      <c r="G66" t="s">
        <v>276</v>
      </c>
      <c r="H66" s="433">
        <v>0</v>
      </c>
    </row>
    <row r="67" spans="5:8" x14ac:dyDescent="0.3">
      <c r="E67" t="s">
        <v>334</v>
      </c>
      <c r="G67" t="s">
        <v>276</v>
      </c>
      <c r="H67" s="433">
        <v>0</v>
      </c>
    </row>
    <row r="68" spans="5:8" x14ac:dyDescent="0.3">
      <c r="E68" s="37" t="s">
        <v>335</v>
      </c>
      <c r="F68" s="37"/>
      <c r="G68" s="37" t="s">
        <v>276</v>
      </c>
      <c r="H68" s="434">
        <v>0</v>
      </c>
    </row>
    <row r="69" spans="5:8" x14ac:dyDescent="0.3">
      <c r="E69" t="s">
        <v>336</v>
      </c>
      <c r="G69" t="s">
        <v>276</v>
      </c>
      <c r="H69" s="98">
        <f>SUM(H58:H68)</f>
        <v>26746979.849888105</v>
      </c>
    </row>
    <row r="70" spans="5:8" x14ac:dyDescent="0.3">
      <c r="H70" s="89"/>
    </row>
    <row r="71" spans="5:8" x14ac:dyDescent="0.3">
      <c r="E71" s="37" t="s">
        <v>337</v>
      </c>
      <c r="F71" s="37"/>
      <c r="G71" s="37" t="s">
        <v>276</v>
      </c>
      <c r="H71" s="434">
        <v>31933888.047951147</v>
      </c>
    </row>
    <row r="72" spans="5:8" x14ac:dyDescent="0.3">
      <c r="E72" t="s">
        <v>338</v>
      </c>
      <c r="G72" t="s">
        <v>276</v>
      </c>
      <c r="H72" s="98">
        <f>H71 + H69 + H56 + H45 + H44</f>
        <v>551662838.7374177</v>
      </c>
    </row>
    <row r="73" spans="5:8" x14ac:dyDescent="0.3">
      <c r="H73" s="89"/>
    </row>
    <row r="74" spans="5:8" x14ac:dyDescent="0.3">
      <c r="E74" t="s">
        <v>339</v>
      </c>
      <c r="G74" t="s">
        <v>276</v>
      </c>
      <c r="H74" s="433">
        <v>0</v>
      </c>
    </row>
    <row r="75" spans="5:8" x14ac:dyDescent="0.3">
      <c r="E75" t="s">
        <v>340</v>
      </c>
      <c r="G75" t="s">
        <v>276</v>
      </c>
      <c r="H75" s="433">
        <v>0</v>
      </c>
    </row>
    <row r="76" spans="5:8" x14ac:dyDescent="0.3">
      <c r="E76" t="s">
        <v>341</v>
      </c>
      <c r="G76" t="s">
        <v>276</v>
      </c>
      <c r="H76" s="433">
        <v>0</v>
      </c>
    </row>
    <row r="77" spans="5:8" x14ac:dyDescent="0.3">
      <c r="E77" t="s">
        <v>342</v>
      </c>
      <c r="G77" t="s">
        <v>276</v>
      </c>
      <c r="H77" s="433">
        <v>0</v>
      </c>
    </row>
    <row r="78" spans="5:8" x14ac:dyDescent="0.3">
      <c r="E78" s="37" t="s">
        <v>343</v>
      </c>
      <c r="F78" s="37"/>
      <c r="G78" s="37" t="s">
        <v>276</v>
      </c>
      <c r="H78" s="434">
        <v>0</v>
      </c>
    </row>
    <row r="79" spans="5:8" x14ac:dyDescent="0.3">
      <c r="E79" s="37" t="s">
        <v>344</v>
      </c>
      <c r="F79" s="37"/>
      <c r="G79" s="37" t="s">
        <v>276</v>
      </c>
      <c r="H79" s="100">
        <f>SUM(H74:H78)</f>
        <v>0</v>
      </c>
    </row>
    <row r="80" spans="5:8" x14ac:dyDescent="0.3">
      <c r="E80" t="s">
        <v>345</v>
      </c>
      <c r="G80" t="s">
        <v>276</v>
      </c>
      <c r="H80" s="99">
        <f>H72+H79</f>
        <v>551662838.7374177</v>
      </c>
    </row>
    <row r="81" spans="3:27" x14ac:dyDescent="0.3">
      <c r="H81" s="89"/>
    </row>
    <row r="82" spans="3:27" x14ac:dyDescent="0.3">
      <c r="E82" t="s">
        <v>346</v>
      </c>
      <c r="G82" t="s">
        <v>276</v>
      </c>
      <c r="H82" s="436">
        <v>18483922.961141106</v>
      </c>
    </row>
    <row r="83" spans="3:27" x14ac:dyDescent="0.3">
      <c r="E83" t="s">
        <v>347</v>
      </c>
      <c r="G83" t="s">
        <v>276</v>
      </c>
      <c r="H83" s="433">
        <v>0</v>
      </c>
    </row>
    <row r="84" spans="3:27" x14ac:dyDescent="0.3">
      <c r="E84" t="s">
        <v>348</v>
      </c>
      <c r="G84" t="s">
        <v>276</v>
      </c>
      <c r="H84" s="433">
        <v>0</v>
      </c>
    </row>
    <row r="85" spans="3:27" x14ac:dyDescent="0.3">
      <c r="E85" s="37" t="s">
        <v>349</v>
      </c>
      <c r="F85" s="37"/>
      <c r="G85" s="37" t="s">
        <v>276</v>
      </c>
      <c r="H85" s="434">
        <v>0</v>
      </c>
    </row>
    <row r="86" spans="3:27" x14ac:dyDescent="0.3">
      <c r="E86" t="s">
        <v>350</v>
      </c>
      <c r="G86" t="s">
        <v>276</v>
      </c>
      <c r="H86" s="98">
        <f>SUM(H82:H85)</f>
        <v>18483922.961141106</v>
      </c>
    </row>
    <row r="87" spans="3:27" x14ac:dyDescent="0.3">
      <c r="E87" s="23" t="s">
        <v>351</v>
      </c>
      <c r="F87" s="23"/>
      <c r="G87" s="23" t="s">
        <v>276</v>
      </c>
      <c r="H87" s="101">
        <f>H80-H86</f>
        <v>533178915.77627659</v>
      </c>
    </row>
    <row r="88" spans="3:27" x14ac:dyDescent="0.3">
      <c r="H88" s="102"/>
    </row>
    <row r="89" spans="3:27" x14ac:dyDescent="0.3">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3">
      <c r="E91" s="28" t="s">
        <v>352</v>
      </c>
      <c r="G91" t="s">
        <v>166</v>
      </c>
      <c r="H91" s="430">
        <v>3.6499999999999998E-2</v>
      </c>
      <c r="I91" t="s">
        <v>153</v>
      </c>
      <c r="J91" s="3" t="s">
        <v>164</v>
      </c>
    </row>
    <row r="92" spans="3:27" x14ac:dyDescent="0.3">
      <c r="E92" s="28" t="s">
        <v>126</v>
      </c>
      <c r="G92" s="28" t="s">
        <v>353</v>
      </c>
      <c r="H92" s="435">
        <v>365</v>
      </c>
    </row>
    <row r="93" spans="3:27" x14ac:dyDescent="0.3">
      <c r="E93" t="s">
        <v>354</v>
      </c>
      <c r="G93" t="s">
        <v>146</v>
      </c>
      <c r="H93" s="103">
        <f>days_in_year * hours_in_day</f>
        <v>8760</v>
      </c>
    </row>
    <row r="95" spans="3:27" x14ac:dyDescent="0.3">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3">
      <c r="E97" s="28" t="s">
        <v>355</v>
      </c>
      <c r="G97" t="s">
        <v>356</v>
      </c>
      <c r="H97" s="433">
        <v>18960271.583497114</v>
      </c>
      <c r="I97" t="s">
        <v>153</v>
      </c>
      <c r="J97" t="s">
        <v>357</v>
      </c>
    </row>
    <row r="98" spans="2:27" x14ac:dyDescent="0.3">
      <c r="H98" s="89"/>
    </row>
    <row r="99" spans="2:27" x14ac:dyDescent="0.3">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3">
      <c r="H100" s="89"/>
    </row>
    <row r="101" spans="2:27" x14ac:dyDescent="0.3">
      <c r="E101" s="32" t="s">
        <v>358</v>
      </c>
      <c r="F101" s="32"/>
      <c r="H101" s="89"/>
      <c r="I101" t="s">
        <v>153</v>
      </c>
      <c r="J101" t="s">
        <v>169</v>
      </c>
    </row>
    <row r="102" spans="2:27" x14ac:dyDescent="0.3">
      <c r="F102" s="64" t="s">
        <v>359</v>
      </c>
      <c r="G102" s="23" t="s">
        <v>356</v>
      </c>
      <c r="H102" s="432">
        <v>37915128.1440318</v>
      </c>
    </row>
    <row r="103" spans="2:27" x14ac:dyDescent="0.3">
      <c r="F103" s="28" t="s">
        <v>360</v>
      </c>
      <c r="G103" t="s">
        <v>356</v>
      </c>
      <c r="H103" s="433">
        <v>131411604.64292556</v>
      </c>
      <c r="R103" s="88"/>
      <c r="S103" s="88"/>
    </row>
    <row r="104" spans="2:27" x14ac:dyDescent="0.3">
      <c r="F104" s="67" t="s">
        <v>361</v>
      </c>
      <c r="G104" s="37" t="s">
        <v>356</v>
      </c>
      <c r="H104" s="434">
        <v>27046960</v>
      </c>
      <c r="R104" s="88"/>
      <c r="S104" s="88"/>
    </row>
    <row r="106" spans="2:27" x14ac:dyDescent="0.3">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3">
      <c r="E108" t="s">
        <v>231</v>
      </c>
      <c r="G108" s="6" t="s">
        <v>54</v>
      </c>
      <c r="H108" s="24">
        <f t="array" ref="H108">SUM(IF(ISERROR(H6:H105), 1))</f>
        <v>0</v>
      </c>
    </row>
    <row r="110" spans="2:27" x14ac:dyDescent="0.3">
      <c r="E110" s="32" t="s">
        <v>362</v>
      </c>
    </row>
    <row r="111" spans="2:27" x14ac:dyDescent="0.3">
      <c r="F111" s="23" t="s">
        <v>363</v>
      </c>
      <c r="G111" s="73" t="s">
        <v>54</v>
      </c>
      <c r="H111" s="74">
        <f>IF(SUM(H16:H18) = hours_in_year, 0, 1)</f>
        <v>0</v>
      </c>
    </row>
    <row r="112" spans="2:27" x14ac:dyDescent="0.3">
      <c r="F112" s="37" t="s">
        <v>364</v>
      </c>
      <c r="G112" s="50" t="s">
        <v>54</v>
      </c>
      <c r="H112" s="75">
        <f>IF(SUM(H21:H23) = hours_in_year, 0, 1)</f>
        <v>0</v>
      </c>
    </row>
    <row r="114" spans="2:27" x14ac:dyDescent="0.3">
      <c r="E114" t="s">
        <v>238</v>
      </c>
      <c r="G114" s="6" t="s">
        <v>54</v>
      </c>
      <c r="H114" s="103">
        <f>SUM(H108,H111:H112)</f>
        <v>0</v>
      </c>
    </row>
    <row r="116" spans="2:27" x14ac:dyDescent="0.3">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Standing charge factors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H58 &amp; IF(H58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
      <c r="C9" s="29" t="s">
        <v>365</v>
      </c>
      <c r="E9"/>
    </row>
    <row r="10" spans="1:27" x14ac:dyDescent="0.3">
      <c r="C10" s="29" t="s">
        <v>366</v>
      </c>
      <c r="E10"/>
    </row>
    <row r="11" spans="1:27" x14ac:dyDescent="0.3">
      <c r="C11" s="29" t="s">
        <v>367</v>
      </c>
      <c r="E11"/>
    </row>
    <row r="12" spans="1:27" x14ac:dyDescent="0.3">
      <c r="C12" s="29" t="s">
        <v>368</v>
      </c>
      <c r="E12"/>
    </row>
    <row r="13" spans="1:27" x14ac:dyDescent="0.3">
      <c r="C13" s="29"/>
      <c r="E13"/>
    </row>
    <row r="14" spans="1:27" x14ac:dyDescent="0.3">
      <c r="C14" s="29" t="s">
        <v>369</v>
      </c>
      <c r="E14"/>
    </row>
    <row r="15" spans="1:27" x14ac:dyDescent="0.3">
      <c r="C15" s="29" t="s">
        <v>370</v>
      </c>
      <c r="E15"/>
    </row>
    <row r="17" spans="2:27" x14ac:dyDescent="0.3">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3">
      <c r="C18" s="88"/>
    </row>
    <row r="19" spans="2:27" x14ac:dyDescent="0.3">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3">
      <c r="C20" s="88"/>
    </row>
    <row r="21" spans="2:27" x14ac:dyDescent="0.3">
      <c r="D21" s="29" t="s">
        <v>372</v>
      </c>
      <c r="F21" s="2"/>
    </row>
    <row r="22" spans="2:27" x14ac:dyDescent="0.3">
      <c r="D22" s="88"/>
      <c r="F22" s="2"/>
    </row>
    <row r="23" spans="2:27" x14ac:dyDescent="0.3">
      <c r="D23"/>
      <c r="E23" s="32" t="s">
        <v>373</v>
      </c>
      <c r="F23" s="32"/>
      <c r="I23" t="s">
        <v>153</v>
      </c>
      <c r="AA23" t="s">
        <v>202</v>
      </c>
    </row>
    <row r="24" spans="2:27" x14ac:dyDescent="0.3">
      <c r="D24"/>
      <c r="E24" s="29" t="s">
        <v>374</v>
      </c>
    </row>
    <row r="25" spans="2:27" x14ac:dyDescent="0.3">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3">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3">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3">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3">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3">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3">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3">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3">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3">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3">
      <c r="D35" s="88"/>
      <c r="F35" t="s">
        <v>375</v>
      </c>
      <c r="G35" t="s">
        <v>166</v>
      </c>
      <c r="J35" s="66"/>
      <c r="K35" s="66"/>
      <c r="L35" s="66"/>
      <c r="M35" s="66"/>
      <c r="N35" s="66"/>
      <c r="O35" s="66"/>
      <c r="P35" s="66"/>
      <c r="Q35" s="66"/>
      <c r="R35" s="66"/>
      <c r="S35" s="66"/>
      <c r="T35" s="66"/>
      <c r="U35" s="66"/>
      <c r="V35" s="66"/>
      <c r="W35" s="66"/>
      <c r="X35" s="66"/>
      <c r="Y35" s="66"/>
    </row>
    <row r="36" spans="4:27" x14ac:dyDescent="0.3">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3">
      <c r="D37" s="88"/>
      <c r="F37" s="2"/>
    </row>
    <row r="38" spans="4:27" x14ac:dyDescent="0.3">
      <c r="D38"/>
      <c r="E38" s="32" t="s">
        <v>280</v>
      </c>
      <c r="F38" s="2"/>
    </row>
    <row r="39" spans="4:27" x14ac:dyDescent="0.3">
      <c r="D39" s="88"/>
      <c r="E39"/>
      <c r="F39" s="28" t="s">
        <v>280</v>
      </c>
      <c r="G39" s="28" t="s">
        <v>166</v>
      </c>
      <c r="H39" s="25">
        <f>'Inputs by network level'!P17</f>
        <v>0</v>
      </c>
    </row>
    <row r="40" spans="4:27" x14ac:dyDescent="0.3">
      <c r="D40" s="88"/>
      <c r="F40" s="2"/>
    </row>
    <row r="41" spans="4:27" x14ac:dyDescent="0.3">
      <c r="D41"/>
      <c r="E41" s="32" t="s">
        <v>377</v>
      </c>
      <c r="F41" s="32"/>
    </row>
    <row r="42" spans="4:27" x14ac:dyDescent="0.3">
      <c r="D42"/>
      <c r="E42" s="29" t="s">
        <v>378</v>
      </c>
    </row>
    <row r="43" spans="4:27" x14ac:dyDescent="0.3">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3">
      <c r="D44" s="88"/>
      <c r="F44" t="s">
        <v>190</v>
      </c>
      <c r="G44" t="s">
        <v>166</v>
      </c>
      <c r="J44" s="66"/>
      <c r="K44" s="66"/>
      <c r="L44" s="66"/>
      <c r="M44" s="66"/>
      <c r="N44" s="66"/>
      <c r="O44" s="66"/>
      <c r="P44" s="66"/>
      <c r="Q44" s="66"/>
      <c r="R44" s="66"/>
      <c r="S44" s="66"/>
      <c r="T44" s="66"/>
      <c r="U44" s="66"/>
      <c r="V44" s="66"/>
      <c r="W44" s="66"/>
      <c r="X44" s="66"/>
      <c r="Y44" s="66"/>
    </row>
    <row r="45" spans="4:27" x14ac:dyDescent="0.3">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3">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3">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3">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3">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3">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3">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3">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3">
      <c r="D53" s="88"/>
      <c r="F53" t="s">
        <v>375</v>
      </c>
      <c r="G53" t="s">
        <v>166</v>
      </c>
      <c r="J53" s="66"/>
      <c r="K53" s="66"/>
      <c r="L53" s="66"/>
      <c r="M53" s="66"/>
      <c r="N53" s="66"/>
      <c r="O53" s="66"/>
      <c r="P53" s="66"/>
      <c r="Q53" s="66"/>
      <c r="R53" s="66"/>
      <c r="S53" s="66"/>
      <c r="T53" s="66"/>
      <c r="U53" s="66"/>
      <c r="V53" s="66"/>
      <c r="W53" s="66"/>
      <c r="X53" s="66"/>
      <c r="Y53" s="66"/>
    </row>
    <row r="54" spans="2:27" x14ac:dyDescent="0.3">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3">
      <c r="C55" s="88"/>
    </row>
    <row r="56" spans="2:27" x14ac:dyDescent="0.3">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
      <c r="D57"/>
      <c r="E57"/>
    </row>
    <row r="58" spans="2:27" x14ac:dyDescent="0.3">
      <c r="D58"/>
      <c r="E58" t="s">
        <v>231</v>
      </c>
      <c r="G58" s="6" t="s">
        <v>54</v>
      </c>
      <c r="H58" s="103">
        <f t="array" ref="H58">SUM(IF(ISERROR(H25:Y54), 1))</f>
        <v>0</v>
      </c>
    </row>
    <row r="59" spans="2:27" x14ac:dyDescent="0.3">
      <c r="D59"/>
      <c r="E59"/>
    </row>
    <row r="60" spans="2:27" x14ac:dyDescent="0.3">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16384" width="8.6640625" hidden="1"/>
  </cols>
  <sheetData>
    <row r="1" spans="1:23" s="1" customFormat="1" x14ac:dyDescent="0.3">
      <c r="A1" s="1" t="str">
        <f ca="1">MID(CELL("filename",A1),FIND("]",CELL("filename",A1))+1,255)</f>
        <v>Load &amp; loss characteristics</v>
      </c>
    </row>
    <row r="2" spans="1:23" s="1" customFormat="1" x14ac:dyDescent="0.3">
      <c r="A2" s="1" t="str">
        <f>Cover!D21&amp;" - "&amp;Cover!D23</f>
        <v>Electricity North West Limited - Working Model</v>
      </c>
    </row>
    <row r="3" spans="1:23" s="5" customFormat="1" x14ac:dyDescent="0.3">
      <c r="A3" s="5" t="str">
        <f>Cover!D2&amp;" - "&amp;Cover!D8&amp;" v"&amp;Cover!D10&amp;" - "&amp;Cover!D19</f>
        <v>CDCM charging model - Release for charge setting v7 - 2022/23</v>
      </c>
    </row>
    <row r="4" spans="1:23" x14ac:dyDescent="0.3">
      <c r="A4" s="12" t="str">
        <f>H183 &amp; IF(H183 = 1, " issue", " issues") &amp;" identified in checks on this sheet"</f>
        <v>0 issues identified in checks on this sheet</v>
      </c>
      <c r="B4" s="13"/>
      <c r="C4" s="13"/>
      <c r="D4" s="13"/>
      <c r="E4" s="13"/>
      <c r="F4" s="13"/>
      <c r="G4" s="13"/>
      <c r="H4" s="14"/>
      <c r="I4" s="14"/>
      <c r="J4" s="13"/>
    </row>
    <row r="5" spans="1:23" x14ac:dyDescent="0.3">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3">
      <c r="H6" s="3"/>
      <c r="I6" s="29"/>
      <c r="J6" s="3"/>
      <c r="K6" s="3"/>
      <c r="L6" s="3"/>
      <c r="M6" s="3"/>
      <c r="N6" s="3"/>
      <c r="O6" s="3"/>
      <c r="P6" s="3"/>
      <c r="Q6" s="3"/>
      <c r="R6" s="3"/>
      <c r="S6" s="3"/>
      <c r="T6" s="3"/>
      <c r="U6" s="3"/>
      <c r="W6" s="3"/>
    </row>
    <row r="7" spans="1:23" x14ac:dyDescent="0.3">
      <c r="B7" s="30" t="s">
        <v>9</v>
      </c>
      <c r="C7" s="30"/>
      <c r="D7" s="30"/>
      <c r="E7" s="30"/>
      <c r="F7" s="30"/>
      <c r="G7" s="30"/>
      <c r="H7" s="30"/>
      <c r="I7" s="30"/>
      <c r="J7" s="30"/>
      <c r="K7" s="30"/>
      <c r="L7" s="30"/>
      <c r="M7" s="30"/>
      <c r="N7" s="30"/>
      <c r="O7" s="30"/>
      <c r="P7" s="30"/>
      <c r="Q7" s="30"/>
      <c r="R7" s="30"/>
      <c r="S7" s="30"/>
      <c r="T7" s="30"/>
      <c r="U7" s="30"/>
      <c r="V7" s="30"/>
      <c r="W7" s="30"/>
    </row>
    <row r="9" spans="1:23" x14ac:dyDescent="0.3">
      <c r="C9" s="29" t="s">
        <v>381</v>
      </c>
    </row>
    <row r="10" spans="1:23" x14ac:dyDescent="0.3">
      <c r="C10" s="29" t="s">
        <v>382</v>
      </c>
    </row>
    <row r="11" spans="1:23" x14ac:dyDescent="0.3">
      <c r="C11" s="29" t="s">
        <v>383</v>
      </c>
    </row>
    <row r="13" spans="1:23" x14ac:dyDescent="0.3">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3">
      <c r="H14" s="3"/>
      <c r="I14" s="3"/>
      <c r="J14" s="3"/>
      <c r="K14" s="3"/>
      <c r="L14" s="3"/>
      <c r="M14" s="3"/>
      <c r="N14" s="3"/>
      <c r="O14" s="3"/>
      <c r="P14" s="3"/>
      <c r="Q14" s="3"/>
      <c r="R14" s="3"/>
      <c r="S14" s="3"/>
      <c r="T14" s="3"/>
      <c r="U14" s="3"/>
      <c r="W14" s="3"/>
    </row>
    <row r="15" spans="1:23" x14ac:dyDescent="0.3">
      <c r="C15" s="29" t="s">
        <v>385</v>
      </c>
      <c r="H15" s="3"/>
      <c r="I15" s="3"/>
      <c r="J15" s="3"/>
      <c r="K15" s="3"/>
      <c r="L15" s="3"/>
      <c r="M15" s="3"/>
      <c r="N15" s="3"/>
      <c r="O15" s="3"/>
      <c r="P15" s="3"/>
      <c r="Q15" s="3"/>
      <c r="R15" s="3"/>
      <c r="S15" s="3"/>
      <c r="T15" s="3"/>
      <c r="U15" s="3"/>
      <c r="W15" s="3"/>
    </row>
    <row r="16" spans="1:23" x14ac:dyDescent="0.3">
      <c r="H16" s="3"/>
      <c r="I16" s="3"/>
      <c r="J16" s="3"/>
      <c r="K16" s="3"/>
      <c r="L16" s="3"/>
      <c r="M16" s="3"/>
      <c r="N16" s="3"/>
      <c r="O16" s="3"/>
      <c r="P16" s="3"/>
      <c r="Q16" s="3"/>
      <c r="R16" s="3"/>
      <c r="S16" s="3"/>
      <c r="T16" s="3"/>
      <c r="U16" s="3"/>
      <c r="W16" s="3"/>
    </row>
    <row r="17" spans="2:23" x14ac:dyDescent="0.3">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3">
      <c r="H18" s="3"/>
      <c r="I18" s="3"/>
      <c r="J18" s="3"/>
      <c r="K18" s="3"/>
      <c r="L18" s="3"/>
      <c r="M18" s="3"/>
      <c r="N18" s="3"/>
      <c r="O18" s="3"/>
      <c r="P18" s="3"/>
      <c r="Q18" s="3"/>
      <c r="R18" s="3"/>
      <c r="S18" s="3"/>
      <c r="T18" s="3"/>
      <c r="U18" s="3"/>
      <c r="W18" s="3"/>
    </row>
    <row r="19" spans="2:23" x14ac:dyDescent="0.3">
      <c r="E19" t="s">
        <v>386</v>
      </c>
      <c r="F19" s="115"/>
      <c r="G19" s="13" t="s">
        <v>166</v>
      </c>
      <c r="H19" s="3"/>
      <c r="I19" s="3"/>
      <c r="J19" s="94"/>
      <c r="K19" s="116">
        <f>'Inputs by network level'!K15</f>
        <v>6.4933942364639119E-2</v>
      </c>
      <c r="L19" s="116">
        <f>'Inputs by network level'!L15</f>
        <v>6.8054317243707585E-2</v>
      </c>
      <c r="M19" s="94"/>
      <c r="N19" s="116">
        <f>'Inputs by network level'!N15</f>
        <v>0.10068731023201583</v>
      </c>
      <c r="O19" s="94"/>
      <c r="P19" s="94"/>
      <c r="Q19" s="116">
        <f>'Inputs by network level'!Q15</f>
        <v>0.4029928739003833</v>
      </c>
      <c r="R19" s="94"/>
      <c r="S19" s="94"/>
      <c r="T19" s="66"/>
      <c r="U19" s="66"/>
    </row>
    <row r="20" spans="2:23" x14ac:dyDescent="0.3">
      <c r="E20" t="s">
        <v>242</v>
      </c>
      <c r="F20" s="115"/>
      <c r="G20" s="13" t="s">
        <v>166</v>
      </c>
      <c r="H20" s="3"/>
      <c r="I20" s="3"/>
      <c r="J20" s="117">
        <f t="shared" ref="J20" si="0">IF(I20 = "", 1, I20 / (1 + J19))</f>
        <v>1</v>
      </c>
      <c r="K20" s="117">
        <f>IF(J20 = "", 1, J20 / (1 + K19))</f>
        <v>0.93902538009028413</v>
      </c>
      <c r="L20" s="117">
        <f t="shared" ref="L20:S20" si="1">IF(K20 = "", 1, K20 / (1 + L19))</f>
        <v>0.8791925325610741</v>
      </c>
      <c r="M20" s="117">
        <f t="shared" si="1"/>
        <v>0.8791925325610741</v>
      </c>
      <c r="N20" s="117">
        <f t="shared" si="1"/>
        <v>0.79876684721271796</v>
      </c>
      <c r="O20" s="117">
        <f t="shared" si="1"/>
        <v>0.79876684721271796</v>
      </c>
      <c r="P20" s="117">
        <f t="shared" si="1"/>
        <v>0.79876684721271796</v>
      </c>
      <c r="Q20" s="117">
        <f t="shared" si="1"/>
        <v>0.56933065168899266</v>
      </c>
      <c r="R20" s="117">
        <f t="shared" si="1"/>
        <v>0.56933065168899266</v>
      </c>
      <c r="S20" s="117">
        <f t="shared" si="1"/>
        <v>0.56933065168899266</v>
      </c>
      <c r="T20" s="66"/>
      <c r="U20" s="66"/>
    </row>
    <row r="21" spans="2:23" x14ac:dyDescent="0.3">
      <c r="E21" t="s">
        <v>387</v>
      </c>
      <c r="F21" s="115"/>
      <c r="G21" s="13" t="s">
        <v>166</v>
      </c>
      <c r="H21" s="3"/>
      <c r="I21" s="3"/>
      <c r="J21" s="117">
        <f>1 / J20 - 1</f>
        <v>0</v>
      </c>
      <c r="K21" s="117">
        <f t="shared" ref="K21:S21" si="2">1 / K20 - 1</f>
        <v>6.4933942364639119E-2</v>
      </c>
      <c r="L21" s="117">
        <f t="shared" si="2"/>
        <v>0.13740729472191449</v>
      </c>
      <c r="M21" s="117">
        <f t="shared" si="2"/>
        <v>0.13740729472191449</v>
      </c>
      <c r="N21" s="117">
        <f t="shared" si="2"/>
        <v>0.25192977586573773</v>
      </c>
      <c r="O21" s="117">
        <f t="shared" si="2"/>
        <v>0.25192977586573773</v>
      </c>
      <c r="P21" s="117">
        <f t="shared" si="2"/>
        <v>0.25192977586573773</v>
      </c>
      <c r="Q21" s="117">
        <f t="shared" si="2"/>
        <v>0.75644855416333412</v>
      </c>
      <c r="R21" s="117">
        <f t="shared" si="2"/>
        <v>0.75644855416333412</v>
      </c>
      <c r="S21" s="117">
        <f t="shared" si="2"/>
        <v>0.75644855416333412</v>
      </c>
      <c r="T21" s="66"/>
      <c r="U21" s="66"/>
    </row>
    <row r="22" spans="2:23" x14ac:dyDescent="0.3">
      <c r="E22" t="s">
        <v>388</v>
      </c>
      <c r="F22" s="115"/>
      <c r="G22" s="13" t="s">
        <v>166</v>
      </c>
      <c r="H22" s="3"/>
      <c r="I22" s="3"/>
      <c r="J22" s="94"/>
      <c r="K22" s="94"/>
      <c r="L22" s="94"/>
      <c r="M22" s="94"/>
      <c r="N22" s="94"/>
      <c r="O22" s="94"/>
      <c r="P22" s="117">
        <f>M21</f>
        <v>0.13740729472191449</v>
      </c>
      <c r="Q22" s="94"/>
      <c r="R22" s="94"/>
      <c r="S22" s="94"/>
      <c r="T22" s="66"/>
      <c r="U22" s="66"/>
    </row>
    <row r="23" spans="2:23" x14ac:dyDescent="0.3">
      <c r="E23" t="s">
        <v>389</v>
      </c>
      <c r="F23" s="115"/>
      <c r="G23" s="13" t="s">
        <v>166</v>
      </c>
      <c r="H23" s="3"/>
      <c r="I23" s="3" t="s">
        <v>153</v>
      </c>
      <c r="J23" s="118">
        <f t="shared" ref="J23:S23" si="3">IF(J22 = "", J21, J22)</f>
        <v>0</v>
      </c>
      <c r="K23" s="118">
        <f t="shared" si="3"/>
        <v>6.4933942364639119E-2</v>
      </c>
      <c r="L23" s="118">
        <f t="shared" si="3"/>
        <v>0.13740729472191449</v>
      </c>
      <c r="M23" s="118">
        <f t="shared" si="3"/>
        <v>0.13740729472191449</v>
      </c>
      <c r="N23" s="118">
        <f t="shared" si="3"/>
        <v>0.25192977586573773</v>
      </c>
      <c r="O23" s="118">
        <f t="shared" si="3"/>
        <v>0.25192977586573773</v>
      </c>
      <c r="P23" s="118">
        <f t="shared" si="3"/>
        <v>0.13740729472191449</v>
      </c>
      <c r="Q23" s="118">
        <f t="shared" si="3"/>
        <v>0.75644855416333412</v>
      </c>
      <c r="R23" s="118">
        <f t="shared" si="3"/>
        <v>0.75644855416333412</v>
      </c>
      <c r="S23" s="118">
        <f t="shared" si="3"/>
        <v>0.75644855416333412</v>
      </c>
      <c r="T23" s="66"/>
      <c r="U23" s="66"/>
      <c r="W23" s="63" t="s">
        <v>390</v>
      </c>
    </row>
    <row r="24" spans="2:23" x14ac:dyDescent="0.3">
      <c r="F24" s="115"/>
      <c r="G24" s="13"/>
      <c r="H24" s="3"/>
      <c r="I24" s="3"/>
      <c r="J24" s="117"/>
      <c r="K24" s="117"/>
      <c r="L24" s="117"/>
      <c r="M24" s="117"/>
      <c r="N24" s="117"/>
      <c r="O24" s="117"/>
      <c r="P24" s="117"/>
      <c r="Q24" s="117"/>
      <c r="R24" s="117"/>
      <c r="S24" s="117"/>
      <c r="T24" s="3"/>
      <c r="U24" s="3"/>
    </row>
    <row r="25" spans="2:23" x14ac:dyDescent="0.3">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3">
      <c r="H26" s="3"/>
      <c r="I26" s="3"/>
      <c r="J26" s="3"/>
      <c r="K26" s="3"/>
      <c r="L26" s="3"/>
      <c r="M26" s="3"/>
      <c r="N26" s="3"/>
      <c r="O26" s="3"/>
      <c r="P26" s="3"/>
      <c r="Q26" s="3"/>
      <c r="R26" s="3"/>
      <c r="S26" s="3"/>
      <c r="T26" s="3"/>
      <c r="U26" s="3"/>
      <c r="W26" s="3"/>
    </row>
    <row r="27" spans="2:23" x14ac:dyDescent="0.3">
      <c r="E27" t="s">
        <v>391</v>
      </c>
      <c r="F27" s="119"/>
      <c r="G27" s="72" t="s">
        <v>282</v>
      </c>
      <c r="H27" s="3"/>
      <c r="I27" s="3"/>
      <c r="J27" s="79"/>
      <c r="K27" s="120">
        <f>'Inputs by network level'!K19</f>
        <v>1</v>
      </c>
      <c r="L27" s="120">
        <f>'Inputs by network level'!L19</f>
        <v>1.0069921140018139</v>
      </c>
      <c r="M27" s="120">
        <f>'Inputs by network level'!M19</f>
        <v>1.0120298017682567</v>
      </c>
      <c r="N27" s="120">
        <f>'Inputs by network level'!N19</f>
        <v>1.0169672276140249</v>
      </c>
      <c r="O27" s="120">
        <f>'Inputs by network level'!O19</f>
        <v>1.022345392317251</v>
      </c>
      <c r="P27" s="79"/>
      <c r="Q27" s="120">
        <f>'Inputs by network level'!Q19</f>
        <v>1.030550424378613</v>
      </c>
      <c r="R27" s="120">
        <f>'Inputs by network level'!R19</f>
        <v>1.0463328683595021</v>
      </c>
      <c r="S27" s="120">
        <f>'Inputs by network level'!S19</f>
        <v>1.0811119475731934</v>
      </c>
      <c r="T27" s="79"/>
      <c r="U27" s="79"/>
    </row>
    <row r="28" spans="2:23" x14ac:dyDescent="0.3">
      <c r="E28" t="s">
        <v>392</v>
      </c>
      <c r="F28" s="119"/>
      <c r="G28" s="72" t="s">
        <v>282</v>
      </c>
      <c r="H28" s="3"/>
      <c r="I28" s="3"/>
      <c r="J28" s="98">
        <f>K27</f>
        <v>1</v>
      </c>
      <c r="K28" s="79"/>
      <c r="L28" s="79"/>
      <c r="M28" s="79"/>
      <c r="N28" s="79"/>
      <c r="O28" s="79"/>
      <c r="P28" s="98">
        <f>O27</f>
        <v>1.022345392317251</v>
      </c>
      <c r="Q28" s="79"/>
      <c r="R28" s="79"/>
      <c r="S28" s="79"/>
      <c r="T28" s="79"/>
      <c r="U28" s="79"/>
    </row>
    <row r="29" spans="2:23" x14ac:dyDescent="0.3">
      <c r="E29" t="s">
        <v>393</v>
      </c>
      <c r="F29" s="119"/>
      <c r="G29" s="72" t="s">
        <v>282</v>
      </c>
      <c r="H29" s="3"/>
      <c r="I29" s="3" t="s">
        <v>153</v>
      </c>
      <c r="J29" s="121">
        <f t="shared" ref="J29:S29" si="4">J27 + J28</f>
        <v>1</v>
      </c>
      <c r="K29" s="121">
        <f t="shared" si="4"/>
        <v>1</v>
      </c>
      <c r="L29" s="121">
        <f t="shared" si="4"/>
        <v>1.0069921140018139</v>
      </c>
      <c r="M29" s="121">
        <f t="shared" si="4"/>
        <v>1.0120298017682567</v>
      </c>
      <c r="N29" s="121">
        <f t="shared" si="4"/>
        <v>1.0169672276140249</v>
      </c>
      <c r="O29" s="121">
        <f t="shared" si="4"/>
        <v>1.022345392317251</v>
      </c>
      <c r="P29" s="121">
        <f t="shared" si="4"/>
        <v>1.022345392317251</v>
      </c>
      <c r="Q29" s="121">
        <f t="shared" si="4"/>
        <v>1.030550424378613</v>
      </c>
      <c r="R29" s="121">
        <f t="shared" si="4"/>
        <v>1.0463328683595021</v>
      </c>
      <c r="S29" s="121">
        <f t="shared" si="4"/>
        <v>1.0811119475731934</v>
      </c>
      <c r="T29" s="79"/>
      <c r="U29" s="79"/>
      <c r="W29" s="63" t="s">
        <v>283</v>
      </c>
    </row>
    <row r="30" spans="2:23" x14ac:dyDescent="0.3">
      <c r="F30" s="115"/>
      <c r="G30" s="13"/>
      <c r="H30" s="3"/>
      <c r="I30" s="3"/>
      <c r="J30" s="3"/>
      <c r="K30" s="3"/>
      <c r="L30" s="3"/>
      <c r="M30" s="3"/>
      <c r="N30" s="3"/>
      <c r="O30" s="3"/>
      <c r="Q30" s="3"/>
      <c r="R30" s="3"/>
      <c r="S30" s="3"/>
      <c r="T30" s="3"/>
      <c r="U30" s="3"/>
    </row>
    <row r="31" spans="2:23" x14ac:dyDescent="0.3">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3">
      <c r="F32" s="115"/>
      <c r="G32" s="13"/>
      <c r="H32" s="3"/>
      <c r="I32" s="3"/>
      <c r="J32" s="3"/>
      <c r="K32" s="3"/>
      <c r="L32" s="3"/>
      <c r="M32" s="3"/>
      <c r="N32" s="3"/>
      <c r="O32" s="3"/>
      <c r="Q32" s="3"/>
      <c r="R32" s="3"/>
      <c r="S32" s="3"/>
      <c r="T32" s="3"/>
      <c r="U32" s="3"/>
    </row>
    <row r="33" spans="3:23" x14ac:dyDescent="0.3">
      <c r="C33" s="29" t="s">
        <v>395</v>
      </c>
      <c r="F33" s="115"/>
      <c r="G33" s="13"/>
      <c r="H33" s="3"/>
      <c r="I33" s="3"/>
      <c r="J33" s="3"/>
      <c r="K33" s="3"/>
      <c r="L33" s="3"/>
      <c r="M33" s="3"/>
      <c r="N33" s="3"/>
      <c r="O33" s="3"/>
      <c r="Q33" s="3"/>
      <c r="R33" s="3"/>
      <c r="S33" s="3"/>
      <c r="T33" s="3"/>
      <c r="U33" s="3"/>
    </row>
    <row r="34" spans="3:23" x14ac:dyDescent="0.3">
      <c r="F34" s="115"/>
      <c r="G34" s="13"/>
      <c r="H34" s="3"/>
      <c r="I34" s="3"/>
      <c r="J34" s="3"/>
      <c r="K34" s="3"/>
      <c r="L34" s="3"/>
      <c r="M34" s="3"/>
      <c r="N34" s="3"/>
      <c r="O34" s="3"/>
      <c r="Q34" s="3"/>
      <c r="R34" s="3"/>
      <c r="S34" s="3"/>
      <c r="T34" s="3"/>
      <c r="U34" s="3"/>
    </row>
    <row r="35" spans="3:23" x14ac:dyDescent="0.3">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3">
      <c r="H36" s="3"/>
      <c r="I36" s="3"/>
      <c r="J36" s="3"/>
      <c r="K36" s="3"/>
      <c r="L36" s="3"/>
      <c r="M36" s="3"/>
      <c r="N36" s="3"/>
      <c r="O36" s="3"/>
      <c r="P36" s="3"/>
      <c r="Q36" s="3"/>
      <c r="R36" s="3"/>
      <c r="S36" s="3"/>
      <c r="T36" s="3"/>
      <c r="U36" s="3"/>
      <c r="W36" s="3"/>
    </row>
    <row r="37" spans="3:23" x14ac:dyDescent="0.3">
      <c r="E37" t="s">
        <v>195</v>
      </c>
      <c r="F37" s="28"/>
      <c r="G37" s="72" t="s">
        <v>166</v>
      </c>
      <c r="H37" s="116">
        <f>'Inputs by network level'!P17</f>
        <v>0</v>
      </c>
      <c r="I37" s="3"/>
    </row>
    <row r="38" spans="3:23" x14ac:dyDescent="0.3">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3">
      <c r="F39" s="115"/>
      <c r="G39" s="13"/>
      <c r="H39" s="3"/>
      <c r="I39" s="3"/>
      <c r="J39" s="3"/>
      <c r="K39" s="3"/>
      <c r="L39" s="3"/>
      <c r="M39" s="3"/>
      <c r="N39" s="3"/>
      <c r="O39" s="3"/>
      <c r="Q39" s="3"/>
      <c r="R39" s="3"/>
      <c r="S39" s="3"/>
      <c r="T39" s="3"/>
      <c r="U39" s="3"/>
    </row>
    <row r="40" spans="3:23" x14ac:dyDescent="0.3">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3">
      <c r="H41" s="3"/>
      <c r="I41" s="3"/>
      <c r="J41" s="3"/>
      <c r="K41" s="3"/>
      <c r="L41" s="3"/>
      <c r="M41" s="3"/>
      <c r="N41" s="3"/>
      <c r="O41" s="3"/>
      <c r="P41" s="3"/>
      <c r="Q41" s="3"/>
      <c r="R41" s="3"/>
      <c r="S41" s="3"/>
      <c r="T41" s="3"/>
      <c r="U41" s="3"/>
      <c r="W41" s="3"/>
    </row>
    <row r="42" spans="3:23" x14ac:dyDescent="0.3">
      <c r="D42" s="29" t="s">
        <v>397</v>
      </c>
      <c r="H42" s="3"/>
      <c r="I42" s="3"/>
      <c r="J42" s="3"/>
      <c r="K42" s="3"/>
      <c r="L42" s="3"/>
      <c r="M42" s="3"/>
      <c r="N42" s="3"/>
      <c r="O42" s="3"/>
      <c r="P42" s="3"/>
      <c r="Q42" s="3"/>
      <c r="R42" s="3"/>
      <c r="S42" s="3"/>
      <c r="T42" s="3"/>
      <c r="U42" s="3"/>
      <c r="W42" s="3"/>
    </row>
    <row r="43" spans="3:23" x14ac:dyDescent="0.3">
      <c r="D43" s="29"/>
      <c r="H43" s="3"/>
      <c r="I43" s="3"/>
      <c r="J43" s="3"/>
      <c r="K43" s="3"/>
      <c r="L43" s="3"/>
      <c r="M43" s="3"/>
      <c r="N43" s="3"/>
      <c r="O43" s="3"/>
      <c r="P43" s="3"/>
      <c r="Q43" s="3"/>
      <c r="R43" s="3"/>
      <c r="S43" s="3"/>
      <c r="T43" s="3"/>
      <c r="U43" s="3"/>
      <c r="W43" s="3"/>
    </row>
    <row r="44" spans="3:23" x14ac:dyDescent="0.3">
      <c r="E44" s="32" t="s">
        <v>186</v>
      </c>
      <c r="G44" s="13"/>
    </row>
    <row r="45" spans="3:23" x14ac:dyDescent="0.3">
      <c r="E45" s="29" t="s">
        <v>398</v>
      </c>
      <c r="G45" s="13"/>
    </row>
    <row r="46" spans="3:23" x14ac:dyDescent="0.3">
      <c r="F46" s="23" t="s">
        <v>828</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3">
      <c r="F47" t="s">
        <v>830</v>
      </c>
      <c r="G47" s="72" t="s">
        <v>189</v>
      </c>
      <c r="J47" s="120">
        <v>1</v>
      </c>
      <c r="K47" s="120">
        <v>1</v>
      </c>
      <c r="L47" s="120">
        <v>1</v>
      </c>
      <c r="M47" s="120">
        <v>1</v>
      </c>
      <c r="N47" s="120">
        <v>1</v>
      </c>
      <c r="O47" s="120">
        <v>1</v>
      </c>
      <c r="P47" s="120">
        <v>1</v>
      </c>
      <c r="Q47" s="120">
        <v>1</v>
      </c>
      <c r="R47" s="120">
        <v>1</v>
      </c>
      <c r="S47" s="120">
        <v>1</v>
      </c>
      <c r="T47" s="79"/>
      <c r="U47" s="79"/>
    </row>
    <row r="48" spans="3:23" x14ac:dyDescent="0.3">
      <c r="F48" t="s">
        <v>829</v>
      </c>
      <c r="G48" s="72" t="s">
        <v>189</v>
      </c>
      <c r="J48" s="120">
        <v>1</v>
      </c>
      <c r="K48" s="120">
        <v>1</v>
      </c>
      <c r="L48" s="120">
        <v>1</v>
      </c>
      <c r="M48" s="120">
        <v>1</v>
      </c>
      <c r="N48" s="120">
        <v>1</v>
      </c>
      <c r="O48" s="120">
        <v>1</v>
      </c>
      <c r="P48" s="120">
        <v>1</v>
      </c>
      <c r="Q48" s="120">
        <v>1</v>
      </c>
      <c r="R48" s="120">
        <v>1</v>
      </c>
      <c r="S48" s="120">
        <v>1</v>
      </c>
      <c r="T48" s="79"/>
      <c r="U48" s="79"/>
    </row>
    <row r="49" spans="5:21" x14ac:dyDescent="0.3">
      <c r="F49" t="s">
        <v>831</v>
      </c>
      <c r="G49" s="72" t="s">
        <v>189</v>
      </c>
      <c r="J49" s="120">
        <v>1</v>
      </c>
      <c r="K49" s="120">
        <v>1</v>
      </c>
      <c r="L49" s="120">
        <v>1</v>
      </c>
      <c r="M49" s="120">
        <v>1</v>
      </c>
      <c r="N49" s="120">
        <v>1</v>
      </c>
      <c r="O49" s="120">
        <v>1</v>
      </c>
      <c r="P49" s="120">
        <v>1</v>
      </c>
      <c r="Q49" s="120">
        <v>1</v>
      </c>
      <c r="R49" s="120">
        <v>1</v>
      </c>
      <c r="S49" s="120">
        <v>1</v>
      </c>
      <c r="T49" s="79"/>
      <c r="U49" s="79"/>
    </row>
    <row r="50" spans="5:21" x14ac:dyDescent="0.3">
      <c r="F50" t="s">
        <v>837</v>
      </c>
      <c r="G50" s="72" t="s">
        <v>189</v>
      </c>
      <c r="J50" s="120">
        <v>1</v>
      </c>
      <c r="K50" s="120">
        <v>1</v>
      </c>
      <c r="L50" s="120">
        <v>1</v>
      </c>
      <c r="M50" s="120">
        <v>1</v>
      </c>
      <c r="N50" s="120">
        <v>1</v>
      </c>
      <c r="O50" s="120">
        <v>1</v>
      </c>
      <c r="P50" s="120">
        <v>1</v>
      </c>
      <c r="Q50" s="120">
        <v>1</v>
      </c>
      <c r="R50" s="120">
        <v>1</v>
      </c>
      <c r="S50" s="120">
        <v>1</v>
      </c>
      <c r="T50" s="79"/>
      <c r="U50" s="79"/>
    </row>
    <row r="51" spans="5:21" x14ac:dyDescent="0.3">
      <c r="F51" t="s">
        <v>838</v>
      </c>
      <c r="G51" s="72" t="s">
        <v>189</v>
      </c>
      <c r="J51" s="120">
        <v>1</v>
      </c>
      <c r="K51" s="120">
        <v>1</v>
      </c>
      <c r="L51" s="120">
        <v>1</v>
      </c>
      <c r="M51" s="120">
        <v>1</v>
      </c>
      <c r="N51" s="120">
        <v>1</v>
      </c>
      <c r="O51" s="120">
        <v>1</v>
      </c>
      <c r="P51" s="120">
        <v>1</v>
      </c>
      <c r="Q51" s="120">
        <v>1</v>
      </c>
      <c r="R51" s="120">
        <v>1</v>
      </c>
      <c r="S51" s="120">
        <v>0</v>
      </c>
      <c r="T51" s="79"/>
      <c r="U51" s="79"/>
    </row>
    <row r="52" spans="5:21" x14ac:dyDescent="0.3">
      <c r="F52" t="s">
        <v>839</v>
      </c>
      <c r="G52" s="72" t="s">
        <v>189</v>
      </c>
      <c r="J52" s="120">
        <v>1</v>
      </c>
      <c r="K52" s="120">
        <v>1</v>
      </c>
      <c r="L52" s="120">
        <v>1</v>
      </c>
      <c r="M52" s="120">
        <v>1</v>
      </c>
      <c r="N52" s="120">
        <v>1</v>
      </c>
      <c r="O52" s="120">
        <v>1</v>
      </c>
      <c r="P52" s="120">
        <v>1</v>
      </c>
      <c r="Q52" s="120">
        <v>1</v>
      </c>
      <c r="R52" s="120">
        <v>0</v>
      </c>
      <c r="S52" s="120">
        <v>0</v>
      </c>
      <c r="T52" s="79"/>
      <c r="U52" s="79"/>
    </row>
    <row r="53" spans="5:21" x14ac:dyDescent="0.3">
      <c r="F53" t="s">
        <v>840</v>
      </c>
      <c r="G53" s="72" t="s">
        <v>189</v>
      </c>
      <c r="J53" s="120">
        <v>1</v>
      </c>
      <c r="K53" s="120">
        <v>1</v>
      </c>
      <c r="L53" s="120">
        <v>1</v>
      </c>
      <c r="M53" s="120">
        <v>1</v>
      </c>
      <c r="N53" s="120">
        <v>1</v>
      </c>
      <c r="O53" s="120">
        <v>1</v>
      </c>
      <c r="P53" s="120">
        <v>1</v>
      </c>
      <c r="Q53" s="120">
        <v>1</v>
      </c>
      <c r="R53" s="120">
        <v>1</v>
      </c>
      <c r="S53" s="120">
        <v>1</v>
      </c>
      <c r="T53" s="79"/>
      <c r="U53" s="79"/>
    </row>
    <row r="54" spans="5:21" x14ac:dyDescent="0.3">
      <c r="F54" t="s">
        <v>832</v>
      </c>
      <c r="G54" s="72" t="s">
        <v>189</v>
      </c>
      <c r="J54" s="120">
        <v>-1</v>
      </c>
      <c r="K54" s="120">
        <v>-1</v>
      </c>
      <c r="L54" s="120">
        <v>-1</v>
      </c>
      <c r="M54" s="120">
        <v>-1</v>
      </c>
      <c r="N54" s="120">
        <v>-1</v>
      </c>
      <c r="O54" s="120">
        <v>-1</v>
      </c>
      <c r="P54" s="120">
        <v>-1</v>
      </c>
      <c r="Q54" s="120">
        <v>-1</v>
      </c>
      <c r="R54" s="120">
        <v>-1</v>
      </c>
      <c r="S54" s="120">
        <v>-1</v>
      </c>
      <c r="T54" s="79"/>
      <c r="U54" s="79"/>
    </row>
    <row r="55" spans="5:21" x14ac:dyDescent="0.3">
      <c r="F55" t="s">
        <v>833</v>
      </c>
      <c r="G55" s="72" t="s">
        <v>189</v>
      </c>
      <c r="J55" s="120">
        <v>-1</v>
      </c>
      <c r="K55" s="120">
        <v>-1</v>
      </c>
      <c r="L55" s="120">
        <v>-1</v>
      </c>
      <c r="M55" s="120">
        <v>-1</v>
      </c>
      <c r="N55" s="120">
        <v>-1</v>
      </c>
      <c r="O55" s="120">
        <v>-1</v>
      </c>
      <c r="P55" s="120">
        <v>-1</v>
      </c>
      <c r="Q55" s="120">
        <v>-1</v>
      </c>
      <c r="R55" s="120">
        <v>-1</v>
      </c>
      <c r="S55" s="120">
        <v>0</v>
      </c>
      <c r="T55" s="79"/>
      <c r="U55" s="79"/>
    </row>
    <row r="56" spans="5:21" x14ac:dyDescent="0.3">
      <c r="F56" t="s">
        <v>834</v>
      </c>
      <c r="G56" s="72" t="s">
        <v>189</v>
      </c>
      <c r="J56" s="120">
        <v>-1</v>
      </c>
      <c r="K56" s="120">
        <v>-1</v>
      </c>
      <c r="L56" s="120">
        <v>-1</v>
      </c>
      <c r="M56" s="120">
        <v>-1</v>
      </c>
      <c r="N56" s="120">
        <v>-1</v>
      </c>
      <c r="O56" s="120">
        <v>-1</v>
      </c>
      <c r="P56" s="120">
        <v>-1</v>
      </c>
      <c r="Q56" s="120">
        <v>-1</v>
      </c>
      <c r="R56" s="120">
        <v>-1</v>
      </c>
      <c r="S56" s="120">
        <v>-1</v>
      </c>
      <c r="T56" s="79"/>
      <c r="U56" s="79"/>
    </row>
    <row r="57" spans="5:21" x14ac:dyDescent="0.3">
      <c r="F57" t="s">
        <v>843</v>
      </c>
      <c r="G57" s="72" t="s">
        <v>189</v>
      </c>
      <c r="J57" s="120">
        <v>-1</v>
      </c>
      <c r="K57" s="120">
        <v>-1</v>
      </c>
      <c r="L57" s="120">
        <v>-1</v>
      </c>
      <c r="M57" s="120">
        <v>-1</v>
      </c>
      <c r="N57" s="120">
        <v>-1</v>
      </c>
      <c r="O57" s="120">
        <v>-1</v>
      </c>
      <c r="P57" s="120">
        <v>-1</v>
      </c>
      <c r="Q57" s="120">
        <v>-1</v>
      </c>
      <c r="R57" s="120">
        <v>-1</v>
      </c>
      <c r="S57" s="120">
        <v>-1</v>
      </c>
      <c r="T57" s="79"/>
      <c r="U57" s="79"/>
    </row>
    <row r="58" spans="5:21" x14ac:dyDescent="0.3">
      <c r="F58" t="s">
        <v>835</v>
      </c>
      <c r="G58" s="72" t="s">
        <v>189</v>
      </c>
      <c r="J58" s="120">
        <v>-1</v>
      </c>
      <c r="K58" s="120">
        <v>-1</v>
      </c>
      <c r="L58" s="120">
        <v>-1</v>
      </c>
      <c r="M58" s="120">
        <v>-1</v>
      </c>
      <c r="N58" s="120">
        <v>-1</v>
      </c>
      <c r="O58" s="120">
        <v>-1</v>
      </c>
      <c r="P58" s="120">
        <v>-1</v>
      </c>
      <c r="Q58" s="120">
        <v>-1</v>
      </c>
      <c r="R58" s="120">
        <v>-1</v>
      </c>
      <c r="S58" s="120">
        <v>0</v>
      </c>
      <c r="T58" s="79"/>
      <c r="U58" s="79"/>
    </row>
    <row r="59" spans="5:21" x14ac:dyDescent="0.3">
      <c r="F59" t="s">
        <v>842</v>
      </c>
      <c r="G59" s="72" t="s">
        <v>189</v>
      </c>
      <c r="J59" s="120">
        <v>-1</v>
      </c>
      <c r="K59" s="120">
        <v>-1</v>
      </c>
      <c r="L59" s="120">
        <v>-1</v>
      </c>
      <c r="M59" s="120">
        <v>-1</v>
      </c>
      <c r="N59" s="120">
        <v>-1</v>
      </c>
      <c r="O59" s="120">
        <v>-1</v>
      </c>
      <c r="P59" s="120">
        <v>-1</v>
      </c>
      <c r="Q59" s="120">
        <v>-1</v>
      </c>
      <c r="R59" s="120">
        <v>-1</v>
      </c>
      <c r="S59" s="120">
        <v>0</v>
      </c>
      <c r="T59" s="79"/>
      <c r="U59" s="79"/>
    </row>
    <row r="60" spans="5:21" x14ac:dyDescent="0.3">
      <c r="F60" t="s">
        <v>836</v>
      </c>
      <c r="G60" s="72" t="s">
        <v>189</v>
      </c>
      <c r="J60" s="120">
        <v>-1</v>
      </c>
      <c r="K60" s="120">
        <v>-1</v>
      </c>
      <c r="L60" s="120">
        <v>-1</v>
      </c>
      <c r="M60" s="120">
        <v>-1</v>
      </c>
      <c r="N60" s="120">
        <v>-1</v>
      </c>
      <c r="O60" s="120">
        <v>-1</v>
      </c>
      <c r="P60" s="120">
        <v>-1</v>
      </c>
      <c r="Q60" s="120">
        <v>-1</v>
      </c>
      <c r="R60" s="120">
        <v>0</v>
      </c>
      <c r="S60" s="120">
        <v>0</v>
      </c>
      <c r="T60" s="79"/>
      <c r="U60" s="79"/>
    </row>
    <row r="61" spans="5:21" x14ac:dyDescent="0.3">
      <c r="F61" s="37" t="s">
        <v>841</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3">
      <c r="G62" s="13"/>
      <c r="J62" s="89"/>
      <c r="K62" s="89"/>
      <c r="L62" s="89"/>
      <c r="M62" s="89"/>
      <c r="N62" s="89"/>
      <c r="O62" s="89"/>
      <c r="P62" s="89"/>
      <c r="Q62" s="89"/>
      <c r="R62" s="89"/>
      <c r="S62" s="89"/>
      <c r="T62" s="89"/>
      <c r="U62" s="89"/>
    </row>
    <row r="63" spans="5:21" x14ac:dyDescent="0.3">
      <c r="E63" s="32" t="s">
        <v>399</v>
      </c>
      <c r="G63" s="13"/>
      <c r="J63" s="89"/>
      <c r="K63" s="89"/>
      <c r="L63" s="89"/>
      <c r="M63" s="89"/>
      <c r="N63" s="89"/>
      <c r="O63" s="89"/>
      <c r="P63" s="89"/>
      <c r="Q63" s="89"/>
      <c r="R63" s="89"/>
      <c r="S63" s="89"/>
      <c r="T63" s="89"/>
      <c r="U63" s="89"/>
    </row>
    <row r="64" spans="5:21" x14ac:dyDescent="0.3">
      <c r="E64" s="29" t="s">
        <v>400</v>
      </c>
      <c r="G64" s="13"/>
      <c r="J64" s="89"/>
      <c r="K64" s="89"/>
      <c r="L64" s="89"/>
      <c r="M64" s="89"/>
      <c r="N64" s="89"/>
      <c r="O64" s="89"/>
      <c r="P64" s="89"/>
      <c r="Q64" s="89"/>
      <c r="R64" s="89"/>
      <c r="S64" s="89"/>
      <c r="T64" s="89"/>
      <c r="U64" s="89"/>
    </row>
    <row r="65" spans="6:23" x14ac:dyDescent="0.3">
      <c r="F65" s="23" t="s">
        <v>828</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3">
      <c r="F66" t="s">
        <v>830</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3">
      <c r="F67" t="s">
        <v>829</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3">
      <c r="F68" t="s">
        <v>831</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3">
      <c r="F69" t="s">
        <v>837</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3">
      <c r="F70" t="s">
        <v>838</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3">
      <c r="F71" t="s">
        <v>839</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3">
      <c r="F72" t="s">
        <v>840</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3">
      <c r="F73" t="s">
        <v>832</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3">
      <c r="F74" t="s">
        <v>833</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3">
      <c r="F75" t="s">
        <v>834</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3">
      <c r="F76" t="s">
        <v>843</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3">
      <c r="F77" t="s">
        <v>835</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3">
      <c r="F78" t="s">
        <v>842</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3">
      <c r="F79" t="s">
        <v>836</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3">
      <c r="F80" s="37" t="s">
        <v>841</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3">
      <c r="G81" s="13"/>
      <c r="J81" s="89"/>
      <c r="K81" s="89"/>
      <c r="L81" s="89"/>
      <c r="M81" s="89"/>
      <c r="N81" s="89"/>
      <c r="O81" s="89"/>
      <c r="P81" s="89"/>
      <c r="Q81" s="89"/>
      <c r="R81" s="89"/>
      <c r="S81" s="89"/>
      <c r="T81" s="89"/>
      <c r="U81" s="89"/>
    </row>
    <row r="82" spans="5:23" x14ac:dyDescent="0.3">
      <c r="E82" s="32" t="s">
        <v>199</v>
      </c>
      <c r="G82" s="13"/>
      <c r="I82" t="s">
        <v>153</v>
      </c>
      <c r="J82" s="89"/>
      <c r="K82" s="89"/>
      <c r="L82" s="89"/>
      <c r="M82" s="89"/>
      <c r="N82" s="89"/>
      <c r="O82" s="89"/>
      <c r="P82" s="89"/>
      <c r="Q82" s="89"/>
      <c r="R82" s="89"/>
      <c r="S82" s="89"/>
      <c r="T82" s="89"/>
      <c r="U82" s="89"/>
      <c r="W82" s="3" t="s">
        <v>401</v>
      </c>
    </row>
    <row r="83" spans="5:23" x14ac:dyDescent="0.3">
      <c r="E83" s="29" t="s">
        <v>201</v>
      </c>
      <c r="G83" s="13"/>
      <c r="J83" s="89"/>
      <c r="K83" s="89"/>
      <c r="L83" s="89"/>
      <c r="M83" s="89"/>
      <c r="N83" s="89"/>
      <c r="O83" s="89"/>
      <c r="P83" s="89"/>
      <c r="Q83" s="89"/>
      <c r="R83" s="89"/>
      <c r="S83" s="89"/>
      <c r="T83" s="89"/>
      <c r="U83" s="89"/>
    </row>
    <row r="84" spans="5:23" x14ac:dyDescent="0.3">
      <c r="F84" s="23" t="s">
        <v>828</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3">
      <c r="F85" t="s">
        <v>830</v>
      </c>
      <c r="G85" s="72" t="s">
        <v>175</v>
      </c>
      <c r="J85" s="120">
        <v>1</v>
      </c>
      <c r="K85" s="120">
        <v>1</v>
      </c>
      <c r="L85" s="120">
        <v>1</v>
      </c>
      <c r="M85" s="120">
        <v>1</v>
      </c>
      <c r="N85" s="120">
        <v>1</v>
      </c>
      <c r="O85" s="120">
        <v>1</v>
      </c>
      <c r="P85" s="120">
        <v>1</v>
      </c>
      <c r="Q85" s="120">
        <v>1</v>
      </c>
      <c r="R85" s="120">
        <v>1</v>
      </c>
      <c r="S85" s="120">
        <v>1</v>
      </c>
      <c r="T85" s="79"/>
      <c r="U85" s="79"/>
    </row>
    <row r="86" spans="5:23" x14ac:dyDescent="0.3">
      <c r="F86" t="s">
        <v>829</v>
      </c>
      <c r="G86" s="72" t="s">
        <v>175</v>
      </c>
      <c r="J86" s="120">
        <v>1</v>
      </c>
      <c r="K86" s="120">
        <v>1</v>
      </c>
      <c r="L86" s="120">
        <v>1</v>
      </c>
      <c r="M86" s="120">
        <v>1</v>
      </c>
      <c r="N86" s="120">
        <v>1</v>
      </c>
      <c r="O86" s="120">
        <v>1</v>
      </c>
      <c r="P86" s="120">
        <v>1</v>
      </c>
      <c r="Q86" s="120">
        <v>1</v>
      </c>
      <c r="R86" s="120">
        <v>1</v>
      </c>
      <c r="S86" s="120">
        <v>1</v>
      </c>
      <c r="T86" s="79"/>
      <c r="U86" s="79"/>
    </row>
    <row r="87" spans="5:23" x14ac:dyDescent="0.3">
      <c r="F87" t="s">
        <v>831</v>
      </c>
      <c r="G87" s="72" t="s">
        <v>175</v>
      </c>
      <c r="J87" s="120">
        <v>1</v>
      </c>
      <c r="K87" s="120">
        <v>1</v>
      </c>
      <c r="L87" s="120">
        <v>1</v>
      </c>
      <c r="M87" s="120">
        <v>1</v>
      </c>
      <c r="N87" s="120">
        <v>1</v>
      </c>
      <c r="O87" s="120">
        <v>1</v>
      </c>
      <c r="P87" s="120">
        <v>1</v>
      </c>
      <c r="Q87" s="120">
        <v>1</v>
      </c>
      <c r="R87" s="120">
        <v>1</v>
      </c>
      <c r="S87" s="120">
        <v>1</v>
      </c>
      <c r="T87" s="79"/>
      <c r="U87" s="79"/>
    </row>
    <row r="88" spans="5:23" x14ac:dyDescent="0.3">
      <c r="F88" t="s">
        <v>837</v>
      </c>
      <c r="G88" s="72" t="s">
        <v>175</v>
      </c>
      <c r="J88" s="120">
        <v>1</v>
      </c>
      <c r="K88" s="120">
        <v>1</v>
      </c>
      <c r="L88" s="120">
        <v>1</v>
      </c>
      <c r="M88" s="120">
        <v>1</v>
      </c>
      <c r="N88" s="120">
        <v>1</v>
      </c>
      <c r="O88" s="120">
        <v>1</v>
      </c>
      <c r="P88" s="120">
        <v>1</v>
      </c>
      <c r="Q88" s="120">
        <v>1</v>
      </c>
      <c r="R88" s="120">
        <v>1</v>
      </c>
      <c r="S88" s="120">
        <v>1</v>
      </c>
      <c r="T88" s="79"/>
      <c r="U88" s="79"/>
    </row>
    <row r="89" spans="5:23" x14ac:dyDescent="0.3">
      <c r="F89" t="s">
        <v>838</v>
      </c>
      <c r="G89" s="72" t="s">
        <v>175</v>
      </c>
      <c r="J89" s="120">
        <v>1</v>
      </c>
      <c r="K89" s="120">
        <v>1</v>
      </c>
      <c r="L89" s="120">
        <v>1</v>
      </c>
      <c r="M89" s="120">
        <v>1</v>
      </c>
      <c r="N89" s="120">
        <v>1</v>
      </c>
      <c r="O89" s="120">
        <v>1</v>
      </c>
      <c r="P89" s="120">
        <v>1</v>
      </c>
      <c r="Q89" s="120">
        <v>1</v>
      </c>
      <c r="R89" s="120">
        <v>1</v>
      </c>
      <c r="S89" s="120">
        <v>0</v>
      </c>
      <c r="T89" s="79"/>
      <c r="U89" s="79"/>
    </row>
    <row r="90" spans="5:23" x14ac:dyDescent="0.3">
      <c r="F90" t="s">
        <v>839</v>
      </c>
      <c r="G90" s="72" t="s">
        <v>175</v>
      </c>
      <c r="J90" s="120">
        <v>1</v>
      </c>
      <c r="K90" s="120">
        <v>1</v>
      </c>
      <c r="L90" s="120">
        <v>1</v>
      </c>
      <c r="M90" s="120">
        <v>1</v>
      </c>
      <c r="N90" s="120">
        <v>1</v>
      </c>
      <c r="O90" s="120">
        <v>1</v>
      </c>
      <c r="P90" s="120">
        <v>1</v>
      </c>
      <c r="Q90" s="120">
        <v>1</v>
      </c>
      <c r="R90" s="120">
        <v>0</v>
      </c>
      <c r="S90" s="120">
        <v>0</v>
      </c>
      <c r="T90" s="79"/>
      <c r="U90" s="79"/>
    </row>
    <row r="91" spans="5:23" x14ac:dyDescent="0.3">
      <c r="F91" t="s">
        <v>840</v>
      </c>
      <c r="G91" s="72" t="s">
        <v>175</v>
      </c>
      <c r="J91" s="120">
        <v>1</v>
      </c>
      <c r="K91" s="120">
        <v>1</v>
      </c>
      <c r="L91" s="120">
        <v>1</v>
      </c>
      <c r="M91" s="120">
        <v>1</v>
      </c>
      <c r="N91" s="120">
        <v>1</v>
      </c>
      <c r="O91" s="120">
        <v>1</v>
      </c>
      <c r="P91" s="120">
        <v>1</v>
      </c>
      <c r="Q91" s="120">
        <v>1</v>
      </c>
      <c r="R91" s="120">
        <v>1</v>
      </c>
      <c r="S91" s="120">
        <v>1</v>
      </c>
      <c r="T91" s="79"/>
      <c r="U91" s="79"/>
    </row>
    <row r="92" spans="5:23" x14ac:dyDescent="0.3">
      <c r="F92" t="s">
        <v>832</v>
      </c>
      <c r="G92" s="72" t="s">
        <v>175</v>
      </c>
      <c r="J92" s="120">
        <v>-1</v>
      </c>
      <c r="K92" s="120">
        <v>-1</v>
      </c>
      <c r="L92" s="120">
        <v>-1</v>
      </c>
      <c r="M92" s="120">
        <v>-1</v>
      </c>
      <c r="N92" s="120">
        <v>-1</v>
      </c>
      <c r="O92" s="120">
        <v>-1</v>
      </c>
      <c r="P92" s="120">
        <v>-1</v>
      </c>
      <c r="Q92" s="120">
        <v>-1</v>
      </c>
      <c r="R92" s="120">
        <v>-1</v>
      </c>
      <c r="S92" s="120">
        <v>0</v>
      </c>
      <c r="T92" s="79"/>
      <c r="U92" s="79"/>
    </row>
    <row r="93" spans="5:23" x14ac:dyDescent="0.3">
      <c r="F93" t="s">
        <v>833</v>
      </c>
      <c r="G93" s="72" t="s">
        <v>175</v>
      </c>
      <c r="J93" s="120">
        <v>-1</v>
      </c>
      <c r="K93" s="120">
        <v>-1</v>
      </c>
      <c r="L93" s="120">
        <v>-1</v>
      </c>
      <c r="M93" s="120">
        <v>-1</v>
      </c>
      <c r="N93" s="120">
        <v>-1</v>
      </c>
      <c r="O93" s="120">
        <v>-1</v>
      </c>
      <c r="P93" s="120">
        <v>-1</v>
      </c>
      <c r="Q93" s="120">
        <v>-1</v>
      </c>
      <c r="R93" s="120">
        <v>0</v>
      </c>
      <c r="S93" s="120">
        <v>0</v>
      </c>
      <c r="T93" s="79"/>
      <c r="U93" s="79"/>
    </row>
    <row r="94" spans="5:23" x14ac:dyDescent="0.3">
      <c r="F94" t="s">
        <v>834</v>
      </c>
      <c r="G94" s="72" t="s">
        <v>175</v>
      </c>
      <c r="J94" s="120">
        <v>-1</v>
      </c>
      <c r="K94" s="120">
        <v>-1</v>
      </c>
      <c r="L94" s="120">
        <v>-1</v>
      </c>
      <c r="M94" s="120">
        <v>-1</v>
      </c>
      <c r="N94" s="120">
        <v>-1</v>
      </c>
      <c r="O94" s="120">
        <v>-1</v>
      </c>
      <c r="P94" s="120">
        <v>-1</v>
      </c>
      <c r="Q94" s="120">
        <v>-1</v>
      </c>
      <c r="R94" s="120">
        <v>-1</v>
      </c>
      <c r="S94" s="120">
        <v>0</v>
      </c>
      <c r="T94" s="79"/>
      <c r="U94" s="79"/>
    </row>
    <row r="95" spans="5:23" x14ac:dyDescent="0.3">
      <c r="F95" t="s">
        <v>843</v>
      </c>
      <c r="G95" s="72" t="s">
        <v>175</v>
      </c>
      <c r="J95" s="120">
        <v>-1</v>
      </c>
      <c r="K95" s="120">
        <v>-1</v>
      </c>
      <c r="L95" s="120">
        <v>-1</v>
      </c>
      <c r="M95" s="120">
        <v>-1</v>
      </c>
      <c r="N95" s="120">
        <v>-1</v>
      </c>
      <c r="O95" s="120">
        <v>-1</v>
      </c>
      <c r="P95" s="120">
        <v>-1</v>
      </c>
      <c r="Q95" s="120">
        <v>-1</v>
      </c>
      <c r="R95" s="120">
        <v>-1</v>
      </c>
      <c r="S95" s="120">
        <v>0</v>
      </c>
      <c r="T95" s="79"/>
      <c r="U95" s="79"/>
    </row>
    <row r="96" spans="5:23" x14ac:dyDescent="0.3">
      <c r="F96" t="s">
        <v>835</v>
      </c>
      <c r="G96" s="72" t="s">
        <v>175</v>
      </c>
      <c r="J96" s="120">
        <v>-1</v>
      </c>
      <c r="K96" s="120">
        <v>-1</v>
      </c>
      <c r="L96" s="120">
        <v>-1</v>
      </c>
      <c r="M96" s="120">
        <v>-1</v>
      </c>
      <c r="N96" s="120">
        <v>-1</v>
      </c>
      <c r="O96" s="120">
        <v>-1</v>
      </c>
      <c r="P96" s="120">
        <v>-1</v>
      </c>
      <c r="Q96" s="120">
        <v>-1</v>
      </c>
      <c r="R96" s="120">
        <v>0</v>
      </c>
      <c r="S96" s="120">
        <v>0</v>
      </c>
      <c r="T96" s="79"/>
      <c r="U96" s="79"/>
    </row>
    <row r="97" spans="5:23" x14ac:dyDescent="0.3">
      <c r="F97" t="s">
        <v>842</v>
      </c>
      <c r="G97" s="72" t="s">
        <v>175</v>
      </c>
      <c r="J97" s="120">
        <v>-1</v>
      </c>
      <c r="K97" s="120">
        <v>-1</v>
      </c>
      <c r="L97" s="120">
        <v>-1</v>
      </c>
      <c r="M97" s="120">
        <v>-1</v>
      </c>
      <c r="N97" s="120">
        <v>-1</v>
      </c>
      <c r="O97" s="120">
        <v>-1</v>
      </c>
      <c r="P97" s="120">
        <v>-1</v>
      </c>
      <c r="Q97" s="120">
        <v>-1</v>
      </c>
      <c r="R97" s="120">
        <v>0</v>
      </c>
      <c r="S97" s="120">
        <v>0</v>
      </c>
      <c r="T97" s="79"/>
      <c r="U97" s="79"/>
    </row>
    <row r="98" spans="5:23" x14ac:dyDescent="0.3">
      <c r="F98" t="s">
        <v>836</v>
      </c>
      <c r="G98" s="72" t="s">
        <v>175</v>
      </c>
      <c r="J98" s="120">
        <v>-1</v>
      </c>
      <c r="K98" s="120">
        <v>-1</v>
      </c>
      <c r="L98" s="120">
        <v>-1</v>
      </c>
      <c r="M98" s="120">
        <v>-1</v>
      </c>
      <c r="N98" s="120">
        <v>-1</v>
      </c>
      <c r="O98" s="120">
        <v>-1</v>
      </c>
      <c r="P98" s="120">
        <v>-1</v>
      </c>
      <c r="Q98" s="120">
        <v>0</v>
      </c>
      <c r="R98" s="120">
        <v>0</v>
      </c>
      <c r="S98" s="120">
        <v>0</v>
      </c>
      <c r="T98" s="79"/>
      <c r="U98" s="79"/>
    </row>
    <row r="99" spans="5:23" x14ac:dyDescent="0.3">
      <c r="F99" s="37" t="s">
        <v>841</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3">
      <c r="G100" s="13"/>
      <c r="J100" s="89"/>
      <c r="K100" s="89"/>
      <c r="L100" s="89"/>
      <c r="M100" s="89"/>
      <c r="N100" s="89"/>
      <c r="O100" s="89"/>
      <c r="P100" s="89"/>
      <c r="Q100" s="89"/>
      <c r="R100" s="89"/>
      <c r="S100" s="89"/>
      <c r="T100" s="89"/>
      <c r="U100" s="89"/>
    </row>
    <row r="101" spans="5:23" x14ac:dyDescent="0.3">
      <c r="E101" s="32" t="s">
        <v>402</v>
      </c>
      <c r="G101" s="13"/>
      <c r="I101" t="s">
        <v>153</v>
      </c>
      <c r="J101" s="89"/>
      <c r="K101" s="89"/>
      <c r="L101" s="89"/>
      <c r="M101" s="89"/>
      <c r="N101" s="89"/>
      <c r="O101" s="89"/>
      <c r="P101" s="89"/>
      <c r="Q101" s="89"/>
      <c r="R101" s="89"/>
      <c r="S101" s="89"/>
      <c r="T101" s="89"/>
      <c r="U101" s="89"/>
      <c r="W101" s="3" t="s">
        <v>401</v>
      </c>
    </row>
    <row r="102" spans="5:23" x14ac:dyDescent="0.3">
      <c r="E102" s="29" t="s">
        <v>201</v>
      </c>
      <c r="G102" s="13"/>
      <c r="J102" s="89"/>
      <c r="K102" s="89"/>
      <c r="L102" s="89"/>
      <c r="M102" s="89"/>
      <c r="N102" s="89"/>
      <c r="O102" s="89"/>
      <c r="P102" s="89"/>
      <c r="Q102" s="89"/>
      <c r="R102" s="89"/>
      <c r="S102" s="89"/>
      <c r="T102" s="89"/>
      <c r="U102" s="89"/>
    </row>
    <row r="103" spans="5:23" x14ac:dyDescent="0.3">
      <c r="E103" s="29" t="s">
        <v>400</v>
      </c>
      <c r="G103" s="13"/>
      <c r="J103" s="89"/>
      <c r="K103" s="89"/>
      <c r="L103" s="89"/>
      <c r="M103" s="89"/>
      <c r="N103" s="89"/>
      <c r="O103" s="89"/>
      <c r="P103" s="89"/>
      <c r="Q103" s="89"/>
      <c r="R103" s="89"/>
      <c r="S103" s="89"/>
      <c r="T103" s="89"/>
      <c r="U103" s="89"/>
    </row>
    <row r="104" spans="5:23" x14ac:dyDescent="0.3">
      <c r="F104" s="23" t="s">
        <v>828</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3">
      <c r="F105" t="s">
        <v>830</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3">
      <c r="F106" t="s">
        <v>829</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3">
      <c r="F107" t="s">
        <v>831</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3">
      <c r="F108" t="s">
        <v>837</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3">
      <c r="F109" t="s">
        <v>838</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3">
      <c r="F110" t="s">
        <v>839</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3">
      <c r="F111" t="s">
        <v>840</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3">
      <c r="F112" t="s">
        <v>832</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3">
      <c r="F113" t="s">
        <v>833</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3">
      <c r="F114" t="s">
        <v>834</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3">
      <c r="F115" t="s">
        <v>843</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3">
      <c r="F116" t="s">
        <v>835</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3">
      <c r="F117" t="s">
        <v>842</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3">
      <c r="F118" t="s">
        <v>836</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3">
      <c r="F119" s="37" t="s">
        <v>841</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3">
      <c r="G120" s="13"/>
      <c r="J120" s="89"/>
      <c r="K120" s="89"/>
      <c r="L120" s="89"/>
      <c r="M120" s="89"/>
      <c r="N120" s="89"/>
      <c r="O120" s="89"/>
      <c r="P120" s="89"/>
      <c r="Q120" s="89"/>
      <c r="R120" s="89"/>
      <c r="S120" s="89"/>
      <c r="T120" s="89"/>
      <c r="U120" s="89"/>
    </row>
    <row r="121" spans="3:23" x14ac:dyDescent="0.3">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3">
      <c r="H122" s="3"/>
      <c r="I122" s="3"/>
      <c r="J122" s="127"/>
      <c r="K122" s="127"/>
      <c r="L122" s="127"/>
      <c r="M122" s="127"/>
      <c r="N122" s="127"/>
      <c r="O122" s="127"/>
      <c r="P122" s="127"/>
      <c r="Q122" s="127"/>
      <c r="R122" s="127"/>
      <c r="S122" s="127"/>
      <c r="T122" s="127"/>
      <c r="U122" s="127"/>
      <c r="W122" s="3"/>
    </row>
    <row r="123" spans="3:23" x14ac:dyDescent="0.3">
      <c r="E123" s="32" t="s">
        <v>403</v>
      </c>
      <c r="G123" s="13"/>
      <c r="J123" s="89"/>
      <c r="K123" s="89"/>
      <c r="L123" s="89"/>
      <c r="M123" s="89"/>
      <c r="N123" s="89"/>
      <c r="O123" s="89"/>
      <c r="P123" s="89"/>
      <c r="Q123" s="89"/>
      <c r="R123" s="89"/>
      <c r="S123" s="89"/>
      <c r="T123" s="89"/>
      <c r="U123" s="89"/>
      <c r="W123" s="3"/>
    </row>
    <row r="124" spans="3:23" x14ac:dyDescent="0.3">
      <c r="E124" s="29" t="s">
        <v>404</v>
      </c>
      <c r="G124" s="13"/>
      <c r="J124" s="89"/>
      <c r="K124" s="89"/>
      <c r="L124" s="89"/>
      <c r="M124" s="89"/>
      <c r="N124" s="89"/>
      <c r="O124" s="89"/>
      <c r="P124" s="89"/>
      <c r="Q124" s="89"/>
      <c r="R124" s="89"/>
      <c r="S124" s="89"/>
      <c r="T124" s="89"/>
      <c r="U124" s="89"/>
    </row>
    <row r="125" spans="3:23" x14ac:dyDescent="0.3">
      <c r="E125" s="29" t="s">
        <v>405</v>
      </c>
      <c r="G125" s="13"/>
      <c r="H125" s="128" t="s">
        <v>406</v>
      </c>
      <c r="J125" s="89"/>
      <c r="K125" s="89"/>
      <c r="L125" s="89"/>
      <c r="M125" s="89"/>
      <c r="N125" s="89"/>
      <c r="O125" s="89"/>
      <c r="P125" s="89"/>
      <c r="Q125" s="89"/>
      <c r="R125" s="89"/>
      <c r="S125" s="89"/>
      <c r="T125" s="89"/>
      <c r="U125" s="89"/>
    </row>
    <row r="126" spans="3:23" x14ac:dyDescent="0.3">
      <c r="F126" s="23" t="s">
        <v>828</v>
      </c>
      <c r="G126" s="78" t="s">
        <v>282</v>
      </c>
      <c r="H126" s="126">
        <f t="shared" ref="H126:H141" si="37">MAX(J126:S126)</f>
        <v>1.0811119475731934</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1.0811119475731934</v>
      </c>
      <c r="T126" s="83"/>
      <c r="U126" s="83"/>
      <c r="W126" s="3"/>
    </row>
    <row r="127" spans="3:23" x14ac:dyDescent="0.3">
      <c r="F127" t="s">
        <v>830</v>
      </c>
      <c r="G127" s="72" t="s">
        <v>282</v>
      </c>
      <c r="H127" s="98">
        <f t="shared" si="37"/>
        <v>1.0811119475731934</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1.0811119475731934</v>
      </c>
      <c r="T127" s="79"/>
      <c r="U127" s="79"/>
      <c r="W127" s="3"/>
    </row>
    <row r="128" spans="3:23" x14ac:dyDescent="0.3">
      <c r="F128" t="s">
        <v>829</v>
      </c>
      <c r="G128" s="72" t="s">
        <v>282</v>
      </c>
      <c r="H128" s="98">
        <f t="shared" si="37"/>
        <v>1.0811119475731934</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1.0811119475731934</v>
      </c>
      <c r="T128" s="79"/>
      <c r="U128" s="79"/>
      <c r="W128" s="3"/>
    </row>
    <row r="129" spans="5:23" x14ac:dyDescent="0.3">
      <c r="F129" t="s">
        <v>831</v>
      </c>
      <c r="G129" s="72" t="s">
        <v>282</v>
      </c>
      <c r="H129" s="98">
        <f t="shared" si="37"/>
        <v>1.0811119475731934</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1.0811119475731934</v>
      </c>
      <c r="T129" s="79"/>
      <c r="U129" s="79"/>
    </row>
    <row r="130" spans="5:23" x14ac:dyDescent="0.3">
      <c r="F130" t="s">
        <v>837</v>
      </c>
      <c r="G130" s="72" t="s">
        <v>282</v>
      </c>
      <c r="H130" s="98">
        <f t="shared" si="37"/>
        <v>1.0811119475731934</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1.0811119475731934</v>
      </c>
      <c r="T130" s="79"/>
      <c r="U130" s="79"/>
    </row>
    <row r="131" spans="5:23" x14ac:dyDescent="0.3">
      <c r="F131" t="s">
        <v>838</v>
      </c>
      <c r="G131" s="72" t="s">
        <v>282</v>
      </c>
      <c r="H131" s="98">
        <f t="shared" si="37"/>
        <v>1.0463328683595021</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1.0463328683595021</v>
      </c>
      <c r="S131" s="98">
        <f>OR(SUM(S70:$S70) = 1, SUM(S70:$S70) = -1) * S$29</f>
        <v>0</v>
      </c>
      <c r="T131" s="79"/>
      <c r="U131" s="79"/>
    </row>
    <row r="132" spans="5:23" x14ac:dyDescent="0.3">
      <c r="F132" t="s">
        <v>839</v>
      </c>
      <c r="G132" s="72" t="s">
        <v>282</v>
      </c>
      <c r="H132" s="98">
        <f t="shared" si="37"/>
        <v>1.030550424378613</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1.022345392317251</v>
      </c>
      <c r="Q132" s="98">
        <f>OR(SUM(Q71:$S71) = 1, SUM(Q71:$S71) = -1) * Q$29</f>
        <v>1.030550424378613</v>
      </c>
      <c r="R132" s="98">
        <f>OR(SUM(R71:$S71) = 1, SUM(R71:$S71) = -1) * R$29</f>
        <v>0</v>
      </c>
      <c r="S132" s="98">
        <f>OR(SUM(S71:$S71) = 1, SUM(S71:$S71) = -1) * S$29</f>
        <v>0</v>
      </c>
      <c r="T132" s="79"/>
      <c r="U132" s="79"/>
    </row>
    <row r="133" spans="5:23" x14ac:dyDescent="0.3">
      <c r="F133" t="s">
        <v>840</v>
      </c>
      <c r="G133" s="72" t="s">
        <v>282</v>
      </c>
      <c r="H133" s="98">
        <f t="shared" si="37"/>
        <v>1.0811119475731934</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1.0811119475731934</v>
      </c>
      <c r="T133" s="79"/>
      <c r="U133" s="79"/>
    </row>
    <row r="134" spans="5:23" x14ac:dyDescent="0.3">
      <c r="F134" t="s">
        <v>832</v>
      </c>
      <c r="G134" s="72" t="s">
        <v>282</v>
      </c>
      <c r="H134" s="98">
        <f t="shared" si="37"/>
        <v>1.0811119475731934</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1.0811119475731934</v>
      </c>
      <c r="T134" s="79"/>
      <c r="U134" s="79"/>
    </row>
    <row r="135" spans="5:23" x14ac:dyDescent="0.3">
      <c r="F135" t="s">
        <v>833</v>
      </c>
      <c r="G135" s="72" t="s">
        <v>282</v>
      </c>
      <c r="H135" s="98">
        <f t="shared" si="37"/>
        <v>1.0463328683595021</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1.0463328683595021</v>
      </c>
      <c r="S135" s="98">
        <f>OR(SUM(S74:$S74) = 1, SUM(S74:$S74) = -1) * S$29</f>
        <v>0</v>
      </c>
      <c r="T135" s="79"/>
      <c r="U135" s="79"/>
    </row>
    <row r="136" spans="5:23" x14ac:dyDescent="0.3">
      <c r="F136" t="s">
        <v>834</v>
      </c>
      <c r="G136" s="72" t="s">
        <v>282</v>
      </c>
      <c r="H136" s="98">
        <f t="shared" si="37"/>
        <v>1.0811119475731934</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1.0811119475731934</v>
      </c>
      <c r="T136" s="79"/>
      <c r="U136" s="79"/>
    </row>
    <row r="137" spans="5:23" x14ac:dyDescent="0.3">
      <c r="F137" t="s">
        <v>843</v>
      </c>
      <c r="G137" s="72" t="s">
        <v>282</v>
      </c>
      <c r="H137" s="98">
        <f t="shared" si="37"/>
        <v>1.0811119475731934</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1.0811119475731934</v>
      </c>
      <c r="T137" s="79"/>
      <c r="U137" s="79"/>
    </row>
    <row r="138" spans="5:23" x14ac:dyDescent="0.3">
      <c r="F138" t="s">
        <v>835</v>
      </c>
      <c r="G138" s="72" t="s">
        <v>282</v>
      </c>
      <c r="H138" s="98">
        <f t="shared" si="37"/>
        <v>1.0463328683595021</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1.0463328683595021</v>
      </c>
      <c r="S138" s="98">
        <f>OR(SUM(S77:$S77) = 1, SUM(S77:$S77) = -1) * S$29</f>
        <v>0</v>
      </c>
      <c r="T138" s="79"/>
      <c r="U138" s="79"/>
    </row>
    <row r="139" spans="5:23" x14ac:dyDescent="0.3">
      <c r="F139" t="s">
        <v>842</v>
      </c>
      <c r="G139" s="72" t="s">
        <v>282</v>
      </c>
      <c r="H139" s="98">
        <f t="shared" si="37"/>
        <v>1.0463328683595021</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1.0463328683595021</v>
      </c>
      <c r="S139" s="98">
        <f>OR(SUM(S78:$S78) = 1, SUM(S78:$S78) = -1) * S$29</f>
        <v>0</v>
      </c>
      <c r="T139" s="79"/>
      <c r="U139" s="79"/>
    </row>
    <row r="140" spans="5:23" x14ac:dyDescent="0.3">
      <c r="F140" t="s">
        <v>836</v>
      </c>
      <c r="G140" s="72" t="s">
        <v>282</v>
      </c>
      <c r="H140" s="98">
        <f t="shared" si="37"/>
        <v>1.030550424378613</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1.022345392317251</v>
      </c>
      <c r="Q140" s="98">
        <f>OR(SUM(Q79:$S79) = 1, SUM(Q79:$S79) = -1) * Q$29</f>
        <v>1.030550424378613</v>
      </c>
      <c r="R140" s="98">
        <f>OR(SUM(R79:$S79) = 1, SUM(R79:$S79) = -1) * R$29</f>
        <v>0</v>
      </c>
      <c r="S140" s="98">
        <f>OR(SUM(S79:$S79) = 1, SUM(S79:$S79) = -1) * S$29</f>
        <v>0</v>
      </c>
      <c r="T140" s="79"/>
      <c r="U140" s="79"/>
    </row>
    <row r="141" spans="5:23" x14ac:dyDescent="0.3">
      <c r="F141" s="37" t="s">
        <v>841</v>
      </c>
      <c r="G141" s="80" t="s">
        <v>282</v>
      </c>
      <c r="H141" s="100">
        <f t="shared" si="37"/>
        <v>1.030550424378613</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1.022345392317251</v>
      </c>
      <c r="Q141" s="100">
        <f>OR(SUM(Q80:$S80) = 1, SUM(Q80:$S80) = -1) * Q$29</f>
        <v>1.030550424378613</v>
      </c>
      <c r="R141" s="100">
        <f>OR(SUM(R80:$S80) = 1, SUM(R80:$S80) = -1) * R$29</f>
        <v>0</v>
      </c>
      <c r="S141" s="100">
        <f>OR(SUM(S80:$S80) = 1, SUM(S80:$S80) = -1) * S$29</f>
        <v>0</v>
      </c>
      <c r="T141" s="81"/>
      <c r="U141" s="81"/>
    </row>
    <row r="142" spans="5:23" x14ac:dyDescent="0.3">
      <c r="G142" s="13"/>
    </row>
    <row r="143" spans="5:23" x14ac:dyDescent="0.3">
      <c r="E143" s="32" t="s">
        <v>407</v>
      </c>
      <c r="G143" s="13"/>
      <c r="I143" t="s">
        <v>153</v>
      </c>
      <c r="W143" s="3" t="s">
        <v>408</v>
      </c>
    </row>
    <row r="144" spans="5:23" x14ac:dyDescent="0.3">
      <c r="E144" s="29" t="s">
        <v>400</v>
      </c>
      <c r="G144" s="13"/>
    </row>
    <row r="145" spans="6:23" x14ac:dyDescent="0.3">
      <c r="F145" s="23" t="s">
        <v>828</v>
      </c>
      <c r="G145" s="78" t="s">
        <v>282</v>
      </c>
      <c r="H145" s="129"/>
      <c r="I145" s="23"/>
      <c r="J145" s="101">
        <f t="shared" ref="J145:S145" si="38">$H126 * J104</f>
        <v>1.0811119475731934</v>
      </c>
      <c r="K145" s="101">
        <f t="shared" si="38"/>
        <v>1.0811119475731934</v>
      </c>
      <c r="L145" s="101">
        <f t="shared" si="38"/>
        <v>1.0811119475731934</v>
      </c>
      <c r="M145" s="101">
        <f t="shared" si="38"/>
        <v>1.0811119475731934</v>
      </c>
      <c r="N145" s="101">
        <f t="shared" si="38"/>
        <v>1.0811119475731934</v>
      </c>
      <c r="O145" s="101">
        <f t="shared" si="38"/>
        <v>1.0811119475731934</v>
      </c>
      <c r="P145" s="101">
        <f t="shared" si="38"/>
        <v>0</v>
      </c>
      <c r="Q145" s="101">
        <f t="shared" si="38"/>
        <v>1.0811119475731934</v>
      </c>
      <c r="R145" s="101">
        <f t="shared" si="38"/>
        <v>1.0811119475731934</v>
      </c>
      <c r="S145" s="101">
        <f t="shared" si="38"/>
        <v>1.0811119475731934</v>
      </c>
      <c r="T145" s="83"/>
      <c r="U145" s="83"/>
    </row>
    <row r="146" spans="6:23" x14ac:dyDescent="0.3">
      <c r="F146" t="s">
        <v>830</v>
      </c>
      <c r="G146" s="72" t="s">
        <v>282</v>
      </c>
      <c r="H146" s="63"/>
      <c r="J146" s="121">
        <f t="shared" ref="J146:S146" si="39">$H127 * J105</f>
        <v>1.0811119475731934</v>
      </c>
      <c r="K146" s="121">
        <f t="shared" si="39"/>
        <v>1.0811119475731934</v>
      </c>
      <c r="L146" s="121">
        <f t="shared" si="39"/>
        <v>1.0811119475731934</v>
      </c>
      <c r="M146" s="121">
        <f t="shared" si="39"/>
        <v>1.0811119475731934</v>
      </c>
      <c r="N146" s="121">
        <f t="shared" si="39"/>
        <v>1.0811119475731934</v>
      </c>
      <c r="O146" s="121">
        <f t="shared" si="39"/>
        <v>1.0811119475731934</v>
      </c>
      <c r="P146" s="121">
        <f t="shared" si="39"/>
        <v>0</v>
      </c>
      <c r="Q146" s="121">
        <f t="shared" si="39"/>
        <v>1.0811119475731934</v>
      </c>
      <c r="R146" s="121">
        <f t="shared" si="39"/>
        <v>1.0811119475731934</v>
      </c>
      <c r="S146" s="121">
        <f t="shared" si="39"/>
        <v>1.0811119475731934</v>
      </c>
      <c r="T146" s="79"/>
      <c r="U146" s="79"/>
      <c r="W146" s="3"/>
    </row>
    <row r="147" spans="6:23" x14ac:dyDescent="0.3">
      <c r="F147" t="s">
        <v>829</v>
      </c>
      <c r="G147" s="72" t="s">
        <v>282</v>
      </c>
      <c r="H147" s="63"/>
      <c r="J147" s="121">
        <f t="shared" ref="J147:S147" si="40">$H128 * J106</f>
        <v>1.0811119475731934</v>
      </c>
      <c r="K147" s="121">
        <f t="shared" si="40"/>
        <v>1.0811119475731934</v>
      </c>
      <c r="L147" s="121">
        <f t="shared" si="40"/>
        <v>1.0811119475731934</v>
      </c>
      <c r="M147" s="121">
        <f t="shared" si="40"/>
        <v>1.0811119475731934</v>
      </c>
      <c r="N147" s="121">
        <f t="shared" si="40"/>
        <v>1.0811119475731934</v>
      </c>
      <c r="O147" s="121">
        <f t="shared" si="40"/>
        <v>1.0811119475731934</v>
      </c>
      <c r="P147" s="121">
        <f t="shared" si="40"/>
        <v>0</v>
      </c>
      <c r="Q147" s="121">
        <f t="shared" si="40"/>
        <v>1.0811119475731934</v>
      </c>
      <c r="R147" s="121">
        <f t="shared" si="40"/>
        <v>1.0811119475731934</v>
      </c>
      <c r="S147" s="121">
        <f t="shared" si="40"/>
        <v>1.0811119475731934</v>
      </c>
      <c r="T147" s="79"/>
      <c r="U147" s="79"/>
      <c r="W147" s="3"/>
    </row>
    <row r="148" spans="6:23" x14ac:dyDescent="0.3">
      <c r="F148" t="s">
        <v>831</v>
      </c>
      <c r="G148" s="72" t="s">
        <v>282</v>
      </c>
      <c r="H148" s="63"/>
      <c r="J148" s="121">
        <f t="shared" ref="J148:S148" si="41">$H129 * J107</f>
        <v>1.0811119475731934</v>
      </c>
      <c r="K148" s="121">
        <f t="shared" si="41"/>
        <v>1.0811119475731934</v>
      </c>
      <c r="L148" s="121">
        <f t="shared" si="41"/>
        <v>1.0811119475731934</v>
      </c>
      <c r="M148" s="121">
        <f t="shared" si="41"/>
        <v>1.0811119475731934</v>
      </c>
      <c r="N148" s="121">
        <f t="shared" si="41"/>
        <v>1.0811119475731934</v>
      </c>
      <c r="O148" s="121">
        <f t="shared" si="41"/>
        <v>1.0811119475731934</v>
      </c>
      <c r="P148" s="121">
        <f t="shared" si="41"/>
        <v>0</v>
      </c>
      <c r="Q148" s="121">
        <f t="shared" si="41"/>
        <v>1.0811119475731934</v>
      </c>
      <c r="R148" s="121">
        <f t="shared" si="41"/>
        <v>1.0811119475731934</v>
      </c>
      <c r="S148" s="121">
        <f t="shared" si="41"/>
        <v>1.0811119475731934</v>
      </c>
      <c r="T148" s="79"/>
      <c r="U148" s="79"/>
    </row>
    <row r="149" spans="6:23" x14ac:dyDescent="0.3">
      <c r="F149" t="s">
        <v>837</v>
      </c>
      <c r="G149" s="72" t="s">
        <v>282</v>
      </c>
      <c r="H149" s="63"/>
      <c r="J149" s="121">
        <f t="shared" ref="J149:S149" si="42">$H130 * J108</f>
        <v>1.0811119475731934</v>
      </c>
      <c r="K149" s="121">
        <f t="shared" si="42"/>
        <v>1.0811119475731934</v>
      </c>
      <c r="L149" s="121">
        <f t="shared" si="42"/>
        <v>1.0811119475731934</v>
      </c>
      <c r="M149" s="121">
        <f t="shared" si="42"/>
        <v>1.0811119475731934</v>
      </c>
      <c r="N149" s="121">
        <f t="shared" si="42"/>
        <v>1.0811119475731934</v>
      </c>
      <c r="O149" s="121">
        <f t="shared" si="42"/>
        <v>1.0811119475731934</v>
      </c>
      <c r="P149" s="121">
        <f t="shared" si="42"/>
        <v>0</v>
      </c>
      <c r="Q149" s="121">
        <f t="shared" si="42"/>
        <v>1.0811119475731934</v>
      </c>
      <c r="R149" s="121">
        <f t="shared" si="42"/>
        <v>1.0811119475731934</v>
      </c>
      <c r="S149" s="121">
        <f t="shared" si="42"/>
        <v>1.0811119475731934</v>
      </c>
      <c r="T149" s="79"/>
      <c r="U149" s="79"/>
    </row>
    <row r="150" spans="6:23" x14ac:dyDescent="0.3">
      <c r="F150" t="s">
        <v>838</v>
      </c>
      <c r="G150" s="72" t="s">
        <v>282</v>
      </c>
      <c r="H150" s="63"/>
      <c r="J150" s="121">
        <f t="shared" ref="J150:S150" si="43">$H131 * J109</f>
        <v>1.0463328683595021</v>
      </c>
      <c r="K150" s="121">
        <f t="shared" si="43"/>
        <v>1.0463328683595021</v>
      </c>
      <c r="L150" s="121">
        <f t="shared" si="43"/>
        <v>1.0463328683595021</v>
      </c>
      <c r="M150" s="121">
        <f t="shared" si="43"/>
        <v>1.0463328683595021</v>
      </c>
      <c r="N150" s="121">
        <f t="shared" si="43"/>
        <v>1.0463328683595021</v>
      </c>
      <c r="O150" s="121">
        <f t="shared" si="43"/>
        <v>1.0463328683595021</v>
      </c>
      <c r="P150" s="121">
        <f t="shared" si="43"/>
        <v>0</v>
      </c>
      <c r="Q150" s="121">
        <f t="shared" si="43"/>
        <v>1.0463328683595021</v>
      </c>
      <c r="R150" s="121">
        <f t="shared" si="43"/>
        <v>1.0463328683595021</v>
      </c>
      <c r="S150" s="121">
        <f t="shared" si="43"/>
        <v>0</v>
      </c>
      <c r="T150" s="79"/>
      <c r="U150" s="79"/>
    </row>
    <row r="151" spans="6:23" x14ac:dyDescent="0.3">
      <c r="F151" t="s">
        <v>839</v>
      </c>
      <c r="G151" s="72" t="s">
        <v>282</v>
      </c>
      <c r="H151" s="63"/>
      <c r="J151" s="121">
        <f t="shared" ref="J151:S151" si="44">$H132 * J110</f>
        <v>1.030550424378613</v>
      </c>
      <c r="K151" s="121">
        <f t="shared" si="44"/>
        <v>1.030550424378613</v>
      </c>
      <c r="L151" s="121">
        <f t="shared" si="44"/>
        <v>1.030550424378613</v>
      </c>
      <c r="M151" s="121">
        <f t="shared" si="44"/>
        <v>1.030550424378613</v>
      </c>
      <c r="N151" s="121">
        <f t="shared" si="44"/>
        <v>1.030550424378613</v>
      </c>
      <c r="O151" s="121">
        <f t="shared" si="44"/>
        <v>1.030550424378613</v>
      </c>
      <c r="P151" s="121">
        <f t="shared" si="44"/>
        <v>0</v>
      </c>
      <c r="Q151" s="121">
        <f t="shared" si="44"/>
        <v>1.030550424378613</v>
      </c>
      <c r="R151" s="121">
        <f t="shared" si="44"/>
        <v>0</v>
      </c>
      <c r="S151" s="121">
        <f t="shared" si="44"/>
        <v>0</v>
      </c>
      <c r="T151" s="79"/>
      <c r="U151" s="79"/>
    </row>
    <row r="152" spans="6:23" x14ac:dyDescent="0.3">
      <c r="F152" t="s">
        <v>840</v>
      </c>
      <c r="G152" s="72" t="s">
        <v>282</v>
      </c>
      <c r="H152" s="63"/>
      <c r="J152" s="121">
        <f t="shared" ref="J152:S152" si="45">$H133 * J111</f>
        <v>1.0811119475731934</v>
      </c>
      <c r="K152" s="121">
        <f t="shared" si="45"/>
        <v>1.0811119475731934</v>
      </c>
      <c r="L152" s="121">
        <f t="shared" si="45"/>
        <v>1.0811119475731934</v>
      </c>
      <c r="M152" s="121">
        <f t="shared" si="45"/>
        <v>1.0811119475731934</v>
      </c>
      <c r="N152" s="121">
        <f t="shared" si="45"/>
        <v>1.0811119475731934</v>
      </c>
      <c r="O152" s="121">
        <f t="shared" si="45"/>
        <v>1.0811119475731934</v>
      </c>
      <c r="P152" s="121">
        <f t="shared" si="45"/>
        <v>0</v>
      </c>
      <c r="Q152" s="121">
        <f t="shared" si="45"/>
        <v>1.0811119475731934</v>
      </c>
      <c r="R152" s="121">
        <f t="shared" si="45"/>
        <v>1.0811119475731934</v>
      </c>
      <c r="S152" s="121">
        <f t="shared" si="45"/>
        <v>1.0811119475731934</v>
      </c>
      <c r="T152" s="79"/>
      <c r="U152" s="79"/>
    </row>
    <row r="153" spans="6:23" x14ac:dyDescent="0.3">
      <c r="F153" t="s">
        <v>832</v>
      </c>
      <c r="G153" s="72" t="s">
        <v>282</v>
      </c>
      <c r="H153" s="63"/>
      <c r="J153" s="121">
        <f t="shared" ref="J153:S153" si="46">$H134 * J112</f>
        <v>-1.0811119475731934</v>
      </c>
      <c r="K153" s="121">
        <f t="shared" si="46"/>
        <v>-1.0811119475731934</v>
      </c>
      <c r="L153" s="121">
        <f t="shared" si="46"/>
        <v>-1.0811119475731934</v>
      </c>
      <c r="M153" s="121">
        <f t="shared" si="46"/>
        <v>-1.0811119475731934</v>
      </c>
      <c r="N153" s="121">
        <f t="shared" si="46"/>
        <v>-1.0811119475731934</v>
      </c>
      <c r="O153" s="121">
        <f t="shared" si="46"/>
        <v>-1.0811119475731934</v>
      </c>
      <c r="P153" s="121">
        <f t="shared" si="46"/>
        <v>0</v>
      </c>
      <c r="Q153" s="121">
        <f t="shared" si="46"/>
        <v>-1.0811119475731934</v>
      </c>
      <c r="R153" s="121">
        <f t="shared" si="46"/>
        <v>-1.0811119475731934</v>
      </c>
      <c r="S153" s="121">
        <f t="shared" si="46"/>
        <v>0</v>
      </c>
      <c r="T153" s="79"/>
      <c r="U153" s="79"/>
    </row>
    <row r="154" spans="6:23" x14ac:dyDescent="0.3">
      <c r="F154" t="s">
        <v>833</v>
      </c>
      <c r="G154" s="72" t="s">
        <v>282</v>
      </c>
      <c r="H154" s="63"/>
      <c r="J154" s="121">
        <f t="shared" ref="J154:S154" si="47">$H135 * J113</f>
        <v>-1.0463328683595021</v>
      </c>
      <c r="K154" s="121">
        <f t="shared" si="47"/>
        <v>-1.0463328683595021</v>
      </c>
      <c r="L154" s="121">
        <f t="shared" si="47"/>
        <v>-1.0463328683595021</v>
      </c>
      <c r="M154" s="121">
        <f t="shared" si="47"/>
        <v>-1.0463328683595021</v>
      </c>
      <c r="N154" s="121">
        <f t="shared" si="47"/>
        <v>-1.0463328683595021</v>
      </c>
      <c r="O154" s="121">
        <f t="shared" si="47"/>
        <v>-1.0463328683595021</v>
      </c>
      <c r="P154" s="121">
        <f t="shared" si="47"/>
        <v>0</v>
      </c>
      <c r="Q154" s="121">
        <f t="shared" si="47"/>
        <v>-1.0463328683595021</v>
      </c>
      <c r="R154" s="121">
        <f t="shared" si="47"/>
        <v>0</v>
      </c>
      <c r="S154" s="121">
        <f t="shared" si="47"/>
        <v>0</v>
      </c>
      <c r="T154" s="79"/>
      <c r="U154" s="79"/>
    </row>
    <row r="155" spans="6:23" x14ac:dyDescent="0.3">
      <c r="F155" t="s">
        <v>834</v>
      </c>
      <c r="G155" s="72" t="s">
        <v>282</v>
      </c>
      <c r="H155" s="63"/>
      <c r="J155" s="121">
        <f t="shared" ref="J155:S155" si="48">$H136 * J114</f>
        <v>-1.0811119475731934</v>
      </c>
      <c r="K155" s="121">
        <f t="shared" si="48"/>
        <v>-1.0811119475731934</v>
      </c>
      <c r="L155" s="121">
        <f t="shared" si="48"/>
        <v>-1.0811119475731934</v>
      </c>
      <c r="M155" s="121">
        <f t="shared" si="48"/>
        <v>-1.0811119475731934</v>
      </c>
      <c r="N155" s="121">
        <f t="shared" si="48"/>
        <v>-1.0811119475731934</v>
      </c>
      <c r="O155" s="121">
        <f t="shared" si="48"/>
        <v>-1.0811119475731934</v>
      </c>
      <c r="P155" s="121">
        <f t="shared" si="48"/>
        <v>0</v>
      </c>
      <c r="Q155" s="121">
        <f t="shared" si="48"/>
        <v>-1.0811119475731934</v>
      </c>
      <c r="R155" s="121">
        <f t="shared" si="48"/>
        <v>-1.0811119475731934</v>
      </c>
      <c r="S155" s="121">
        <f t="shared" si="48"/>
        <v>0</v>
      </c>
      <c r="T155" s="79"/>
      <c r="U155" s="79"/>
    </row>
    <row r="156" spans="6:23" x14ac:dyDescent="0.3">
      <c r="F156" t="s">
        <v>843</v>
      </c>
      <c r="G156" s="72" t="s">
        <v>282</v>
      </c>
      <c r="H156" s="63"/>
      <c r="J156" s="121">
        <f t="shared" ref="J156:S156" si="49">$H137 * J115</f>
        <v>-1.0811119475731934</v>
      </c>
      <c r="K156" s="121">
        <f t="shared" si="49"/>
        <v>-1.0811119475731934</v>
      </c>
      <c r="L156" s="121">
        <f t="shared" si="49"/>
        <v>-1.0811119475731934</v>
      </c>
      <c r="M156" s="121">
        <f t="shared" si="49"/>
        <v>-1.0811119475731934</v>
      </c>
      <c r="N156" s="121">
        <f t="shared" si="49"/>
        <v>-1.0811119475731934</v>
      </c>
      <c r="O156" s="121">
        <f t="shared" si="49"/>
        <v>-1.0811119475731934</v>
      </c>
      <c r="P156" s="121">
        <f t="shared" si="49"/>
        <v>0</v>
      </c>
      <c r="Q156" s="121">
        <f t="shared" si="49"/>
        <v>-1.0811119475731934</v>
      </c>
      <c r="R156" s="121">
        <f t="shared" si="49"/>
        <v>-1.0811119475731934</v>
      </c>
      <c r="S156" s="121">
        <f t="shared" si="49"/>
        <v>0</v>
      </c>
      <c r="T156" s="79"/>
      <c r="U156" s="79"/>
    </row>
    <row r="157" spans="6:23" x14ac:dyDescent="0.3">
      <c r="F157" t="s">
        <v>835</v>
      </c>
      <c r="G157" s="72" t="s">
        <v>282</v>
      </c>
      <c r="H157" s="63"/>
      <c r="J157" s="121">
        <f t="shared" ref="J157:S157" si="50">$H138 * J116</f>
        <v>-1.0463328683595021</v>
      </c>
      <c r="K157" s="121">
        <f t="shared" si="50"/>
        <v>-1.0463328683595021</v>
      </c>
      <c r="L157" s="121">
        <f t="shared" si="50"/>
        <v>-1.0463328683595021</v>
      </c>
      <c r="M157" s="121">
        <f t="shared" si="50"/>
        <v>-1.0463328683595021</v>
      </c>
      <c r="N157" s="121">
        <f t="shared" si="50"/>
        <v>-1.0463328683595021</v>
      </c>
      <c r="O157" s="121">
        <f t="shared" si="50"/>
        <v>-1.0463328683595021</v>
      </c>
      <c r="P157" s="121">
        <f t="shared" si="50"/>
        <v>0</v>
      </c>
      <c r="Q157" s="121">
        <f t="shared" si="50"/>
        <v>-1.0463328683595021</v>
      </c>
      <c r="R157" s="121">
        <f t="shared" si="50"/>
        <v>0</v>
      </c>
      <c r="S157" s="121">
        <f t="shared" si="50"/>
        <v>0</v>
      </c>
      <c r="T157" s="79"/>
      <c r="U157" s="79"/>
    </row>
    <row r="158" spans="6:23" x14ac:dyDescent="0.3">
      <c r="F158" t="s">
        <v>842</v>
      </c>
      <c r="G158" s="72" t="s">
        <v>282</v>
      </c>
      <c r="H158" s="63"/>
      <c r="J158" s="121">
        <f t="shared" ref="J158:S158" si="51">$H139 * J117</f>
        <v>-1.0463328683595021</v>
      </c>
      <c r="K158" s="121">
        <f t="shared" si="51"/>
        <v>-1.0463328683595021</v>
      </c>
      <c r="L158" s="121">
        <f t="shared" si="51"/>
        <v>-1.0463328683595021</v>
      </c>
      <c r="M158" s="121">
        <f t="shared" si="51"/>
        <v>-1.0463328683595021</v>
      </c>
      <c r="N158" s="121">
        <f t="shared" si="51"/>
        <v>-1.0463328683595021</v>
      </c>
      <c r="O158" s="121">
        <f t="shared" si="51"/>
        <v>-1.0463328683595021</v>
      </c>
      <c r="P158" s="121">
        <f t="shared" si="51"/>
        <v>0</v>
      </c>
      <c r="Q158" s="121">
        <f t="shared" si="51"/>
        <v>-1.0463328683595021</v>
      </c>
      <c r="R158" s="121">
        <f t="shared" si="51"/>
        <v>0</v>
      </c>
      <c r="S158" s="121">
        <f t="shared" si="51"/>
        <v>0</v>
      </c>
      <c r="T158" s="79"/>
      <c r="U158" s="79"/>
    </row>
    <row r="159" spans="6:23" x14ac:dyDescent="0.3">
      <c r="F159" t="s">
        <v>836</v>
      </c>
      <c r="G159" s="72" t="s">
        <v>282</v>
      </c>
      <c r="H159" s="63"/>
      <c r="J159" s="121">
        <f t="shared" ref="J159:S159" si="52">$H140 * J118</f>
        <v>-1.030550424378613</v>
      </c>
      <c r="K159" s="121">
        <f t="shared" si="52"/>
        <v>-1.030550424378613</v>
      </c>
      <c r="L159" s="121">
        <f t="shared" si="52"/>
        <v>-1.030550424378613</v>
      </c>
      <c r="M159" s="121">
        <f t="shared" si="52"/>
        <v>-1.030550424378613</v>
      </c>
      <c r="N159" s="121">
        <f t="shared" si="52"/>
        <v>-1.030550424378613</v>
      </c>
      <c r="O159" s="121">
        <f t="shared" si="52"/>
        <v>-1.030550424378613</v>
      </c>
      <c r="P159" s="121">
        <f t="shared" si="52"/>
        <v>0</v>
      </c>
      <c r="Q159" s="121">
        <f t="shared" si="52"/>
        <v>0</v>
      </c>
      <c r="R159" s="121">
        <f t="shared" si="52"/>
        <v>0</v>
      </c>
      <c r="S159" s="121">
        <f t="shared" si="52"/>
        <v>0</v>
      </c>
      <c r="T159" s="79"/>
      <c r="U159" s="79"/>
    </row>
    <row r="160" spans="6:23" x14ac:dyDescent="0.3">
      <c r="F160" s="37" t="s">
        <v>841</v>
      </c>
      <c r="G160" s="80" t="s">
        <v>282</v>
      </c>
      <c r="H160" s="130"/>
      <c r="I160" s="37"/>
      <c r="J160" s="131">
        <f t="shared" ref="J160:S160" si="53">$H141 * J119</f>
        <v>-1.030550424378613</v>
      </c>
      <c r="K160" s="131">
        <f t="shared" si="53"/>
        <v>-1.030550424378613</v>
      </c>
      <c r="L160" s="131">
        <f t="shared" si="53"/>
        <v>-1.030550424378613</v>
      </c>
      <c r="M160" s="131">
        <f t="shared" si="53"/>
        <v>-1.030550424378613</v>
      </c>
      <c r="N160" s="131">
        <f t="shared" si="53"/>
        <v>-1.030550424378613</v>
      </c>
      <c r="O160" s="131">
        <f t="shared" si="53"/>
        <v>-1.030550424378613</v>
      </c>
      <c r="P160" s="131">
        <f t="shared" si="53"/>
        <v>0</v>
      </c>
      <c r="Q160" s="131">
        <f t="shared" si="53"/>
        <v>0</v>
      </c>
      <c r="R160" s="131">
        <f t="shared" si="53"/>
        <v>0</v>
      </c>
      <c r="S160" s="131">
        <f t="shared" si="53"/>
        <v>0</v>
      </c>
      <c r="T160" s="81"/>
      <c r="U160" s="81"/>
    </row>
    <row r="161" spans="5:23" x14ac:dyDescent="0.3">
      <c r="G161" s="13"/>
      <c r="J161" s="89"/>
      <c r="K161" s="89"/>
      <c r="L161" s="89"/>
      <c r="M161" s="89"/>
      <c r="N161" s="89"/>
      <c r="O161" s="89"/>
      <c r="P161" s="89"/>
      <c r="Q161" s="89"/>
      <c r="R161" s="89"/>
      <c r="S161" s="89"/>
      <c r="T161" s="89"/>
      <c r="U161" s="89"/>
    </row>
    <row r="162" spans="5:23" x14ac:dyDescent="0.3">
      <c r="E162" s="32" t="s">
        <v>403</v>
      </c>
      <c r="G162" s="13"/>
      <c r="I162" t="s">
        <v>153</v>
      </c>
      <c r="J162" s="89"/>
      <c r="K162" s="89"/>
      <c r="L162" s="89"/>
      <c r="M162" s="89"/>
      <c r="N162" s="89"/>
      <c r="O162" s="89"/>
      <c r="P162" s="89"/>
      <c r="Q162" s="89"/>
      <c r="R162" s="89"/>
      <c r="S162" s="89"/>
      <c r="T162" s="89"/>
      <c r="U162" s="89"/>
      <c r="W162" s="3" t="s">
        <v>408</v>
      </c>
    </row>
    <row r="163" spans="5:23" x14ac:dyDescent="0.3">
      <c r="E163" s="29" t="s">
        <v>400</v>
      </c>
      <c r="G163" s="13"/>
      <c r="J163" s="89"/>
      <c r="K163" s="89"/>
      <c r="L163" s="89"/>
      <c r="M163" s="89"/>
      <c r="N163" s="89"/>
      <c r="O163" s="89"/>
      <c r="P163" s="89"/>
      <c r="Q163" s="89"/>
      <c r="R163" s="89"/>
      <c r="S163" s="89"/>
      <c r="T163" s="89"/>
      <c r="U163" s="89"/>
    </row>
    <row r="164" spans="5:23" x14ac:dyDescent="0.3">
      <c r="F164" s="23" t="s">
        <v>828</v>
      </c>
      <c r="G164" s="78" t="s">
        <v>282</v>
      </c>
      <c r="H164" s="129"/>
      <c r="I164" s="23"/>
      <c r="J164" s="83"/>
      <c r="K164" s="83"/>
      <c r="L164" s="83"/>
      <c r="M164" s="83"/>
      <c r="N164" s="83"/>
      <c r="O164" s="83"/>
      <c r="P164" s="83"/>
      <c r="Q164" s="83"/>
      <c r="R164" s="83"/>
      <c r="S164" s="83"/>
      <c r="T164" s="83"/>
      <c r="U164" s="83"/>
    </row>
    <row r="165" spans="5:23" x14ac:dyDescent="0.3">
      <c r="F165" t="s">
        <v>830</v>
      </c>
      <c r="G165" s="72" t="s">
        <v>282</v>
      </c>
      <c r="H165" s="63"/>
      <c r="J165" s="79"/>
      <c r="K165" s="79"/>
      <c r="L165" s="79"/>
      <c r="M165" s="79"/>
      <c r="N165" s="79"/>
      <c r="O165" s="79"/>
      <c r="P165" s="79"/>
      <c r="Q165" s="79"/>
      <c r="R165" s="79"/>
      <c r="S165" s="79"/>
      <c r="T165" s="79"/>
      <c r="U165" s="79"/>
      <c r="W165" s="3"/>
    </row>
    <row r="166" spans="5:23" x14ac:dyDescent="0.3">
      <c r="F166" t="s">
        <v>829</v>
      </c>
      <c r="G166" s="72" t="s">
        <v>282</v>
      </c>
      <c r="H166" s="63"/>
      <c r="J166" s="79"/>
      <c r="K166" s="79"/>
      <c r="L166" s="79"/>
      <c r="M166" s="79"/>
      <c r="N166" s="79"/>
      <c r="O166" s="79"/>
      <c r="P166" s="79"/>
      <c r="Q166" s="79"/>
      <c r="R166" s="79"/>
      <c r="S166" s="79"/>
      <c r="T166" s="79"/>
      <c r="U166" s="79"/>
      <c r="W166" s="3"/>
    </row>
    <row r="167" spans="5:23" x14ac:dyDescent="0.3">
      <c r="F167" t="s">
        <v>831</v>
      </c>
      <c r="G167" s="72" t="s">
        <v>282</v>
      </c>
      <c r="H167" s="63"/>
      <c r="J167" s="79"/>
      <c r="K167" s="79"/>
      <c r="L167" s="79"/>
      <c r="M167" s="79"/>
      <c r="N167" s="79"/>
      <c r="O167" s="79"/>
      <c r="P167" s="79"/>
      <c r="Q167" s="79"/>
      <c r="R167" s="79"/>
      <c r="S167" s="79"/>
      <c r="T167" s="79"/>
      <c r="U167" s="79"/>
    </row>
    <row r="168" spans="5:23" x14ac:dyDescent="0.3">
      <c r="F168" t="s">
        <v>837</v>
      </c>
      <c r="G168" s="72" t="s">
        <v>282</v>
      </c>
      <c r="H168" s="63"/>
      <c r="J168" s="79"/>
      <c r="K168" s="79"/>
      <c r="L168" s="79"/>
      <c r="M168" s="79"/>
      <c r="N168" s="79"/>
      <c r="O168" s="79"/>
      <c r="P168" s="79"/>
      <c r="Q168" s="79"/>
      <c r="R168" s="79"/>
      <c r="S168" s="79"/>
      <c r="T168" s="79"/>
      <c r="U168" s="79"/>
    </row>
    <row r="169" spans="5:23" x14ac:dyDescent="0.3">
      <c r="F169" t="s">
        <v>838</v>
      </c>
      <c r="G169" s="72" t="s">
        <v>282</v>
      </c>
      <c r="H169" s="63"/>
      <c r="J169" s="79"/>
      <c r="K169" s="79"/>
      <c r="L169" s="79"/>
      <c r="M169" s="79"/>
      <c r="N169" s="79"/>
      <c r="O169" s="79"/>
      <c r="P169" s="79"/>
      <c r="Q169" s="79"/>
      <c r="R169" s="79"/>
      <c r="S169" s="79"/>
      <c r="T169" s="79"/>
      <c r="U169" s="79"/>
    </row>
    <row r="170" spans="5:23" x14ac:dyDescent="0.3">
      <c r="F170" t="s">
        <v>839</v>
      </c>
      <c r="G170" s="72" t="s">
        <v>282</v>
      </c>
      <c r="H170" s="63"/>
      <c r="J170" s="79"/>
      <c r="K170" s="79"/>
      <c r="L170" s="79"/>
      <c r="M170" s="79"/>
      <c r="N170" s="79"/>
      <c r="O170" s="79"/>
      <c r="P170" s="79"/>
      <c r="Q170" s="79"/>
      <c r="R170" s="79"/>
      <c r="S170" s="79"/>
      <c r="T170" s="79"/>
      <c r="U170" s="79"/>
    </row>
    <row r="171" spans="5:23" x14ac:dyDescent="0.3">
      <c r="F171" t="s">
        <v>840</v>
      </c>
      <c r="G171" s="72" t="s">
        <v>282</v>
      </c>
      <c r="H171" s="63"/>
      <c r="J171" s="79"/>
      <c r="K171" s="79"/>
      <c r="L171" s="79"/>
      <c r="M171" s="79"/>
      <c r="N171" s="79"/>
      <c r="O171" s="79"/>
      <c r="P171" s="79"/>
      <c r="Q171" s="79"/>
      <c r="R171" s="79"/>
      <c r="S171" s="79"/>
      <c r="T171" s="79"/>
      <c r="U171" s="79"/>
    </row>
    <row r="172" spans="5:23" x14ac:dyDescent="0.3">
      <c r="F172" t="s">
        <v>832</v>
      </c>
      <c r="G172" s="72" t="s">
        <v>282</v>
      </c>
      <c r="H172" s="63"/>
      <c r="J172" s="121">
        <f t="shared" ref="J172:S172" si="54">$H134 * J73</f>
        <v>-1.0811119475731934</v>
      </c>
      <c r="K172" s="121">
        <f t="shared" si="54"/>
        <v>-1.0811119475731934</v>
      </c>
      <c r="L172" s="121">
        <f t="shared" si="54"/>
        <v>-1.0811119475731934</v>
      </c>
      <c r="M172" s="121">
        <f t="shared" si="54"/>
        <v>-1.0811119475731934</v>
      </c>
      <c r="N172" s="121">
        <f t="shared" si="54"/>
        <v>-1.0811119475731934</v>
      </c>
      <c r="O172" s="121">
        <f t="shared" si="54"/>
        <v>-1.0811119475731934</v>
      </c>
      <c r="P172" s="121">
        <f t="shared" si="54"/>
        <v>0</v>
      </c>
      <c r="Q172" s="121">
        <f t="shared" si="54"/>
        <v>-1.0811119475731934</v>
      </c>
      <c r="R172" s="121">
        <f t="shared" si="54"/>
        <v>-1.0811119475731934</v>
      </c>
      <c r="S172" s="121">
        <f t="shared" si="54"/>
        <v>-1.0811119475731934</v>
      </c>
      <c r="T172" s="79"/>
      <c r="U172" s="79"/>
    </row>
    <row r="173" spans="5:23" x14ac:dyDescent="0.3">
      <c r="F173" t="s">
        <v>833</v>
      </c>
      <c r="G173" s="72" t="s">
        <v>282</v>
      </c>
      <c r="H173" s="63"/>
      <c r="J173" s="121">
        <f t="shared" ref="J173:S173" si="55">$H135 * J74</f>
        <v>-1.0463328683595021</v>
      </c>
      <c r="K173" s="121">
        <f t="shared" si="55"/>
        <v>-1.0463328683595021</v>
      </c>
      <c r="L173" s="121">
        <f t="shared" si="55"/>
        <v>-1.0463328683595021</v>
      </c>
      <c r="M173" s="121">
        <f t="shared" si="55"/>
        <v>-1.0463328683595021</v>
      </c>
      <c r="N173" s="121">
        <f t="shared" si="55"/>
        <v>-1.0463328683595021</v>
      </c>
      <c r="O173" s="121">
        <f t="shared" si="55"/>
        <v>-1.0463328683595021</v>
      </c>
      <c r="P173" s="121">
        <f t="shared" si="55"/>
        <v>0</v>
      </c>
      <c r="Q173" s="121">
        <f t="shared" si="55"/>
        <v>-1.0463328683595021</v>
      </c>
      <c r="R173" s="121">
        <f t="shared" si="55"/>
        <v>-1.0463328683595021</v>
      </c>
      <c r="S173" s="121">
        <f t="shared" si="55"/>
        <v>0</v>
      </c>
      <c r="T173" s="79"/>
      <c r="U173" s="79"/>
    </row>
    <row r="174" spans="5:23" x14ac:dyDescent="0.3">
      <c r="F174" t="s">
        <v>834</v>
      </c>
      <c r="G174" s="72" t="s">
        <v>282</v>
      </c>
      <c r="H174" s="63"/>
      <c r="J174" s="121">
        <f t="shared" ref="J174:S174" si="56">$H136 * J75</f>
        <v>-1.0811119475731934</v>
      </c>
      <c r="K174" s="121">
        <f t="shared" si="56"/>
        <v>-1.0811119475731934</v>
      </c>
      <c r="L174" s="121">
        <f t="shared" si="56"/>
        <v>-1.0811119475731934</v>
      </c>
      <c r="M174" s="121">
        <f t="shared" si="56"/>
        <v>-1.0811119475731934</v>
      </c>
      <c r="N174" s="121">
        <f t="shared" si="56"/>
        <v>-1.0811119475731934</v>
      </c>
      <c r="O174" s="121">
        <f t="shared" si="56"/>
        <v>-1.0811119475731934</v>
      </c>
      <c r="P174" s="121">
        <f t="shared" si="56"/>
        <v>0</v>
      </c>
      <c r="Q174" s="121">
        <f t="shared" si="56"/>
        <v>-1.0811119475731934</v>
      </c>
      <c r="R174" s="121">
        <f t="shared" si="56"/>
        <v>-1.0811119475731934</v>
      </c>
      <c r="S174" s="121">
        <f t="shared" si="56"/>
        <v>-1.0811119475731934</v>
      </c>
      <c r="T174" s="79"/>
      <c r="U174" s="79"/>
    </row>
    <row r="175" spans="5:23" x14ac:dyDescent="0.3">
      <c r="F175" t="s">
        <v>843</v>
      </c>
      <c r="G175" s="72" t="s">
        <v>282</v>
      </c>
      <c r="H175" s="63"/>
      <c r="J175" s="121">
        <f t="shared" ref="J175:S175" si="57">$H137 * J76</f>
        <v>-1.0811119475731934</v>
      </c>
      <c r="K175" s="121">
        <f t="shared" si="57"/>
        <v>-1.0811119475731934</v>
      </c>
      <c r="L175" s="121">
        <f t="shared" si="57"/>
        <v>-1.0811119475731934</v>
      </c>
      <c r="M175" s="121">
        <f t="shared" si="57"/>
        <v>-1.0811119475731934</v>
      </c>
      <c r="N175" s="121">
        <f t="shared" si="57"/>
        <v>-1.0811119475731934</v>
      </c>
      <c r="O175" s="121">
        <f t="shared" si="57"/>
        <v>-1.0811119475731934</v>
      </c>
      <c r="P175" s="121">
        <f t="shared" si="57"/>
        <v>0</v>
      </c>
      <c r="Q175" s="121">
        <f t="shared" si="57"/>
        <v>-1.0811119475731934</v>
      </c>
      <c r="R175" s="121">
        <f t="shared" si="57"/>
        <v>-1.0811119475731934</v>
      </c>
      <c r="S175" s="121">
        <f t="shared" si="57"/>
        <v>-1.0811119475731934</v>
      </c>
      <c r="T175" s="79"/>
      <c r="U175" s="79"/>
    </row>
    <row r="176" spans="5:23" x14ac:dyDescent="0.3">
      <c r="F176" t="s">
        <v>835</v>
      </c>
      <c r="G176" s="72" t="s">
        <v>282</v>
      </c>
      <c r="H176" s="63"/>
      <c r="J176" s="121">
        <f t="shared" ref="J176:S176" si="58">$H138 * J77</f>
        <v>-1.0463328683595021</v>
      </c>
      <c r="K176" s="121">
        <f t="shared" si="58"/>
        <v>-1.0463328683595021</v>
      </c>
      <c r="L176" s="121">
        <f t="shared" si="58"/>
        <v>-1.0463328683595021</v>
      </c>
      <c r="M176" s="121">
        <f t="shared" si="58"/>
        <v>-1.0463328683595021</v>
      </c>
      <c r="N176" s="121">
        <f t="shared" si="58"/>
        <v>-1.0463328683595021</v>
      </c>
      <c r="O176" s="121">
        <f t="shared" si="58"/>
        <v>-1.0463328683595021</v>
      </c>
      <c r="P176" s="121">
        <f t="shared" si="58"/>
        <v>0</v>
      </c>
      <c r="Q176" s="121">
        <f t="shared" si="58"/>
        <v>-1.0463328683595021</v>
      </c>
      <c r="R176" s="121">
        <f t="shared" si="58"/>
        <v>-1.0463328683595021</v>
      </c>
      <c r="S176" s="121">
        <f t="shared" si="58"/>
        <v>0</v>
      </c>
      <c r="T176" s="79"/>
      <c r="U176" s="79"/>
    </row>
    <row r="177" spans="2:23" x14ac:dyDescent="0.3">
      <c r="F177" t="s">
        <v>842</v>
      </c>
      <c r="G177" s="72" t="s">
        <v>282</v>
      </c>
      <c r="H177" s="63"/>
      <c r="J177" s="121">
        <f t="shared" ref="J177:S177" si="59">$H139 * J78</f>
        <v>-1.0463328683595021</v>
      </c>
      <c r="K177" s="121">
        <f t="shared" si="59"/>
        <v>-1.0463328683595021</v>
      </c>
      <c r="L177" s="121">
        <f t="shared" si="59"/>
        <v>-1.0463328683595021</v>
      </c>
      <c r="M177" s="121">
        <f t="shared" si="59"/>
        <v>-1.0463328683595021</v>
      </c>
      <c r="N177" s="121">
        <f t="shared" si="59"/>
        <v>-1.0463328683595021</v>
      </c>
      <c r="O177" s="121">
        <f t="shared" si="59"/>
        <v>-1.0463328683595021</v>
      </c>
      <c r="P177" s="121">
        <f t="shared" si="59"/>
        <v>0</v>
      </c>
      <c r="Q177" s="121">
        <f t="shared" si="59"/>
        <v>-1.0463328683595021</v>
      </c>
      <c r="R177" s="121">
        <f t="shared" si="59"/>
        <v>-1.0463328683595021</v>
      </c>
      <c r="S177" s="121">
        <f t="shared" si="59"/>
        <v>0</v>
      </c>
      <c r="T177" s="79"/>
      <c r="U177" s="79"/>
    </row>
    <row r="178" spans="2:23" x14ac:dyDescent="0.3">
      <c r="F178" t="s">
        <v>836</v>
      </c>
      <c r="G178" s="72" t="s">
        <v>282</v>
      </c>
      <c r="H178" s="63"/>
      <c r="J178" s="121">
        <f t="shared" ref="J178:S178" si="60">$H140 * J79</f>
        <v>-1.030550424378613</v>
      </c>
      <c r="K178" s="121">
        <f t="shared" si="60"/>
        <v>-1.030550424378613</v>
      </c>
      <c r="L178" s="121">
        <f t="shared" si="60"/>
        <v>-1.030550424378613</v>
      </c>
      <c r="M178" s="121">
        <f t="shared" si="60"/>
        <v>-1.030550424378613</v>
      </c>
      <c r="N178" s="121">
        <f t="shared" si="60"/>
        <v>-1.030550424378613</v>
      </c>
      <c r="O178" s="121">
        <f t="shared" si="60"/>
        <v>-1.030550424378613</v>
      </c>
      <c r="P178" s="121">
        <f t="shared" si="60"/>
        <v>0</v>
      </c>
      <c r="Q178" s="121">
        <f t="shared" si="60"/>
        <v>-1.030550424378613</v>
      </c>
      <c r="R178" s="121">
        <f t="shared" si="60"/>
        <v>0</v>
      </c>
      <c r="S178" s="121">
        <f t="shared" si="60"/>
        <v>0</v>
      </c>
      <c r="T178" s="79"/>
      <c r="U178" s="79"/>
    </row>
    <row r="179" spans="2:23" x14ac:dyDescent="0.3">
      <c r="F179" s="37" t="s">
        <v>841</v>
      </c>
      <c r="G179" s="80" t="s">
        <v>282</v>
      </c>
      <c r="H179" s="130"/>
      <c r="I179" s="37"/>
      <c r="J179" s="131">
        <f t="shared" ref="J179:S179" si="61">$H141 * J80</f>
        <v>-1.030550424378613</v>
      </c>
      <c r="K179" s="131">
        <f t="shared" si="61"/>
        <v>-1.030550424378613</v>
      </c>
      <c r="L179" s="131">
        <f t="shared" si="61"/>
        <v>-1.030550424378613</v>
      </c>
      <c r="M179" s="131">
        <f t="shared" si="61"/>
        <v>-1.030550424378613</v>
      </c>
      <c r="N179" s="131">
        <f t="shared" si="61"/>
        <v>-1.030550424378613</v>
      </c>
      <c r="O179" s="131">
        <f t="shared" si="61"/>
        <v>-1.030550424378613</v>
      </c>
      <c r="P179" s="131">
        <f t="shared" si="61"/>
        <v>0</v>
      </c>
      <c r="Q179" s="131">
        <f t="shared" si="61"/>
        <v>-1.030550424378613</v>
      </c>
      <c r="R179" s="131">
        <f t="shared" si="61"/>
        <v>0</v>
      </c>
      <c r="S179" s="131">
        <f t="shared" si="61"/>
        <v>0</v>
      </c>
      <c r="T179" s="81"/>
      <c r="U179" s="81"/>
    </row>
    <row r="180" spans="2:23" x14ac:dyDescent="0.3">
      <c r="G180" s="13"/>
    </row>
    <row r="181" spans="2:23" x14ac:dyDescent="0.3">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3">
      <c r="G182" s="13"/>
    </row>
    <row r="183" spans="2:23" x14ac:dyDescent="0.3">
      <c r="E183" t="s">
        <v>231</v>
      </c>
      <c r="G183" s="6" t="s">
        <v>54</v>
      </c>
      <c r="H183" s="103">
        <f t="array" ref="H183">SUM(IF(ISERROR(H19:W181), 1))</f>
        <v>0</v>
      </c>
    </row>
    <row r="185" spans="2:23" x14ac:dyDescent="0.3">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93" width="24.5546875" hidden="1" customWidth="1"/>
    <col min="294" max="16384" width="8.6640625" hidden="1"/>
  </cols>
  <sheetData>
    <row r="1" spans="1:23" s="1" customFormat="1" x14ac:dyDescent="0.3">
      <c r="A1" s="1" t="str">
        <f ca="1">MID(CELL("filename",A1),FIND("]",CELL("filename",A1))+1,255)</f>
        <v>Customer contributions</v>
      </c>
    </row>
    <row r="2" spans="1:23" s="1" customFormat="1" x14ac:dyDescent="0.3">
      <c r="A2" s="1" t="str">
        <f>Cover!D21&amp;" - "&amp;Cover!D23</f>
        <v>Electricity North West Limited - Working Model</v>
      </c>
    </row>
    <row r="3" spans="1:23" s="5" customFormat="1" x14ac:dyDescent="0.3">
      <c r="A3" s="5" t="str">
        <f>Cover!D2&amp;" - "&amp;Cover!D8&amp;" v"&amp;Cover!D10&amp;" - "&amp;Cover!D19</f>
        <v>CDCM charging model - Release for charge setting v7 - 2022/23</v>
      </c>
    </row>
    <row r="4" spans="1:23" x14ac:dyDescent="0.3">
      <c r="A4" s="12" t="str">
        <f>H70 &amp; IF(H70 = 1, " issue", " issues") &amp;" identified in checks on this sheet"</f>
        <v>0 issues identified in checks on this sheet</v>
      </c>
      <c r="B4" s="13"/>
      <c r="C4" s="13"/>
      <c r="D4" s="13"/>
      <c r="E4" s="13"/>
      <c r="F4" s="13"/>
      <c r="G4" s="13"/>
      <c r="H4" s="14"/>
      <c r="I4" s="14"/>
      <c r="J4" s="13"/>
    </row>
    <row r="5" spans="1:23" x14ac:dyDescent="0.3">
      <c r="B5" s="59" t="s">
        <v>141</v>
      </c>
      <c r="C5" s="60"/>
      <c r="D5" s="60"/>
      <c r="E5" s="60"/>
      <c r="F5" s="60"/>
      <c r="G5" s="61" t="s">
        <v>142</v>
      </c>
      <c r="H5" s="62" t="s">
        <v>143</v>
      </c>
      <c r="W5" s="61" t="s">
        <v>144</v>
      </c>
    </row>
    <row r="7" spans="1:23" x14ac:dyDescent="0.3">
      <c r="B7" s="30" t="s">
        <v>9</v>
      </c>
      <c r="C7" s="30"/>
      <c r="D7" s="30"/>
      <c r="E7" s="30"/>
      <c r="F7" s="30"/>
      <c r="G7" s="30"/>
      <c r="H7" s="30"/>
      <c r="I7" s="30"/>
      <c r="J7" s="30"/>
      <c r="K7" s="30"/>
      <c r="L7" s="30"/>
      <c r="M7" s="30"/>
      <c r="N7" s="30"/>
      <c r="O7" s="30"/>
      <c r="P7" s="30"/>
      <c r="Q7" s="30"/>
      <c r="R7" s="30"/>
      <c r="S7" s="30"/>
      <c r="T7" s="30"/>
      <c r="U7" s="30"/>
      <c r="V7" s="30"/>
      <c r="W7" s="30"/>
    </row>
    <row r="9" spans="1:23" x14ac:dyDescent="0.3">
      <c r="C9" s="29" t="s">
        <v>409</v>
      </c>
    </row>
    <row r="10" spans="1:23" x14ac:dyDescent="0.3">
      <c r="C10" s="29" t="s">
        <v>410</v>
      </c>
    </row>
    <row r="12" spans="1:23" x14ac:dyDescent="0.3">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3">
      <c r="C14" s="29" t="s">
        <v>411</v>
      </c>
    </row>
    <row r="16" spans="1:23" x14ac:dyDescent="0.3">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3">
      <c r="E18" s="32" t="s">
        <v>179</v>
      </c>
      <c r="H18" s="3"/>
      <c r="I18" s="3" t="s">
        <v>153</v>
      </c>
      <c r="J18" s="3"/>
      <c r="K18" s="3"/>
      <c r="L18" s="3"/>
      <c r="M18" s="3"/>
      <c r="N18" s="3"/>
      <c r="O18" s="3"/>
      <c r="P18" s="3"/>
      <c r="Q18" s="3"/>
      <c r="R18" s="3"/>
      <c r="S18" s="3"/>
      <c r="T18" s="3"/>
      <c r="U18" s="3"/>
      <c r="W18" s="3" t="s">
        <v>180</v>
      </c>
    </row>
    <row r="19" spans="5:23" x14ac:dyDescent="0.3">
      <c r="E19" s="29" t="s">
        <v>181</v>
      </c>
      <c r="H19" s="3"/>
      <c r="I19" s="3"/>
      <c r="J19" s="3"/>
      <c r="K19" s="3"/>
      <c r="L19" s="3"/>
      <c r="M19" s="3"/>
      <c r="N19" s="3"/>
      <c r="O19" s="3"/>
      <c r="P19" s="3"/>
      <c r="Q19" s="3"/>
      <c r="R19" s="3"/>
      <c r="S19" s="3"/>
      <c r="T19" s="3"/>
      <c r="U19" s="3"/>
      <c r="W19" s="3"/>
    </row>
    <row r="20" spans="5:23" x14ac:dyDescent="0.3">
      <c r="F20" s="134"/>
      <c r="G20" s="134"/>
      <c r="H20" s="135"/>
      <c r="I20" s="135"/>
      <c r="J20" s="136" t="s">
        <v>182</v>
      </c>
      <c r="K20" s="136" t="s">
        <v>183</v>
      </c>
      <c r="L20" s="136" t="s">
        <v>184</v>
      </c>
      <c r="M20" s="136" t="s">
        <v>185</v>
      </c>
      <c r="O20" s="3"/>
      <c r="P20" s="3"/>
      <c r="Q20" s="3"/>
      <c r="R20" s="3"/>
      <c r="S20" s="3"/>
      <c r="T20" s="3"/>
      <c r="U20" s="3"/>
    </row>
    <row r="21" spans="5:23" x14ac:dyDescent="0.3">
      <c r="F21" s="28" t="s">
        <v>828</v>
      </c>
      <c r="G21" s="13" t="s">
        <v>175</v>
      </c>
      <c r="H21" s="3"/>
      <c r="I21" s="3"/>
      <c r="J21" s="137">
        <f t="array" ref="J21:M36">TRANSPOSE('Fixed inputs'!J53:Y56)</f>
        <v>0</v>
      </c>
      <c r="K21" s="137">
        <v>0</v>
      </c>
      <c r="L21" s="137">
        <v>0</v>
      </c>
      <c r="M21" s="137">
        <v>1</v>
      </c>
      <c r="S21" s="3"/>
      <c r="T21" s="3"/>
      <c r="U21" s="3"/>
      <c r="W21" s="3"/>
    </row>
    <row r="22" spans="5:23" x14ac:dyDescent="0.3">
      <c r="F22" s="28" t="s">
        <v>830</v>
      </c>
      <c r="G22" s="13" t="s">
        <v>175</v>
      </c>
      <c r="H22" s="3"/>
      <c r="I22" s="3"/>
      <c r="J22" s="137">
        <v>0</v>
      </c>
      <c r="K22" s="137">
        <v>0</v>
      </c>
      <c r="L22" s="137">
        <v>0</v>
      </c>
      <c r="M22" s="137">
        <v>1</v>
      </c>
      <c r="S22" s="3"/>
      <c r="T22" s="3"/>
      <c r="U22" s="3"/>
      <c r="W22" s="3"/>
    </row>
    <row r="23" spans="5:23" x14ac:dyDescent="0.3">
      <c r="F23" s="28" t="s">
        <v>829</v>
      </c>
      <c r="G23" s="13" t="s">
        <v>175</v>
      </c>
      <c r="H23" s="3"/>
      <c r="I23" s="3"/>
      <c r="J23" s="137">
        <v>0</v>
      </c>
      <c r="K23" s="137">
        <v>0</v>
      </c>
      <c r="L23" s="137">
        <v>0</v>
      </c>
      <c r="M23" s="137">
        <v>1</v>
      </c>
      <c r="S23" s="3"/>
      <c r="T23" s="3"/>
      <c r="U23" s="3"/>
      <c r="W23" s="3"/>
    </row>
    <row r="24" spans="5:23" x14ac:dyDescent="0.3">
      <c r="F24" s="28" t="s">
        <v>831</v>
      </c>
      <c r="G24" s="13" t="s">
        <v>175</v>
      </c>
      <c r="H24" s="3"/>
      <c r="I24" s="3"/>
      <c r="J24" s="137">
        <v>0</v>
      </c>
      <c r="K24" s="137">
        <v>0</v>
      </c>
      <c r="L24" s="137">
        <v>0</v>
      </c>
      <c r="M24" s="137">
        <v>1</v>
      </c>
      <c r="S24" s="3"/>
      <c r="T24" s="3"/>
      <c r="U24" s="3"/>
      <c r="W24" s="3"/>
    </row>
    <row r="25" spans="5:23" x14ac:dyDescent="0.3">
      <c r="F25" s="28" t="s">
        <v>837</v>
      </c>
      <c r="G25" s="13" t="s">
        <v>175</v>
      </c>
      <c r="H25" s="3"/>
      <c r="I25" s="3"/>
      <c r="J25" s="137">
        <v>0</v>
      </c>
      <c r="K25" s="137">
        <v>0</v>
      </c>
      <c r="L25" s="137">
        <v>0</v>
      </c>
      <c r="M25" s="137">
        <v>1</v>
      </c>
      <c r="S25" s="3"/>
      <c r="T25" s="3"/>
      <c r="U25" s="3"/>
      <c r="W25" s="3"/>
    </row>
    <row r="26" spans="5:23" x14ac:dyDescent="0.3">
      <c r="F26" s="28" t="s">
        <v>838</v>
      </c>
      <c r="G26" s="13" t="s">
        <v>175</v>
      </c>
      <c r="H26" s="3"/>
      <c r="I26" s="3"/>
      <c r="J26" s="137">
        <v>0</v>
      </c>
      <c r="K26" s="137">
        <v>0</v>
      </c>
      <c r="L26" s="137">
        <v>1</v>
      </c>
      <c r="M26" s="137">
        <v>0</v>
      </c>
      <c r="S26" s="3"/>
      <c r="T26" s="3"/>
      <c r="U26" s="3"/>
      <c r="W26" s="3"/>
    </row>
    <row r="27" spans="5:23" x14ac:dyDescent="0.3">
      <c r="F27" s="28" t="s">
        <v>839</v>
      </c>
      <c r="G27" s="13" t="s">
        <v>175</v>
      </c>
      <c r="H27" s="3"/>
      <c r="I27" s="3"/>
      <c r="J27" s="137">
        <v>0</v>
      </c>
      <c r="K27" s="137">
        <v>1</v>
      </c>
      <c r="L27" s="137">
        <v>0</v>
      </c>
      <c r="M27" s="137">
        <v>0</v>
      </c>
      <c r="S27" s="3"/>
      <c r="T27" s="3"/>
      <c r="U27" s="3"/>
      <c r="W27" s="3"/>
    </row>
    <row r="28" spans="5:23" x14ac:dyDescent="0.3">
      <c r="F28" s="28" t="s">
        <v>840</v>
      </c>
      <c r="G28" s="13" t="s">
        <v>175</v>
      </c>
      <c r="H28" s="3"/>
      <c r="I28" s="3"/>
      <c r="J28" s="137">
        <v>0</v>
      </c>
      <c r="K28" s="137">
        <v>0</v>
      </c>
      <c r="L28" s="137">
        <v>0</v>
      </c>
      <c r="M28" s="137">
        <v>1</v>
      </c>
      <c r="S28" s="3"/>
      <c r="T28" s="3"/>
      <c r="U28" s="3"/>
      <c r="W28" s="3"/>
    </row>
    <row r="29" spans="5:23" x14ac:dyDescent="0.3">
      <c r="F29" s="28" t="s">
        <v>832</v>
      </c>
      <c r="G29" s="13" t="s">
        <v>175</v>
      </c>
      <c r="H29" s="3"/>
      <c r="I29" s="3"/>
      <c r="J29" s="137">
        <v>0</v>
      </c>
      <c r="K29" s="137">
        <v>0</v>
      </c>
      <c r="L29" s="137">
        <v>0</v>
      </c>
      <c r="M29" s="137">
        <v>1</v>
      </c>
      <c r="S29" s="3"/>
      <c r="T29" s="3"/>
      <c r="U29" s="3"/>
      <c r="W29" s="3"/>
    </row>
    <row r="30" spans="5:23" x14ac:dyDescent="0.3">
      <c r="F30" s="28" t="s">
        <v>833</v>
      </c>
      <c r="G30" s="13" t="s">
        <v>175</v>
      </c>
      <c r="H30" s="3"/>
      <c r="I30" s="3"/>
      <c r="J30" s="137">
        <v>0</v>
      </c>
      <c r="K30" s="137">
        <v>0</v>
      </c>
      <c r="L30" s="137">
        <v>1</v>
      </c>
      <c r="M30" s="137">
        <v>0</v>
      </c>
      <c r="S30" s="3"/>
      <c r="T30" s="3"/>
      <c r="U30" s="3"/>
      <c r="W30" s="3"/>
    </row>
    <row r="31" spans="5:23" x14ac:dyDescent="0.3">
      <c r="F31" s="28" t="s">
        <v>834</v>
      </c>
      <c r="G31" s="13" t="s">
        <v>175</v>
      </c>
      <c r="H31" s="3"/>
      <c r="I31" s="3"/>
      <c r="J31" s="137">
        <v>0</v>
      </c>
      <c r="K31" s="137">
        <v>0</v>
      </c>
      <c r="L31" s="137">
        <v>0</v>
      </c>
      <c r="M31" s="137">
        <v>1</v>
      </c>
      <c r="S31" s="3"/>
      <c r="T31" s="3"/>
      <c r="U31" s="3"/>
      <c r="W31" s="3"/>
    </row>
    <row r="32" spans="5:23" x14ac:dyDescent="0.3">
      <c r="F32" s="28" t="s">
        <v>843</v>
      </c>
      <c r="G32" s="13" t="s">
        <v>175</v>
      </c>
      <c r="H32" s="3"/>
      <c r="I32" s="3"/>
      <c r="J32" s="137">
        <v>0</v>
      </c>
      <c r="K32" s="137">
        <v>0</v>
      </c>
      <c r="L32" s="137">
        <v>0</v>
      </c>
      <c r="M32" s="137">
        <v>1</v>
      </c>
      <c r="S32" s="3"/>
      <c r="T32" s="3"/>
      <c r="U32" s="3"/>
      <c r="W32" s="3"/>
    </row>
    <row r="33" spans="3:23" x14ac:dyDescent="0.3">
      <c r="F33" s="28" t="s">
        <v>835</v>
      </c>
      <c r="G33" s="13" t="s">
        <v>175</v>
      </c>
      <c r="H33" s="3"/>
      <c r="I33" s="3"/>
      <c r="J33" s="137">
        <v>0</v>
      </c>
      <c r="K33" s="137">
        <v>0</v>
      </c>
      <c r="L33" s="137">
        <v>1</v>
      </c>
      <c r="M33" s="137">
        <v>0</v>
      </c>
      <c r="S33" s="3"/>
      <c r="T33" s="3"/>
      <c r="U33" s="3"/>
      <c r="W33" s="3"/>
    </row>
    <row r="34" spans="3:23" x14ac:dyDescent="0.3">
      <c r="F34" s="28" t="s">
        <v>842</v>
      </c>
      <c r="G34" s="13" t="s">
        <v>175</v>
      </c>
      <c r="H34" s="3"/>
      <c r="I34" s="3"/>
      <c r="J34" s="137">
        <v>0</v>
      </c>
      <c r="K34" s="137">
        <v>0</v>
      </c>
      <c r="L34" s="137">
        <v>1</v>
      </c>
      <c r="M34" s="137">
        <v>0</v>
      </c>
      <c r="S34" s="3"/>
      <c r="T34" s="3"/>
      <c r="U34" s="3"/>
      <c r="W34" s="3"/>
    </row>
    <row r="35" spans="3:23" x14ac:dyDescent="0.3">
      <c r="F35" s="28" t="s">
        <v>836</v>
      </c>
      <c r="G35" s="13" t="s">
        <v>175</v>
      </c>
      <c r="H35" s="3"/>
      <c r="I35" s="3"/>
      <c r="J35" s="137">
        <v>0</v>
      </c>
      <c r="K35" s="137">
        <v>1</v>
      </c>
      <c r="L35" s="137">
        <v>0</v>
      </c>
      <c r="M35" s="137">
        <v>0</v>
      </c>
      <c r="S35" s="3"/>
      <c r="T35" s="3"/>
      <c r="U35" s="3"/>
      <c r="W35" s="3"/>
    </row>
    <row r="36" spans="3:23" x14ac:dyDescent="0.3">
      <c r="F36" s="67" t="s">
        <v>841</v>
      </c>
      <c r="G36" s="86" t="s">
        <v>175</v>
      </c>
      <c r="H36" s="76"/>
      <c r="I36" s="76"/>
      <c r="J36" s="138">
        <v>0</v>
      </c>
      <c r="K36" s="138">
        <v>1</v>
      </c>
      <c r="L36" s="138">
        <v>0</v>
      </c>
      <c r="M36" s="138">
        <v>0</v>
      </c>
      <c r="S36" s="3"/>
      <c r="T36" s="3"/>
      <c r="U36" s="3"/>
      <c r="W36" s="3"/>
    </row>
    <row r="37" spans="3:23" x14ac:dyDescent="0.3">
      <c r="H37" s="3"/>
      <c r="I37" s="3"/>
      <c r="J37" s="3"/>
      <c r="K37" s="3"/>
      <c r="L37" s="3"/>
      <c r="M37" s="3"/>
      <c r="N37" s="3"/>
      <c r="O37" s="3"/>
      <c r="P37" s="3"/>
      <c r="Q37" s="3"/>
      <c r="R37" s="3"/>
      <c r="S37" s="3"/>
      <c r="T37" s="3"/>
      <c r="U37" s="3"/>
      <c r="W37" s="3"/>
    </row>
    <row r="38" spans="3:23" x14ac:dyDescent="0.3">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3">
      <c r="E40" s="32" t="s">
        <v>412</v>
      </c>
      <c r="H40" s="3"/>
      <c r="I40" s="3" t="s">
        <v>153</v>
      </c>
      <c r="J40" s="3"/>
      <c r="K40" s="3"/>
      <c r="L40" s="3"/>
      <c r="M40" s="3"/>
      <c r="N40" s="3"/>
      <c r="O40" s="3"/>
      <c r="P40" s="3"/>
      <c r="Q40" s="3"/>
      <c r="R40" s="3"/>
      <c r="S40" s="3"/>
      <c r="T40" s="3"/>
      <c r="U40" s="3"/>
      <c r="W40" s="3" t="s">
        <v>413</v>
      </c>
    </row>
    <row r="41" spans="3:23" x14ac:dyDescent="0.3">
      <c r="E41" s="29" t="s">
        <v>414</v>
      </c>
      <c r="H41" s="3"/>
      <c r="I41" s="3"/>
      <c r="J41" s="3"/>
      <c r="K41" s="3"/>
      <c r="L41" s="3"/>
      <c r="M41" s="3"/>
      <c r="N41" s="3"/>
      <c r="O41" s="3"/>
      <c r="P41" s="3"/>
      <c r="Q41" s="3"/>
      <c r="R41" s="3"/>
      <c r="S41" s="3"/>
      <c r="T41" s="3"/>
      <c r="U41" s="3"/>
      <c r="W41" s="3"/>
    </row>
    <row r="42" spans="3:23" x14ac:dyDescent="0.3">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3">
      <c r="F43" s="28" t="s">
        <v>185</v>
      </c>
      <c r="G43" s="72" t="s">
        <v>166</v>
      </c>
      <c r="H43" s="3"/>
      <c r="I43" s="3"/>
      <c r="J43" s="66"/>
      <c r="K43" s="66"/>
      <c r="L43" s="25">
        <f>'Inputs by network level'!L26</f>
        <v>0</v>
      </c>
      <c r="M43" s="25">
        <f>'Inputs by network level'!M26</f>
        <v>0</v>
      </c>
      <c r="N43" s="25">
        <f>'Inputs by network level'!N26</f>
        <v>0</v>
      </c>
      <c r="O43" s="25">
        <f>'Inputs by network level'!O26</f>
        <v>0</v>
      </c>
      <c r="P43" s="25">
        <f>'Inputs by network level'!P26</f>
        <v>0</v>
      </c>
      <c r="Q43" s="25">
        <f>'Inputs by network level'!Q26</f>
        <v>0.3</v>
      </c>
      <c r="R43" s="25">
        <f>'Inputs by network level'!R26</f>
        <v>0.3</v>
      </c>
      <c r="S43" s="25">
        <f>'Inputs by network level'!S26</f>
        <v>0.97</v>
      </c>
      <c r="T43" s="66"/>
      <c r="U43" s="66"/>
      <c r="W43" s="3"/>
    </row>
    <row r="44" spans="3:23" x14ac:dyDescent="0.3">
      <c r="F44" s="28" t="s">
        <v>184</v>
      </c>
      <c r="G44" s="72" t="s">
        <v>166</v>
      </c>
      <c r="H44" s="3"/>
      <c r="I44" s="3"/>
      <c r="J44" s="66"/>
      <c r="K44" s="66"/>
      <c r="L44" s="25">
        <f>'Inputs by network level'!L27</f>
        <v>0</v>
      </c>
      <c r="M44" s="25">
        <f>'Inputs by network level'!M27</f>
        <v>0</v>
      </c>
      <c r="N44" s="25">
        <f>'Inputs by network level'!N27</f>
        <v>0</v>
      </c>
      <c r="O44" s="25">
        <f>'Inputs by network level'!O27</f>
        <v>0</v>
      </c>
      <c r="P44" s="25">
        <f>'Inputs by network level'!P27</f>
        <v>0</v>
      </c>
      <c r="Q44" s="25">
        <f>'Inputs by network level'!Q27</f>
        <v>0.3</v>
      </c>
      <c r="R44" s="25">
        <f>'Inputs by network level'!R27</f>
        <v>0.97</v>
      </c>
      <c r="S44" s="25">
        <f>'Inputs by network level'!S27</f>
        <v>0</v>
      </c>
      <c r="T44" s="66"/>
      <c r="U44" s="66"/>
      <c r="W44" s="3"/>
    </row>
    <row r="45" spans="3:23" x14ac:dyDescent="0.3">
      <c r="F45" s="28" t="s">
        <v>183</v>
      </c>
      <c r="G45" s="72" t="s">
        <v>166</v>
      </c>
      <c r="H45" s="3"/>
      <c r="I45" s="3"/>
      <c r="J45" s="66"/>
      <c r="K45" s="66"/>
      <c r="L45" s="25">
        <f>'Inputs by network level'!L28</f>
        <v>0</v>
      </c>
      <c r="M45" s="25">
        <f>'Inputs by network level'!M28</f>
        <v>0</v>
      </c>
      <c r="N45" s="25">
        <f>'Inputs by network level'!N28</f>
        <v>0</v>
      </c>
      <c r="O45" s="25">
        <f>'Inputs by network level'!O28</f>
        <v>0.56999999999999995</v>
      </c>
      <c r="P45" s="25">
        <f>'Inputs by network level'!P28</f>
        <v>0</v>
      </c>
      <c r="Q45" s="25">
        <f>'Inputs by network level'!Q28</f>
        <v>0.91</v>
      </c>
      <c r="R45" s="25">
        <f>'Inputs by network level'!R28</f>
        <v>0</v>
      </c>
      <c r="S45" s="25">
        <f>'Inputs by network level'!S28</f>
        <v>0</v>
      </c>
      <c r="T45" s="66"/>
      <c r="U45" s="66"/>
      <c r="W45" s="3"/>
    </row>
    <row r="46" spans="3:23" x14ac:dyDescent="0.3">
      <c r="F46" s="67" t="s">
        <v>182</v>
      </c>
      <c r="G46" s="80" t="s">
        <v>166</v>
      </c>
      <c r="H46" s="76"/>
      <c r="I46" s="76"/>
      <c r="J46" s="68"/>
      <c r="K46" s="68"/>
      <c r="L46" s="141">
        <f>'Inputs by network level'!L29</f>
        <v>0</v>
      </c>
      <c r="M46" s="141">
        <f>'Inputs by network level'!M29</f>
        <v>0</v>
      </c>
      <c r="N46" s="141">
        <f>'Inputs by network level'!N29</f>
        <v>0.56999999999999995</v>
      </c>
      <c r="O46" s="141">
        <f>'Inputs by network level'!O29</f>
        <v>0.92</v>
      </c>
      <c r="P46" s="141">
        <f>'Inputs by network level'!P29</f>
        <v>0</v>
      </c>
      <c r="Q46" s="141">
        <f>'Inputs by network level'!Q29</f>
        <v>0</v>
      </c>
      <c r="R46" s="141">
        <f>'Inputs by network level'!R29</f>
        <v>0</v>
      </c>
      <c r="S46" s="141">
        <f>'Inputs by network level'!S29</f>
        <v>0</v>
      </c>
      <c r="T46" s="68"/>
      <c r="U46" s="68"/>
      <c r="W46" s="3"/>
    </row>
    <row r="47" spans="3:23" x14ac:dyDescent="0.3">
      <c r="G47" s="13"/>
      <c r="H47" s="3"/>
      <c r="I47" s="3"/>
      <c r="J47" s="3"/>
      <c r="K47" s="3"/>
      <c r="L47" s="3"/>
      <c r="M47" s="3"/>
      <c r="N47" s="3"/>
      <c r="O47" s="3"/>
      <c r="P47" s="3"/>
      <c r="Q47" s="3"/>
      <c r="R47" s="3"/>
      <c r="S47" s="3"/>
      <c r="T47" s="3"/>
      <c r="U47" s="3"/>
      <c r="W47" s="3"/>
    </row>
    <row r="48" spans="3:23" x14ac:dyDescent="0.3">
      <c r="E48" s="32" t="s">
        <v>415</v>
      </c>
      <c r="H48" s="13"/>
      <c r="I48" s="3"/>
      <c r="J48" s="3"/>
      <c r="K48" s="3"/>
      <c r="L48" s="3"/>
      <c r="M48" s="3"/>
      <c r="N48" s="3"/>
      <c r="O48" s="3"/>
      <c r="P48" s="3"/>
      <c r="Q48" s="3"/>
      <c r="R48" s="3"/>
      <c r="S48" s="3"/>
      <c r="T48" s="3"/>
      <c r="U48" s="3"/>
      <c r="W48" s="3"/>
    </row>
    <row r="49" spans="5:23" x14ac:dyDescent="0.3">
      <c r="E49" s="29" t="s">
        <v>416</v>
      </c>
      <c r="H49" s="13"/>
      <c r="I49" s="3"/>
      <c r="J49" s="3"/>
      <c r="K49" s="3"/>
      <c r="L49" s="3"/>
      <c r="M49" s="3"/>
      <c r="N49" s="3"/>
      <c r="O49" s="3"/>
      <c r="P49" s="3"/>
      <c r="Q49" s="3"/>
      <c r="R49" s="3"/>
      <c r="S49" s="3"/>
      <c r="T49" s="3"/>
      <c r="U49" s="3"/>
      <c r="W49" s="3"/>
    </row>
    <row r="50" spans="5:23" x14ac:dyDescent="0.3">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3">
      <c r="F51" s="28" t="s">
        <v>828</v>
      </c>
      <c r="G51" s="28"/>
      <c r="H51" s="72" t="s">
        <v>166</v>
      </c>
      <c r="J51" s="70"/>
      <c r="K51" s="70"/>
      <c r="L51" s="111">
        <f t="shared" ref="L51:S60" si="0">$M21 * L$43 + $L21 * L$44 + $K21 * L$45 + $J21 * L$46</f>
        <v>0</v>
      </c>
      <c r="M51" s="111">
        <f t="shared" si="0"/>
        <v>0</v>
      </c>
      <c r="N51" s="111">
        <f t="shared" si="0"/>
        <v>0</v>
      </c>
      <c r="O51" s="111">
        <f t="shared" si="0"/>
        <v>0</v>
      </c>
      <c r="P51" s="111">
        <f t="shared" si="0"/>
        <v>0</v>
      </c>
      <c r="Q51" s="111">
        <f t="shared" si="0"/>
        <v>0.3</v>
      </c>
      <c r="R51" s="111">
        <f t="shared" si="0"/>
        <v>0.3</v>
      </c>
      <c r="S51" s="111">
        <f t="shared" si="0"/>
        <v>0.97</v>
      </c>
      <c r="T51" s="70"/>
      <c r="U51" s="70"/>
    </row>
    <row r="52" spans="5:23" x14ac:dyDescent="0.3">
      <c r="F52" s="28" t="s">
        <v>830</v>
      </c>
      <c r="G52" s="28"/>
      <c r="H52" s="72" t="s">
        <v>166</v>
      </c>
      <c r="J52" s="70"/>
      <c r="K52" s="70"/>
      <c r="L52" s="111">
        <f t="shared" si="0"/>
        <v>0</v>
      </c>
      <c r="M52" s="111">
        <f t="shared" si="0"/>
        <v>0</v>
      </c>
      <c r="N52" s="111">
        <f t="shared" si="0"/>
        <v>0</v>
      </c>
      <c r="O52" s="111">
        <f t="shared" si="0"/>
        <v>0</v>
      </c>
      <c r="P52" s="111">
        <f t="shared" si="0"/>
        <v>0</v>
      </c>
      <c r="Q52" s="111">
        <f t="shared" si="0"/>
        <v>0.3</v>
      </c>
      <c r="R52" s="111">
        <f t="shared" si="0"/>
        <v>0.3</v>
      </c>
      <c r="S52" s="111">
        <f t="shared" si="0"/>
        <v>0.97</v>
      </c>
      <c r="T52" s="70"/>
      <c r="U52" s="70"/>
    </row>
    <row r="53" spans="5:23" x14ac:dyDescent="0.3">
      <c r="F53" s="28" t="s">
        <v>829</v>
      </c>
      <c r="G53" s="28"/>
      <c r="H53" s="72" t="s">
        <v>166</v>
      </c>
      <c r="J53" s="70"/>
      <c r="K53" s="70"/>
      <c r="L53" s="111">
        <f t="shared" si="0"/>
        <v>0</v>
      </c>
      <c r="M53" s="111">
        <f t="shared" si="0"/>
        <v>0</v>
      </c>
      <c r="N53" s="111">
        <f t="shared" si="0"/>
        <v>0</v>
      </c>
      <c r="O53" s="111">
        <f t="shared" si="0"/>
        <v>0</v>
      </c>
      <c r="P53" s="111">
        <f t="shared" si="0"/>
        <v>0</v>
      </c>
      <c r="Q53" s="111">
        <f t="shared" si="0"/>
        <v>0.3</v>
      </c>
      <c r="R53" s="111">
        <f t="shared" si="0"/>
        <v>0.3</v>
      </c>
      <c r="S53" s="111">
        <f t="shared" si="0"/>
        <v>0.97</v>
      </c>
      <c r="T53" s="70"/>
      <c r="U53" s="70"/>
    </row>
    <row r="54" spans="5:23" x14ac:dyDescent="0.3">
      <c r="F54" s="28" t="s">
        <v>831</v>
      </c>
      <c r="G54" s="28"/>
      <c r="H54" s="72" t="s">
        <v>166</v>
      </c>
      <c r="J54" s="70"/>
      <c r="K54" s="70"/>
      <c r="L54" s="111">
        <f t="shared" si="0"/>
        <v>0</v>
      </c>
      <c r="M54" s="111">
        <f t="shared" si="0"/>
        <v>0</v>
      </c>
      <c r="N54" s="111">
        <f t="shared" si="0"/>
        <v>0</v>
      </c>
      <c r="O54" s="111">
        <f t="shared" si="0"/>
        <v>0</v>
      </c>
      <c r="P54" s="111">
        <f t="shared" si="0"/>
        <v>0</v>
      </c>
      <c r="Q54" s="111">
        <f t="shared" si="0"/>
        <v>0.3</v>
      </c>
      <c r="R54" s="111">
        <f t="shared" si="0"/>
        <v>0.3</v>
      </c>
      <c r="S54" s="111">
        <f t="shared" si="0"/>
        <v>0.97</v>
      </c>
      <c r="T54" s="70"/>
      <c r="U54" s="70"/>
    </row>
    <row r="55" spans="5:23" x14ac:dyDescent="0.3">
      <c r="F55" s="28" t="s">
        <v>837</v>
      </c>
      <c r="G55" s="28"/>
      <c r="H55" s="72" t="s">
        <v>166</v>
      </c>
      <c r="J55" s="70"/>
      <c r="K55" s="70"/>
      <c r="L55" s="111">
        <f t="shared" si="0"/>
        <v>0</v>
      </c>
      <c r="M55" s="111">
        <f t="shared" si="0"/>
        <v>0</v>
      </c>
      <c r="N55" s="111">
        <f t="shared" si="0"/>
        <v>0</v>
      </c>
      <c r="O55" s="111">
        <f t="shared" si="0"/>
        <v>0</v>
      </c>
      <c r="P55" s="111">
        <f t="shared" si="0"/>
        <v>0</v>
      </c>
      <c r="Q55" s="111">
        <f t="shared" si="0"/>
        <v>0.3</v>
      </c>
      <c r="R55" s="111">
        <f t="shared" si="0"/>
        <v>0.3</v>
      </c>
      <c r="S55" s="111">
        <f t="shared" si="0"/>
        <v>0.97</v>
      </c>
      <c r="T55" s="70"/>
      <c r="U55" s="70"/>
    </row>
    <row r="56" spans="5:23" x14ac:dyDescent="0.3">
      <c r="F56" s="28" t="s">
        <v>838</v>
      </c>
      <c r="G56" s="28"/>
      <c r="H56" s="72" t="s">
        <v>166</v>
      </c>
      <c r="J56" s="70"/>
      <c r="K56" s="70"/>
      <c r="L56" s="111">
        <f t="shared" si="0"/>
        <v>0</v>
      </c>
      <c r="M56" s="111">
        <f t="shared" si="0"/>
        <v>0</v>
      </c>
      <c r="N56" s="111">
        <f t="shared" si="0"/>
        <v>0</v>
      </c>
      <c r="O56" s="111">
        <f t="shared" si="0"/>
        <v>0</v>
      </c>
      <c r="P56" s="111">
        <f t="shared" si="0"/>
        <v>0</v>
      </c>
      <c r="Q56" s="111">
        <f t="shared" si="0"/>
        <v>0.3</v>
      </c>
      <c r="R56" s="111">
        <f t="shared" si="0"/>
        <v>0.97</v>
      </c>
      <c r="S56" s="111">
        <f t="shared" si="0"/>
        <v>0</v>
      </c>
      <c r="T56" s="70"/>
      <c r="U56" s="70"/>
    </row>
    <row r="57" spans="5:23" x14ac:dyDescent="0.3">
      <c r="F57" s="28" t="s">
        <v>839</v>
      </c>
      <c r="G57" s="28"/>
      <c r="H57" s="72" t="s">
        <v>166</v>
      </c>
      <c r="J57" s="70"/>
      <c r="K57" s="70"/>
      <c r="L57" s="111">
        <f t="shared" si="0"/>
        <v>0</v>
      </c>
      <c r="M57" s="111">
        <f t="shared" si="0"/>
        <v>0</v>
      </c>
      <c r="N57" s="111">
        <f t="shared" si="0"/>
        <v>0</v>
      </c>
      <c r="O57" s="111">
        <f t="shared" si="0"/>
        <v>0.56999999999999995</v>
      </c>
      <c r="P57" s="111">
        <f t="shared" si="0"/>
        <v>0</v>
      </c>
      <c r="Q57" s="111">
        <f t="shared" si="0"/>
        <v>0.91</v>
      </c>
      <c r="R57" s="111">
        <f t="shared" si="0"/>
        <v>0</v>
      </c>
      <c r="S57" s="111">
        <f t="shared" si="0"/>
        <v>0</v>
      </c>
      <c r="T57" s="70"/>
      <c r="U57" s="70"/>
    </row>
    <row r="58" spans="5:23" x14ac:dyDescent="0.3">
      <c r="F58" s="28" t="s">
        <v>840</v>
      </c>
      <c r="G58" s="28"/>
      <c r="H58" s="72" t="s">
        <v>166</v>
      </c>
      <c r="J58" s="70"/>
      <c r="K58" s="70"/>
      <c r="L58" s="111">
        <f t="shared" si="0"/>
        <v>0</v>
      </c>
      <c r="M58" s="111">
        <f t="shared" si="0"/>
        <v>0</v>
      </c>
      <c r="N58" s="111">
        <f t="shared" si="0"/>
        <v>0</v>
      </c>
      <c r="O58" s="111">
        <f t="shared" si="0"/>
        <v>0</v>
      </c>
      <c r="P58" s="111">
        <f t="shared" si="0"/>
        <v>0</v>
      </c>
      <c r="Q58" s="111">
        <f t="shared" si="0"/>
        <v>0.3</v>
      </c>
      <c r="R58" s="111">
        <f t="shared" si="0"/>
        <v>0.3</v>
      </c>
      <c r="S58" s="111">
        <f t="shared" si="0"/>
        <v>0.97</v>
      </c>
      <c r="T58" s="70"/>
      <c r="U58" s="70"/>
    </row>
    <row r="59" spans="5:23" x14ac:dyDescent="0.3">
      <c r="F59" s="28" t="s">
        <v>832</v>
      </c>
      <c r="G59" s="28"/>
      <c r="H59" s="72" t="s">
        <v>166</v>
      </c>
      <c r="J59" s="70"/>
      <c r="K59" s="70"/>
      <c r="L59" s="111">
        <f t="shared" si="0"/>
        <v>0</v>
      </c>
      <c r="M59" s="111">
        <f t="shared" si="0"/>
        <v>0</v>
      </c>
      <c r="N59" s="111">
        <f t="shared" si="0"/>
        <v>0</v>
      </c>
      <c r="O59" s="111">
        <f t="shared" si="0"/>
        <v>0</v>
      </c>
      <c r="P59" s="111">
        <f t="shared" si="0"/>
        <v>0</v>
      </c>
      <c r="Q59" s="111">
        <f t="shared" si="0"/>
        <v>0.3</v>
      </c>
      <c r="R59" s="111">
        <f t="shared" si="0"/>
        <v>0.3</v>
      </c>
      <c r="S59" s="111">
        <f t="shared" si="0"/>
        <v>0.97</v>
      </c>
      <c r="T59" s="70"/>
      <c r="U59" s="70"/>
    </row>
    <row r="60" spans="5:23" x14ac:dyDescent="0.3">
      <c r="F60" s="28" t="s">
        <v>833</v>
      </c>
      <c r="G60" s="28"/>
      <c r="H60" s="72" t="s">
        <v>166</v>
      </c>
      <c r="J60" s="70"/>
      <c r="K60" s="70"/>
      <c r="L60" s="111">
        <f t="shared" si="0"/>
        <v>0</v>
      </c>
      <c r="M60" s="111">
        <f t="shared" si="0"/>
        <v>0</v>
      </c>
      <c r="N60" s="111">
        <f t="shared" si="0"/>
        <v>0</v>
      </c>
      <c r="O60" s="111">
        <f t="shared" si="0"/>
        <v>0</v>
      </c>
      <c r="P60" s="111">
        <f t="shared" si="0"/>
        <v>0</v>
      </c>
      <c r="Q60" s="111">
        <f t="shared" si="0"/>
        <v>0.3</v>
      </c>
      <c r="R60" s="111">
        <f t="shared" si="0"/>
        <v>0.97</v>
      </c>
      <c r="S60" s="111">
        <f t="shared" si="0"/>
        <v>0</v>
      </c>
      <c r="T60" s="70"/>
      <c r="U60" s="70"/>
    </row>
    <row r="61" spans="5:23" x14ac:dyDescent="0.3">
      <c r="F61" s="28" t="s">
        <v>834</v>
      </c>
      <c r="G61" s="28"/>
      <c r="H61" s="72" t="s">
        <v>166</v>
      </c>
      <c r="J61" s="70"/>
      <c r="K61" s="70"/>
      <c r="L61" s="111">
        <f t="shared" ref="L61:S66" si="1">$M31 * L$43 + $L31 * L$44 + $K31 * L$45 + $J31 * L$46</f>
        <v>0</v>
      </c>
      <c r="M61" s="111">
        <f t="shared" si="1"/>
        <v>0</v>
      </c>
      <c r="N61" s="111">
        <f t="shared" si="1"/>
        <v>0</v>
      </c>
      <c r="O61" s="111">
        <f t="shared" si="1"/>
        <v>0</v>
      </c>
      <c r="P61" s="111">
        <f t="shared" si="1"/>
        <v>0</v>
      </c>
      <c r="Q61" s="111">
        <f t="shared" si="1"/>
        <v>0.3</v>
      </c>
      <c r="R61" s="111">
        <f t="shared" si="1"/>
        <v>0.3</v>
      </c>
      <c r="S61" s="111">
        <f t="shared" si="1"/>
        <v>0.97</v>
      </c>
      <c r="T61" s="70"/>
      <c r="U61" s="70"/>
    </row>
    <row r="62" spans="5:23" x14ac:dyDescent="0.3">
      <c r="F62" s="28" t="s">
        <v>843</v>
      </c>
      <c r="G62" s="28"/>
      <c r="H62" s="72" t="s">
        <v>166</v>
      </c>
      <c r="J62" s="70"/>
      <c r="K62" s="70"/>
      <c r="L62" s="111">
        <f t="shared" si="1"/>
        <v>0</v>
      </c>
      <c r="M62" s="111">
        <f t="shared" si="1"/>
        <v>0</v>
      </c>
      <c r="N62" s="111">
        <f t="shared" si="1"/>
        <v>0</v>
      </c>
      <c r="O62" s="111">
        <f t="shared" si="1"/>
        <v>0</v>
      </c>
      <c r="P62" s="111">
        <f t="shared" si="1"/>
        <v>0</v>
      </c>
      <c r="Q62" s="111">
        <f t="shared" si="1"/>
        <v>0.3</v>
      </c>
      <c r="R62" s="111">
        <f t="shared" si="1"/>
        <v>0.3</v>
      </c>
      <c r="S62" s="111">
        <f t="shared" si="1"/>
        <v>0.97</v>
      </c>
      <c r="T62" s="70"/>
      <c r="U62" s="70"/>
    </row>
    <row r="63" spans="5:23" x14ac:dyDescent="0.3">
      <c r="F63" s="28" t="s">
        <v>835</v>
      </c>
      <c r="G63" s="28"/>
      <c r="H63" s="72" t="s">
        <v>166</v>
      </c>
      <c r="J63" s="70"/>
      <c r="K63" s="70"/>
      <c r="L63" s="111">
        <f t="shared" si="1"/>
        <v>0</v>
      </c>
      <c r="M63" s="111">
        <f t="shared" si="1"/>
        <v>0</v>
      </c>
      <c r="N63" s="111">
        <f t="shared" si="1"/>
        <v>0</v>
      </c>
      <c r="O63" s="111">
        <f t="shared" si="1"/>
        <v>0</v>
      </c>
      <c r="P63" s="111">
        <f t="shared" si="1"/>
        <v>0</v>
      </c>
      <c r="Q63" s="111">
        <f t="shared" si="1"/>
        <v>0.3</v>
      </c>
      <c r="R63" s="111">
        <f t="shared" si="1"/>
        <v>0.97</v>
      </c>
      <c r="S63" s="111">
        <f t="shared" si="1"/>
        <v>0</v>
      </c>
      <c r="T63" s="70"/>
      <c r="U63" s="70"/>
    </row>
    <row r="64" spans="5:23" x14ac:dyDescent="0.3">
      <c r="F64" s="28" t="s">
        <v>842</v>
      </c>
      <c r="G64" s="28"/>
      <c r="H64" s="72" t="s">
        <v>166</v>
      </c>
      <c r="J64" s="70"/>
      <c r="K64" s="70"/>
      <c r="L64" s="111">
        <f t="shared" si="1"/>
        <v>0</v>
      </c>
      <c r="M64" s="111">
        <f t="shared" si="1"/>
        <v>0</v>
      </c>
      <c r="N64" s="111">
        <f t="shared" si="1"/>
        <v>0</v>
      </c>
      <c r="O64" s="111">
        <f t="shared" si="1"/>
        <v>0</v>
      </c>
      <c r="P64" s="111">
        <f t="shared" si="1"/>
        <v>0</v>
      </c>
      <c r="Q64" s="111">
        <f t="shared" si="1"/>
        <v>0.3</v>
      </c>
      <c r="R64" s="111">
        <f t="shared" si="1"/>
        <v>0.97</v>
      </c>
      <c r="S64" s="111">
        <f t="shared" si="1"/>
        <v>0</v>
      </c>
      <c r="T64" s="70"/>
      <c r="U64" s="70"/>
    </row>
    <row r="65" spans="2:23" x14ac:dyDescent="0.3">
      <c r="F65" s="28" t="s">
        <v>836</v>
      </c>
      <c r="G65" s="28"/>
      <c r="H65" s="72" t="s">
        <v>166</v>
      </c>
      <c r="J65" s="70"/>
      <c r="K65" s="70"/>
      <c r="L65" s="111">
        <f t="shared" si="1"/>
        <v>0</v>
      </c>
      <c r="M65" s="111">
        <f t="shared" si="1"/>
        <v>0</v>
      </c>
      <c r="N65" s="111">
        <f t="shared" si="1"/>
        <v>0</v>
      </c>
      <c r="O65" s="111">
        <f t="shared" si="1"/>
        <v>0.56999999999999995</v>
      </c>
      <c r="P65" s="111">
        <f t="shared" si="1"/>
        <v>0</v>
      </c>
      <c r="Q65" s="111">
        <f t="shared" si="1"/>
        <v>0.91</v>
      </c>
      <c r="R65" s="111">
        <f t="shared" si="1"/>
        <v>0</v>
      </c>
      <c r="S65" s="111">
        <f t="shared" si="1"/>
        <v>0</v>
      </c>
      <c r="T65" s="70"/>
      <c r="U65" s="70"/>
    </row>
    <row r="66" spans="2:23" x14ac:dyDescent="0.3">
      <c r="F66" s="67" t="s">
        <v>841</v>
      </c>
      <c r="G66" s="67"/>
      <c r="H66" s="80" t="s">
        <v>166</v>
      </c>
      <c r="I66" s="37"/>
      <c r="J66" s="71"/>
      <c r="K66" s="71"/>
      <c r="L66" s="143">
        <f t="shared" si="1"/>
        <v>0</v>
      </c>
      <c r="M66" s="143">
        <f t="shared" si="1"/>
        <v>0</v>
      </c>
      <c r="N66" s="143">
        <f t="shared" si="1"/>
        <v>0</v>
      </c>
      <c r="O66" s="143">
        <f t="shared" si="1"/>
        <v>0.56999999999999995</v>
      </c>
      <c r="P66" s="143">
        <f t="shared" si="1"/>
        <v>0</v>
      </c>
      <c r="Q66" s="143">
        <f t="shared" si="1"/>
        <v>0.91</v>
      </c>
      <c r="R66" s="143">
        <f t="shared" si="1"/>
        <v>0</v>
      </c>
      <c r="S66" s="143">
        <f t="shared" si="1"/>
        <v>0</v>
      </c>
      <c r="T66" s="71"/>
      <c r="U66" s="71"/>
    </row>
    <row r="68" spans="2:23" x14ac:dyDescent="0.3">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3">
      <c r="E70" t="s">
        <v>231</v>
      </c>
      <c r="G70" s="6" t="s">
        <v>54</v>
      </c>
      <c r="H70" s="103">
        <f t="array" ref="H70">SUM(IF(ISERROR(H21:U66), 1))</f>
        <v>0</v>
      </c>
    </row>
    <row r="72" spans="2:23" x14ac:dyDescent="0.3">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6640625" hidden="1"/>
  </cols>
  <sheetData>
    <row r="1" spans="1:43" s="1" customFormat="1" x14ac:dyDescent="0.3">
      <c r="A1" s="1" t="str">
        <f ca="1">MID(CELL("filename",A1),FIND("]",CELL("filename",A1))+1,255)</f>
        <v>Volume adjustments</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H693 &amp; IF(H693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417</v>
      </c>
    </row>
    <row r="10" spans="1:43" x14ac:dyDescent="0.3">
      <c r="C10" s="29" t="s">
        <v>418</v>
      </c>
    </row>
    <row r="11" spans="1:43" x14ac:dyDescent="0.3">
      <c r="C11" s="29" t="s">
        <v>419</v>
      </c>
    </row>
    <row r="13" spans="1:43" x14ac:dyDescent="0.3">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3">
      <c r="C14" s="29"/>
    </row>
    <row r="15" spans="1:43" x14ac:dyDescent="0.3">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3">
      <c r="C16" s="29"/>
    </row>
    <row r="17" spans="4:43" x14ac:dyDescent="0.3">
      <c r="D17" s="29" t="s">
        <v>421</v>
      </c>
    </row>
    <row r="18" spans="4:43" x14ac:dyDescent="0.3">
      <c r="D18" s="29" t="s">
        <v>422</v>
      </c>
    </row>
    <row r="19" spans="4:43" x14ac:dyDescent="0.3">
      <c r="D19" s="29"/>
    </row>
    <row r="20" spans="4:43" x14ac:dyDescent="0.3">
      <c r="E20" s="88" t="s">
        <v>423</v>
      </c>
      <c r="I20" t="s">
        <v>153</v>
      </c>
      <c r="J20" s="63"/>
      <c r="K20" s="63"/>
      <c r="L20" s="63"/>
      <c r="M20" s="63"/>
      <c r="N20" s="63"/>
      <c r="O20" s="63"/>
      <c r="P20" s="63"/>
      <c r="Q20" s="63"/>
      <c r="R20" s="63"/>
      <c r="S20" s="63"/>
      <c r="T20" s="63"/>
      <c r="U20" s="63"/>
      <c r="V20" s="63"/>
      <c r="W20" s="63"/>
      <c r="X20" s="63"/>
      <c r="Y20" s="63"/>
    </row>
    <row r="21" spans="4:43" x14ac:dyDescent="0.3">
      <c r="E21" s="29" t="s">
        <v>424</v>
      </c>
      <c r="AA21" t="s">
        <v>425</v>
      </c>
    </row>
    <row r="22" spans="4:43" x14ac:dyDescent="0.3">
      <c r="F22" s="23" t="s">
        <v>174</v>
      </c>
      <c r="G22" s="23" t="s">
        <v>166</v>
      </c>
      <c r="H22" s="107">
        <f>'General inputs'!H30</f>
        <v>0.34865983505227499</v>
      </c>
      <c r="AQ22" s="3"/>
    </row>
    <row r="23" spans="4:43" x14ac:dyDescent="0.3">
      <c r="F23" t="s">
        <v>176</v>
      </c>
      <c r="G23" t="s">
        <v>166</v>
      </c>
      <c r="H23" s="25">
        <f>'General inputs'!H31</f>
        <v>0.54319459284507854</v>
      </c>
      <c r="AQ23" s="3"/>
    </row>
    <row r="24" spans="4:43" x14ac:dyDescent="0.3">
      <c r="F24" t="s">
        <v>177</v>
      </c>
      <c r="G24" t="s">
        <v>166</v>
      </c>
      <c r="H24" s="25">
        <f>'General inputs'!H32</f>
        <v>0.27624476019334121</v>
      </c>
      <c r="AQ24" s="3"/>
    </row>
    <row r="25" spans="4:43" x14ac:dyDescent="0.3">
      <c r="F25" s="37" t="s">
        <v>178</v>
      </c>
      <c r="G25" s="37" t="s">
        <v>166</v>
      </c>
      <c r="H25" s="141">
        <f>'General inputs'!H33</f>
        <v>0.14407962362625185</v>
      </c>
      <c r="AQ25" s="3"/>
    </row>
    <row r="27" spans="4:43" x14ac:dyDescent="0.3">
      <c r="E27" s="32" t="s">
        <v>426</v>
      </c>
      <c r="I27" t="s">
        <v>153</v>
      </c>
      <c r="AA27" t="s">
        <v>427</v>
      </c>
      <c r="AQ27" s="3"/>
    </row>
    <row r="28" spans="4:43" x14ac:dyDescent="0.3">
      <c r="E28" s="29" t="s">
        <v>428</v>
      </c>
    </row>
    <row r="29" spans="4:43" x14ac:dyDescent="0.3">
      <c r="E29" s="29" t="s">
        <v>429</v>
      </c>
    </row>
    <row r="30" spans="4:43" x14ac:dyDescent="0.3">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3">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3">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3">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3">
      <c r="F34" s="28" t="s">
        <v>430</v>
      </c>
      <c r="G34" s="28" t="s">
        <v>166</v>
      </c>
      <c r="J34" s="145">
        <f t="shared" ref="J34:Y34" si="0">J30 * $H$22</f>
        <v>0.34865983505227499</v>
      </c>
      <c r="K34" s="145">
        <f t="shared" si="0"/>
        <v>0.34865983505227499</v>
      </c>
      <c r="L34" s="145">
        <f t="shared" si="0"/>
        <v>0.34865983505227499</v>
      </c>
      <c r="M34" s="145">
        <f t="shared" si="0"/>
        <v>0.34865983505227499</v>
      </c>
      <c r="N34" s="145">
        <f t="shared" si="0"/>
        <v>0.34865983505227499</v>
      </c>
      <c r="O34" s="145">
        <f t="shared" si="0"/>
        <v>0</v>
      </c>
      <c r="P34" s="145">
        <f t="shared" si="0"/>
        <v>0</v>
      </c>
      <c r="Q34" s="145">
        <f t="shared" si="0"/>
        <v>0.34865983505227499</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3">
      <c r="F35" s="28" t="s">
        <v>431</v>
      </c>
      <c r="G35" s="28" t="s">
        <v>166</v>
      </c>
      <c r="J35" s="145">
        <f t="shared" ref="J35:Y35" si="1">SUMPRODUCT(J31:J33,$H$23:$H$25)</f>
        <v>0.54319459284507854</v>
      </c>
      <c r="K35" s="145">
        <f t="shared" si="1"/>
        <v>0.54319459284507854</v>
      </c>
      <c r="L35" s="145">
        <f t="shared" si="1"/>
        <v>0.54319459284507854</v>
      </c>
      <c r="M35" s="145">
        <f t="shared" si="1"/>
        <v>0.54319459284507854</v>
      </c>
      <c r="N35" s="145">
        <f t="shared" si="1"/>
        <v>0.54319459284507854</v>
      </c>
      <c r="O35" s="145">
        <f t="shared" si="1"/>
        <v>0.27624476019334121</v>
      </c>
      <c r="P35" s="145">
        <f t="shared" si="1"/>
        <v>0.14407962362625185</v>
      </c>
      <c r="Q35" s="145">
        <f t="shared" si="1"/>
        <v>0.54319459284507854</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3">
      <c r="D36" s="32"/>
      <c r="AQ36" s="3"/>
    </row>
    <row r="37" spans="4:43" x14ac:dyDescent="0.3">
      <c r="E37" s="32" t="s">
        <v>432</v>
      </c>
      <c r="I37" t="s">
        <v>153</v>
      </c>
      <c r="AA37" t="s">
        <v>427</v>
      </c>
      <c r="AQ37" s="3"/>
    </row>
    <row r="38" spans="4:43" x14ac:dyDescent="0.3">
      <c r="E38" s="29" t="s">
        <v>433</v>
      </c>
    </row>
    <row r="39" spans="4:43" x14ac:dyDescent="0.3">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3">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3">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3">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3">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3">
      <c r="D44" s="32"/>
      <c r="AQ44" s="3"/>
    </row>
    <row r="45" spans="4:43" x14ac:dyDescent="0.3">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3">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3">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3">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3">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3">
      <c r="C50" s="32"/>
      <c r="AQ50" s="3"/>
    </row>
    <row r="51" spans="2:43" x14ac:dyDescent="0.3">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3">
      <c r="C52" s="32"/>
      <c r="AQ52" s="3"/>
    </row>
    <row r="53" spans="2:43" x14ac:dyDescent="0.3">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3">
      <c r="C54" s="29"/>
      <c r="AQ54" s="3"/>
    </row>
    <row r="55" spans="2:43" x14ac:dyDescent="0.3">
      <c r="C55" s="29"/>
      <c r="D55" s="29" t="s">
        <v>963</v>
      </c>
      <c r="AQ55" s="3"/>
    </row>
    <row r="56" spans="2:43" x14ac:dyDescent="0.3">
      <c r="C56" s="29"/>
      <c r="AQ56" s="3"/>
    </row>
    <row r="57" spans="2:43" x14ac:dyDescent="0.3">
      <c r="C57" s="29"/>
      <c r="E57" s="32" t="s">
        <v>908</v>
      </c>
      <c r="G57" s="13"/>
      <c r="I57" t="s">
        <v>153</v>
      </c>
      <c r="AQ57" s="3"/>
    </row>
    <row r="58" spans="2:43" x14ac:dyDescent="0.3">
      <c r="C58" s="29"/>
      <c r="E58" s="32"/>
      <c r="F58" s="78" t="s">
        <v>246</v>
      </c>
      <c r="G58" s="78" t="s">
        <v>206</v>
      </c>
      <c r="H58" s="23"/>
      <c r="I58" s="23"/>
      <c r="J58" s="83"/>
      <c r="K58" s="124">
        <f>'Inputs by customer type'!K23</f>
        <v>18.350451934590168</v>
      </c>
      <c r="L58" s="124">
        <f>'Inputs by customer type'!L23</f>
        <v>0.1664543847844776</v>
      </c>
      <c r="M58" s="124">
        <f>'Inputs by customer type'!M23</f>
        <v>30.968009054504083</v>
      </c>
      <c r="N58" s="124">
        <f>'Inputs by customer type'!N23</f>
        <v>6.286703172921615</v>
      </c>
      <c r="O58" s="124">
        <f>'Inputs by customer type'!O23</f>
        <v>19.278476192852601</v>
      </c>
      <c r="P58" s="124">
        <f>'Inputs by customer type'!P23</f>
        <v>48.779728202076853</v>
      </c>
      <c r="Q58" s="83"/>
      <c r="R58" s="124">
        <f>'Inputs by customer type'!R23</f>
        <v>162.86490240768723</v>
      </c>
      <c r="S58" s="124">
        <f>'Inputs by customer type'!S23</f>
        <v>0</v>
      </c>
      <c r="T58" s="124">
        <f>'Inputs by customer type'!T23</f>
        <v>2814.8705870277408</v>
      </c>
      <c r="U58" s="124">
        <f>'Inputs by customer type'!U23</f>
        <v>0</v>
      </c>
      <c r="V58" s="124">
        <f>'Inputs by customer type'!V23</f>
        <v>359.61906314590294</v>
      </c>
      <c r="W58" s="124">
        <f>'Inputs by customer type'!W23</f>
        <v>0</v>
      </c>
      <c r="X58" s="124">
        <f>'Inputs by customer type'!X23</f>
        <v>134754.49574344291</v>
      </c>
      <c r="Y58" s="124">
        <f>'Inputs by customer type'!Y23</f>
        <v>0</v>
      </c>
      <c r="AQ58" s="3"/>
    </row>
    <row r="59" spans="2:43" x14ac:dyDescent="0.3">
      <c r="E59" s="32"/>
      <c r="F59" s="72" t="s">
        <v>247</v>
      </c>
      <c r="G59" s="72" t="s">
        <v>206</v>
      </c>
      <c r="J59" s="322"/>
      <c r="K59" s="324">
        <f>'Inputs by customer type'!K24</f>
        <v>442.08512771373279</v>
      </c>
      <c r="L59" s="324">
        <f>'Inputs by customer type'!L24</f>
        <v>0.59787580461090495</v>
      </c>
      <c r="M59" s="324">
        <f>'Inputs by customer type'!M24</f>
        <v>924.22425525108804</v>
      </c>
      <c r="N59" s="324">
        <f>'Inputs by customer type'!N24</f>
        <v>22.675065430603073</v>
      </c>
      <c r="O59" s="324">
        <f>'Inputs by customer type'!O24</f>
        <v>70.918314424861464</v>
      </c>
      <c r="P59" s="324">
        <f>'Inputs by customer type'!P24</f>
        <v>165.60985233193685</v>
      </c>
      <c r="Q59" s="322"/>
      <c r="R59" s="324">
        <f>'Inputs by customer type'!R24</f>
        <v>602.4003628152069</v>
      </c>
      <c r="S59" s="324">
        <f>'Inputs by customer type'!S24</f>
        <v>0</v>
      </c>
      <c r="T59" s="324">
        <f>'Inputs by customer type'!T24</f>
        <v>10411.568347971635</v>
      </c>
      <c r="U59" s="324">
        <f>'Inputs by customer type'!U24</f>
        <v>0</v>
      </c>
      <c r="V59" s="324">
        <f>'Inputs by customer type'!V24</f>
        <v>1554.6705868586694</v>
      </c>
      <c r="W59" s="324">
        <f>'Inputs by customer type'!W24</f>
        <v>0</v>
      </c>
      <c r="X59" s="324">
        <f>'Inputs by customer type'!X24</f>
        <v>332893.45294245722</v>
      </c>
      <c r="Y59" s="324">
        <f>'Inputs by customer type'!Y24</f>
        <v>0</v>
      </c>
      <c r="AQ59" s="3"/>
    </row>
    <row r="60" spans="2:43" x14ac:dyDescent="0.3">
      <c r="E60" s="32"/>
      <c r="F60" s="72" t="s">
        <v>248</v>
      </c>
      <c r="G60" s="72" t="s">
        <v>206</v>
      </c>
      <c r="J60" s="322"/>
      <c r="K60" s="324">
        <f>'Inputs by customer type'!K25</f>
        <v>4114.2867134426042</v>
      </c>
      <c r="L60" s="324">
        <f>'Inputs by customer type'!L25</f>
        <v>0.76270252774869396</v>
      </c>
      <c r="M60" s="324">
        <f>'Inputs by customer type'!M25</f>
        <v>14603.793923010659</v>
      </c>
      <c r="N60" s="324">
        <f>'Inputs by customer type'!N25</f>
        <v>29.447702238505478</v>
      </c>
      <c r="O60" s="324">
        <f>'Inputs by customer type'!O25</f>
        <v>97.54346399950731</v>
      </c>
      <c r="P60" s="324">
        <f>'Inputs by customer type'!P25</f>
        <v>275.57084393681538</v>
      </c>
      <c r="Q60" s="322"/>
      <c r="R60" s="324">
        <f>'Inputs by customer type'!R25</f>
        <v>1012.2920957316472</v>
      </c>
      <c r="S60" s="324">
        <f>'Inputs by customer type'!S25</f>
        <v>0</v>
      </c>
      <c r="T60" s="324">
        <f>'Inputs by customer type'!T25</f>
        <v>17495.919646473743</v>
      </c>
      <c r="U60" s="324">
        <f>'Inputs by customer type'!U25</f>
        <v>0</v>
      </c>
      <c r="V60" s="324">
        <f>'Inputs by customer type'!V25</f>
        <v>2113.8817344775266</v>
      </c>
      <c r="W60" s="324">
        <f>'Inputs by customer type'!W25</f>
        <v>0</v>
      </c>
      <c r="X60" s="324">
        <f>'Inputs by customer type'!X25</f>
        <v>476929.11411067331</v>
      </c>
      <c r="Y60" s="324">
        <f>'Inputs by customer type'!Y25</f>
        <v>0</v>
      </c>
      <c r="AQ60" s="3"/>
    </row>
    <row r="61" spans="2:43" x14ac:dyDescent="0.3">
      <c r="E61" s="32"/>
      <c r="F61" s="72" t="s">
        <v>211</v>
      </c>
      <c r="G61" s="72" t="s">
        <v>211</v>
      </c>
      <c r="J61" s="322"/>
      <c r="K61" s="324">
        <f>'Inputs by customer type'!K26</f>
        <v>1739.8559938586122</v>
      </c>
      <c r="L61" s="324">
        <f>'Inputs by customer type'!L26</f>
        <v>1</v>
      </c>
      <c r="M61" s="324">
        <f>'Inputs by customer type'!M26</f>
        <v>2930.0356035322934</v>
      </c>
      <c r="N61" s="324">
        <f>'Inputs by customer type'!N26</f>
        <v>1</v>
      </c>
      <c r="O61" s="324">
        <f>'Inputs by customer type'!O26</f>
        <v>1</v>
      </c>
      <c r="P61" s="324">
        <f>'Inputs by customer type'!P26</f>
        <v>1</v>
      </c>
      <c r="Q61" s="322"/>
      <c r="R61" s="324">
        <f>'Inputs by customer type'!R26</f>
        <v>397.9095890410959</v>
      </c>
      <c r="S61" s="324">
        <f>'Inputs by customer type'!S26</f>
        <v>0</v>
      </c>
      <c r="T61" s="324">
        <f>'Inputs by customer type'!T26</f>
        <v>258.48493150684931</v>
      </c>
      <c r="U61" s="324">
        <f>'Inputs by customer type'!U26</f>
        <v>0</v>
      </c>
      <c r="V61" s="324">
        <f>'Inputs by customer type'!V26</f>
        <v>42</v>
      </c>
      <c r="W61" s="324">
        <f>'Inputs by customer type'!W26</f>
        <v>0</v>
      </c>
      <c r="X61" s="324">
        <f>'Inputs by customer type'!X26</f>
        <v>280</v>
      </c>
      <c r="Y61" s="324">
        <f>'Inputs by customer type'!Y26</f>
        <v>0</v>
      </c>
      <c r="AQ61" s="3"/>
    </row>
    <row r="62" spans="2:43" x14ac:dyDescent="0.3">
      <c r="E62" s="32"/>
      <c r="F62" s="72" t="s">
        <v>249</v>
      </c>
      <c r="G62" s="72" t="s">
        <v>250</v>
      </c>
      <c r="J62" s="322"/>
      <c r="K62" s="324">
        <f>'Inputs by customer type'!K27</f>
        <v>0</v>
      </c>
      <c r="L62" s="324">
        <f>'Inputs by customer type'!L27</f>
        <v>0</v>
      </c>
      <c r="M62" s="324">
        <f>'Inputs by customer type'!M27</f>
        <v>0</v>
      </c>
      <c r="N62" s="324">
        <f>'Inputs by customer type'!N27</f>
        <v>37.850155191376949</v>
      </c>
      <c r="O62" s="324">
        <f>'Inputs by customer type'!O27</f>
        <v>107.18588337781929</v>
      </c>
      <c r="P62" s="324">
        <f>'Inputs by customer type'!P27</f>
        <v>204.67557859586987</v>
      </c>
      <c r="Q62" s="322"/>
      <c r="R62" s="324">
        <f>'Inputs by customer type'!R27</f>
        <v>0</v>
      </c>
      <c r="S62" s="324">
        <f>'Inputs by customer type'!S27</f>
        <v>0</v>
      </c>
      <c r="T62" s="324">
        <f>'Inputs by customer type'!T27</f>
        <v>0</v>
      </c>
      <c r="U62" s="324">
        <f>'Inputs by customer type'!U27</f>
        <v>0</v>
      </c>
      <c r="V62" s="324">
        <f>'Inputs by customer type'!V27</f>
        <v>0</v>
      </c>
      <c r="W62" s="324">
        <f>'Inputs by customer type'!W27</f>
        <v>0</v>
      </c>
      <c r="X62" s="324">
        <f>'Inputs by customer type'!X27</f>
        <v>0</v>
      </c>
      <c r="Y62" s="324">
        <f>'Inputs by customer type'!Y27</f>
        <v>0</v>
      </c>
      <c r="AQ62" s="3"/>
    </row>
    <row r="63" spans="2:43" x14ac:dyDescent="0.3">
      <c r="E63" s="32"/>
      <c r="F63" s="72" t="s">
        <v>251</v>
      </c>
      <c r="G63" s="72" t="s">
        <v>250</v>
      </c>
      <c r="J63" s="322"/>
      <c r="K63" s="324">
        <f>'Inputs by customer type'!K28</f>
        <v>0</v>
      </c>
      <c r="L63" s="324">
        <f>'Inputs by customer type'!L28</f>
        <v>0</v>
      </c>
      <c r="M63" s="324">
        <f>'Inputs by customer type'!M28</f>
        <v>0</v>
      </c>
      <c r="N63" s="324">
        <f>'Inputs by customer type'!N28</f>
        <v>0.80898981879554421</v>
      </c>
      <c r="O63" s="324">
        <f>'Inputs by customer type'!O28</f>
        <v>0.99296401579984772</v>
      </c>
      <c r="P63" s="324">
        <f>'Inputs by customer type'!P28</f>
        <v>1.810298734092207</v>
      </c>
      <c r="Q63" s="322"/>
      <c r="R63" s="324">
        <f>'Inputs by customer type'!R28</f>
        <v>0</v>
      </c>
      <c r="S63" s="324">
        <f>'Inputs by customer type'!S28</f>
        <v>0</v>
      </c>
      <c r="T63" s="324">
        <f>'Inputs by customer type'!T28</f>
        <v>0</v>
      </c>
      <c r="U63" s="324">
        <f>'Inputs by customer type'!U28</f>
        <v>0</v>
      </c>
      <c r="V63" s="324">
        <f>'Inputs by customer type'!V28</f>
        <v>0</v>
      </c>
      <c r="W63" s="324">
        <f>'Inputs by customer type'!W28</f>
        <v>0</v>
      </c>
      <c r="X63" s="324">
        <f>'Inputs by customer type'!X28</f>
        <v>0</v>
      </c>
      <c r="Y63" s="324">
        <f>'Inputs by customer type'!Y28</f>
        <v>0</v>
      </c>
      <c r="AQ63" s="3"/>
    </row>
    <row r="64" spans="2:43" x14ac:dyDescent="0.3">
      <c r="E64" s="32"/>
      <c r="F64" s="80" t="s">
        <v>252</v>
      </c>
      <c r="G64" s="80" t="s">
        <v>253</v>
      </c>
      <c r="H64" s="37"/>
      <c r="I64" s="37"/>
      <c r="J64" s="81"/>
      <c r="K64" s="125">
        <f>'Inputs by customer type'!K29</f>
        <v>0</v>
      </c>
      <c r="L64" s="125">
        <f>'Inputs by customer type'!L29</f>
        <v>0</v>
      </c>
      <c r="M64" s="125">
        <f>'Inputs by customer type'!M29</f>
        <v>0</v>
      </c>
      <c r="N64" s="125">
        <f>'Inputs by customer type'!N29</f>
        <v>4.7489974887219137</v>
      </c>
      <c r="O64" s="125">
        <f>'Inputs by customer type'!O29</f>
        <v>14.167994601186939</v>
      </c>
      <c r="P64" s="125">
        <f>'Inputs by customer type'!P29</f>
        <v>37.447582959517128</v>
      </c>
      <c r="Q64" s="81"/>
      <c r="R64" s="125">
        <f>'Inputs by customer type'!R29</f>
        <v>0</v>
      </c>
      <c r="S64" s="125">
        <f>'Inputs by customer type'!S29</f>
        <v>0</v>
      </c>
      <c r="T64" s="125">
        <f>'Inputs by customer type'!T29</f>
        <v>2939.5815003992957</v>
      </c>
      <c r="U64" s="125">
        <f>'Inputs by customer type'!U29</f>
        <v>0</v>
      </c>
      <c r="V64" s="125">
        <f>'Inputs by customer type'!V29</f>
        <v>658.09713031219098</v>
      </c>
      <c r="W64" s="125">
        <f>'Inputs by customer type'!W29</f>
        <v>0</v>
      </c>
      <c r="X64" s="125">
        <f>'Inputs by customer type'!X29</f>
        <v>12290.739308282646</v>
      </c>
      <c r="Y64" s="125">
        <f>'Inputs by customer type'!Y29</f>
        <v>0</v>
      </c>
      <c r="AQ64" s="3"/>
    </row>
    <row r="65" spans="3:43" x14ac:dyDescent="0.3">
      <c r="C65" s="29"/>
      <c r="AQ65" s="3"/>
    </row>
    <row r="66" spans="3:43" x14ac:dyDescent="0.3">
      <c r="C66" s="29"/>
      <c r="E66" s="32" t="s">
        <v>948</v>
      </c>
      <c r="G66" s="13"/>
      <c r="I66" t="s">
        <v>153</v>
      </c>
      <c r="AQ66" s="3"/>
    </row>
    <row r="67" spans="3:43" x14ac:dyDescent="0.3">
      <c r="C67" s="29"/>
      <c r="E67" s="32"/>
      <c r="F67" s="78" t="s">
        <v>246</v>
      </c>
      <c r="G67" s="78" t="s">
        <v>206</v>
      </c>
      <c r="H67" s="23"/>
      <c r="I67" s="23"/>
      <c r="J67" s="124">
        <f>'Inputs by customer type'!J32</f>
        <v>880894.32826876955</v>
      </c>
      <c r="K67" s="83"/>
      <c r="L67" s="124">
        <f>'Inputs by customer type'!L32</f>
        <v>9645.2292974652064</v>
      </c>
      <c r="M67" s="83"/>
      <c r="N67" s="124">
        <f>'Inputs by customer type'!N32</f>
        <v>32807.614136778771</v>
      </c>
      <c r="O67" s="124">
        <f>'Inputs by customer type'!O32</f>
        <v>16390.594029326767</v>
      </c>
      <c r="P67" s="124">
        <f>'Inputs by customer type'!P32</f>
        <v>42767.227724782686</v>
      </c>
      <c r="Q67" s="124">
        <f>'Inputs by customer type'!Q32</f>
        <v>9039.9057209388866</v>
      </c>
      <c r="R67" s="83"/>
      <c r="S67" s="83"/>
      <c r="T67" s="83"/>
      <c r="U67" s="83"/>
      <c r="V67" s="83"/>
      <c r="W67" s="83"/>
      <c r="X67" s="83"/>
      <c r="Y67" s="83"/>
      <c r="AQ67" s="3"/>
    </row>
    <row r="68" spans="3:43" x14ac:dyDescent="0.3">
      <c r="E68" s="32"/>
      <c r="F68" s="72" t="s">
        <v>247</v>
      </c>
      <c r="G68" s="72" t="s">
        <v>206</v>
      </c>
      <c r="J68" s="324">
        <f>'Inputs by customer type'!J33</f>
        <v>2219285.745124469</v>
      </c>
      <c r="K68" s="322"/>
      <c r="L68" s="324">
        <f>'Inputs by customer type'!L33</f>
        <v>34644.021149369219</v>
      </c>
      <c r="M68" s="322"/>
      <c r="N68" s="324">
        <f>'Inputs by customer type'!N33</f>
        <v>118331.46511158058</v>
      </c>
      <c r="O68" s="324">
        <f>'Inputs by customer type'!O33</f>
        <v>60294.874416112005</v>
      </c>
      <c r="P68" s="324">
        <f>'Inputs by customer type'!P33</f>
        <v>145197.08348530781</v>
      </c>
      <c r="Q68" s="324">
        <f>'Inputs by customer type'!Q33</f>
        <v>30004.340243212198</v>
      </c>
      <c r="R68" s="322"/>
      <c r="S68" s="322"/>
      <c r="T68" s="322"/>
      <c r="U68" s="322"/>
      <c r="V68" s="322"/>
      <c r="W68" s="322"/>
      <c r="X68" s="322"/>
      <c r="Y68" s="322"/>
      <c r="AQ68" s="3"/>
    </row>
    <row r="69" spans="3:43" x14ac:dyDescent="0.3">
      <c r="E69" s="32"/>
      <c r="F69" s="72" t="s">
        <v>248</v>
      </c>
      <c r="G69" s="72" t="s">
        <v>206</v>
      </c>
      <c r="J69" s="324">
        <f>'Inputs by customer type'!J34</f>
        <v>4076714.4467384536</v>
      </c>
      <c r="K69" s="322"/>
      <c r="L69" s="324">
        <f>'Inputs by customer type'!L34</f>
        <v>44194.935299646633</v>
      </c>
      <c r="M69" s="322"/>
      <c r="N69" s="324">
        <f>'Inputs by customer type'!N34</f>
        <v>153674.95898596165</v>
      </c>
      <c r="O69" s="324">
        <f>'Inputs by customer type'!O34</f>
        <v>82931.622947612443</v>
      </c>
      <c r="P69" s="324">
        <f>'Inputs by customer type'!P34</f>
        <v>241604.48348817482</v>
      </c>
      <c r="Q69" s="324">
        <f>'Inputs by customer type'!Q34</f>
        <v>155047.29553545482</v>
      </c>
      <c r="R69" s="322"/>
      <c r="S69" s="322"/>
      <c r="T69" s="322"/>
      <c r="U69" s="322"/>
      <c r="V69" s="322"/>
      <c r="W69" s="322"/>
      <c r="X69" s="322"/>
      <c r="Y69" s="322"/>
      <c r="AQ69" s="3"/>
    </row>
    <row r="70" spans="3:43" x14ac:dyDescent="0.3">
      <c r="E70" s="32"/>
      <c r="F70" s="72" t="s">
        <v>211</v>
      </c>
      <c r="G70" s="72" t="s">
        <v>211</v>
      </c>
      <c r="J70" s="324">
        <f>'Inputs by customer type'!J35</f>
        <v>2209768.4645891488</v>
      </c>
      <c r="K70" s="322"/>
      <c r="L70" s="324">
        <f>'Inputs by customer type'!L35</f>
        <v>57945.180056107805</v>
      </c>
      <c r="M70" s="322"/>
      <c r="N70" s="324">
        <f>'Inputs by customer type'!N35</f>
        <v>5218.57215688014</v>
      </c>
      <c r="O70" s="324">
        <f>'Inputs by customer type'!O35</f>
        <v>850.20174132867919</v>
      </c>
      <c r="P70" s="324">
        <f>'Inputs by customer type'!P35</f>
        <v>876.74182085667758</v>
      </c>
      <c r="Q70" s="324">
        <f>'Inputs by customer type'!Q35</f>
        <v>609.61643835616439</v>
      </c>
      <c r="R70" s="322"/>
      <c r="S70" s="322"/>
      <c r="T70" s="322"/>
      <c r="U70" s="322"/>
      <c r="V70" s="322"/>
      <c r="W70" s="322"/>
      <c r="X70" s="322"/>
      <c r="Y70" s="322"/>
      <c r="AQ70" s="3"/>
    </row>
    <row r="71" spans="3:43" x14ac:dyDescent="0.3">
      <c r="E71" s="32"/>
      <c r="F71" s="72" t="s">
        <v>249</v>
      </c>
      <c r="G71" s="72" t="s">
        <v>250</v>
      </c>
      <c r="J71" s="324">
        <f>'Inputs by customer type'!J36</f>
        <v>0</v>
      </c>
      <c r="K71" s="322"/>
      <c r="L71" s="324">
        <f>'Inputs by customer type'!L36</f>
        <v>0</v>
      </c>
      <c r="M71" s="322"/>
      <c r="N71" s="324">
        <f>'Inputs by customer type'!N36</f>
        <v>197523.76601531202</v>
      </c>
      <c r="O71" s="324">
        <f>'Inputs by customer type'!O36</f>
        <v>91129.62469367469</v>
      </c>
      <c r="P71" s="324">
        <f>'Inputs by customer type'!P36</f>
        <v>179447.63946303696</v>
      </c>
      <c r="Q71" s="324">
        <f>'Inputs by customer type'!Q36</f>
        <v>0</v>
      </c>
      <c r="R71" s="322"/>
      <c r="S71" s="322"/>
      <c r="T71" s="322"/>
      <c r="U71" s="322"/>
      <c r="V71" s="322"/>
      <c r="W71" s="322"/>
      <c r="X71" s="322"/>
      <c r="Y71" s="322"/>
      <c r="AQ71" s="3"/>
    </row>
    <row r="72" spans="3:43" x14ac:dyDescent="0.3">
      <c r="E72" s="32"/>
      <c r="F72" s="72" t="s">
        <v>251</v>
      </c>
      <c r="G72" s="72" t="s">
        <v>250</v>
      </c>
      <c r="J72" s="324">
        <f>'Inputs by customer type'!J37</f>
        <v>0</v>
      </c>
      <c r="K72" s="322"/>
      <c r="L72" s="324">
        <f>'Inputs by customer type'!L37</f>
        <v>0</v>
      </c>
      <c r="M72" s="322"/>
      <c r="N72" s="324">
        <f>'Inputs by customer type'!N37</f>
        <v>4221.771743565937</v>
      </c>
      <c r="O72" s="324">
        <f>'Inputs by customer type'!O37</f>
        <v>844.21973530974867</v>
      </c>
      <c r="P72" s="324">
        <f>'Inputs by customer type'!P37</f>
        <v>1587.1646084225399</v>
      </c>
      <c r="Q72" s="324">
        <f>'Inputs by customer type'!Q37</f>
        <v>0</v>
      </c>
      <c r="R72" s="322"/>
      <c r="S72" s="322"/>
      <c r="T72" s="322"/>
      <c r="U72" s="322"/>
      <c r="V72" s="322"/>
      <c r="W72" s="322"/>
      <c r="X72" s="322"/>
      <c r="Y72" s="322"/>
      <c r="AQ72" s="3"/>
    </row>
    <row r="73" spans="3:43" x14ac:dyDescent="0.3">
      <c r="E73" s="32"/>
      <c r="F73" s="80" t="s">
        <v>252</v>
      </c>
      <c r="G73" s="80" t="s">
        <v>253</v>
      </c>
      <c r="H73" s="37"/>
      <c r="I73" s="37"/>
      <c r="J73" s="125">
        <f>'Inputs by customer type'!J38</f>
        <v>0</v>
      </c>
      <c r="K73" s="81"/>
      <c r="L73" s="125">
        <f>'Inputs by customer type'!L38</f>
        <v>0</v>
      </c>
      <c r="M73" s="81"/>
      <c r="N73" s="125">
        <f>'Inputs by customer type'!N38</f>
        <v>24782.986067737886</v>
      </c>
      <c r="O73" s="125">
        <f>'Inputs by customer type'!O38</f>
        <v>12045.653681064461</v>
      </c>
      <c r="P73" s="125">
        <f>'Inputs by customer type'!P38</f>
        <v>32831.862070608535</v>
      </c>
      <c r="Q73" s="125">
        <f>'Inputs by customer type'!Q38</f>
        <v>0</v>
      </c>
      <c r="R73" s="81"/>
      <c r="S73" s="81"/>
      <c r="T73" s="81"/>
      <c r="U73" s="81"/>
      <c r="V73" s="81"/>
      <c r="W73" s="81"/>
      <c r="X73" s="81"/>
      <c r="Y73" s="81"/>
      <c r="AQ73" s="3"/>
    </row>
    <row r="74" spans="3:43" x14ac:dyDescent="0.3">
      <c r="AQ74" s="3"/>
    </row>
    <row r="75" spans="3:43" x14ac:dyDescent="0.3">
      <c r="C75" s="29"/>
      <c r="E75" s="32" t="s">
        <v>949</v>
      </c>
      <c r="G75" s="13"/>
      <c r="I75" t="s">
        <v>153</v>
      </c>
      <c r="AQ75" s="3"/>
    </row>
    <row r="76" spans="3:43" x14ac:dyDescent="0.3">
      <c r="C76" s="29"/>
      <c r="E76" s="32"/>
      <c r="F76" s="78" t="s">
        <v>246</v>
      </c>
      <c r="G76" s="78" t="s">
        <v>206</v>
      </c>
      <c r="H76" s="23"/>
      <c r="I76" s="23"/>
      <c r="J76" s="83"/>
      <c r="K76" s="83"/>
      <c r="L76" s="124">
        <f>'Inputs by customer type'!L41</f>
        <v>42372.297513466743</v>
      </c>
      <c r="M76" s="83"/>
      <c r="N76" s="124">
        <f>'Inputs by customer type'!N41</f>
        <v>75195.705303651775</v>
      </c>
      <c r="O76" s="124">
        <f>'Inputs by customer type'!O41</f>
        <v>37567.568103020363</v>
      </c>
      <c r="P76" s="124">
        <f>'Inputs by customer type'!P41</f>
        <v>113082.36894663839</v>
      </c>
      <c r="Q76" s="83"/>
      <c r="R76" s="83"/>
      <c r="S76" s="83"/>
      <c r="T76" s="83"/>
      <c r="U76" s="83"/>
      <c r="V76" s="83"/>
      <c r="W76" s="83"/>
      <c r="X76" s="83"/>
      <c r="Y76" s="83"/>
      <c r="AQ76" s="3"/>
    </row>
    <row r="77" spans="3:43" x14ac:dyDescent="0.3">
      <c r="E77" s="32"/>
      <c r="F77" s="72" t="s">
        <v>247</v>
      </c>
      <c r="G77" s="72" t="s">
        <v>206</v>
      </c>
      <c r="J77" s="322"/>
      <c r="K77" s="322"/>
      <c r="L77" s="324">
        <f>'Inputs by customer type'!L42</f>
        <v>152194.07708530963</v>
      </c>
      <c r="M77" s="322"/>
      <c r="N77" s="324">
        <f>'Inputs by customer type'!N42</f>
        <v>271218.07582785172</v>
      </c>
      <c r="O77" s="324">
        <f>'Inputs by customer type'!O42</f>
        <v>138197.05355629424</v>
      </c>
      <c r="P77" s="324">
        <f>'Inputs by customer type'!P42</f>
        <v>383920.84402391239</v>
      </c>
      <c r="Q77" s="322"/>
      <c r="R77" s="322"/>
      <c r="S77" s="322"/>
      <c r="T77" s="322"/>
      <c r="U77" s="322"/>
      <c r="V77" s="322"/>
      <c r="W77" s="322"/>
      <c r="X77" s="322"/>
      <c r="Y77" s="322"/>
      <c r="AQ77" s="3"/>
    </row>
    <row r="78" spans="3:43" x14ac:dyDescent="0.3">
      <c r="E78" s="32"/>
      <c r="F78" s="72" t="s">
        <v>248</v>
      </c>
      <c r="G78" s="72" t="s">
        <v>206</v>
      </c>
      <c r="J78" s="322"/>
      <c r="K78" s="322"/>
      <c r="L78" s="324">
        <f>'Inputs by customer type'!L43</f>
        <v>194152.04028349806</v>
      </c>
      <c r="M78" s="322"/>
      <c r="N78" s="324">
        <f>'Inputs by customer type'!N43</f>
        <v>352226.068018299</v>
      </c>
      <c r="O78" s="324">
        <f>'Inputs by customer type'!O43</f>
        <v>190080.93223491334</v>
      </c>
      <c r="P78" s="324">
        <f>'Inputs by customer type'!P43</f>
        <v>638835.12667199934</v>
      </c>
      <c r="Q78" s="322"/>
      <c r="R78" s="322"/>
      <c r="S78" s="322"/>
      <c r="T78" s="322"/>
      <c r="U78" s="322"/>
      <c r="V78" s="322"/>
      <c r="W78" s="322"/>
      <c r="X78" s="322"/>
      <c r="Y78" s="322"/>
      <c r="AQ78" s="3"/>
    </row>
    <row r="79" spans="3:43" x14ac:dyDescent="0.3">
      <c r="E79" s="32"/>
      <c r="F79" s="72" t="s">
        <v>211</v>
      </c>
      <c r="G79" s="72" t="s">
        <v>211</v>
      </c>
      <c r="J79" s="322"/>
      <c r="K79" s="322"/>
      <c r="L79" s="324">
        <f>'Inputs by customer type'!L44</f>
        <v>51596.460362794191</v>
      </c>
      <c r="M79" s="322"/>
      <c r="N79" s="324">
        <f>'Inputs by customer type'!N44</f>
        <v>4796.7391092537537</v>
      </c>
      <c r="O79" s="324">
        <f>'Inputs by customer type'!O44</f>
        <v>781.47735066003543</v>
      </c>
      <c r="P79" s="324">
        <f>'Inputs by customer type'!P44</f>
        <v>709.21792602479513</v>
      </c>
      <c r="Q79" s="322"/>
      <c r="R79" s="322"/>
      <c r="S79" s="322"/>
      <c r="T79" s="322"/>
      <c r="U79" s="322"/>
      <c r="V79" s="322"/>
      <c r="W79" s="322"/>
      <c r="X79" s="322"/>
      <c r="Y79" s="322"/>
      <c r="AQ79" s="3"/>
    </row>
    <row r="80" spans="3:43" x14ac:dyDescent="0.3">
      <c r="E80" s="32"/>
      <c r="F80" s="72" t="s">
        <v>249</v>
      </c>
      <c r="G80" s="72" t="s">
        <v>250</v>
      </c>
      <c r="J80" s="322"/>
      <c r="K80" s="322"/>
      <c r="L80" s="324">
        <f>'Inputs by customer type'!L45</f>
        <v>0</v>
      </c>
      <c r="M80" s="322"/>
      <c r="N80" s="324">
        <f>'Inputs by customer type'!N45</f>
        <v>452728.40743100789</v>
      </c>
      <c r="O80" s="324">
        <f>'Inputs by customer type'!O45</f>
        <v>208870.91558468237</v>
      </c>
      <c r="P80" s="324">
        <f>'Inputs by customer type'!P45</f>
        <v>474483.9741062643</v>
      </c>
      <c r="Q80" s="322"/>
      <c r="R80" s="322"/>
      <c r="S80" s="322"/>
      <c r="T80" s="322"/>
      <c r="U80" s="322"/>
      <c r="V80" s="322"/>
      <c r="W80" s="322"/>
      <c r="X80" s="322"/>
      <c r="Y80" s="322"/>
      <c r="AQ80" s="3"/>
    </row>
    <row r="81" spans="3:43" x14ac:dyDescent="0.3">
      <c r="E81" s="32"/>
      <c r="F81" s="72" t="s">
        <v>251</v>
      </c>
      <c r="G81" s="72" t="s">
        <v>250</v>
      </c>
      <c r="J81" s="322"/>
      <c r="K81" s="322"/>
      <c r="L81" s="324">
        <f>'Inputs by customer type'!L46</f>
        <v>0</v>
      </c>
      <c r="M81" s="322"/>
      <c r="N81" s="324">
        <f>'Inputs by customer type'!N46</f>
        <v>9676.3849563989716</v>
      </c>
      <c r="O81" s="324">
        <f>'Inputs by customer type'!O46</f>
        <v>1934.9684546768979</v>
      </c>
      <c r="P81" s="324">
        <f>'Inputs by customer type'!P46</f>
        <v>4196.6791718107916</v>
      </c>
      <c r="Q81" s="322"/>
      <c r="R81" s="322"/>
      <c r="S81" s="322"/>
      <c r="T81" s="322"/>
      <c r="U81" s="322"/>
      <c r="V81" s="322"/>
      <c r="W81" s="322"/>
      <c r="X81" s="322"/>
      <c r="Y81" s="322"/>
      <c r="AQ81" s="3"/>
    </row>
    <row r="82" spans="3:43" x14ac:dyDescent="0.3">
      <c r="E82" s="32"/>
      <c r="F82" s="80" t="s">
        <v>252</v>
      </c>
      <c r="G82" s="80" t="s">
        <v>253</v>
      </c>
      <c r="H82" s="37"/>
      <c r="I82" s="37"/>
      <c r="J82" s="81"/>
      <c r="K82" s="81"/>
      <c r="L82" s="125">
        <f>'Inputs by customer type'!L47</f>
        <v>0</v>
      </c>
      <c r="M82" s="81"/>
      <c r="N82" s="125">
        <f>'Inputs by customer type'!N47</f>
        <v>56803.097876141437</v>
      </c>
      <c r="O82" s="125">
        <f>'Inputs by customer type'!O47</f>
        <v>27608.878250483653</v>
      </c>
      <c r="P82" s="125">
        <f>'Inputs by customer type'!P47</f>
        <v>86811.910366644253</v>
      </c>
      <c r="Q82" s="81"/>
      <c r="R82" s="81"/>
      <c r="S82" s="81"/>
      <c r="T82" s="81"/>
      <c r="U82" s="81"/>
      <c r="V82" s="81"/>
      <c r="W82" s="81"/>
      <c r="X82" s="81"/>
      <c r="Y82" s="81"/>
      <c r="AQ82" s="3"/>
    </row>
    <row r="83" spans="3:43" x14ac:dyDescent="0.3">
      <c r="AQ83" s="3"/>
    </row>
    <row r="84" spans="3:43" x14ac:dyDescent="0.3">
      <c r="C84" s="29"/>
      <c r="E84" s="32" t="s">
        <v>950</v>
      </c>
      <c r="G84" s="13"/>
      <c r="I84" t="s">
        <v>153</v>
      </c>
      <c r="AQ84" s="3"/>
    </row>
    <row r="85" spans="3:43" x14ac:dyDescent="0.3">
      <c r="C85" s="29"/>
      <c r="E85" s="32"/>
      <c r="F85" s="78" t="s">
        <v>246</v>
      </c>
      <c r="G85" s="78" t="s">
        <v>206</v>
      </c>
      <c r="H85" s="23"/>
      <c r="I85" s="23"/>
      <c r="J85" s="83"/>
      <c r="K85" s="83"/>
      <c r="L85" s="124">
        <f>'Inputs by customer type'!L50</f>
        <v>54098.883450339279</v>
      </c>
      <c r="M85" s="83"/>
      <c r="N85" s="124">
        <f>'Inputs by customer type'!N50</f>
        <v>43449.729574258825</v>
      </c>
      <c r="O85" s="124">
        <f>'Inputs by customer type'!O50</f>
        <v>21707.36570988072</v>
      </c>
      <c r="P85" s="124">
        <f>'Inputs by customer type'!P50</f>
        <v>97233.360360408435</v>
      </c>
      <c r="Q85" s="83"/>
      <c r="R85" s="83"/>
      <c r="S85" s="83"/>
      <c r="T85" s="83"/>
      <c r="U85" s="83"/>
      <c r="V85" s="83"/>
      <c r="W85" s="83"/>
      <c r="X85" s="83"/>
      <c r="Y85" s="83"/>
      <c r="AQ85" s="3"/>
    </row>
    <row r="86" spans="3:43" x14ac:dyDescent="0.3">
      <c r="E86" s="32"/>
      <c r="F86" s="72" t="s">
        <v>247</v>
      </c>
      <c r="G86" s="72" t="s">
        <v>206</v>
      </c>
      <c r="J86" s="322"/>
      <c r="K86" s="322"/>
      <c r="L86" s="324">
        <f>'Inputs by customer type'!L51</f>
        <v>194313.97684898585</v>
      </c>
      <c r="M86" s="322"/>
      <c r="N86" s="324">
        <f>'Inputs by customer type'!N51</f>
        <v>156715.75926821836</v>
      </c>
      <c r="O86" s="324">
        <f>'Inputs by customer type'!O51</f>
        <v>79853.29189656183</v>
      </c>
      <c r="P86" s="324">
        <f>'Inputs by customer type'!P51</f>
        <v>330112.59071221412</v>
      </c>
      <c r="Q86" s="322"/>
      <c r="R86" s="322"/>
      <c r="S86" s="322"/>
      <c r="T86" s="322"/>
      <c r="U86" s="322"/>
      <c r="V86" s="322"/>
      <c r="W86" s="322"/>
      <c r="X86" s="322"/>
      <c r="Y86" s="322"/>
      <c r="AQ86" s="3"/>
    </row>
    <row r="87" spans="3:43" x14ac:dyDescent="0.3">
      <c r="E87" s="32"/>
      <c r="F87" s="72" t="s">
        <v>248</v>
      </c>
      <c r="G87" s="72" t="s">
        <v>206</v>
      </c>
      <c r="J87" s="322"/>
      <c r="K87" s="322"/>
      <c r="L87" s="324">
        <f>'Inputs by customer type'!L52</f>
        <v>247883.85844794821</v>
      </c>
      <c r="M87" s="322"/>
      <c r="N87" s="324">
        <f>'Inputs by customer type'!N52</f>
        <v>203523.95582432768</v>
      </c>
      <c r="O87" s="324">
        <f>'Inputs by customer type'!O52</f>
        <v>109832.93619601062</v>
      </c>
      <c r="P87" s="324">
        <f>'Inputs by customer type'!P52</f>
        <v>549299.47666640405</v>
      </c>
      <c r="Q87" s="322"/>
      <c r="R87" s="322"/>
      <c r="S87" s="322"/>
      <c r="T87" s="322"/>
      <c r="U87" s="322"/>
      <c r="V87" s="322"/>
      <c r="W87" s="322"/>
      <c r="X87" s="322"/>
      <c r="Y87" s="322"/>
      <c r="AQ87" s="3"/>
    </row>
    <row r="88" spans="3:43" x14ac:dyDescent="0.3">
      <c r="E88" s="32"/>
      <c r="F88" s="72" t="s">
        <v>211</v>
      </c>
      <c r="G88" s="72" t="s">
        <v>211</v>
      </c>
      <c r="J88" s="322"/>
      <c r="K88" s="322"/>
      <c r="L88" s="324">
        <f>'Inputs by customer type'!L53</f>
        <v>26588.673057952248</v>
      </c>
      <c r="M88" s="322"/>
      <c r="N88" s="324">
        <f>'Inputs by customer type'!N53</f>
        <v>1699.3056176215775</v>
      </c>
      <c r="O88" s="324">
        <f>'Inputs by customer type'!O53</f>
        <v>276.84825498613009</v>
      </c>
      <c r="P88" s="324">
        <f>'Inputs by customer type'!P53</f>
        <v>290.90975749249031</v>
      </c>
      <c r="Q88" s="322"/>
      <c r="R88" s="322"/>
      <c r="S88" s="322"/>
      <c r="T88" s="322"/>
      <c r="U88" s="322"/>
      <c r="V88" s="322"/>
      <c r="W88" s="322"/>
      <c r="X88" s="322"/>
      <c r="Y88" s="322"/>
      <c r="AQ88" s="3"/>
    </row>
    <row r="89" spans="3:43" x14ac:dyDescent="0.3">
      <c r="E89" s="32"/>
      <c r="F89" s="72" t="s">
        <v>249</v>
      </c>
      <c r="G89" s="72" t="s">
        <v>250</v>
      </c>
      <c r="J89" s="322"/>
      <c r="K89" s="322"/>
      <c r="L89" s="324">
        <f>'Inputs by customer type'!L54</f>
        <v>0</v>
      </c>
      <c r="M89" s="322"/>
      <c r="N89" s="324">
        <f>'Inputs by customer type'!N54</f>
        <v>261596.41423706242</v>
      </c>
      <c r="O89" s="324">
        <f>'Inputs by customer type'!O54</f>
        <v>120690.20114160109</v>
      </c>
      <c r="P89" s="324">
        <f>'Inputs by customer type'!P54</f>
        <v>407982.88600837253</v>
      </c>
      <c r="Q89" s="322"/>
      <c r="R89" s="322"/>
      <c r="S89" s="322"/>
      <c r="T89" s="322"/>
      <c r="U89" s="322"/>
      <c r="V89" s="322"/>
      <c r="W89" s="322"/>
      <c r="X89" s="322"/>
      <c r="Y89" s="322"/>
      <c r="AQ89" s="3"/>
    </row>
    <row r="90" spans="3:43" x14ac:dyDescent="0.3">
      <c r="E90" s="32"/>
      <c r="F90" s="72" t="s">
        <v>251</v>
      </c>
      <c r="G90" s="72" t="s">
        <v>250</v>
      </c>
      <c r="J90" s="322"/>
      <c r="K90" s="322"/>
      <c r="L90" s="324">
        <f>'Inputs by customer type'!L55</f>
        <v>0</v>
      </c>
      <c r="M90" s="322"/>
      <c r="N90" s="324">
        <f>'Inputs by customer type'!N55</f>
        <v>5591.2276893231519</v>
      </c>
      <c r="O90" s="324">
        <f>'Inputs by customer type'!O55</f>
        <v>1118.0672586410301</v>
      </c>
      <c r="P90" s="324">
        <f>'Inputs by customer type'!P55</f>
        <v>3608.4954890028371</v>
      </c>
      <c r="Q90" s="322"/>
      <c r="R90" s="322"/>
      <c r="S90" s="322"/>
      <c r="T90" s="322"/>
      <c r="U90" s="322"/>
      <c r="V90" s="322"/>
      <c r="W90" s="322"/>
      <c r="X90" s="322"/>
      <c r="Y90" s="322"/>
      <c r="AQ90" s="3"/>
    </row>
    <row r="91" spans="3:43" x14ac:dyDescent="0.3">
      <c r="E91" s="32"/>
      <c r="F91" s="80" t="s">
        <v>252</v>
      </c>
      <c r="G91" s="80" t="s">
        <v>253</v>
      </c>
      <c r="H91" s="37"/>
      <c r="I91" s="37"/>
      <c r="J91" s="81"/>
      <c r="K91" s="81"/>
      <c r="L91" s="125">
        <f>'Inputs by customer type'!L56</f>
        <v>0</v>
      </c>
      <c r="M91" s="81"/>
      <c r="N91" s="125">
        <f>'Inputs by customer type'!N56</f>
        <v>32822.077161614739</v>
      </c>
      <c r="O91" s="125">
        <f>'Inputs by customer type'!O56</f>
        <v>15953.016053084271</v>
      </c>
      <c r="P91" s="125">
        <f>'Inputs by customer type'!P56</f>
        <v>74644.826093434298</v>
      </c>
      <c r="Q91" s="81"/>
      <c r="R91" s="81"/>
      <c r="S91" s="81"/>
      <c r="T91" s="81"/>
      <c r="U91" s="81"/>
      <c r="V91" s="81"/>
      <c r="W91" s="81"/>
      <c r="X91" s="81"/>
      <c r="Y91" s="81"/>
      <c r="AQ91" s="3"/>
    </row>
    <row r="92" spans="3:43" x14ac:dyDescent="0.3">
      <c r="AQ92" s="3"/>
    </row>
    <row r="93" spans="3:43" x14ac:dyDescent="0.3">
      <c r="C93" s="29"/>
      <c r="E93" s="32" t="s">
        <v>951</v>
      </c>
      <c r="G93" s="13"/>
      <c r="I93" t="s">
        <v>153</v>
      </c>
      <c r="AQ93" s="3"/>
    </row>
    <row r="94" spans="3:43" x14ac:dyDescent="0.3">
      <c r="C94" s="29"/>
      <c r="E94" s="32"/>
      <c r="F94" s="78" t="s">
        <v>246</v>
      </c>
      <c r="G94" s="78" t="s">
        <v>206</v>
      </c>
      <c r="H94" s="23"/>
      <c r="I94" s="23"/>
      <c r="J94" s="83"/>
      <c r="K94" s="83"/>
      <c r="L94" s="124">
        <f>'Inputs by customer type'!L59</f>
        <v>161539.81004671808</v>
      </c>
      <c r="M94" s="83"/>
      <c r="N94" s="124">
        <f>'Inputs by customer type'!N59</f>
        <v>95919.243489348184</v>
      </c>
      <c r="O94" s="124">
        <f>'Inputs by customer type'!O59</f>
        <v>47920.990934588437</v>
      </c>
      <c r="P94" s="124">
        <f>'Inputs by customer type'!P59</f>
        <v>184527.89899958792</v>
      </c>
      <c r="Q94" s="83"/>
      <c r="R94" s="83"/>
      <c r="S94" s="83"/>
      <c r="T94" s="83"/>
      <c r="U94" s="83"/>
      <c r="V94" s="83"/>
      <c r="W94" s="83"/>
      <c r="X94" s="83"/>
      <c r="Y94" s="83"/>
      <c r="AQ94" s="3"/>
    </row>
    <row r="95" spans="3:43" x14ac:dyDescent="0.3">
      <c r="E95" s="32"/>
      <c r="F95" s="72" t="s">
        <v>247</v>
      </c>
      <c r="G95" s="72" t="s">
        <v>206</v>
      </c>
      <c r="J95" s="322"/>
      <c r="K95" s="322"/>
      <c r="L95" s="324">
        <f>'Inputs by customer type'!L60</f>
        <v>580223.48905632901</v>
      </c>
      <c r="M95" s="322"/>
      <c r="N95" s="324">
        <f>'Inputs by customer type'!N60</f>
        <v>345964.34130102937</v>
      </c>
      <c r="O95" s="324">
        <f>'Inputs by customer type'!O60</f>
        <v>176283.42969918164</v>
      </c>
      <c r="P95" s="324">
        <f>'Inputs by customer type'!P60</f>
        <v>626482.3366347336</v>
      </c>
      <c r="Q95" s="322"/>
      <c r="R95" s="322"/>
      <c r="S95" s="322"/>
      <c r="T95" s="322"/>
      <c r="U95" s="322"/>
      <c r="V95" s="322"/>
      <c r="W95" s="322"/>
      <c r="X95" s="322"/>
      <c r="Y95" s="322"/>
      <c r="AQ95" s="3"/>
    </row>
    <row r="96" spans="3:43" x14ac:dyDescent="0.3">
      <c r="E96" s="32"/>
      <c r="F96" s="72" t="s">
        <v>248</v>
      </c>
      <c r="G96" s="72" t="s">
        <v>206</v>
      </c>
      <c r="J96" s="322"/>
      <c r="K96" s="322"/>
      <c r="L96" s="324">
        <f>'Inputs by customer type'!L61</f>
        <v>740183.69425474678</v>
      </c>
      <c r="M96" s="322"/>
      <c r="N96" s="324">
        <f>'Inputs by customer type'!N61</f>
        <v>449297.70716443035</v>
      </c>
      <c r="O96" s="324">
        <f>'Inputs by customer type'!O61</f>
        <v>242466.23059252711</v>
      </c>
      <c r="P96" s="324">
        <f>'Inputs by customer type'!P61</f>
        <v>1042451.6644813707</v>
      </c>
      <c r="Q96" s="322"/>
      <c r="R96" s="322"/>
      <c r="S96" s="322"/>
      <c r="T96" s="322"/>
      <c r="U96" s="322"/>
      <c r="V96" s="322"/>
      <c r="W96" s="322"/>
      <c r="X96" s="322"/>
      <c r="Y96" s="322"/>
      <c r="AQ96" s="3"/>
    </row>
    <row r="97" spans="3:43" x14ac:dyDescent="0.3">
      <c r="E97" s="32"/>
      <c r="F97" s="72" t="s">
        <v>211</v>
      </c>
      <c r="G97" s="72" t="s">
        <v>211</v>
      </c>
      <c r="J97" s="322"/>
      <c r="K97" s="322"/>
      <c r="L97" s="324">
        <f>'Inputs by customer type'!L62</f>
        <v>25494.536468374245</v>
      </c>
      <c r="M97" s="322"/>
      <c r="N97" s="324">
        <f>'Inputs by customer type'!N62</f>
        <v>1786.803738854125</v>
      </c>
      <c r="O97" s="324">
        <f>'Inputs by customer type'!O62</f>
        <v>291.10331418595791</v>
      </c>
      <c r="P97" s="324">
        <f>'Inputs by customer type'!P62</f>
        <v>236.74035437319895</v>
      </c>
      <c r="Q97" s="322"/>
      <c r="R97" s="322"/>
      <c r="S97" s="322"/>
      <c r="T97" s="322"/>
      <c r="U97" s="322"/>
      <c r="V97" s="322"/>
      <c r="W97" s="322"/>
      <c r="X97" s="322"/>
      <c r="Y97" s="322"/>
      <c r="AQ97" s="3"/>
    </row>
    <row r="98" spans="3:43" x14ac:dyDescent="0.3">
      <c r="E98" s="32"/>
      <c r="F98" s="72" t="s">
        <v>249</v>
      </c>
      <c r="G98" s="72" t="s">
        <v>250</v>
      </c>
      <c r="J98" s="322"/>
      <c r="K98" s="322"/>
      <c r="L98" s="324">
        <f>'Inputs by customer type'!L63</f>
        <v>0</v>
      </c>
      <c r="M98" s="322"/>
      <c r="N98" s="324">
        <f>'Inputs by customer type'!N63</f>
        <v>577497.95911297586</v>
      </c>
      <c r="O98" s="324">
        <f>'Inputs by customer type'!O63</f>
        <v>266434.63385185215</v>
      </c>
      <c r="P98" s="324">
        <f>'Inputs by customer type'!P63</f>
        <v>774263.32386191655</v>
      </c>
      <c r="Q98" s="322"/>
      <c r="R98" s="322"/>
      <c r="S98" s="322"/>
      <c r="T98" s="322"/>
      <c r="U98" s="322"/>
      <c r="V98" s="322"/>
      <c r="W98" s="322"/>
      <c r="X98" s="322"/>
      <c r="Y98" s="322"/>
      <c r="AQ98" s="3"/>
    </row>
    <row r="99" spans="3:43" x14ac:dyDescent="0.3">
      <c r="E99" s="32"/>
      <c r="F99" s="72" t="s">
        <v>251</v>
      </c>
      <c r="G99" s="72" t="s">
        <v>250</v>
      </c>
      <c r="J99" s="322"/>
      <c r="K99" s="322"/>
      <c r="L99" s="324">
        <f>'Inputs by customer type'!L64</f>
        <v>0</v>
      </c>
      <c r="M99" s="322"/>
      <c r="N99" s="324">
        <f>'Inputs by customer type'!N64</f>
        <v>12343.145409454977</v>
      </c>
      <c r="O99" s="324">
        <f>'Inputs by customer type'!O64</f>
        <v>2468.2355142341848</v>
      </c>
      <c r="P99" s="324">
        <f>'Inputs by customer type'!P64</f>
        <v>6848.1443885828394</v>
      </c>
      <c r="Q99" s="322"/>
      <c r="R99" s="322"/>
      <c r="S99" s="322"/>
      <c r="T99" s="322"/>
      <c r="U99" s="322"/>
      <c r="V99" s="322"/>
      <c r="W99" s="322"/>
      <c r="X99" s="322"/>
      <c r="Y99" s="322"/>
      <c r="AQ99" s="3"/>
    </row>
    <row r="100" spans="3:43" x14ac:dyDescent="0.3">
      <c r="E100" s="32"/>
      <c r="F100" s="80" t="s">
        <v>252</v>
      </c>
      <c r="G100" s="80" t="s">
        <v>253</v>
      </c>
      <c r="H100" s="37"/>
      <c r="I100" s="37"/>
      <c r="J100" s="81"/>
      <c r="K100" s="81"/>
      <c r="L100" s="125">
        <f>'Inputs by customer type'!L65</f>
        <v>0</v>
      </c>
      <c r="M100" s="81"/>
      <c r="N100" s="125">
        <f>'Inputs by customer type'!N65</f>
        <v>72457.730852167268</v>
      </c>
      <c r="O100" s="125">
        <f>'Inputs by customer type'!O65</f>
        <v>35217.738894554976</v>
      </c>
      <c r="P100" s="125">
        <f>'Inputs by customer type'!P65</f>
        <v>141659.74393105085</v>
      </c>
      <c r="Q100" s="81"/>
      <c r="R100" s="81"/>
      <c r="S100" s="81"/>
      <c r="T100" s="81"/>
      <c r="U100" s="81"/>
      <c r="V100" s="81"/>
      <c r="W100" s="81"/>
      <c r="X100" s="81"/>
      <c r="Y100" s="81"/>
      <c r="AQ100" s="3"/>
    </row>
    <row r="101" spans="3:43" x14ac:dyDescent="0.3">
      <c r="AQ101" s="3"/>
    </row>
    <row r="102" spans="3:43" x14ac:dyDescent="0.3">
      <c r="C102" s="29"/>
      <c r="D102" s="29" t="s">
        <v>964</v>
      </c>
      <c r="AQ102" s="3"/>
    </row>
    <row r="103" spans="3:43" x14ac:dyDescent="0.3">
      <c r="AQ103" s="3"/>
    </row>
    <row r="104" spans="3:43" x14ac:dyDescent="0.3">
      <c r="E104" s="32" t="s">
        <v>909</v>
      </c>
      <c r="G104" s="13"/>
      <c r="I104" t="s">
        <v>153</v>
      </c>
      <c r="AQ104" s="3"/>
    </row>
    <row r="105" spans="3:43" x14ac:dyDescent="0.3">
      <c r="E105" s="32"/>
      <c r="F105" s="78" t="s">
        <v>246</v>
      </c>
      <c r="G105" s="78" t="s">
        <v>206</v>
      </c>
      <c r="H105" s="23"/>
      <c r="I105" s="23"/>
      <c r="J105" s="83"/>
      <c r="K105" s="124">
        <f>'Inputs by customer type'!K70</f>
        <v>0</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0</v>
      </c>
      <c r="S105" s="83"/>
      <c r="T105" s="124">
        <f>'Inputs by customer type'!T70</f>
        <v>0</v>
      </c>
      <c r="U105" s="124">
        <f>'Inputs by customer type'!U70</f>
        <v>0</v>
      </c>
      <c r="V105" s="83"/>
      <c r="W105" s="83"/>
      <c r="X105" s="83"/>
      <c r="Y105" s="83"/>
      <c r="AQ105" s="3"/>
    </row>
    <row r="106" spans="3:43" x14ac:dyDescent="0.3">
      <c r="E106" s="32"/>
      <c r="F106" s="72" t="s">
        <v>247</v>
      </c>
      <c r="G106" s="72" t="s">
        <v>206</v>
      </c>
      <c r="J106" s="322"/>
      <c r="K106" s="324">
        <f>'Inputs by customer type'!K71</f>
        <v>0</v>
      </c>
      <c r="L106" s="324">
        <f>'Inputs by customer type'!L71</f>
        <v>0</v>
      </c>
      <c r="M106" s="324">
        <f>'Inputs by customer type'!M71</f>
        <v>0</v>
      </c>
      <c r="N106" s="324">
        <f>'Inputs by customer type'!N71</f>
        <v>0</v>
      </c>
      <c r="O106" s="324">
        <f>'Inputs by customer type'!O71</f>
        <v>0</v>
      </c>
      <c r="P106" s="324">
        <f>'Inputs by customer type'!P71</f>
        <v>0</v>
      </c>
      <c r="Q106" s="322"/>
      <c r="R106" s="324">
        <f>'Inputs by customer type'!R71</f>
        <v>0</v>
      </c>
      <c r="S106" s="322"/>
      <c r="T106" s="324">
        <f>'Inputs by customer type'!T71</f>
        <v>0</v>
      </c>
      <c r="U106" s="324">
        <f>'Inputs by customer type'!U71</f>
        <v>0</v>
      </c>
      <c r="V106" s="322"/>
      <c r="W106" s="322"/>
      <c r="X106" s="322"/>
      <c r="Y106" s="322"/>
      <c r="AQ106" s="3"/>
    </row>
    <row r="107" spans="3:43" x14ac:dyDescent="0.3">
      <c r="E107" s="32"/>
      <c r="F107" s="72" t="s">
        <v>248</v>
      </c>
      <c r="G107" s="72" t="s">
        <v>206</v>
      </c>
      <c r="J107" s="322"/>
      <c r="K107" s="324">
        <f>'Inputs by customer type'!K72</f>
        <v>0</v>
      </c>
      <c r="L107" s="324">
        <f>'Inputs by customer type'!L72</f>
        <v>0</v>
      </c>
      <c r="M107" s="324">
        <f>'Inputs by customer type'!M72</f>
        <v>0</v>
      </c>
      <c r="N107" s="324">
        <f>'Inputs by customer type'!N72</f>
        <v>0</v>
      </c>
      <c r="O107" s="324">
        <f>'Inputs by customer type'!O72</f>
        <v>0</v>
      </c>
      <c r="P107" s="324">
        <f>'Inputs by customer type'!P72</f>
        <v>0</v>
      </c>
      <c r="Q107" s="322"/>
      <c r="R107" s="324">
        <f>'Inputs by customer type'!R72</f>
        <v>0</v>
      </c>
      <c r="S107" s="322"/>
      <c r="T107" s="324">
        <f>'Inputs by customer type'!T72</f>
        <v>0</v>
      </c>
      <c r="U107" s="324">
        <f>'Inputs by customer type'!U72</f>
        <v>0</v>
      </c>
      <c r="V107" s="322"/>
      <c r="W107" s="322"/>
      <c r="X107" s="322"/>
      <c r="Y107" s="322"/>
      <c r="AQ107" s="3"/>
    </row>
    <row r="108" spans="3:43" x14ac:dyDescent="0.3">
      <c r="E108" s="32"/>
      <c r="F108" s="72" t="s">
        <v>211</v>
      </c>
      <c r="G108" s="72" t="s">
        <v>211</v>
      </c>
      <c r="J108" s="322"/>
      <c r="K108" s="324">
        <f>'Inputs by customer type'!K73</f>
        <v>0</v>
      </c>
      <c r="L108" s="324">
        <f>'Inputs by customer type'!L73</f>
        <v>0</v>
      </c>
      <c r="M108" s="324">
        <f>'Inputs by customer type'!M73</f>
        <v>0</v>
      </c>
      <c r="N108" s="324">
        <f>'Inputs by customer type'!N73</f>
        <v>0</v>
      </c>
      <c r="O108" s="324">
        <f>'Inputs by customer type'!O73</f>
        <v>0</v>
      </c>
      <c r="P108" s="324">
        <f>'Inputs by customer type'!P73</f>
        <v>0</v>
      </c>
      <c r="Q108" s="322"/>
      <c r="R108" s="324">
        <f>'Inputs by customer type'!R73</f>
        <v>0</v>
      </c>
      <c r="S108" s="322"/>
      <c r="T108" s="324">
        <f>'Inputs by customer type'!T73</f>
        <v>0</v>
      </c>
      <c r="U108" s="324">
        <f>'Inputs by customer type'!U73</f>
        <v>0</v>
      </c>
      <c r="V108" s="322"/>
      <c r="W108" s="322"/>
      <c r="X108" s="322"/>
      <c r="Y108" s="322"/>
      <c r="AQ108" s="3"/>
    </row>
    <row r="109" spans="3:43" x14ac:dyDescent="0.3">
      <c r="E109" s="32"/>
      <c r="F109" s="72" t="s">
        <v>249</v>
      </c>
      <c r="G109" s="72" t="s">
        <v>250</v>
      </c>
      <c r="J109" s="322"/>
      <c r="K109" s="324">
        <f>'Inputs by customer type'!K74</f>
        <v>0</v>
      </c>
      <c r="L109" s="324">
        <f>'Inputs by customer type'!L74</f>
        <v>0</v>
      </c>
      <c r="M109" s="324">
        <f>'Inputs by customer type'!M74</f>
        <v>0</v>
      </c>
      <c r="N109" s="324">
        <f>'Inputs by customer type'!N74</f>
        <v>0</v>
      </c>
      <c r="O109" s="324">
        <f>'Inputs by customer type'!O74</f>
        <v>0</v>
      </c>
      <c r="P109" s="324">
        <f>'Inputs by customer type'!P74</f>
        <v>0</v>
      </c>
      <c r="Q109" s="322"/>
      <c r="R109" s="324">
        <f>'Inputs by customer type'!R74</f>
        <v>0</v>
      </c>
      <c r="S109" s="322"/>
      <c r="T109" s="324">
        <f>'Inputs by customer type'!T74</f>
        <v>0</v>
      </c>
      <c r="U109" s="324">
        <f>'Inputs by customer type'!U74</f>
        <v>0</v>
      </c>
      <c r="V109" s="322"/>
      <c r="W109" s="322"/>
      <c r="X109" s="322"/>
      <c r="Y109" s="322"/>
      <c r="AQ109" s="3"/>
    </row>
    <row r="110" spans="3:43" x14ac:dyDescent="0.3">
      <c r="E110" s="32"/>
      <c r="F110" s="72" t="s">
        <v>251</v>
      </c>
      <c r="G110" s="72" t="s">
        <v>250</v>
      </c>
      <c r="J110" s="322"/>
      <c r="K110" s="324">
        <f>'Inputs by customer type'!K75</f>
        <v>0</v>
      </c>
      <c r="L110" s="324">
        <f>'Inputs by customer type'!L75</f>
        <v>0</v>
      </c>
      <c r="M110" s="324">
        <f>'Inputs by customer type'!M75</f>
        <v>0</v>
      </c>
      <c r="N110" s="324">
        <f>'Inputs by customer type'!N75</f>
        <v>0</v>
      </c>
      <c r="O110" s="324">
        <f>'Inputs by customer type'!O75</f>
        <v>0</v>
      </c>
      <c r="P110" s="324">
        <f>'Inputs by customer type'!P75</f>
        <v>0</v>
      </c>
      <c r="Q110" s="322"/>
      <c r="R110" s="324">
        <f>'Inputs by customer type'!R75</f>
        <v>0</v>
      </c>
      <c r="S110" s="322"/>
      <c r="T110" s="324">
        <f>'Inputs by customer type'!T75</f>
        <v>0</v>
      </c>
      <c r="U110" s="324">
        <f>'Inputs by customer type'!U75</f>
        <v>0</v>
      </c>
      <c r="V110" s="322"/>
      <c r="W110" s="322"/>
      <c r="X110" s="322"/>
      <c r="Y110" s="322"/>
      <c r="AQ110" s="3"/>
    </row>
    <row r="111" spans="3:43" x14ac:dyDescent="0.3">
      <c r="E111" s="32"/>
      <c r="F111" s="80" t="s">
        <v>252</v>
      </c>
      <c r="G111" s="80" t="s">
        <v>253</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3">
      <c r="C112" s="29"/>
      <c r="AQ112" s="3"/>
    </row>
    <row r="113" spans="5:43" x14ac:dyDescent="0.3">
      <c r="E113" s="32" t="s">
        <v>952</v>
      </c>
      <c r="G113" s="13"/>
      <c r="I113" t="s">
        <v>153</v>
      </c>
      <c r="AQ113" s="3"/>
    </row>
    <row r="114" spans="5:43" x14ac:dyDescent="0.3">
      <c r="E114" s="32"/>
      <c r="F114" s="78" t="s">
        <v>246</v>
      </c>
      <c r="G114" s="78" t="s">
        <v>206</v>
      </c>
      <c r="H114" s="23"/>
      <c r="I114" s="23"/>
      <c r="J114" s="124">
        <f>'Inputs by customer type'!J79</f>
        <v>17617.880855232706</v>
      </c>
      <c r="K114" s="83"/>
      <c r="L114" s="124">
        <f>'Inputs by customer type'!L79</f>
        <v>29.734926765165721</v>
      </c>
      <c r="M114" s="83"/>
      <c r="N114" s="124">
        <f>'Inputs by customer type'!N79</f>
        <v>67.654939959149416</v>
      </c>
      <c r="O114" s="124">
        <f>'Inputs by customer type'!O79</f>
        <v>0</v>
      </c>
      <c r="P114" s="124">
        <f>'Inputs by customer type'!P79</f>
        <v>0</v>
      </c>
      <c r="Q114" s="124">
        <f>'Inputs by customer type'!Q79</f>
        <v>11.706974816638677</v>
      </c>
      <c r="R114" s="83"/>
      <c r="S114" s="83"/>
      <c r="T114" s="83"/>
      <c r="U114" s="83"/>
      <c r="V114" s="83"/>
      <c r="W114" s="83"/>
      <c r="X114" s="83"/>
      <c r="Y114" s="83"/>
      <c r="AQ114" s="3"/>
    </row>
    <row r="115" spans="5:43" x14ac:dyDescent="0.3">
      <c r="E115" s="32"/>
      <c r="F115" s="72" t="s">
        <v>247</v>
      </c>
      <c r="G115" s="72" t="s">
        <v>206</v>
      </c>
      <c r="J115" s="324">
        <f>'Inputs by customer type'!J80</f>
        <v>44385.700516611476</v>
      </c>
      <c r="K115" s="322"/>
      <c r="L115" s="324">
        <f>'Inputs by customer type'!L80</f>
        <v>106.80279337662498</v>
      </c>
      <c r="M115" s="322"/>
      <c r="N115" s="324">
        <f>'Inputs by customer type'!N80</f>
        <v>232.43787515006068</v>
      </c>
      <c r="O115" s="324">
        <f>'Inputs by customer type'!O80</f>
        <v>0</v>
      </c>
      <c r="P115" s="324">
        <f>'Inputs by customer type'!P80</f>
        <v>0</v>
      </c>
      <c r="Q115" s="324">
        <f>'Inputs by customer type'!Q80</f>
        <v>38.856606082022459</v>
      </c>
      <c r="R115" s="322"/>
      <c r="S115" s="322"/>
      <c r="T115" s="322"/>
      <c r="U115" s="322"/>
      <c r="V115" s="322"/>
      <c r="W115" s="322"/>
      <c r="X115" s="322"/>
      <c r="Y115" s="322"/>
      <c r="AQ115" s="3"/>
    </row>
    <row r="116" spans="5:43" x14ac:dyDescent="0.3">
      <c r="E116" s="32"/>
      <c r="F116" s="72" t="s">
        <v>248</v>
      </c>
      <c r="G116" s="72" t="s">
        <v>206</v>
      </c>
      <c r="J116" s="324">
        <f>'Inputs by customer type'!J81</f>
        <v>81534.262508646862</v>
      </c>
      <c r="K116" s="322"/>
      <c r="L116" s="324">
        <f>'Inputs by customer type'!L81</f>
        <v>136.24695940319302</v>
      </c>
      <c r="M116" s="322"/>
      <c r="N116" s="324">
        <f>'Inputs by customer type'!N81</f>
        <v>344.15677431693729</v>
      </c>
      <c r="O116" s="324">
        <f>'Inputs by customer type'!O81</f>
        <v>0</v>
      </c>
      <c r="P116" s="324">
        <f>'Inputs by customer type'!P81</f>
        <v>0</v>
      </c>
      <c r="Q116" s="324">
        <f>'Inputs by customer type'!Q81</f>
        <v>200.79134011510283</v>
      </c>
      <c r="R116" s="322"/>
      <c r="S116" s="322"/>
      <c r="T116" s="322"/>
      <c r="U116" s="322"/>
      <c r="V116" s="322"/>
      <c r="W116" s="322"/>
      <c r="X116" s="322"/>
      <c r="Y116" s="322"/>
      <c r="AQ116" s="3"/>
    </row>
    <row r="117" spans="5:43" x14ac:dyDescent="0.3">
      <c r="E117" s="32"/>
      <c r="F117" s="72" t="s">
        <v>211</v>
      </c>
      <c r="G117" s="72" t="s">
        <v>211</v>
      </c>
      <c r="J117" s="324">
        <f>'Inputs by customer type'!J82</f>
        <v>52808.841615088189</v>
      </c>
      <c r="K117" s="322"/>
      <c r="L117" s="324">
        <f>'Inputs by customer type'!L82</f>
        <v>362.13214272409368</v>
      </c>
      <c r="M117" s="322"/>
      <c r="N117" s="324">
        <f>'Inputs by customer type'!N82</f>
        <v>16.620369738727064</v>
      </c>
      <c r="O117" s="324">
        <f>'Inputs by customer type'!O82</f>
        <v>0</v>
      </c>
      <c r="P117" s="324">
        <f>'Inputs by customer type'!P82</f>
        <v>0</v>
      </c>
      <c r="Q117" s="324">
        <f>'Inputs by customer type'!Q82</f>
        <v>74</v>
      </c>
      <c r="R117" s="322"/>
      <c r="S117" s="322"/>
      <c r="T117" s="322"/>
      <c r="U117" s="322"/>
      <c r="V117" s="322"/>
      <c r="W117" s="322"/>
      <c r="X117" s="322"/>
      <c r="Y117" s="322"/>
      <c r="AQ117" s="3"/>
    </row>
    <row r="118" spans="5:43" x14ac:dyDescent="0.3">
      <c r="E118" s="32"/>
      <c r="F118" s="72" t="s">
        <v>249</v>
      </c>
      <c r="G118" s="72" t="s">
        <v>250</v>
      </c>
      <c r="J118" s="324">
        <f>'Inputs by customer type'!J83</f>
        <v>0</v>
      </c>
      <c r="K118" s="322"/>
      <c r="L118" s="324">
        <f>'Inputs by customer type'!L83</f>
        <v>0</v>
      </c>
      <c r="M118" s="322"/>
      <c r="N118" s="324">
        <f>'Inputs by customer type'!N83</f>
        <v>726.76374638232608</v>
      </c>
      <c r="O118" s="324">
        <f>'Inputs by customer type'!O83</f>
        <v>0</v>
      </c>
      <c r="P118" s="324">
        <f>'Inputs by customer type'!P83</f>
        <v>0</v>
      </c>
      <c r="Q118" s="324">
        <f>'Inputs by customer type'!Q83</f>
        <v>0</v>
      </c>
      <c r="R118" s="322"/>
      <c r="S118" s="322"/>
      <c r="T118" s="322"/>
      <c r="U118" s="322"/>
      <c r="V118" s="322"/>
      <c r="W118" s="322"/>
      <c r="X118" s="322"/>
      <c r="Y118" s="322"/>
      <c r="AQ118" s="3"/>
    </row>
    <row r="119" spans="5:43" x14ac:dyDescent="0.3">
      <c r="E119" s="32"/>
      <c r="F119" s="72" t="s">
        <v>251</v>
      </c>
      <c r="G119" s="72" t="s">
        <v>250</v>
      </c>
      <c r="J119" s="324">
        <f>'Inputs by customer type'!J84</f>
        <v>0</v>
      </c>
      <c r="K119" s="322"/>
      <c r="L119" s="324">
        <f>'Inputs by customer type'!L84</f>
        <v>0</v>
      </c>
      <c r="M119" s="322"/>
      <c r="N119" s="324">
        <f>'Inputs by customer type'!N84</f>
        <v>7.4961176122136077</v>
      </c>
      <c r="O119" s="324">
        <f>'Inputs by customer type'!O84</f>
        <v>0</v>
      </c>
      <c r="P119" s="324">
        <f>'Inputs by customer type'!P84</f>
        <v>0</v>
      </c>
      <c r="Q119" s="324">
        <f>'Inputs by customer type'!Q84</f>
        <v>0</v>
      </c>
      <c r="R119" s="322"/>
      <c r="S119" s="322"/>
      <c r="T119" s="322"/>
      <c r="U119" s="322"/>
      <c r="V119" s="322"/>
      <c r="W119" s="322"/>
      <c r="X119" s="322"/>
      <c r="Y119" s="322"/>
      <c r="AQ119" s="3"/>
    </row>
    <row r="120" spans="5:43" x14ac:dyDescent="0.3">
      <c r="E120" s="32"/>
      <c r="F120" s="80" t="s">
        <v>252</v>
      </c>
      <c r="G120" s="80" t="s">
        <v>253</v>
      </c>
      <c r="H120" s="37"/>
      <c r="I120" s="37"/>
      <c r="J120" s="125">
        <f>'Inputs by customer type'!J85</f>
        <v>0</v>
      </c>
      <c r="K120" s="81"/>
      <c r="L120" s="125">
        <f>'Inputs by customer type'!L85</f>
        <v>0</v>
      </c>
      <c r="M120" s="81"/>
      <c r="N120" s="125">
        <f>'Inputs by customer type'!N85</f>
        <v>65.399025966558455</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3">
      <c r="AQ121" s="3"/>
    </row>
    <row r="122" spans="5:43" x14ac:dyDescent="0.3">
      <c r="E122" s="32" t="s">
        <v>953</v>
      </c>
      <c r="G122" s="13"/>
      <c r="I122" t="s">
        <v>153</v>
      </c>
      <c r="AQ122" s="3"/>
    </row>
    <row r="123" spans="5:43" x14ac:dyDescent="0.3">
      <c r="E123" s="32"/>
      <c r="F123" s="78" t="s">
        <v>246</v>
      </c>
      <c r="G123" s="78" t="s">
        <v>206</v>
      </c>
      <c r="H123" s="23"/>
      <c r="I123" s="23"/>
      <c r="J123" s="83"/>
      <c r="K123" s="83"/>
      <c r="L123" s="124">
        <f>'Inputs by customer type'!L88</f>
        <v>130.62801563109156</v>
      </c>
      <c r="M123" s="83"/>
      <c r="N123" s="124">
        <f>'Inputs by customer type'!N88</f>
        <v>155.06647043258474</v>
      </c>
      <c r="O123" s="124">
        <f>'Inputs by customer type'!O88</f>
        <v>0</v>
      </c>
      <c r="P123" s="124">
        <f>'Inputs by customer type'!P88</f>
        <v>0</v>
      </c>
      <c r="Q123" s="83"/>
      <c r="R123" s="83"/>
      <c r="S123" s="83"/>
      <c r="T123" s="83"/>
      <c r="U123" s="83"/>
      <c r="V123" s="83"/>
      <c r="W123" s="83"/>
      <c r="X123" s="83"/>
      <c r="Y123" s="83"/>
      <c r="AQ123" s="3"/>
    </row>
    <row r="124" spans="5:43" x14ac:dyDescent="0.3">
      <c r="E124" s="32"/>
      <c r="F124" s="72" t="s">
        <v>247</v>
      </c>
      <c r="G124" s="72" t="s">
        <v>206</v>
      </c>
      <c r="J124" s="322"/>
      <c r="K124" s="322"/>
      <c r="L124" s="324">
        <f>'Inputs by customer type'!L89</f>
        <v>469.19358748816654</v>
      </c>
      <c r="M124" s="322"/>
      <c r="N124" s="324">
        <f>'Inputs by customer type'!N89</f>
        <v>532.75224124259</v>
      </c>
      <c r="O124" s="324">
        <f>'Inputs by customer type'!O89</f>
        <v>0</v>
      </c>
      <c r="P124" s="324">
        <f>'Inputs by customer type'!P89</f>
        <v>0</v>
      </c>
      <c r="Q124" s="322"/>
      <c r="R124" s="322"/>
      <c r="S124" s="322"/>
      <c r="T124" s="322"/>
      <c r="U124" s="322"/>
      <c r="V124" s="322"/>
      <c r="W124" s="322"/>
      <c r="X124" s="322"/>
      <c r="Y124" s="322"/>
      <c r="AQ124" s="3"/>
    </row>
    <row r="125" spans="5:43" x14ac:dyDescent="0.3">
      <c r="E125" s="32"/>
      <c r="F125" s="72" t="s">
        <v>248</v>
      </c>
      <c r="G125" s="72" t="s">
        <v>206</v>
      </c>
      <c r="J125" s="322"/>
      <c r="K125" s="322"/>
      <c r="L125" s="324">
        <f>'Inputs by customer type'!L90</f>
        <v>598.5442669211094</v>
      </c>
      <c r="M125" s="322"/>
      <c r="N125" s="324">
        <f>'Inputs by customer type'!N90</f>
        <v>788.81418416769884</v>
      </c>
      <c r="O125" s="324">
        <f>'Inputs by customer type'!O90</f>
        <v>0</v>
      </c>
      <c r="P125" s="324">
        <f>'Inputs by customer type'!P90</f>
        <v>0</v>
      </c>
      <c r="Q125" s="322"/>
      <c r="R125" s="322"/>
      <c r="S125" s="322"/>
      <c r="T125" s="322"/>
      <c r="U125" s="322"/>
      <c r="V125" s="322"/>
      <c r="W125" s="322"/>
      <c r="X125" s="322"/>
      <c r="Y125" s="322"/>
      <c r="AQ125" s="3"/>
    </row>
    <row r="126" spans="5:43" x14ac:dyDescent="0.3">
      <c r="E126" s="32"/>
      <c r="F126" s="72" t="s">
        <v>211</v>
      </c>
      <c r="G126" s="72" t="s">
        <v>211</v>
      </c>
      <c r="J126" s="322"/>
      <c r="K126" s="322"/>
      <c r="L126" s="324">
        <f>'Inputs by customer type'!L91</f>
        <v>322.45540923447231</v>
      </c>
      <c r="M126" s="322"/>
      <c r="N126" s="324">
        <f>'Inputs by customer type'!N91</f>
        <v>15.276894740432498</v>
      </c>
      <c r="O126" s="324">
        <f>'Inputs by customer type'!O91</f>
        <v>0</v>
      </c>
      <c r="P126" s="324">
        <f>'Inputs by customer type'!P91</f>
        <v>0</v>
      </c>
      <c r="Q126" s="322"/>
      <c r="R126" s="322"/>
      <c r="S126" s="322"/>
      <c r="T126" s="322"/>
      <c r="U126" s="322"/>
      <c r="V126" s="322"/>
      <c r="W126" s="322"/>
      <c r="X126" s="322"/>
      <c r="Y126" s="322"/>
      <c r="AQ126" s="3"/>
    </row>
    <row r="127" spans="5:43" x14ac:dyDescent="0.3">
      <c r="E127" s="32"/>
      <c r="F127" s="72" t="s">
        <v>249</v>
      </c>
      <c r="G127" s="72" t="s">
        <v>250</v>
      </c>
      <c r="J127" s="322"/>
      <c r="K127" s="322"/>
      <c r="L127" s="324">
        <f>'Inputs by customer type'!L92</f>
        <v>0</v>
      </c>
      <c r="M127" s="322"/>
      <c r="N127" s="324">
        <f>'Inputs by customer type'!N92</f>
        <v>1665.7569877072781</v>
      </c>
      <c r="O127" s="324">
        <f>'Inputs by customer type'!O92</f>
        <v>0</v>
      </c>
      <c r="P127" s="324">
        <f>'Inputs by customer type'!P92</f>
        <v>0</v>
      </c>
      <c r="Q127" s="322"/>
      <c r="R127" s="322"/>
      <c r="S127" s="322"/>
      <c r="T127" s="322"/>
      <c r="U127" s="322"/>
      <c r="V127" s="322"/>
      <c r="W127" s="322"/>
      <c r="X127" s="322"/>
      <c r="Y127" s="322"/>
      <c r="AQ127" s="3"/>
    </row>
    <row r="128" spans="5:43" x14ac:dyDescent="0.3">
      <c r="E128" s="32"/>
      <c r="F128" s="72" t="s">
        <v>251</v>
      </c>
      <c r="G128" s="72" t="s">
        <v>250</v>
      </c>
      <c r="J128" s="322"/>
      <c r="K128" s="322"/>
      <c r="L128" s="324">
        <f>'Inputs by customer type'!L93</f>
        <v>0</v>
      </c>
      <c r="M128" s="322"/>
      <c r="N128" s="324">
        <f>'Inputs by customer type'!N93</f>
        <v>17.181250929723141</v>
      </c>
      <c r="O128" s="324">
        <f>'Inputs by customer type'!O93</f>
        <v>0</v>
      </c>
      <c r="P128" s="324">
        <f>'Inputs by customer type'!P93</f>
        <v>0</v>
      </c>
      <c r="Q128" s="322"/>
      <c r="R128" s="322"/>
      <c r="S128" s="322"/>
      <c r="T128" s="322"/>
      <c r="U128" s="322"/>
      <c r="V128" s="322"/>
      <c r="W128" s="322"/>
      <c r="X128" s="322"/>
      <c r="Y128" s="322"/>
      <c r="AQ128" s="3"/>
    </row>
    <row r="129" spans="5:43" x14ac:dyDescent="0.3">
      <c r="E129" s="32"/>
      <c r="F129" s="80" t="s">
        <v>252</v>
      </c>
      <c r="G129" s="80" t="s">
        <v>253</v>
      </c>
      <c r="H129" s="37"/>
      <c r="I129" s="37"/>
      <c r="J129" s="81"/>
      <c r="K129" s="81"/>
      <c r="L129" s="125">
        <f>'Inputs by customer type'!L94</f>
        <v>0</v>
      </c>
      <c r="M129" s="81"/>
      <c r="N129" s="125">
        <f>'Inputs by customer type'!N94</f>
        <v>149.89587061176186</v>
      </c>
      <c r="O129" s="125">
        <f>'Inputs by customer type'!O94</f>
        <v>0</v>
      </c>
      <c r="P129" s="125">
        <f>'Inputs by customer type'!P94</f>
        <v>0</v>
      </c>
      <c r="Q129" s="81"/>
      <c r="R129" s="81"/>
      <c r="S129" s="81"/>
      <c r="T129" s="81"/>
      <c r="U129" s="81"/>
      <c r="V129" s="81"/>
      <c r="W129" s="81"/>
      <c r="X129" s="81"/>
      <c r="Y129" s="81"/>
      <c r="AQ129" s="3"/>
    </row>
    <row r="130" spans="5:43" x14ac:dyDescent="0.3">
      <c r="AQ130" s="3"/>
    </row>
    <row r="131" spans="5:43" x14ac:dyDescent="0.3">
      <c r="E131" s="32" t="s">
        <v>954</v>
      </c>
      <c r="G131" s="13"/>
      <c r="I131" t="s">
        <v>153</v>
      </c>
      <c r="AQ131" s="3"/>
    </row>
    <row r="132" spans="5:43" x14ac:dyDescent="0.3">
      <c r="E132" s="32"/>
      <c r="F132" s="78" t="s">
        <v>246</v>
      </c>
      <c r="G132" s="78" t="s">
        <v>206</v>
      </c>
      <c r="H132" s="23"/>
      <c r="I132" s="23"/>
      <c r="J132" s="83"/>
      <c r="K132" s="83"/>
      <c r="L132" s="124">
        <f>'Inputs by customer type'!L97</f>
        <v>166.7794811156875</v>
      </c>
      <c r="M132" s="83"/>
      <c r="N132" s="124">
        <f>'Inputs by customer type'!N97</f>
        <v>89.600811364467745</v>
      </c>
      <c r="O132" s="124">
        <f>'Inputs by customer type'!O97</f>
        <v>0</v>
      </c>
      <c r="P132" s="124">
        <f>'Inputs by customer type'!P97</f>
        <v>0</v>
      </c>
      <c r="Q132" s="83"/>
      <c r="R132" s="83"/>
      <c r="S132" s="83"/>
      <c r="T132" s="83"/>
      <c r="U132" s="83"/>
      <c r="V132" s="83"/>
      <c r="W132" s="83"/>
      <c r="X132" s="83"/>
      <c r="Y132" s="83"/>
      <c r="AQ132" s="3"/>
    </row>
    <row r="133" spans="5:43" x14ac:dyDescent="0.3">
      <c r="E133" s="32"/>
      <c r="F133" s="72" t="s">
        <v>247</v>
      </c>
      <c r="G133" s="72" t="s">
        <v>206</v>
      </c>
      <c r="J133" s="322"/>
      <c r="K133" s="322"/>
      <c r="L133" s="324">
        <f>'Inputs by customer type'!L98</f>
        <v>599.04349527192198</v>
      </c>
      <c r="M133" s="322"/>
      <c r="N133" s="324">
        <f>'Inputs by customer type'!N98</f>
        <v>307.8359424729897</v>
      </c>
      <c r="O133" s="324">
        <f>'Inputs by customer type'!O98</f>
        <v>0</v>
      </c>
      <c r="P133" s="324">
        <f>'Inputs by customer type'!P98</f>
        <v>0</v>
      </c>
      <c r="Q133" s="322"/>
      <c r="R133" s="322"/>
      <c r="S133" s="322"/>
      <c r="T133" s="322"/>
      <c r="U133" s="322"/>
      <c r="V133" s="322"/>
      <c r="W133" s="322"/>
      <c r="X133" s="322"/>
      <c r="Y133" s="322"/>
      <c r="AQ133" s="3"/>
    </row>
    <row r="134" spans="5:43" x14ac:dyDescent="0.3">
      <c r="E134" s="32"/>
      <c r="F134" s="72" t="s">
        <v>248</v>
      </c>
      <c r="G134" s="72" t="s">
        <v>206</v>
      </c>
      <c r="J134" s="322"/>
      <c r="K134" s="322"/>
      <c r="L134" s="324">
        <f>'Inputs by customer type'!L99</f>
        <v>764.19213581096665</v>
      </c>
      <c r="M134" s="322"/>
      <c r="N134" s="324">
        <f>'Inputs by customer type'!N99</f>
        <v>455.79415537128625</v>
      </c>
      <c r="O134" s="324">
        <f>'Inputs by customer type'!O99</f>
        <v>0</v>
      </c>
      <c r="P134" s="324">
        <f>'Inputs by customer type'!P99</f>
        <v>0</v>
      </c>
      <c r="Q134" s="322"/>
      <c r="R134" s="322"/>
      <c r="S134" s="322"/>
      <c r="T134" s="322"/>
      <c r="U134" s="322"/>
      <c r="V134" s="322"/>
      <c r="W134" s="322"/>
      <c r="X134" s="322"/>
      <c r="Y134" s="322"/>
      <c r="AQ134" s="3"/>
    </row>
    <row r="135" spans="5:43" x14ac:dyDescent="0.3">
      <c r="E135" s="32"/>
      <c r="F135" s="72" t="s">
        <v>211</v>
      </c>
      <c r="G135" s="72" t="s">
        <v>211</v>
      </c>
      <c r="J135" s="322"/>
      <c r="K135" s="322"/>
      <c r="L135" s="324">
        <f>'Inputs by customer type'!L100</f>
        <v>166.16762839192711</v>
      </c>
      <c r="M135" s="322"/>
      <c r="N135" s="324">
        <f>'Inputs by customer type'!N100</f>
        <v>5.4120335629988405</v>
      </c>
      <c r="O135" s="324">
        <f>'Inputs by customer type'!O100</f>
        <v>0</v>
      </c>
      <c r="P135" s="324">
        <f>'Inputs by customer type'!P100</f>
        <v>0</v>
      </c>
      <c r="Q135" s="322"/>
      <c r="R135" s="322"/>
      <c r="S135" s="322"/>
      <c r="T135" s="322"/>
      <c r="U135" s="322"/>
      <c r="V135" s="322"/>
      <c r="W135" s="322"/>
      <c r="X135" s="322"/>
      <c r="Y135" s="322"/>
      <c r="AQ135" s="3"/>
    </row>
    <row r="136" spans="5:43" x14ac:dyDescent="0.3">
      <c r="E136" s="32"/>
      <c r="F136" s="72" t="s">
        <v>249</v>
      </c>
      <c r="G136" s="72" t="s">
        <v>250</v>
      </c>
      <c r="J136" s="322"/>
      <c r="K136" s="322"/>
      <c r="L136" s="324">
        <f>'Inputs by customer type'!L101</f>
        <v>0</v>
      </c>
      <c r="M136" s="322"/>
      <c r="N136" s="324">
        <f>'Inputs by customer type'!N101</f>
        <v>962.51096202961401</v>
      </c>
      <c r="O136" s="324">
        <f>'Inputs by customer type'!O101</f>
        <v>0</v>
      </c>
      <c r="P136" s="324">
        <f>'Inputs by customer type'!P101</f>
        <v>0</v>
      </c>
      <c r="Q136" s="322"/>
      <c r="R136" s="322"/>
      <c r="S136" s="322"/>
      <c r="T136" s="322"/>
      <c r="U136" s="322"/>
      <c r="V136" s="322"/>
      <c r="W136" s="322"/>
      <c r="X136" s="322"/>
      <c r="Y136" s="322"/>
      <c r="AQ136" s="3"/>
    </row>
    <row r="137" spans="5:43" x14ac:dyDescent="0.3">
      <c r="E137" s="32"/>
      <c r="F137" s="72" t="s">
        <v>251</v>
      </c>
      <c r="G137" s="72" t="s">
        <v>250</v>
      </c>
      <c r="J137" s="322"/>
      <c r="K137" s="322"/>
      <c r="L137" s="324">
        <f>'Inputs by customer type'!L102</f>
        <v>0</v>
      </c>
      <c r="M137" s="322"/>
      <c r="N137" s="324">
        <f>'Inputs by customer type'!N102</f>
        <v>9.9277040308271403</v>
      </c>
      <c r="O137" s="324">
        <f>'Inputs by customer type'!O102</f>
        <v>0</v>
      </c>
      <c r="P137" s="324">
        <f>'Inputs by customer type'!P102</f>
        <v>0</v>
      </c>
      <c r="Q137" s="322"/>
      <c r="R137" s="322"/>
      <c r="S137" s="322"/>
      <c r="T137" s="322"/>
      <c r="U137" s="322"/>
      <c r="V137" s="322"/>
      <c r="W137" s="322"/>
      <c r="X137" s="322"/>
      <c r="Y137" s="322"/>
      <c r="AQ137" s="3"/>
    </row>
    <row r="138" spans="5:43" x14ac:dyDescent="0.3">
      <c r="E138" s="32"/>
      <c r="F138" s="80" t="s">
        <v>252</v>
      </c>
      <c r="G138" s="80" t="s">
        <v>253</v>
      </c>
      <c r="H138" s="37"/>
      <c r="I138" s="37"/>
      <c r="J138" s="81"/>
      <c r="K138" s="81"/>
      <c r="L138" s="125">
        <f>'Inputs by customer type'!L103</f>
        <v>0</v>
      </c>
      <c r="M138" s="81"/>
      <c r="N138" s="125">
        <f>'Inputs by customer type'!N103</f>
        <v>86.613125258668887</v>
      </c>
      <c r="O138" s="125">
        <f>'Inputs by customer type'!O103</f>
        <v>0</v>
      </c>
      <c r="P138" s="125">
        <f>'Inputs by customer type'!P103</f>
        <v>0</v>
      </c>
      <c r="Q138" s="81"/>
      <c r="R138" s="81"/>
      <c r="S138" s="81"/>
      <c r="T138" s="81"/>
      <c r="U138" s="81"/>
      <c r="V138" s="81"/>
      <c r="W138" s="81"/>
      <c r="X138" s="81"/>
      <c r="Y138" s="81"/>
      <c r="AQ138" s="3"/>
    </row>
    <row r="139" spans="5:43" x14ac:dyDescent="0.3">
      <c r="AQ139" s="3"/>
    </row>
    <row r="140" spans="5:43" x14ac:dyDescent="0.3">
      <c r="E140" s="32" t="s">
        <v>955</v>
      </c>
      <c r="G140" s="13"/>
      <c r="I140" t="s">
        <v>153</v>
      </c>
      <c r="AQ140" s="3"/>
    </row>
    <row r="141" spans="5:43" x14ac:dyDescent="0.3">
      <c r="E141" s="32"/>
      <c r="F141" s="78" t="s">
        <v>246</v>
      </c>
      <c r="G141" s="78" t="s">
        <v>206</v>
      </c>
      <c r="H141" s="23"/>
      <c r="I141" s="23"/>
      <c r="J141" s="83"/>
      <c r="K141" s="83"/>
      <c r="L141" s="124">
        <f>'Inputs by customer type'!L106</f>
        <v>498.00520788658537</v>
      </c>
      <c r="M141" s="83"/>
      <c r="N141" s="124">
        <f>'Inputs by customer type'!N106</f>
        <v>197.80196853522401</v>
      </c>
      <c r="O141" s="124">
        <f>'Inputs by customer type'!O106</f>
        <v>0</v>
      </c>
      <c r="P141" s="124">
        <f>'Inputs by customer type'!P106</f>
        <v>0</v>
      </c>
      <c r="Q141" s="83"/>
      <c r="R141" s="83"/>
      <c r="S141" s="83"/>
      <c r="T141" s="83"/>
      <c r="U141" s="83"/>
      <c r="V141" s="83"/>
      <c r="W141" s="83"/>
      <c r="X141" s="83"/>
      <c r="Y141" s="83"/>
      <c r="AQ141" s="3"/>
    </row>
    <row r="142" spans="5:43" x14ac:dyDescent="0.3">
      <c r="E142" s="32"/>
      <c r="F142" s="72" t="s">
        <v>247</v>
      </c>
      <c r="G142" s="72" t="s">
        <v>206</v>
      </c>
      <c r="J142" s="322"/>
      <c r="K142" s="322"/>
      <c r="L142" s="324">
        <f>'Inputs by customer type'!L107</f>
        <v>1788.7499013686474</v>
      </c>
      <c r="M142" s="322"/>
      <c r="N142" s="324">
        <f>'Inputs by customer type'!N107</f>
        <v>679.57593775986948</v>
      </c>
      <c r="O142" s="324">
        <f>'Inputs by customer type'!O107</f>
        <v>0</v>
      </c>
      <c r="P142" s="324">
        <f>'Inputs by customer type'!P107</f>
        <v>0</v>
      </c>
      <c r="Q142" s="322"/>
      <c r="R142" s="322"/>
      <c r="S142" s="322"/>
      <c r="T142" s="322"/>
      <c r="U142" s="322"/>
      <c r="V142" s="322"/>
      <c r="W142" s="322"/>
      <c r="X142" s="322"/>
      <c r="Y142" s="322"/>
      <c r="AQ142" s="3"/>
    </row>
    <row r="143" spans="5:43" x14ac:dyDescent="0.3">
      <c r="E143" s="32"/>
      <c r="F143" s="72" t="s">
        <v>248</v>
      </c>
      <c r="G143" s="72" t="s">
        <v>206</v>
      </c>
      <c r="J143" s="322"/>
      <c r="K143" s="322"/>
      <c r="L143" s="324">
        <f>'Inputs by customer type'!L108</f>
        <v>2281.8854028922688</v>
      </c>
      <c r="M143" s="322"/>
      <c r="N143" s="324">
        <f>'Inputs by customer type'!N108</f>
        <v>1006.2071961888839</v>
      </c>
      <c r="O143" s="324">
        <f>'Inputs by customer type'!O108</f>
        <v>0</v>
      </c>
      <c r="P143" s="324">
        <f>'Inputs by customer type'!P108</f>
        <v>0</v>
      </c>
      <c r="Q143" s="322"/>
      <c r="R143" s="322"/>
      <c r="S143" s="322"/>
      <c r="T143" s="322"/>
      <c r="U143" s="322"/>
      <c r="V143" s="322"/>
      <c r="W143" s="322"/>
      <c r="X143" s="322"/>
      <c r="Y143" s="322"/>
      <c r="AQ143" s="3"/>
    </row>
    <row r="144" spans="5:43" x14ac:dyDescent="0.3">
      <c r="E144" s="32"/>
      <c r="F144" s="72" t="s">
        <v>211</v>
      </c>
      <c r="G144" s="72" t="s">
        <v>211</v>
      </c>
      <c r="J144" s="322"/>
      <c r="K144" s="322"/>
      <c r="L144" s="324">
        <f>'Inputs by customer type'!L109</f>
        <v>159.32975115635622</v>
      </c>
      <c r="M144" s="322"/>
      <c r="N144" s="324">
        <f>'Inputs by customer type'!N109</f>
        <v>5.6907019578415996</v>
      </c>
      <c r="O144" s="324">
        <f>'Inputs by customer type'!O109</f>
        <v>0</v>
      </c>
      <c r="P144" s="324">
        <f>'Inputs by customer type'!P109</f>
        <v>0</v>
      </c>
      <c r="Q144" s="322"/>
      <c r="R144" s="322"/>
      <c r="S144" s="322"/>
      <c r="T144" s="322"/>
      <c r="U144" s="322"/>
      <c r="V144" s="322"/>
      <c r="W144" s="322"/>
      <c r="X144" s="322"/>
      <c r="Y144" s="322"/>
      <c r="AQ144" s="3"/>
    </row>
    <row r="145" spans="3:43" x14ac:dyDescent="0.3">
      <c r="E145" s="32"/>
      <c r="F145" s="72" t="s">
        <v>249</v>
      </c>
      <c r="G145" s="72" t="s">
        <v>250</v>
      </c>
      <c r="J145" s="322"/>
      <c r="K145" s="322"/>
      <c r="L145" s="324">
        <f>'Inputs by customer type'!L110</f>
        <v>0</v>
      </c>
      <c r="M145" s="322"/>
      <c r="N145" s="324">
        <f>'Inputs by customer type'!N110</f>
        <v>2124.830792566795</v>
      </c>
      <c r="O145" s="324">
        <f>'Inputs by customer type'!O110</f>
        <v>0</v>
      </c>
      <c r="P145" s="324">
        <f>'Inputs by customer type'!P110</f>
        <v>0</v>
      </c>
      <c r="Q145" s="322"/>
      <c r="R145" s="322"/>
      <c r="S145" s="322"/>
      <c r="T145" s="322"/>
      <c r="U145" s="322"/>
      <c r="V145" s="322"/>
      <c r="W145" s="322"/>
      <c r="X145" s="322"/>
      <c r="Y145" s="322"/>
      <c r="AQ145" s="3"/>
    </row>
    <row r="146" spans="3:43" x14ac:dyDescent="0.3">
      <c r="E146" s="32"/>
      <c r="F146" s="72" t="s">
        <v>251</v>
      </c>
      <c r="G146" s="72" t="s">
        <v>250</v>
      </c>
      <c r="J146" s="322"/>
      <c r="K146" s="322"/>
      <c r="L146" s="324">
        <f>'Inputs by customer type'!L111</f>
        <v>0</v>
      </c>
      <c r="M146" s="322"/>
      <c r="N146" s="324">
        <f>'Inputs by customer type'!N111</f>
        <v>21.916312703295706</v>
      </c>
      <c r="O146" s="324">
        <f>'Inputs by customer type'!O111</f>
        <v>0</v>
      </c>
      <c r="P146" s="324">
        <f>'Inputs by customer type'!P111</f>
        <v>0</v>
      </c>
      <c r="Q146" s="322"/>
      <c r="R146" s="322"/>
      <c r="S146" s="322"/>
      <c r="T146" s="322"/>
      <c r="U146" s="322"/>
      <c r="V146" s="322"/>
      <c r="W146" s="322"/>
      <c r="X146" s="322"/>
      <c r="Y146" s="322"/>
      <c r="AQ146" s="3"/>
    </row>
    <row r="147" spans="3:43" x14ac:dyDescent="0.3">
      <c r="E147" s="32"/>
      <c r="F147" s="80" t="s">
        <v>252</v>
      </c>
      <c r="G147" s="80" t="s">
        <v>253</v>
      </c>
      <c r="H147" s="37"/>
      <c r="I147" s="37"/>
      <c r="J147" s="81"/>
      <c r="K147" s="81"/>
      <c r="L147" s="125">
        <f>'Inputs by customer type'!L112</f>
        <v>0</v>
      </c>
      <c r="M147" s="81"/>
      <c r="N147" s="125">
        <f>'Inputs by customer type'!N112</f>
        <v>191.20637878449654</v>
      </c>
      <c r="O147" s="125">
        <f>'Inputs by customer type'!O112</f>
        <v>0</v>
      </c>
      <c r="P147" s="125">
        <f>'Inputs by customer type'!P112</f>
        <v>0</v>
      </c>
      <c r="Q147" s="81"/>
      <c r="R147" s="81"/>
      <c r="S147" s="81"/>
      <c r="T147" s="81"/>
      <c r="U147" s="81"/>
      <c r="V147" s="81"/>
      <c r="W147" s="81"/>
      <c r="X147" s="81"/>
      <c r="Y147" s="81"/>
      <c r="AQ147" s="3"/>
    </row>
    <row r="148" spans="3:43" x14ac:dyDescent="0.3">
      <c r="AQ148" s="3"/>
    </row>
    <row r="149" spans="3:43" x14ac:dyDescent="0.3">
      <c r="C149" s="29"/>
      <c r="D149" s="29" t="s">
        <v>965</v>
      </c>
      <c r="AQ149" s="3"/>
    </row>
    <row r="150" spans="3:43" x14ac:dyDescent="0.3">
      <c r="AQ150" s="3"/>
    </row>
    <row r="151" spans="3:43" x14ac:dyDescent="0.3">
      <c r="E151" s="32" t="s">
        <v>910</v>
      </c>
      <c r="G151" s="13"/>
      <c r="I151" t="s">
        <v>153</v>
      </c>
      <c r="AQ151" s="3"/>
    </row>
    <row r="152" spans="3:43" x14ac:dyDescent="0.3">
      <c r="E152" s="32"/>
      <c r="F152" s="78" t="s">
        <v>246</v>
      </c>
      <c r="G152" s="78" t="s">
        <v>206</v>
      </c>
      <c r="H152" s="23"/>
      <c r="I152" s="23"/>
      <c r="J152" s="83"/>
      <c r="K152" s="124">
        <f>'Inputs by customer type'!K117</f>
        <v>0</v>
      </c>
      <c r="L152" s="124">
        <f>'Inputs by customer type'!L117</f>
        <v>0</v>
      </c>
      <c r="M152" s="124">
        <f>'Inputs by customer type'!M117</f>
        <v>0</v>
      </c>
      <c r="N152" s="124">
        <f>'Inputs by customer type'!N117</f>
        <v>0</v>
      </c>
      <c r="O152" s="124">
        <f>'Inputs by customer type'!O117</f>
        <v>0</v>
      </c>
      <c r="P152" s="124">
        <f>'Inputs by customer type'!P117</f>
        <v>0</v>
      </c>
      <c r="Q152" s="83"/>
      <c r="R152" s="124">
        <f>'Inputs by customer type'!R117</f>
        <v>0</v>
      </c>
      <c r="S152" s="124">
        <f>'Inputs by customer type'!S117</f>
        <v>0</v>
      </c>
      <c r="T152" s="124">
        <f>'Inputs by customer type'!T117</f>
        <v>0</v>
      </c>
      <c r="U152" s="124">
        <f>'Inputs by customer type'!U117</f>
        <v>0</v>
      </c>
      <c r="V152" s="124">
        <f>'Inputs by customer type'!V117</f>
        <v>0</v>
      </c>
      <c r="W152" s="124">
        <f>'Inputs by customer type'!W117</f>
        <v>0</v>
      </c>
      <c r="X152" s="124">
        <f>'Inputs by customer type'!X117</f>
        <v>0</v>
      </c>
      <c r="Y152" s="124">
        <f>'Inputs by customer type'!Y117</f>
        <v>0</v>
      </c>
      <c r="AQ152" s="3"/>
    </row>
    <row r="153" spans="3:43" x14ac:dyDescent="0.3">
      <c r="E153" s="32"/>
      <c r="F153" s="72" t="s">
        <v>247</v>
      </c>
      <c r="G153" s="72" t="s">
        <v>206</v>
      </c>
      <c r="J153" s="322"/>
      <c r="K153" s="324">
        <f>'Inputs by customer type'!K118</f>
        <v>0</v>
      </c>
      <c r="L153" s="324">
        <f>'Inputs by customer type'!L118</f>
        <v>0</v>
      </c>
      <c r="M153" s="324">
        <f>'Inputs by customer type'!M118</f>
        <v>0</v>
      </c>
      <c r="N153" s="324">
        <f>'Inputs by customer type'!N118</f>
        <v>0</v>
      </c>
      <c r="O153" s="324">
        <f>'Inputs by customer type'!O118</f>
        <v>0</v>
      </c>
      <c r="P153" s="324">
        <f>'Inputs by customer type'!P118</f>
        <v>0</v>
      </c>
      <c r="Q153" s="322"/>
      <c r="R153" s="324">
        <f>'Inputs by customer type'!R118</f>
        <v>0</v>
      </c>
      <c r="S153" s="324">
        <f>'Inputs by customer type'!S118</f>
        <v>0</v>
      </c>
      <c r="T153" s="324">
        <f>'Inputs by customer type'!T118</f>
        <v>0</v>
      </c>
      <c r="U153" s="324">
        <f>'Inputs by customer type'!U118</f>
        <v>0</v>
      </c>
      <c r="V153" s="324">
        <f>'Inputs by customer type'!V118</f>
        <v>0</v>
      </c>
      <c r="W153" s="324">
        <f>'Inputs by customer type'!W118</f>
        <v>0</v>
      </c>
      <c r="X153" s="324">
        <f>'Inputs by customer type'!X118</f>
        <v>0</v>
      </c>
      <c r="Y153" s="324">
        <f>'Inputs by customer type'!Y118</f>
        <v>0</v>
      </c>
      <c r="AQ153" s="3"/>
    </row>
    <row r="154" spans="3:43" x14ac:dyDescent="0.3">
      <c r="E154" s="32"/>
      <c r="F154" s="72" t="s">
        <v>248</v>
      </c>
      <c r="G154" s="72" t="s">
        <v>206</v>
      </c>
      <c r="J154" s="322"/>
      <c r="K154" s="324">
        <f>'Inputs by customer type'!K119</f>
        <v>0</v>
      </c>
      <c r="L154" s="324">
        <f>'Inputs by customer type'!L119</f>
        <v>0</v>
      </c>
      <c r="M154" s="324">
        <f>'Inputs by customer type'!M119</f>
        <v>0</v>
      </c>
      <c r="N154" s="324">
        <f>'Inputs by customer type'!N119</f>
        <v>0</v>
      </c>
      <c r="O154" s="324">
        <f>'Inputs by customer type'!O119</f>
        <v>0</v>
      </c>
      <c r="P154" s="324">
        <f>'Inputs by customer type'!P119</f>
        <v>0</v>
      </c>
      <c r="Q154" s="322"/>
      <c r="R154" s="324">
        <f>'Inputs by customer type'!R119</f>
        <v>0</v>
      </c>
      <c r="S154" s="324">
        <f>'Inputs by customer type'!S119</f>
        <v>0</v>
      </c>
      <c r="T154" s="324">
        <f>'Inputs by customer type'!T119</f>
        <v>0</v>
      </c>
      <c r="U154" s="324">
        <f>'Inputs by customer type'!U119</f>
        <v>0</v>
      </c>
      <c r="V154" s="324">
        <f>'Inputs by customer type'!V119</f>
        <v>0</v>
      </c>
      <c r="W154" s="324">
        <f>'Inputs by customer type'!W119</f>
        <v>0</v>
      </c>
      <c r="X154" s="324">
        <f>'Inputs by customer type'!X119</f>
        <v>0</v>
      </c>
      <c r="Y154" s="324">
        <f>'Inputs by customer type'!Y119</f>
        <v>0</v>
      </c>
      <c r="AQ154" s="3"/>
    </row>
    <row r="155" spans="3:43" x14ac:dyDescent="0.3">
      <c r="E155" s="32"/>
      <c r="F155" s="72" t="s">
        <v>211</v>
      </c>
      <c r="G155" s="72" t="s">
        <v>211</v>
      </c>
      <c r="J155" s="322"/>
      <c r="K155" s="324">
        <f>'Inputs by customer type'!K120</f>
        <v>0</v>
      </c>
      <c r="L155" s="324">
        <f>'Inputs by customer type'!L120</f>
        <v>0</v>
      </c>
      <c r="M155" s="324">
        <f>'Inputs by customer type'!M120</f>
        <v>0</v>
      </c>
      <c r="N155" s="324">
        <f>'Inputs by customer type'!N120</f>
        <v>0</v>
      </c>
      <c r="O155" s="324">
        <f>'Inputs by customer type'!O120</f>
        <v>0</v>
      </c>
      <c r="P155" s="324">
        <f>'Inputs by customer type'!P120</f>
        <v>0</v>
      </c>
      <c r="Q155" s="322"/>
      <c r="R155" s="324">
        <f>'Inputs by customer type'!R120</f>
        <v>0</v>
      </c>
      <c r="S155" s="324">
        <f>'Inputs by customer type'!S120</f>
        <v>0</v>
      </c>
      <c r="T155" s="324">
        <f>'Inputs by customer type'!T120</f>
        <v>0</v>
      </c>
      <c r="U155" s="324">
        <f>'Inputs by customer type'!U120</f>
        <v>0</v>
      </c>
      <c r="V155" s="324">
        <f>'Inputs by customer type'!V120</f>
        <v>0</v>
      </c>
      <c r="W155" s="324">
        <f>'Inputs by customer type'!W120</f>
        <v>0</v>
      </c>
      <c r="X155" s="324">
        <f>'Inputs by customer type'!X120</f>
        <v>0</v>
      </c>
      <c r="Y155" s="324">
        <f>'Inputs by customer type'!Y120</f>
        <v>0</v>
      </c>
      <c r="AQ155" s="3"/>
    </row>
    <row r="156" spans="3:43" x14ac:dyDescent="0.3">
      <c r="E156" s="32"/>
      <c r="F156" s="72" t="s">
        <v>249</v>
      </c>
      <c r="G156" s="72" t="s">
        <v>250</v>
      </c>
      <c r="J156" s="322"/>
      <c r="K156" s="324">
        <f>'Inputs by customer type'!K121</f>
        <v>0</v>
      </c>
      <c r="L156" s="324">
        <f>'Inputs by customer type'!L121</f>
        <v>0</v>
      </c>
      <c r="M156" s="324">
        <f>'Inputs by customer type'!M121</f>
        <v>0</v>
      </c>
      <c r="N156" s="324">
        <f>'Inputs by customer type'!N121</f>
        <v>0</v>
      </c>
      <c r="O156" s="324">
        <f>'Inputs by customer type'!O121</f>
        <v>0</v>
      </c>
      <c r="P156" s="324">
        <f>'Inputs by customer type'!P121</f>
        <v>0</v>
      </c>
      <c r="Q156" s="322"/>
      <c r="R156" s="324">
        <f>'Inputs by customer type'!R121</f>
        <v>0</v>
      </c>
      <c r="S156" s="324">
        <f>'Inputs by customer type'!S121</f>
        <v>0</v>
      </c>
      <c r="T156" s="324">
        <f>'Inputs by customer type'!T121</f>
        <v>0</v>
      </c>
      <c r="U156" s="324">
        <f>'Inputs by customer type'!U121</f>
        <v>0</v>
      </c>
      <c r="V156" s="324">
        <f>'Inputs by customer type'!V121</f>
        <v>0</v>
      </c>
      <c r="W156" s="324">
        <f>'Inputs by customer type'!W121</f>
        <v>0</v>
      </c>
      <c r="X156" s="324">
        <f>'Inputs by customer type'!X121</f>
        <v>0</v>
      </c>
      <c r="Y156" s="324">
        <f>'Inputs by customer type'!Y121</f>
        <v>0</v>
      </c>
      <c r="AQ156" s="3"/>
    </row>
    <row r="157" spans="3:43" x14ac:dyDescent="0.3">
      <c r="E157" s="32"/>
      <c r="F157" s="72" t="s">
        <v>251</v>
      </c>
      <c r="G157" s="72" t="s">
        <v>250</v>
      </c>
      <c r="J157" s="322"/>
      <c r="K157" s="324">
        <f>'Inputs by customer type'!K122</f>
        <v>0</v>
      </c>
      <c r="L157" s="324">
        <f>'Inputs by customer type'!L122</f>
        <v>0</v>
      </c>
      <c r="M157" s="324">
        <f>'Inputs by customer type'!M122</f>
        <v>0</v>
      </c>
      <c r="N157" s="324">
        <f>'Inputs by customer type'!N122</f>
        <v>0</v>
      </c>
      <c r="O157" s="324">
        <f>'Inputs by customer type'!O122</f>
        <v>0</v>
      </c>
      <c r="P157" s="324">
        <f>'Inputs by customer type'!P122</f>
        <v>0</v>
      </c>
      <c r="Q157" s="322"/>
      <c r="R157" s="324">
        <f>'Inputs by customer type'!R122</f>
        <v>0</v>
      </c>
      <c r="S157" s="324">
        <f>'Inputs by customer type'!S122</f>
        <v>0</v>
      </c>
      <c r="T157" s="324">
        <f>'Inputs by customer type'!T122</f>
        <v>0</v>
      </c>
      <c r="U157" s="324">
        <f>'Inputs by customer type'!U122</f>
        <v>0</v>
      </c>
      <c r="V157" s="324">
        <f>'Inputs by customer type'!V122</f>
        <v>0</v>
      </c>
      <c r="W157" s="324">
        <f>'Inputs by customer type'!W122</f>
        <v>0</v>
      </c>
      <c r="X157" s="324">
        <f>'Inputs by customer type'!X122</f>
        <v>0</v>
      </c>
      <c r="Y157" s="324">
        <f>'Inputs by customer type'!Y122</f>
        <v>0</v>
      </c>
      <c r="AQ157" s="3"/>
    </row>
    <row r="158" spans="3:43" x14ac:dyDescent="0.3">
      <c r="E158" s="32"/>
      <c r="F158" s="80" t="s">
        <v>252</v>
      </c>
      <c r="G158" s="80" t="s">
        <v>253</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0</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x14ac:dyDescent="0.3">
      <c r="AQ159" s="3"/>
    </row>
    <row r="160" spans="3:43" x14ac:dyDescent="0.3">
      <c r="E160" s="32" t="s">
        <v>956</v>
      </c>
      <c r="G160" s="13"/>
      <c r="I160" t="s">
        <v>153</v>
      </c>
      <c r="AQ160" s="3"/>
    </row>
    <row r="161" spans="5:43" x14ac:dyDescent="0.3">
      <c r="E161" s="32"/>
      <c r="F161" s="78" t="s">
        <v>246</v>
      </c>
      <c r="G161" s="78" t="s">
        <v>206</v>
      </c>
      <c r="H161" s="23"/>
      <c r="I161" s="23"/>
      <c r="J161" s="124">
        <f>'Inputs by customer type'!J126</f>
        <v>20406.995946034098</v>
      </c>
      <c r="K161" s="83"/>
      <c r="L161" s="124">
        <f>'Inputs by customer type'!L126</f>
        <v>53.032577897376015</v>
      </c>
      <c r="M161" s="83"/>
      <c r="N161" s="124">
        <f>'Inputs by customer type'!N126</f>
        <v>2005.8837928996877</v>
      </c>
      <c r="O161" s="124">
        <f>'Inputs by customer type'!O126</f>
        <v>225.17186397576623</v>
      </c>
      <c r="P161" s="124">
        <f>'Inputs by customer type'!P126</f>
        <v>339.68738876924675</v>
      </c>
      <c r="Q161" s="124">
        <f>'Inputs by customer type'!Q126</f>
        <v>0.80750664611319134</v>
      </c>
      <c r="R161" s="83"/>
      <c r="S161" s="83"/>
      <c r="T161" s="83"/>
      <c r="U161" s="83"/>
      <c r="V161" s="83"/>
      <c r="W161" s="83"/>
      <c r="X161" s="83"/>
      <c r="Y161" s="83"/>
      <c r="AQ161" s="3"/>
    </row>
    <row r="162" spans="5:43" x14ac:dyDescent="0.3">
      <c r="E162" s="32"/>
      <c r="F162" s="72" t="s">
        <v>247</v>
      </c>
      <c r="G162" s="72" t="s">
        <v>206</v>
      </c>
      <c r="J162" s="324">
        <f>'Inputs by customer type'!J127</f>
        <v>51412.47224607876</v>
      </c>
      <c r="K162" s="322"/>
      <c r="L162" s="324">
        <f>'Inputs by customer type'!L127</f>
        <v>190.48398888402818</v>
      </c>
      <c r="M162" s="322"/>
      <c r="N162" s="324">
        <f>'Inputs by customer type'!N127</f>
        <v>6871.0443364567927</v>
      </c>
      <c r="O162" s="324">
        <f>'Inputs by customer type'!O127</f>
        <v>762.73814117400013</v>
      </c>
      <c r="P162" s="324">
        <f>'Inputs by customer type'!P127</f>
        <v>1114.3185927442644</v>
      </c>
      <c r="Q162" s="324">
        <f>'Inputs by customer type'!Q127</f>
        <v>2.6801943412435212</v>
      </c>
      <c r="R162" s="322"/>
      <c r="S162" s="322"/>
      <c r="T162" s="322"/>
      <c r="U162" s="322"/>
      <c r="V162" s="322"/>
      <c r="W162" s="322"/>
      <c r="X162" s="322"/>
      <c r="Y162" s="322"/>
      <c r="AQ162" s="3"/>
    </row>
    <row r="163" spans="5:43" x14ac:dyDescent="0.3">
      <c r="E163" s="32"/>
      <c r="F163" s="72" t="s">
        <v>248</v>
      </c>
      <c r="G163" s="72" t="s">
        <v>206</v>
      </c>
      <c r="J163" s="324">
        <f>'Inputs by customer type'!J128</f>
        <v>94442.082912749902</v>
      </c>
      <c r="K163" s="322"/>
      <c r="L163" s="324">
        <f>'Inputs by customer type'!L128</f>
        <v>242.99799171845012</v>
      </c>
      <c r="M163" s="322"/>
      <c r="N163" s="324">
        <f>'Inputs by customer type'!N128</f>
        <v>9839.6340631348776</v>
      </c>
      <c r="O163" s="324">
        <f>'Inputs by customer type'!O128</f>
        <v>1348.6582903048354</v>
      </c>
      <c r="P163" s="324">
        <f>'Inputs by customer type'!P128</f>
        <v>2079.3104615419602</v>
      </c>
      <c r="Q163" s="324">
        <f>'Inputs by customer type'!Q128</f>
        <v>13.849892407257586</v>
      </c>
      <c r="R163" s="322"/>
      <c r="S163" s="322"/>
      <c r="T163" s="322"/>
      <c r="U163" s="322"/>
      <c r="V163" s="322"/>
      <c r="W163" s="322"/>
      <c r="X163" s="322"/>
      <c r="Y163" s="322"/>
      <c r="AQ163" s="3"/>
    </row>
    <row r="164" spans="5:43" x14ac:dyDescent="0.3">
      <c r="E164" s="32"/>
      <c r="F164" s="72" t="s">
        <v>211</v>
      </c>
      <c r="G164" s="72" t="s">
        <v>211</v>
      </c>
      <c r="J164" s="324">
        <f>'Inputs by customer type'!J129</f>
        <v>58864.02895910322</v>
      </c>
      <c r="K164" s="322"/>
      <c r="L164" s="324">
        <f>'Inputs by customer type'!L129</f>
        <v>328.36872591119032</v>
      </c>
      <c r="M164" s="322"/>
      <c r="N164" s="324">
        <f>'Inputs by customer type'!N129</f>
        <v>226.66499144478075</v>
      </c>
      <c r="O164" s="324">
        <f>'Inputs by customer type'!O129</f>
        <v>10.436046115014667</v>
      </c>
      <c r="P164" s="324">
        <f>'Inputs by customer type'!P129</f>
        <v>8.2961556715709541</v>
      </c>
      <c r="Q164" s="324">
        <f>'Inputs by customer type'!Q129</f>
        <v>7</v>
      </c>
      <c r="R164" s="322"/>
      <c r="S164" s="322"/>
      <c r="T164" s="322"/>
      <c r="U164" s="322"/>
      <c r="V164" s="322"/>
      <c r="W164" s="322"/>
      <c r="X164" s="322"/>
      <c r="Y164" s="322"/>
      <c r="AQ164" s="3"/>
    </row>
    <row r="165" spans="5:43" x14ac:dyDescent="0.3">
      <c r="E165" s="32"/>
      <c r="F165" s="72" t="s">
        <v>249</v>
      </c>
      <c r="G165" s="72" t="s">
        <v>250</v>
      </c>
      <c r="J165" s="324">
        <f>'Inputs by customer type'!J130</f>
        <v>0</v>
      </c>
      <c r="K165" s="322"/>
      <c r="L165" s="324">
        <f>'Inputs by customer type'!L130</f>
        <v>0</v>
      </c>
      <c r="M165" s="322"/>
      <c r="N165" s="324">
        <f>'Inputs by customer type'!N130</f>
        <v>17018.460305805136</v>
      </c>
      <c r="O165" s="324">
        <f>'Inputs by customer type'!O130</f>
        <v>1839.728974436614</v>
      </c>
      <c r="P165" s="324">
        <f>'Inputs by customer type'!P130</f>
        <v>2487.4867868715646</v>
      </c>
      <c r="Q165" s="324">
        <f>'Inputs by customer type'!Q130</f>
        <v>0</v>
      </c>
      <c r="R165" s="322"/>
      <c r="S165" s="322"/>
      <c r="T165" s="322"/>
      <c r="U165" s="322"/>
      <c r="V165" s="322"/>
      <c r="W165" s="322"/>
      <c r="X165" s="322"/>
      <c r="Y165" s="322"/>
      <c r="AQ165" s="3"/>
    </row>
    <row r="166" spans="5:43" x14ac:dyDescent="0.3">
      <c r="E166" s="32"/>
      <c r="F166" s="72" t="s">
        <v>251</v>
      </c>
      <c r="G166" s="72" t="s">
        <v>250</v>
      </c>
      <c r="J166" s="324">
        <f>'Inputs by customer type'!J131</f>
        <v>0</v>
      </c>
      <c r="K166" s="322"/>
      <c r="L166" s="324">
        <f>'Inputs by customer type'!L131</f>
        <v>0</v>
      </c>
      <c r="M166" s="322"/>
      <c r="N166" s="324">
        <f>'Inputs by customer type'!N131</f>
        <v>26.384236197306283</v>
      </c>
      <c r="O166" s="324">
        <f>'Inputs by customer type'!O131</f>
        <v>1.9735225106147678</v>
      </c>
      <c r="P166" s="324">
        <f>'Inputs by customer type'!P131</f>
        <v>6.1253145410581782</v>
      </c>
      <c r="Q166" s="324">
        <f>'Inputs by customer type'!Q131</f>
        <v>0</v>
      </c>
      <c r="R166" s="322"/>
      <c r="S166" s="322"/>
      <c r="T166" s="322"/>
      <c r="U166" s="322"/>
      <c r="V166" s="322"/>
      <c r="W166" s="322"/>
      <c r="X166" s="322"/>
      <c r="Y166" s="322"/>
      <c r="AQ166" s="3"/>
    </row>
    <row r="167" spans="5:43" x14ac:dyDescent="0.3">
      <c r="E167" s="32"/>
      <c r="F167" s="80" t="s">
        <v>252</v>
      </c>
      <c r="G167" s="80" t="s">
        <v>253</v>
      </c>
      <c r="H167" s="37"/>
      <c r="I167" s="37"/>
      <c r="J167" s="125">
        <f>'Inputs by customer type'!J132</f>
        <v>0</v>
      </c>
      <c r="K167" s="81"/>
      <c r="L167" s="125">
        <f>'Inputs by customer type'!L132</f>
        <v>0</v>
      </c>
      <c r="M167" s="81"/>
      <c r="N167" s="125">
        <f>'Inputs by customer type'!N132</f>
        <v>1075.5292877710742</v>
      </c>
      <c r="O167" s="125">
        <f>'Inputs by customer type'!O132</f>
        <v>192.61389199590087</v>
      </c>
      <c r="P167" s="125">
        <f>'Inputs by customer type'!P132</f>
        <v>304.33853779489351</v>
      </c>
      <c r="Q167" s="125">
        <f>'Inputs by customer type'!Q132</f>
        <v>0</v>
      </c>
      <c r="R167" s="81"/>
      <c r="S167" s="81"/>
      <c r="T167" s="81"/>
      <c r="U167" s="81"/>
      <c r="V167" s="81"/>
      <c r="W167" s="81"/>
      <c r="X167" s="81"/>
      <c r="Y167" s="81"/>
      <c r="AQ167" s="3"/>
    </row>
    <row r="168" spans="5:43" x14ac:dyDescent="0.3">
      <c r="AQ168" s="3"/>
    </row>
    <row r="169" spans="5:43" x14ac:dyDescent="0.3">
      <c r="E169" s="32" t="s">
        <v>957</v>
      </c>
      <c r="G169" s="13"/>
      <c r="I169" t="s">
        <v>153</v>
      </c>
      <c r="AQ169" s="3"/>
    </row>
    <row r="170" spans="5:43" x14ac:dyDescent="0.3">
      <c r="E170" s="32"/>
      <c r="F170" s="78" t="s">
        <v>246</v>
      </c>
      <c r="G170" s="78" t="s">
        <v>206</v>
      </c>
      <c r="H170" s="23"/>
      <c r="I170" s="23"/>
      <c r="J170" s="83"/>
      <c r="K170" s="83"/>
      <c r="L170" s="124">
        <f>'Inputs by customer type'!L135</f>
        <v>232.97654200551398</v>
      </c>
      <c r="M170" s="83"/>
      <c r="N170" s="124">
        <f>'Inputs by customer type'!N135</f>
        <v>4597.5256211991609</v>
      </c>
      <c r="O170" s="124">
        <f>'Inputs by customer type'!O135</f>
        <v>516.09839885352153</v>
      </c>
      <c r="P170" s="124">
        <f>'Inputs by customer type'!P135</f>
        <v>898.17967324229562</v>
      </c>
      <c r="Q170" s="83"/>
      <c r="R170" s="83"/>
      <c r="S170" s="83"/>
      <c r="T170" s="83"/>
      <c r="U170" s="83"/>
      <c r="V170" s="83"/>
      <c r="W170" s="83"/>
      <c r="X170" s="83"/>
      <c r="Y170" s="83"/>
      <c r="AQ170" s="3"/>
    </row>
    <row r="171" spans="5:43" x14ac:dyDescent="0.3">
      <c r="E171" s="32"/>
      <c r="F171" s="72" t="s">
        <v>247</v>
      </c>
      <c r="G171" s="72" t="s">
        <v>206</v>
      </c>
      <c r="J171" s="322"/>
      <c r="K171" s="322"/>
      <c r="L171" s="324">
        <f>'Inputs by customer type'!L136</f>
        <v>836.8120652836194</v>
      </c>
      <c r="M171" s="322"/>
      <c r="N171" s="324">
        <f>'Inputs by customer type'!N136</f>
        <v>15748.570526904532</v>
      </c>
      <c r="O171" s="324">
        <f>'Inputs by customer type'!O136</f>
        <v>1748.2110173710623</v>
      </c>
      <c r="P171" s="324">
        <f>'Inputs by customer type'!P136</f>
        <v>2946.4099716658943</v>
      </c>
      <c r="Q171" s="322"/>
      <c r="R171" s="322"/>
      <c r="S171" s="322"/>
      <c r="T171" s="322"/>
      <c r="U171" s="322"/>
      <c r="V171" s="322"/>
      <c r="W171" s="322"/>
      <c r="X171" s="322"/>
      <c r="Y171" s="322"/>
      <c r="AQ171" s="3"/>
    </row>
    <row r="172" spans="5:43" x14ac:dyDescent="0.3">
      <c r="E172" s="32"/>
      <c r="F172" s="72" t="s">
        <v>248</v>
      </c>
      <c r="G172" s="72" t="s">
        <v>206</v>
      </c>
      <c r="J172" s="322"/>
      <c r="K172" s="322"/>
      <c r="L172" s="324">
        <f>'Inputs by customer type'!L137</f>
        <v>1067.5104637455343</v>
      </c>
      <c r="M172" s="322"/>
      <c r="N172" s="324">
        <f>'Inputs by customer type'!N137</f>
        <v>22552.637330545949</v>
      </c>
      <c r="O172" s="324">
        <f>'Inputs by customer type'!O137</f>
        <v>3091.1516738244159</v>
      </c>
      <c r="P172" s="324">
        <f>'Inputs by customer type'!P137</f>
        <v>5497.9797680558622</v>
      </c>
      <c r="Q172" s="322"/>
      <c r="R172" s="322"/>
      <c r="S172" s="322"/>
      <c r="T172" s="322"/>
      <c r="U172" s="322"/>
      <c r="V172" s="322"/>
      <c r="W172" s="322"/>
      <c r="X172" s="322"/>
      <c r="Y172" s="322"/>
      <c r="AQ172" s="3"/>
    </row>
    <row r="173" spans="5:43" x14ac:dyDescent="0.3">
      <c r="E173" s="32"/>
      <c r="F173" s="72" t="s">
        <v>211</v>
      </c>
      <c r="G173" s="72" t="s">
        <v>211</v>
      </c>
      <c r="J173" s="322"/>
      <c r="K173" s="322"/>
      <c r="L173" s="324">
        <f>'Inputs by customer type'!L138</f>
        <v>292.39125557039483</v>
      </c>
      <c r="M173" s="322"/>
      <c r="N173" s="324">
        <f>'Inputs by customer type'!N138</f>
        <v>208.34297131034558</v>
      </c>
      <c r="O173" s="324">
        <f>'Inputs by customer type'!O138</f>
        <v>9.5924687905041264</v>
      </c>
      <c r="P173" s="324">
        <f>'Inputs by customer type'!P138</f>
        <v>6.7109634551495017</v>
      </c>
      <c r="Q173" s="322"/>
      <c r="R173" s="322"/>
      <c r="S173" s="322"/>
      <c r="T173" s="322"/>
      <c r="U173" s="322"/>
      <c r="V173" s="322"/>
      <c r="W173" s="322"/>
      <c r="X173" s="322"/>
      <c r="Y173" s="322"/>
      <c r="AQ173" s="3"/>
    </row>
    <row r="174" spans="5:43" x14ac:dyDescent="0.3">
      <c r="E174" s="32"/>
      <c r="F174" s="72" t="s">
        <v>249</v>
      </c>
      <c r="G174" s="72" t="s">
        <v>250</v>
      </c>
      <c r="J174" s="322"/>
      <c r="K174" s="322"/>
      <c r="L174" s="324">
        <f>'Inputs by customer type'!L139</f>
        <v>0</v>
      </c>
      <c r="M174" s="322"/>
      <c r="N174" s="324">
        <f>'Inputs by customer type'!N139</f>
        <v>39006.6501191442</v>
      </c>
      <c r="O174" s="324">
        <f>'Inputs by customer type'!O139</f>
        <v>4216.6954665941485</v>
      </c>
      <c r="P174" s="324">
        <f>'Inputs by customer type'!P139</f>
        <v>6577.2535080616499</v>
      </c>
      <c r="Q174" s="322"/>
      <c r="R174" s="322"/>
      <c r="S174" s="322"/>
      <c r="T174" s="322"/>
      <c r="U174" s="322"/>
      <c r="V174" s="322"/>
      <c r="W174" s="322"/>
      <c r="X174" s="322"/>
      <c r="Y174" s="322"/>
      <c r="AQ174" s="3"/>
    </row>
    <row r="175" spans="5:43" x14ac:dyDescent="0.3">
      <c r="E175" s="32"/>
      <c r="F175" s="72" t="s">
        <v>251</v>
      </c>
      <c r="G175" s="72" t="s">
        <v>250</v>
      </c>
      <c r="J175" s="322"/>
      <c r="K175" s="322"/>
      <c r="L175" s="324">
        <f>'Inputs by customer type'!L140</f>
        <v>0</v>
      </c>
      <c r="M175" s="322"/>
      <c r="N175" s="324">
        <f>'Inputs by customer type'!N140</f>
        <v>60.473195078530736</v>
      </c>
      <c r="O175" s="324">
        <f>'Inputs by customer type'!O140</f>
        <v>4.5233529173932743</v>
      </c>
      <c r="P175" s="324">
        <f>'Inputs by customer type'!P140</f>
        <v>16.196165047302458</v>
      </c>
      <c r="Q175" s="322"/>
      <c r="R175" s="322"/>
      <c r="S175" s="322"/>
      <c r="T175" s="322"/>
      <c r="U175" s="322"/>
      <c r="V175" s="322"/>
      <c r="W175" s="322"/>
      <c r="X175" s="322"/>
      <c r="Y175" s="322"/>
      <c r="AQ175" s="3"/>
    </row>
    <row r="176" spans="5:43" x14ac:dyDescent="0.3">
      <c r="E176" s="32"/>
      <c r="F176" s="80" t="s">
        <v>252</v>
      </c>
      <c r="G176" s="80" t="s">
        <v>253</v>
      </c>
      <c r="H176" s="37"/>
      <c r="I176" s="37"/>
      <c r="J176" s="81"/>
      <c r="K176" s="81"/>
      <c r="L176" s="125">
        <f>'Inputs by customer type'!L141</f>
        <v>0</v>
      </c>
      <c r="M176" s="81"/>
      <c r="N176" s="125">
        <f>'Inputs by customer type'!N141</f>
        <v>2465.1345578347182</v>
      </c>
      <c r="O176" s="125">
        <f>'Inputs by customer type'!O141</f>
        <v>441.47487834771471</v>
      </c>
      <c r="P176" s="125">
        <f>'Inputs by customer type'!P141</f>
        <v>804.71250175656508</v>
      </c>
      <c r="Q176" s="81"/>
      <c r="R176" s="81"/>
      <c r="S176" s="81"/>
      <c r="T176" s="81"/>
      <c r="U176" s="81"/>
      <c r="V176" s="81"/>
      <c r="W176" s="81"/>
      <c r="X176" s="81"/>
      <c r="Y176" s="81"/>
      <c r="AQ176" s="3"/>
    </row>
    <row r="177" spans="5:43" x14ac:dyDescent="0.3">
      <c r="AQ177" s="3"/>
    </row>
    <row r="178" spans="5:43" x14ac:dyDescent="0.3">
      <c r="E178" s="32" t="s">
        <v>958</v>
      </c>
      <c r="G178" s="13"/>
      <c r="I178" t="s">
        <v>153</v>
      </c>
      <c r="AQ178" s="3"/>
    </row>
    <row r="179" spans="5:43" x14ac:dyDescent="0.3">
      <c r="E179" s="32"/>
      <c r="F179" s="78" t="s">
        <v>246</v>
      </c>
      <c r="G179" s="78" t="s">
        <v>206</v>
      </c>
      <c r="H179" s="23"/>
      <c r="I179" s="23"/>
      <c r="J179" s="83"/>
      <c r="K179" s="83"/>
      <c r="L179" s="124">
        <f>'Inputs by customer type'!L144</f>
        <v>297.45308921739843</v>
      </c>
      <c r="M179" s="83"/>
      <c r="N179" s="124">
        <f>'Inputs by customer type'!N144</f>
        <v>2656.5512504359572</v>
      </c>
      <c r="O179" s="124">
        <f>'Inputs by customer type'!O144</f>
        <v>298.21298667710585</v>
      </c>
      <c r="P179" s="124">
        <f>'Inputs by customer type'!P144</f>
        <v>772.29570489430557</v>
      </c>
      <c r="Q179" s="83"/>
      <c r="R179" s="83"/>
      <c r="S179" s="83"/>
      <c r="T179" s="83"/>
      <c r="U179" s="83"/>
      <c r="V179" s="83"/>
      <c r="W179" s="83"/>
      <c r="X179" s="83"/>
      <c r="Y179" s="83"/>
      <c r="AQ179" s="3"/>
    </row>
    <row r="180" spans="5:43" x14ac:dyDescent="0.3">
      <c r="E180" s="32"/>
      <c r="F180" s="72" t="s">
        <v>247</v>
      </c>
      <c r="G180" s="72" t="s">
        <v>206</v>
      </c>
      <c r="J180" s="322"/>
      <c r="K180" s="322"/>
      <c r="L180" s="324">
        <f>'Inputs by customer type'!L145</f>
        <v>1068.4008431506068</v>
      </c>
      <c r="M180" s="322"/>
      <c r="N180" s="324">
        <f>'Inputs by customer type'!N145</f>
        <v>9099.8698371396767</v>
      </c>
      <c r="O180" s="324">
        <f>'Inputs by customer type'!O145</f>
        <v>1010.1547107880335</v>
      </c>
      <c r="P180" s="324">
        <f>'Inputs by customer type'!P145</f>
        <v>2533.457206575501</v>
      </c>
      <c r="Q180" s="322"/>
      <c r="R180" s="322"/>
      <c r="S180" s="322"/>
      <c r="T180" s="322"/>
      <c r="U180" s="322"/>
      <c r="V180" s="322"/>
      <c r="W180" s="322"/>
      <c r="X180" s="322"/>
      <c r="Y180" s="322"/>
      <c r="AQ180" s="3"/>
    </row>
    <row r="181" spans="5:43" x14ac:dyDescent="0.3">
      <c r="E181" s="32"/>
      <c r="F181" s="72" t="s">
        <v>248</v>
      </c>
      <c r="G181" s="72" t="s">
        <v>206</v>
      </c>
      <c r="J181" s="322"/>
      <c r="K181" s="322"/>
      <c r="L181" s="324">
        <f>'Inputs by customer type'!L146</f>
        <v>1362.9453097706787</v>
      </c>
      <c r="M181" s="322"/>
      <c r="N181" s="324">
        <f>'Inputs by customer type'!N146</f>
        <v>13031.409031161362</v>
      </c>
      <c r="O181" s="324">
        <f>'Inputs by customer type'!O146</f>
        <v>1786.1353086366466</v>
      </c>
      <c r="P181" s="324">
        <f>'Inputs by customer type'!P146</f>
        <v>4727.4128851498745</v>
      </c>
      <c r="Q181" s="322"/>
      <c r="R181" s="322"/>
      <c r="S181" s="322"/>
      <c r="T181" s="322"/>
      <c r="U181" s="322"/>
      <c r="V181" s="322"/>
      <c r="W181" s="322"/>
      <c r="X181" s="322"/>
      <c r="Y181" s="322"/>
      <c r="AQ181" s="3"/>
    </row>
    <row r="182" spans="5:43" x14ac:dyDescent="0.3">
      <c r="E182" s="32"/>
      <c r="F182" s="72" t="s">
        <v>211</v>
      </c>
      <c r="G182" s="72" t="s">
        <v>211</v>
      </c>
      <c r="J182" s="322"/>
      <c r="K182" s="322"/>
      <c r="L182" s="324">
        <f>'Inputs by customer type'!L147</f>
        <v>150.6749774054534</v>
      </c>
      <c r="M182" s="322"/>
      <c r="N182" s="324">
        <f>'Inputs by customer type'!N147</f>
        <v>73.808137877801002</v>
      </c>
      <c r="O182" s="324">
        <f>'Inputs by customer type'!O147</f>
        <v>3.3982536325806674</v>
      </c>
      <c r="P182" s="324">
        <f>'Inputs by customer type'!P147</f>
        <v>2.7527289985761749</v>
      </c>
      <c r="Q182" s="322"/>
      <c r="R182" s="322"/>
      <c r="S182" s="322"/>
      <c r="T182" s="322"/>
      <c r="U182" s="322"/>
      <c r="V182" s="322"/>
      <c r="W182" s="322"/>
      <c r="X182" s="322"/>
      <c r="Y182" s="322"/>
      <c r="AQ182" s="3"/>
    </row>
    <row r="183" spans="5:43" x14ac:dyDescent="0.3">
      <c r="E183" s="32"/>
      <c r="F183" s="72" t="s">
        <v>249</v>
      </c>
      <c r="G183" s="72" t="s">
        <v>250</v>
      </c>
      <c r="J183" s="322"/>
      <c r="K183" s="322"/>
      <c r="L183" s="324">
        <f>'Inputs by customer type'!L148</f>
        <v>0</v>
      </c>
      <c r="M183" s="322"/>
      <c r="N183" s="324">
        <f>'Inputs by customer type'!N148</f>
        <v>22538.898896294271</v>
      </c>
      <c r="O183" s="324">
        <f>'Inputs by customer type'!O148</f>
        <v>2436.4992253303772</v>
      </c>
      <c r="P183" s="324">
        <f>'Inputs by customer type'!P148</f>
        <v>5655.4214992869602</v>
      </c>
      <c r="Q183" s="322"/>
      <c r="R183" s="322"/>
      <c r="S183" s="322"/>
      <c r="T183" s="322"/>
      <c r="U183" s="322"/>
      <c r="V183" s="322"/>
      <c r="W183" s="322"/>
      <c r="X183" s="322"/>
      <c r="Y183" s="322"/>
      <c r="AQ183" s="3"/>
    </row>
    <row r="184" spans="5:43" x14ac:dyDescent="0.3">
      <c r="E184" s="32"/>
      <c r="F184" s="72" t="s">
        <v>251</v>
      </c>
      <c r="G184" s="72" t="s">
        <v>250</v>
      </c>
      <c r="J184" s="322"/>
      <c r="K184" s="322"/>
      <c r="L184" s="324">
        <f>'Inputs by customer type'!L149</f>
        <v>0</v>
      </c>
      <c r="M184" s="322"/>
      <c r="N184" s="324">
        <f>'Inputs by customer type'!N149</f>
        <v>34.942739908391509</v>
      </c>
      <c r="O184" s="324">
        <f>'Inputs by customer type'!O149</f>
        <v>2.6136926335888475</v>
      </c>
      <c r="P184" s="324">
        <f>'Inputs by customer type'!P149</f>
        <v>13.926198815698102</v>
      </c>
      <c r="Q184" s="322"/>
      <c r="R184" s="322"/>
      <c r="S184" s="322"/>
      <c r="T184" s="322"/>
      <c r="U184" s="322"/>
      <c r="V184" s="322"/>
      <c r="W184" s="322"/>
      <c r="X184" s="322"/>
      <c r="Y184" s="322"/>
      <c r="AQ184" s="3"/>
    </row>
    <row r="185" spans="5:43" x14ac:dyDescent="0.3">
      <c r="E185" s="32"/>
      <c r="F185" s="80" t="s">
        <v>252</v>
      </c>
      <c r="G185" s="80" t="s">
        <v>253</v>
      </c>
      <c r="H185" s="37"/>
      <c r="I185" s="37"/>
      <c r="J185" s="81"/>
      <c r="K185" s="81"/>
      <c r="L185" s="125">
        <f>'Inputs by customer type'!L150</f>
        <v>0</v>
      </c>
      <c r="M185" s="81"/>
      <c r="N185" s="125">
        <f>'Inputs by customer type'!N150</f>
        <v>1424.4088737455727</v>
      </c>
      <c r="O185" s="125">
        <f>'Inputs by customer type'!O150</f>
        <v>255.09387804233378</v>
      </c>
      <c r="P185" s="125">
        <f>'Inputs by customer type'!P150</f>
        <v>691.92838281221634</v>
      </c>
      <c r="Q185" s="81"/>
      <c r="R185" s="81"/>
      <c r="S185" s="81"/>
      <c r="T185" s="81"/>
      <c r="U185" s="81"/>
      <c r="V185" s="81"/>
      <c r="W185" s="81"/>
      <c r="X185" s="81"/>
      <c r="Y185" s="81"/>
      <c r="AQ185" s="3"/>
    </row>
    <row r="186" spans="5:43" x14ac:dyDescent="0.3">
      <c r="AQ186" s="3"/>
    </row>
    <row r="187" spans="5:43" x14ac:dyDescent="0.3">
      <c r="E187" s="32" t="s">
        <v>959</v>
      </c>
      <c r="G187" s="13"/>
      <c r="I187" t="s">
        <v>153</v>
      </c>
      <c r="AQ187" s="3"/>
    </row>
    <row r="188" spans="5:43" x14ac:dyDescent="0.3">
      <c r="E188" s="32"/>
      <c r="F188" s="78" t="s">
        <v>246</v>
      </c>
      <c r="G188" s="78" t="s">
        <v>206</v>
      </c>
      <c r="H188" s="23"/>
      <c r="I188" s="23"/>
      <c r="J188" s="83"/>
      <c r="K188" s="83"/>
      <c r="L188" s="124">
        <f>'Inputs by customer type'!L153</f>
        <v>888.197915842322</v>
      </c>
      <c r="M188" s="83"/>
      <c r="N188" s="124">
        <f>'Inputs by customer type'!N153</f>
        <v>5864.5793363800385</v>
      </c>
      <c r="O188" s="124">
        <f>'Inputs by customer type'!O153</f>
        <v>658.33238459816118</v>
      </c>
      <c r="P188" s="124">
        <f>'Inputs by customer type'!P153</f>
        <v>1465.6503004968586</v>
      </c>
      <c r="Q188" s="83"/>
      <c r="R188" s="83"/>
      <c r="S188" s="83"/>
      <c r="T188" s="83"/>
      <c r="U188" s="83"/>
      <c r="V188" s="83"/>
      <c r="W188" s="83"/>
      <c r="X188" s="83"/>
      <c r="Y188" s="83"/>
      <c r="AQ188" s="3"/>
    </row>
    <row r="189" spans="5:43" x14ac:dyDescent="0.3">
      <c r="E189" s="32"/>
      <c r="F189" s="72" t="s">
        <v>247</v>
      </c>
      <c r="G189" s="72" t="s">
        <v>206</v>
      </c>
      <c r="J189" s="322"/>
      <c r="K189" s="322"/>
      <c r="L189" s="324">
        <f>'Inputs by customer type'!L154</f>
        <v>3190.255662387799</v>
      </c>
      <c r="M189" s="322"/>
      <c r="N189" s="324">
        <f>'Inputs by customer type'!N154</f>
        <v>20088.793168164731</v>
      </c>
      <c r="O189" s="324">
        <f>'Inputs by customer type'!O154</f>
        <v>2230.0087161737488</v>
      </c>
      <c r="P189" s="324">
        <f>'Inputs by customer type'!P154</f>
        <v>4807.9541198814377</v>
      </c>
      <c r="Q189" s="322"/>
      <c r="R189" s="322"/>
      <c r="S189" s="322"/>
      <c r="T189" s="322"/>
      <c r="U189" s="322"/>
      <c r="V189" s="322"/>
      <c r="W189" s="322"/>
      <c r="X189" s="322"/>
      <c r="Y189" s="322"/>
      <c r="AQ189" s="3"/>
    </row>
    <row r="190" spans="5:43" x14ac:dyDescent="0.3">
      <c r="E190" s="32"/>
      <c r="F190" s="72" t="s">
        <v>248</v>
      </c>
      <c r="G190" s="72" t="s">
        <v>206</v>
      </c>
      <c r="J190" s="322"/>
      <c r="K190" s="322"/>
      <c r="L190" s="324">
        <f>'Inputs by customer type'!L155</f>
        <v>4069.7684019029416</v>
      </c>
      <c r="M190" s="322"/>
      <c r="N190" s="324">
        <f>'Inputs by customer type'!N155</f>
        <v>28768.024752213423</v>
      </c>
      <c r="O190" s="324">
        <f>'Inputs by customer type'!O155</f>
        <v>3943.05670605461</v>
      </c>
      <c r="P190" s="324">
        <f>'Inputs by customer type'!P155</f>
        <v>8971.6077297631546</v>
      </c>
      <c r="Q190" s="322"/>
      <c r="R190" s="322"/>
      <c r="S190" s="322"/>
      <c r="T190" s="322"/>
      <c r="U190" s="322"/>
      <c r="V190" s="322"/>
      <c r="W190" s="322"/>
      <c r="X190" s="322"/>
      <c r="Y190" s="322"/>
      <c r="AQ190" s="3"/>
    </row>
    <row r="191" spans="5:43" x14ac:dyDescent="0.3">
      <c r="E191" s="32"/>
      <c r="F191" s="72" t="s">
        <v>211</v>
      </c>
      <c r="G191" s="72" t="s">
        <v>211</v>
      </c>
      <c r="J191" s="322"/>
      <c r="K191" s="322"/>
      <c r="L191" s="324">
        <f>'Inputs by customer type'!L156</f>
        <v>144.47463015405725</v>
      </c>
      <c r="M191" s="322"/>
      <c r="N191" s="324">
        <f>'Inputs by customer type'!N156</f>
        <v>77.608556901319218</v>
      </c>
      <c r="O191" s="324">
        <f>'Inputs by customer type'!O156</f>
        <v>3.573231461900539</v>
      </c>
      <c r="P191" s="324">
        <f>'Inputs by customer type'!P156</f>
        <v>2.2401518747033697</v>
      </c>
      <c r="Q191" s="322"/>
      <c r="R191" s="322"/>
      <c r="S191" s="322"/>
      <c r="T191" s="322"/>
      <c r="U191" s="322"/>
      <c r="V191" s="322"/>
      <c r="W191" s="322"/>
      <c r="X191" s="322"/>
      <c r="Y191" s="322"/>
      <c r="AQ191" s="3"/>
    </row>
    <row r="192" spans="5:43" x14ac:dyDescent="0.3">
      <c r="E192" s="32"/>
      <c r="F192" s="72" t="s">
        <v>249</v>
      </c>
      <c r="G192" s="72" t="s">
        <v>250</v>
      </c>
      <c r="J192" s="322"/>
      <c r="K192" s="322"/>
      <c r="L192" s="324">
        <f>'Inputs by customer type'!L157</f>
        <v>0</v>
      </c>
      <c r="M192" s="322"/>
      <c r="N192" s="324">
        <f>'Inputs by customer type'!N157</f>
        <v>49756.676333752061</v>
      </c>
      <c r="O192" s="324">
        <f>'Inputs by customer type'!O157</f>
        <v>5378.7944078374467</v>
      </c>
      <c r="P192" s="324">
        <f>'Inputs by customer type'!P157</f>
        <v>10732.767471496843</v>
      </c>
      <c r="Q192" s="322"/>
      <c r="R192" s="322"/>
      <c r="S192" s="322"/>
      <c r="T192" s="322"/>
      <c r="U192" s="322"/>
      <c r="V192" s="322"/>
      <c r="W192" s="322"/>
      <c r="X192" s="322"/>
      <c r="Y192" s="322"/>
      <c r="AQ192" s="3"/>
    </row>
    <row r="193" spans="4:43" x14ac:dyDescent="0.3">
      <c r="E193" s="32"/>
      <c r="F193" s="72" t="s">
        <v>251</v>
      </c>
      <c r="G193" s="72" t="s">
        <v>250</v>
      </c>
      <c r="J193" s="322"/>
      <c r="K193" s="322"/>
      <c r="L193" s="324">
        <f>'Inputs by customer type'!L158</f>
        <v>0</v>
      </c>
      <c r="M193" s="322"/>
      <c r="N193" s="324">
        <f>'Inputs by customer type'!N158</f>
        <v>77.139287408675273</v>
      </c>
      <c r="O193" s="324">
        <f>'Inputs by customer type'!O158</f>
        <v>5.7699650281839734</v>
      </c>
      <c r="P193" s="324">
        <f>'Inputs by customer type'!P158</f>
        <v>26.428914921649486</v>
      </c>
      <c r="Q193" s="322"/>
      <c r="R193" s="322"/>
      <c r="S193" s="322"/>
      <c r="T193" s="322"/>
      <c r="U193" s="322"/>
      <c r="V193" s="322"/>
      <c r="W193" s="322"/>
      <c r="X193" s="322"/>
      <c r="Y193" s="322"/>
      <c r="AQ193" s="3"/>
    </row>
    <row r="194" spans="4:43" x14ac:dyDescent="0.3">
      <c r="E194" s="32"/>
      <c r="F194" s="80" t="s">
        <v>252</v>
      </c>
      <c r="G194" s="80" t="s">
        <v>253</v>
      </c>
      <c r="H194" s="37"/>
      <c r="I194" s="37"/>
      <c r="J194" s="81"/>
      <c r="K194" s="81"/>
      <c r="L194" s="125">
        <f>'Inputs by customer type'!L159</f>
        <v>0</v>
      </c>
      <c r="M194" s="81"/>
      <c r="N194" s="125">
        <f>'Inputs by customer type'!N159</f>
        <v>3144.5125879479178</v>
      </c>
      <c r="O194" s="125">
        <f>'Inputs by customer type'!O159</f>
        <v>563.14301700696126</v>
      </c>
      <c r="P194" s="125">
        <f>'Inputs by customer type'!P159</f>
        <v>1313.130496213003</v>
      </c>
      <c r="Q194" s="81"/>
      <c r="R194" s="81"/>
      <c r="S194" s="81"/>
      <c r="T194" s="81"/>
      <c r="U194" s="81"/>
      <c r="V194" s="81"/>
      <c r="W194" s="81"/>
      <c r="X194" s="81"/>
      <c r="Y194" s="81"/>
      <c r="AQ194" s="3"/>
    </row>
    <row r="195" spans="4:43" x14ac:dyDescent="0.3">
      <c r="AQ195" s="3"/>
    </row>
    <row r="196" spans="4:43" x14ac:dyDescent="0.3">
      <c r="D196" s="29" t="s">
        <v>966</v>
      </c>
      <c r="AQ196" s="3"/>
    </row>
    <row r="197" spans="4:43" x14ac:dyDescent="0.3">
      <c r="AQ197" s="3"/>
    </row>
    <row r="198" spans="4:43" x14ac:dyDescent="0.3">
      <c r="E198" s="32" t="s">
        <v>244</v>
      </c>
      <c r="G198" s="13"/>
      <c r="I198" t="s">
        <v>153</v>
      </c>
      <c r="AA198" t="s">
        <v>245</v>
      </c>
    </row>
    <row r="199" spans="4:43" x14ac:dyDescent="0.3">
      <c r="E199" s="32"/>
      <c r="F199" s="78" t="s">
        <v>246</v>
      </c>
      <c r="G199" s="78" t="s">
        <v>206</v>
      </c>
      <c r="H199" s="23"/>
      <c r="I199" s="23"/>
      <c r="J199" s="126">
        <f t="shared" ref="J199:Y199" si="2">SUM( J67, J76, J85, J94, J58 )</f>
        <v>880894.32826876955</v>
      </c>
      <c r="K199" s="126">
        <f t="shared" si="2"/>
        <v>18.350451934590168</v>
      </c>
      <c r="L199" s="126">
        <f t="shared" si="2"/>
        <v>267656.38676237408</v>
      </c>
      <c r="M199" s="126">
        <f t="shared" si="2"/>
        <v>30.968009054504083</v>
      </c>
      <c r="N199" s="126">
        <f t="shared" si="2"/>
        <v>247378.57920721048</v>
      </c>
      <c r="O199" s="126">
        <f t="shared" si="2"/>
        <v>123605.79725300914</v>
      </c>
      <c r="P199" s="126">
        <f t="shared" si="2"/>
        <v>437659.63575961953</v>
      </c>
      <c r="Q199" s="126">
        <f t="shared" si="2"/>
        <v>9039.9057209388866</v>
      </c>
      <c r="R199" s="126">
        <f t="shared" si="2"/>
        <v>162.86490240768723</v>
      </c>
      <c r="S199" s="126">
        <f t="shared" si="2"/>
        <v>0</v>
      </c>
      <c r="T199" s="126">
        <f t="shared" si="2"/>
        <v>2814.8705870277408</v>
      </c>
      <c r="U199" s="126">
        <f t="shared" si="2"/>
        <v>0</v>
      </c>
      <c r="V199" s="126">
        <f t="shared" si="2"/>
        <v>359.61906314590294</v>
      </c>
      <c r="W199" s="126">
        <f t="shared" si="2"/>
        <v>0</v>
      </c>
      <c r="X199" s="126">
        <f t="shared" si="2"/>
        <v>134754.49574344291</v>
      </c>
      <c r="Y199" s="126">
        <f t="shared" si="2"/>
        <v>0</v>
      </c>
    </row>
    <row r="200" spans="4:43" x14ac:dyDescent="0.3">
      <c r="E200" s="32"/>
      <c r="F200" s="72" t="s">
        <v>247</v>
      </c>
      <c r="G200" s="72" t="s">
        <v>206</v>
      </c>
      <c r="J200" s="321">
        <f t="shared" ref="J200:Y200" si="3">SUM( J68, J77, J86, J95, J59 )</f>
        <v>2219285.745124469</v>
      </c>
      <c r="K200" s="321">
        <f t="shared" si="3"/>
        <v>442.08512771373279</v>
      </c>
      <c r="L200" s="321">
        <f t="shared" si="3"/>
        <v>961376.16201579839</v>
      </c>
      <c r="M200" s="321">
        <f t="shared" si="3"/>
        <v>924.22425525108804</v>
      </c>
      <c r="N200" s="321">
        <f t="shared" si="3"/>
        <v>892252.31657411065</v>
      </c>
      <c r="O200" s="321">
        <f t="shared" si="3"/>
        <v>454699.56788257457</v>
      </c>
      <c r="P200" s="321">
        <f t="shared" si="3"/>
        <v>1485878.4647084998</v>
      </c>
      <c r="Q200" s="411">
        <f t="shared" si="3"/>
        <v>30004.340243212198</v>
      </c>
      <c r="R200" s="411">
        <f t="shared" si="3"/>
        <v>602.4003628152069</v>
      </c>
      <c r="S200" s="411">
        <f t="shared" si="3"/>
        <v>0</v>
      </c>
      <c r="T200" s="321">
        <f t="shared" si="3"/>
        <v>10411.568347971635</v>
      </c>
      <c r="U200" s="321">
        <f t="shared" si="3"/>
        <v>0</v>
      </c>
      <c r="V200" s="321">
        <f t="shared" si="3"/>
        <v>1554.6705868586694</v>
      </c>
      <c r="W200" s="321">
        <f t="shared" si="3"/>
        <v>0</v>
      </c>
      <c r="X200" s="321">
        <f t="shared" si="3"/>
        <v>332893.45294245722</v>
      </c>
      <c r="Y200" s="321">
        <f t="shared" si="3"/>
        <v>0</v>
      </c>
    </row>
    <row r="201" spans="4:43" x14ac:dyDescent="0.3">
      <c r="E201" s="32"/>
      <c r="F201" s="72" t="s">
        <v>248</v>
      </c>
      <c r="G201" s="72" t="s">
        <v>206</v>
      </c>
      <c r="J201" s="321">
        <f t="shared" ref="J201:Y201" si="4">SUM( J69, J78, J87, J96, J60 )</f>
        <v>4076714.4467384536</v>
      </c>
      <c r="K201" s="321">
        <f t="shared" si="4"/>
        <v>4114.2867134426042</v>
      </c>
      <c r="L201" s="321">
        <f t="shared" si="4"/>
        <v>1226415.2909883673</v>
      </c>
      <c r="M201" s="321">
        <f t="shared" si="4"/>
        <v>14603.793923010659</v>
      </c>
      <c r="N201" s="321">
        <f t="shared" si="4"/>
        <v>1158752.1376952573</v>
      </c>
      <c r="O201" s="321">
        <f t="shared" si="4"/>
        <v>625409.26543506305</v>
      </c>
      <c r="P201" s="321">
        <f t="shared" si="4"/>
        <v>2472466.3221518858</v>
      </c>
      <c r="Q201" s="411">
        <f t="shared" si="4"/>
        <v>155047.29553545482</v>
      </c>
      <c r="R201" s="411">
        <f t="shared" si="4"/>
        <v>1012.2920957316472</v>
      </c>
      <c r="S201" s="411">
        <f t="shared" si="4"/>
        <v>0</v>
      </c>
      <c r="T201" s="321">
        <f t="shared" si="4"/>
        <v>17495.919646473743</v>
      </c>
      <c r="U201" s="321">
        <f t="shared" si="4"/>
        <v>0</v>
      </c>
      <c r="V201" s="321">
        <f t="shared" si="4"/>
        <v>2113.8817344775266</v>
      </c>
      <c r="W201" s="321">
        <f t="shared" si="4"/>
        <v>0</v>
      </c>
      <c r="X201" s="321">
        <f t="shared" si="4"/>
        <v>476929.11411067331</v>
      </c>
      <c r="Y201" s="321">
        <f t="shared" si="4"/>
        <v>0</v>
      </c>
    </row>
    <row r="202" spans="4:43" x14ac:dyDescent="0.3">
      <c r="E202" s="32"/>
      <c r="F202" s="72" t="s">
        <v>211</v>
      </c>
      <c r="G202" s="72" t="s">
        <v>211</v>
      </c>
      <c r="J202" s="321">
        <f t="shared" ref="J202:Y202" si="5">SUM( J70, J79, J88, J97, J61 )</f>
        <v>2209768.4645891488</v>
      </c>
      <c r="K202" s="321">
        <f t="shared" si="5"/>
        <v>1739.8559938586122</v>
      </c>
      <c r="L202" s="321">
        <f t="shared" si="5"/>
        <v>161625.84994522849</v>
      </c>
      <c r="M202" s="321">
        <f t="shared" si="5"/>
        <v>2930.0356035322934</v>
      </c>
      <c r="N202" s="321">
        <f t="shared" si="5"/>
        <v>13502.420622609596</v>
      </c>
      <c r="O202" s="321">
        <f t="shared" si="5"/>
        <v>2200.6306611608024</v>
      </c>
      <c r="P202" s="321">
        <f t="shared" si="5"/>
        <v>2114.609858747162</v>
      </c>
      <c r="Q202" s="321">
        <f t="shared" si="5"/>
        <v>609.61643835616439</v>
      </c>
      <c r="R202" s="321">
        <f t="shared" si="5"/>
        <v>397.9095890410959</v>
      </c>
      <c r="S202" s="321">
        <f t="shared" si="5"/>
        <v>0</v>
      </c>
      <c r="T202" s="321">
        <f t="shared" si="5"/>
        <v>258.48493150684931</v>
      </c>
      <c r="U202" s="321">
        <f t="shared" si="5"/>
        <v>0</v>
      </c>
      <c r="V202" s="321">
        <f t="shared" si="5"/>
        <v>42</v>
      </c>
      <c r="W202" s="321">
        <f t="shared" si="5"/>
        <v>0</v>
      </c>
      <c r="X202" s="321">
        <f t="shared" si="5"/>
        <v>280</v>
      </c>
      <c r="Y202" s="321">
        <f t="shared" si="5"/>
        <v>0</v>
      </c>
    </row>
    <row r="203" spans="4:43" x14ac:dyDescent="0.3">
      <c r="E203" s="32"/>
      <c r="F203" s="72" t="s">
        <v>249</v>
      </c>
      <c r="G203" s="72" t="s">
        <v>250</v>
      </c>
      <c r="J203" s="79"/>
      <c r="K203" s="79"/>
      <c r="L203" s="79"/>
      <c r="M203" s="79"/>
      <c r="N203" s="321">
        <f t="shared" ref="N203:P205" si="6">SUM( N71, N80, N89, N98, N62 )</f>
        <v>1489384.3969515495</v>
      </c>
      <c r="O203" s="321">
        <f t="shared" si="6"/>
        <v>687232.56115518801</v>
      </c>
      <c r="P203" s="321">
        <f t="shared" si="6"/>
        <v>1836382.4990181862</v>
      </c>
      <c r="Q203" s="79"/>
      <c r="R203" s="79"/>
      <c r="S203" s="79"/>
      <c r="T203" s="79"/>
      <c r="U203" s="79"/>
      <c r="V203" s="79"/>
      <c r="W203" s="79"/>
      <c r="X203" s="79"/>
      <c r="Y203" s="79"/>
    </row>
    <row r="204" spans="4:43" x14ac:dyDescent="0.3">
      <c r="E204" s="32"/>
      <c r="F204" s="72" t="s">
        <v>251</v>
      </c>
      <c r="G204" s="72" t="s">
        <v>250</v>
      </c>
      <c r="J204" s="79"/>
      <c r="K204" s="79"/>
      <c r="L204" s="79"/>
      <c r="M204" s="79"/>
      <c r="N204" s="321">
        <f t="shared" si="6"/>
        <v>31833.338788561836</v>
      </c>
      <c r="O204" s="321">
        <f t="shared" si="6"/>
        <v>6366.4839268776614</v>
      </c>
      <c r="P204" s="321">
        <f t="shared" si="6"/>
        <v>16242.2939565531</v>
      </c>
      <c r="Q204" s="79"/>
      <c r="R204" s="79"/>
      <c r="S204" s="79"/>
      <c r="T204" s="79"/>
      <c r="U204" s="79"/>
      <c r="V204" s="79"/>
      <c r="W204" s="79"/>
      <c r="X204" s="79"/>
      <c r="Y204" s="79"/>
    </row>
    <row r="205" spans="4:43" x14ac:dyDescent="0.3">
      <c r="E205" s="32"/>
      <c r="F205" s="80" t="s">
        <v>252</v>
      </c>
      <c r="G205" s="80" t="s">
        <v>253</v>
      </c>
      <c r="H205" s="37"/>
      <c r="I205" s="37"/>
      <c r="J205" s="81"/>
      <c r="K205" s="81"/>
      <c r="L205" s="81"/>
      <c r="M205" s="81"/>
      <c r="N205" s="100">
        <f t="shared" si="6"/>
        <v>186870.64095515004</v>
      </c>
      <c r="O205" s="100">
        <f t="shared" si="6"/>
        <v>90839.454873788549</v>
      </c>
      <c r="P205" s="100">
        <f t="shared" si="6"/>
        <v>335985.79004469741</v>
      </c>
      <c r="Q205" s="81"/>
      <c r="R205" s="81"/>
      <c r="S205" s="81"/>
      <c r="T205" s="100">
        <f>SUM( T73, T82, T91, T100, T64 )</f>
        <v>2939.5815003992957</v>
      </c>
      <c r="U205" s="81"/>
      <c r="V205" s="100">
        <f>SUM( V73, V82, V91, V100, V64 )</f>
        <v>658.09713031219098</v>
      </c>
      <c r="W205" s="81"/>
      <c r="X205" s="100">
        <f>SUM( X73, X82, X91, X100, X64 )</f>
        <v>12290.739308282646</v>
      </c>
      <c r="Y205" s="81"/>
    </row>
    <row r="206" spans="4:43" s="252" customFormat="1" x14ac:dyDescent="0.3">
      <c r="E206" s="253"/>
      <c r="F206" s="235"/>
      <c r="G206" s="235"/>
      <c r="J206" s="254"/>
      <c r="K206" s="254"/>
      <c r="L206" s="254"/>
      <c r="M206" s="254"/>
      <c r="N206" s="255"/>
      <c r="O206" s="255"/>
      <c r="P206" s="255"/>
      <c r="Q206" s="254"/>
      <c r="R206" s="254"/>
      <c r="S206" s="254"/>
      <c r="T206" s="255"/>
      <c r="U206" s="254"/>
      <c r="V206" s="255"/>
      <c r="W206" s="254"/>
      <c r="X206" s="255"/>
      <c r="Y206" s="254"/>
    </row>
    <row r="207" spans="4:43" x14ac:dyDescent="0.3">
      <c r="E207" s="32" t="s">
        <v>254</v>
      </c>
      <c r="G207" s="80"/>
      <c r="H207" s="37"/>
      <c r="I207" t="s">
        <v>153</v>
      </c>
      <c r="J207" s="82"/>
      <c r="K207" s="82"/>
      <c r="L207" s="82"/>
      <c r="M207" s="82"/>
      <c r="N207" s="82"/>
      <c r="O207" s="82"/>
      <c r="P207" s="82"/>
      <c r="Q207" s="82"/>
      <c r="R207" s="82"/>
      <c r="S207" s="82"/>
      <c r="T207" s="82"/>
      <c r="U207" s="82"/>
      <c r="V207" s="82"/>
      <c r="W207" s="82"/>
      <c r="X207" s="82"/>
      <c r="Y207" s="82"/>
      <c r="AA207" t="s">
        <v>245</v>
      </c>
    </row>
    <row r="208" spans="4:43" x14ac:dyDescent="0.3">
      <c r="E208" s="32"/>
      <c r="F208" s="78" t="s">
        <v>246</v>
      </c>
      <c r="G208" s="72" t="s">
        <v>206</v>
      </c>
      <c r="I208" s="23"/>
      <c r="J208" s="126">
        <f t="shared" ref="J208:N211" si="7">SUM( J114, J123, J132, J141, J105 )</f>
        <v>17617.880855232706</v>
      </c>
      <c r="K208" s="126">
        <f t="shared" si="7"/>
        <v>0</v>
      </c>
      <c r="L208" s="126">
        <f t="shared" si="7"/>
        <v>825.14763139853017</v>
      </c>
      <c r="M208" s="126">
        <f t="shared" si="7"/>
        <v>0</v>
      </c>
      <c r="N208" s="126">
        <f t="shared" si="7"/>
        <v>510.12419029142586</v>
      </c>
      <c r="O208" s="83"/>
      <c r="P208" s="83"/>
      <c r="Q208" s="126">
        <f t="shared" ref="Q208:R211" si="8">SUM( Q114, Q123, Q132, Q141, Q105 )</f>
        <v>11.706974816638677</v>
      </c>
      <c r="R208" s="126">
        <f t="shared" si="8"/>
        <v>0</v>
      </c>
      <c r="S208" s="83"/>
      <c r="T208" s="126">
        <f>SUM( T114, T123, T132, T141, T105 )</f>
        <v>0</v>
      </c>
      <c r="U208" s="83"/>
      <c r="V208" s="83"/>
      <c r="W208" s="83"/>
      <c r="X208" s="83"/>
      <c r="Y208" s="83"/>
    </row>
    <row r="209" spans="5:27" x14ac:dyDescent="0.3">
      <c r="E209" s="32"/>
      <c r="F209" s="72" t="s">
        <v>247</v>
      </c>
      <c r="G209" s="72" t="s">
        <v>206</v>
      </c>
      <c r="J209" s="321">
        <f t="shared" si="7"/>
        <v>44385.700516611476</v>
      </c>
      <c r="K209" s="321">
        <f t="shared" si="7"/>
        <v>0</v>
      </c>
      <c r="L209" s="321">
        <f t="shared" si="7"/>
        <v>2963.7897775053607</v>
      </c>
      <c r="M209" s="321">
        <f t="shared" si="7"/>
        <v>0</v>
      </c>
      <c r="N209" s="321">
        <f t="shared" si="7"/>
        <v>1752.6019966255099</v>
      </c>
      <c r="O209" s="79"/>
      <c r="P209" s="79"/>
      <c r="Q209" s="411">
        <f t="shared" si="8"/>
        <v>38.856606082022459</v>
      </c>
      <c r="R209" s="411">
        <f t="shared" si="8"/>
        <v>0</v>
      </c>
      <c r="S209" s="79"/>
      <c r="T209" s="321">
        <f>SUM( T115, T124, T133, T142, T106 )</f>
        <v>0</v>
      </c>
      <c r="U209" s="79"/>
      <c r="V209" s="79"/>
      <c r="W209" s="79"/>
      <c r="X209" s="79"/>
      <c r="Y209" s="79"/>
    </row>
    <row r="210" spans="5:27" x14ac:dyDescent="0.3">
      <c r="E210" s="32"/>
      <c r="F210" s="72" t="s">
        <v>248</v>
      </c>
      <c r="G210" s="72" t="s">
        <v>206</v>
      </c>
      <c r="J210" s="321">
        <f t="shared" si="7"/>
        <v>81534.262508646862</v>
      </c>
      <c r="K210" s="321">
        <f t="shared" si="7"/>
        <v>0</v>
      </c>
      <c r="L210" s="321">
        <f t="shared" si="7"/>
        <v>3780.8687650275378</v>
      </c>
      <c r="M210" s="321">
        <f t="shared" si="7"/>
        <v>0</v>
      </c>
      <c r="N210" s="321">
        <f t="shared" si="7"/>
        <v>2594.9723100448064</v>
      </c>
      <c r="O210" s="79"/>
      <c r="P210" s="79"/>
      <c r="Q210" s="411">
        <f t="shared" si="8"/>
        <v>200.79134011510283</v>
      </c>
      <c r="R210" s="411">
        <f t="shared" si="8"/>
        <v>0</v>
      </c>
      <c r="S210" s="79"/>
      <c r="T210" s="321">
        <f>SUM( T116, T125, T134, T143, T107 )</f>
        <v>0</v>
      </c>
      <c r="U210" s="79"/>
      <c r="V210" s="79"/>
      <c r="W210" s="79"/>
      <c r="X210" s="79"/>
      <c r="Y210" s="79"/>
    </row>
    <row r="211" spans="5:27" x14ac:dyDescent="0.3">
      <c r="E211" s="32"/>
      <c r="F211" s="72" t="s">
        <v>211</v>
      </c>
      <c r="G211" s="72" t="s">
        <v>211</v>
      </c>
      <c r="J211" s="321">
        <f t="shared" si="7"/>
        <v>52808.841615088189</v>
      </c>
      <c r="K211" s="321">
        <f t="shared" si="7"/>
        <v>0</v>
      </c>
      <c r="L211" s="321">
        <f t="shared" si="7"/>
        <v>1010.0849315068493</v>
      </c>
      <c r="M211" s="321">
        <f t="shared" si="7"/>
        <v>0</v>
      </c>
      <c r="N211" s="321">
        <f t="shared" si="7"/>
        <v>43</v>
      </c>
      <c r="O211" s="79"/>
      <c r="P211" s="79"/>
      <c r="Q211" s="321">
        <f t="shared" si="8"/>
        <v>74</v>
      </c>
      <c r="R211" s="321">
        <f t="shared" si="8"/>
        <v>0</v>
      </c>
      <c r="S211" s="79"/>
      <c r="T211" s="321">
        <f>SUM( T117, T126, T135, T144, T108 )</f>
        <v>0</v>
      </c>
      <c r="U211" s="79"/>
      <c r="V211" s="79"/>
      <c r="W211" s="79"/>
      <c r="X211" s="79"/>
      <c r="Y211" s="79"/>
    </row>
    <row r="212" spans="5:27" x14ac:dyDescent="0.3">
      <c r="E212" s="32"/>
      <c r="F212" s="72" t="s">
        <v>249</v>
      </c>
      <c r="G212" s="72" t="s">
        <v>250</v>
      </c>
      <c r="J212" s="79"/>
      <c r="K212" s="79"/>
      <c r="L212" s="79"/>
      <c r="M212" s="79"/>
      <c r="N212" s="321">
        <f>SUM( N118, N127, N136, N145, N109 )</f>
        <v>5479.8624886860125</v>
      </c>
      <c r="O212" s="79"/>
      <c r="P212" s="79"/>
      <c r="Q212" s="79"/>
      <c r="R212" s="79"/>
      <c r="S212" s="79"/>
      <c r="T212" s="79"/>
      <c r="U212" s="79"/>
      <c r="V212" s="79"/>
      <c r="W212" s="79"/>
      <c r="X212" s="79"/>
      <c r="Y212" s="79"/>
    </row>
    <row r="213" spans="5:27" x14ac:dyDescent="0.3">
      <c r="E213" s="32"/>
      <c r="F213" s="72" t="s">
        <v>251</v>
      </c>
      <c r="G213" s="72" t="s">
        <v>250</v>
      </c>
      <c r="J213" s="79"/>
      <c r="K213" s="79"/>
      <c r="L213" s="79"/>
      <c r="M213" s="79"/>
      <c r="N213" s="321">
        <f>SUM( N119, N128, N137, N146, N110 )</f>
        <v>56.52138527605959</v>
      </c>
      <c r="O213" s="79"/>
      <c r="P213" s="79"/>
      <c r="Q213" s="79"/>
      <c r="R213" s="79"/>
      <c r="S213" s="79"/>
      <c r="T213" s="79"/>
      <c r="U213" s="79"/>
      <c r="V213" s="79"/>
      <c r="W213" s="79"/>
      <c r="X213" s="79"/>
      <c r="Y213" s="79"/>
    </row>
    <row r="214" spans="5:27" x14ac:dyDescent="0.3">
      <c r="E214" s="32"/>
      <c r="F214" s="80" t="s">
        <v>252</v>
      </c>
      <c r="G214" s="80" t="s">
        <v>253</v>
      </c>
      <c r="H214" s="37"/>
      <c r="I214" s="37"/>
      <c r="J214" s="81"/>
      <c r="K214" s="81"/>
      <c r="L214" s="81"/>
      <c r="M214" s="81"/>
      <c r="N214" s="100">
        <f>SUM( N120, N129, N138, N147, N111 )</f>
        <v>493.11440062148574</v>
      </c>
      <c r="O214" s="81"/>
      <c r="P214" s="81"/>
      <c r="Q214" s="81"/>
      <c r="R214" s="81"/>
      <c r="S214" s="81"/>
      <c r="T214" s="100">
        <f>SUM( T120, T129, T138, T147, T111 )</f>
        <v>0</v>
      </c>
      <c r="U214" s="81"/>
      <c r="V214" s="81"/>
      <c r="W214" s="81"/>
      <c r="X214" s="81"/>
      <c r="Y214" s="81"/>
    </row>
    <row r="215" spans="5:27" s="252" customFormat="1" x14ac:dyDescent="0.3">
      <c r="E215" s="253"/>
      <c r="F215" s="235"/>
      <c r="G215" s="235"/>
      <c r="J215" s="254"/>
      <c r="K215" s="254"/>
      <c r="L215" s="254"/>
      <c r="M215" s="254"/>
      <c r="N215" s="255"/>
      <c r="O215" s="254"/>
      <c r="P215" s="254"/>
      <c r="Q215" s="254"/>
      <c r="R215" s="254"/>
      <c r="S215" s="254"/>
      <c r="T215" s="255"/>
      <c r="U215" s="254"/>
      <c r="V215" s="254"/>
      <c r="W215" s="254"/>
      <c r="X215" s="254"/>
      <c r="Y215" s="254"/>
    </row>
    <row r="216" spans="5:27" x14ac:dyDescent="0.3">
      <c r="E216" s="32" t="s">
        <v>255</v>
      </c>
      <c r="G216" s="80"/>
      <c r="H216" s="37"/>
      <c r="I216" t="s">
        <v>153</v>
      </c>
      <c r="J216" s="82"/>
      <c r="K216" s="82"/>
      <c r="L216" s="82"/>
      <c r="M216" s="82"/>
      <c r="N216" s="82"/>
      <c r="O216" s="82"/>
      <c r="P216" s="82"/>
      <c r="Q216" s="82"/>
      <c r="R216" s="82"/>
      <c r="S216" s="82"/>
      <c r="T216" s="82"/>
      <c r="U216" s="82"/>
      <c r="V216" s="82"/>
      <c r="W216" s="82"/>
      <c r="X216" s="82"/>
      <c r="Y216" s="82"/>
      <c r="AA216" t="s">
        <v>245</v>
      </c>
    </row>
    <row r="217" spans="5:27" x14ac:dyDescent="0.3">
      <c r="F217" s="78" t="s">
        <v>246</v>
      </c>
      <c r="G217" s="72" t="s">
        <v>206</v>
      </c>
      <c r="I217" s="23"/>
      <c r="J217" s="126">
        <f t="shared" ref="J217:T217" si="9">SUM( J161, J170, J179, J188, J152 )</f>
        <v>20406.995946034098</v>
      </c>
      <c r="K217" s="126">
        <f t="shared" si="9"/>
        <v>0</v>
      </c>
      <c r="L217" s="126">
        <f t="shared" si="9"/>
        <v>1471.6601249626106</v>
      </c>
      <c r="M217" s="126">
        <f t="shared" si="9"/>
        <v>0</v>
      </c>
      <c r="N217" s="126">
        <f t="shared" si="9"/>
        <v>15124.540000914845</v>
      </c>
      <c r="O217" s="126">
        <f t="shared" si="9"/>
        <v>1697.8156341045546</v>
      </c>
      <c r="P217" s="126">
        <f t="shared" si="9"/>
        <v>3475.8130674027066</v>
      </c>
      <c r="Q217" s="126">
        <f t="shared" si="9"/>
        <v>0.80750664611319134</v>
      </c>
      <c r="R217" s="126">
        <f t="shared" si="9"/>
        <v>0</v>
      </c>
      <c r="S217" s="126">
        <f t="shared" si="9"/>
        <v>0</v>
      </c>
      <c r="T217" s="126">
        <f t="shared" si="9"/>
        <v>0</v>
      </c>
      <c r="U217" s="83"/>
      <c r="V217" s="126">
        <f>SUM( V161, V170, V179, V188, V152 )</f>
        <v>0</v>
      </c>
      <c r="W217" s="83"/>
      <c r="X217" s="126">
        <f>SUM( X161, X170, X179, X188, X152 )</f>
        <v>0</v>
      </c>
      <c r="Y217" s="83"/>
    </row>
    <row r="218" spans="5:27" x14ac:dyDescent="0.3">
      <c r="F218" s="72" t="s">
        <v>247</v>
      </c>
      <c r="G218" s="72" t="s">
        <v>206</v>
      </c>
      <c r="J218" s="321">
        <f t="shared" ref="J218:T218" si="10">SUM( J162, J171, J180, J189, J153 )</f>
        <v>51412.47224607876</v>
      </c>
      <c r="K218" s="321">
        <f t="shared" si="10"/>
        <v>0</v>
      </c>
      <c r="L218" s="321">
        <f t="shared" si="10"/>
        <v>5285.9525597060529</v>
      </c>
      <c r="M218" s="321">
        <f t="shared" si="10"/>
        <v>0</v>
      </c>
      <c r="N218" s="321">
        <f t="shared" si="10"/>
        <v>51808.277868665733</v>
      </c>
      <c r="O218" s="321">
        <f t="shared" si="10"/>
        <v>5751.112585506844</v>
      </c>
      <c r="P218" s="321">
        <f t="shared" si="10"/>
        <v>11402.139890867096</v>
      </c>
      <c r="Q218" s="411">
        <f t="shared" si="10"/>
        <v>2.6801943412435212</v>
      </c>
      <c r="R218" s="411">
        <f t="shared" si="10"/>
        <v>0</v>
      </c>
      <c r="S218" s="411">
        <f t="shared" si="10"/>
        <v>0</v>
      </c>
      <c r="T218" s="321">
        <f t="shared" si="10"/>
        <v>0</v>
      </c>
      <c r="U218" s="79"/>
      <c r="V218" s="321">
        <f>SUM( V162, V171, V180, V189, V153 )</f>
        <v>0</v>
      </c>
      <c r="W218" s="79"/>
      <c r="X218" s="321">
        <f>SUM( X162, X171, X180, X189, X153 )</f>
        <v>0</v>
      </c>
      <c r="Y218" s="79"/>
    </row>
    <row r="219" spans="5:27" x14ac:dyDescent="0.3">
      <c r="F219" s="72" t="s">
        <v>248</v>
      </c>
      <c r="G219" s="72" t="s">
        <v>206</v>
      </c>
      <c r="J219" s="321">
        <f t="shared" ref="J219:T219" si="11">SUM( J163, J172, J181, J190, J154 )</f>
        <v>94442.082912749902</v>
      </c>
      <c r="K219" s="321">
        <f t="shared" si="11"/>
        <v>0</v>
      </c>
      <c r="L219" s="321">
        <f t="shared" si="11"/>
        <v>6743.2221671376046</v>
      </c>
      <c r="M219" s="321">
        <f t="shared" si="11"/>
        <v>0</v>
      </c>
      <c r="N219" s="321">
        <f t="shared" si="11"/>
        <v>74191.705177055614</v>
      </c>
      <c r="O219" s="321">
        <f t="shared" si="11"/>
        <v>10169.001978820506</v>
      </c>
      <c r="P219" s="321">
        <f t="shared" si="11"/>
        <v>21276.310844510852</v>
      </c>
      <c r="Q219" s="411">
        <f t="shared" si="11"/>
        <v>13.849892407257586</v>
      </c>
      <c r="R219" s="411">
        <f t="shared" si="11"/>
        <v>0</v>
      </c>
      <c r="S219" s="411">
        <f t="shared" si="11"/>
        <v>0</v>
      </c>
      <c r="T219" s="321">
        <f t="shared" si="11"/>
        <v>0</v>
      </c>
      <c r="U219" s="79"/>
      <c r="V219" s="321">
        <f>SUM( V163, V172, V181, V190, V154 )</f>
        <v>0</v>
      </c>
      <c r="W219" s="79"/>
      <c r="X219" s="321">
        <f>SUM( X163, X172, X181, X190, X154 )</f>
        <v>0</v>
      </c>
      <c r="Y219" s="79"/>
    </row>
    <row r="220" spans="5:27" x14ac:dyDescent="0.3">
      <c r="F220" s="72" t="s">
        <v>211</v>
      </c>
      <c r="G220" s="72" t="s">
        <v>211</v>
      </c>
      <c r="J220" s="321">
        <f t="shared" ref="J220:T220" si="12">SUM( J164, J173, J182, J191, J155 )</f>
        <v>58864.02895910322</v>
      </c>
      <c r="K220" s="321">
        <f t="shared" si="12"/>
        <v>0</v>
      </c>
      <c r="L220" s="321">
        <f t="shared" si="12"/>
        <v>915.90958904109584</v>
      </c>
      <c r="M220" s="321">
        <f t="shared" si="12"/>
        <v>0</v>
      </c>
      <c r="N220" s="321">
        <f t="shared" si="12"/>
        <v>586.42465753424653</v>
      </c>
      <c r="O220" s="321">
        <f t="shared" si="12"/>
        <v>27</v>
      </c>
      <c r="P220" s="321">
        <f t="shared" si="12"/>
        <v>20</v>
      </c>
      <c r="Q220" s="321">
        <f t="shared" si="12"/>
        <v>7</v>
      </c>
      <c r="R220" s="321">
        <f t="shared" si="12"/>
        <v>0</v>
      </c>
      <c r="S220" s="321">
        <f t="shared" si="12"/>
        <v>0</v>
      </c>
      <c r="T220" s="321">
        <f t="shared" si="12"/>
        <v>0</v>
      </c>
      <c r="U220" s="79"/>
      <c r="V220" s="321">
        <f>SUM( V164, V173, V182, V191, V155 )</f>
        <v>0</v>
      </c>
      <c r="W220" s="79"/>
      <c r="X220" s="321">
        <f>SUM( X164, X173, X182, X191, X155 )</f>
        <v>0</v>
      </c>
      <c r="Y220" s="79"/>
    </row>
    <row r="221" spans="5:27" x14ac:dyDescent="0.3">
      <c r="F221" s="72" t="s">
        <v>249</v>
      </c>
      <c r="G221" s="72" t="s">
        <v>250</v>
      </c>
      <c r="J221" s="79"/>
      <c r="K221" s="79"/>
      <c r="L221" s="79"/>
      <c r="M221" s="79"/>
      <c r="N221" s="321">
        <f t="shared" ref="N221:P223" si="13">SUM( N165, N174, N183, N192, N156 )</f>
        <v>128320.68565499567</v>
      </c>
      <c r="O221" s="321">
        <f t="shared" si="13"/>
        <v>13871.718074198587</v>
      </c>
      <c r="P221" s="321">
        <f t="shared" si="13"/>
        <v>25452.929265717015</v>
      </c>
      <c r="Q221" s="79"/>
      <c r="R221" s="79"/>
      <c r="S221" s="79"/>
      <c r="T221" s="79"/>
      <c r="U221" s="79"/>
      <c r="V221" s="79"/>
      <c r="W221" s="79"/>
      <c r="X221" s="79"/>
      <c r="Y221" s="79"/>
    </row>
    <row r="222" spans="5:27" x14ac:dyDescent="0.3">
      <c r="F222" s="72" t="s">
        <v>251</v>
      </c>
      <c r="G222" s="72" t="s">
        <v>250</v>
      </c>
      <c r="J222" s="79"/>
      <c r="K222" s="79"/>
      <c r="L222" s="79"/>
      <c r="M222" s="79"/>
      <c r="N222" s="321">
        <f t="shared" si="13"/>
        <v>198.9394585929038</v>
      </c>
      <c r="O222" s="321">
        <f t="shared" si="13"/>
        <v>14.880533089780863</v>
      </c>
      <c r="P222" s="321">
        <f t="shared" si="13"/>
        <v>62.676593325708225</v>
      </c>
      <c r="Q222" s="79"/>
      <c r="R222" s="79"/>
      <c r="S222" s="79"/>
      <c r="T222" s="79"/>
      <c r="U222" s="79"/>
      <c r="V222" s="79"/>
      <c r="W222" s="79"/>
      <c r="X222" s="79"/>
      <c r="Y222" s="79"/>
    </row>
    <row r="223" spans="5:27" x14ac:dyDescent="0.3">
      <c r="F223" s="80" t="s">
        <v>252</v>
      </c>
      <c r="G223" s="80" t="s">
        <v>253</v>
      </c>
      <c r="H223" s="37"/>
      <c r="I223" s="37"/>
      <c r="J223" s="81"/>
      <c r="K223" s="81"/>
      <c r="L223" s="81"/>
      <c r="M223" s="81"/>
      <c r="N223" s="100">
        <f t="shared" si="13"/>
        <v>8109.5853072992832</v>
      </c>
      <c r="O223" s="100">
        <f t="shared" si="13"/>
        <v>1452.3256653929107</v>
      </c>
      <c r="P223" s="100">
        <f t="shared" si="13"/>
        <v>3114.109918576678</v>
      </c>
      <c r="Q223" s="81"/>
      <c r="R223" s="81"/>
      <c r="S223" s="81"/>
      <c r="T223" s="100">
        <f>SUM( T167, T176, T185, T194, T158 )</f>
        <v>0</v>
      </c>
      <c r="U223" s="81"/>
      <c r="V223" s="100">
        <f>SUM( V167, V176, V185, V194, V158 )</f>
        <v>0</v>
      </c>
      <c r="W223" s="81"/>
      <c r="X223" s="100">
        <f>SUM( X167, X176, X185, X194, X158 )</f>
        <v>0</v>
      </c>
      <c r="Y223" s="81"/>
    </row>
    <row r="224" spans="5:27" x14ac:dyDescent="0.3">
      <c r="G224" s="13"/>
    </row>
    <row r="225" spans="3:43" x14ac:dyDescent="0.3">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3">
      <c r="C226" s="32"/>
      <c r="AQ226" s="3"/>
    </row>
    <row r="227" spans="3:43" x14ac:dyDescent="0.3">
      <c r="C227" s="29" t="s">
        <v>445</v>
      </c>
      <c r="AQ227" s="3"/>
    </row>
    <row r="228" spans="3:43" x14ac:dyDescent="0.3">
      <c r="C228" s="32"/>
      <c r="AQ228" s="3"/>
    </row>
    <row r="229" spans="3:43" x14ac:dyDescent="0.3">
      <c r="C229" s="29"/>
      <c r="E229" s="32" t="s">
        <v>155</v>
      </c>
      <c r="I229" t="s">
        <v>153</v>
      </c>
      <c r="AA229" t="s">
        <v>308</v>
      </c>
      <c r="AQ229" s="3"/>
    </row>
    <row r="230" spans="3:43" x14ac:dyDescent="0.3">
      <c r="C230" s="29"/>
      <c r="E230" s="32"/>
      <c r="AQ230" s="3"/>
    </row>
    <row r="231" spans="3:43" x14ac:dyDescent="0.3">
      <c r="F231" s="28" t="s">
        <v>446</v>
      </c>
      <c r="G231" s="28" t="s">
        <v>206</v>
      </c>
      <c r="J231" s="98">
        <f t="shared" ref="J231:Y231" si="14">J$199</f>
        <v>880894.32826876955</v>
      </c>
      <c r="K231" s="98">
        <f t="shared" si="14"/>
        <v>18.350451934590168</v>
      </c>
      <c r="L231" s="98">
        <f t="shared" si="14"/>
        <v>267656.38676237408</v>
      </c>
      <c r="M231" s="98">
        <f t="shared" si="14"/>
        <v>30.968009054504083</v>
      </c>
      <c r="N231" s="98">
        <f t="shared" si="14"/>
        <v>247378.57920721048</v>
      </c>
      <c r="O231" s="98">
        <f t="shared" si="14"/>
        <v>123605.79725300914</v>
      </c>
      <c r="P231" s="98">
        <f t="shared" si="14"/>
        <v>437659.63575961953</v>
      </c>
      <c r="Q231" s="98">
        <f t="shared" si="14"/>
        <v>9039.9057209388866</v>
      </c>
      <c r="R231" s="98">
        <f t="shared" si="14"/>
        <v>162.86490240768723</v>
      </c>
      <c r="S231" s="98">
        <f t="shared" si="14"/>
        <v>0</v>
      </c>
      <c r="T231" s="98">
        <f t="shared" si="14"/>
        <v>2814.8705870277408</v>
      </c>
      <c r="U231" s="98">
        <f t="shared" si="14"/>
        <v>0</v>
      </c>
      <c r="V231" s="98">
        <f t="shared" si="14"/>
        <v>359.61906314590294</v>
      </c>
      <c r="W231" s="98">
        <f t="shared" si="14"/>
        <v>0</v>
      </c>
      <c r="X231" s="98">
        <f t="shared" si="14"/>
        <v>134754.49574344291</v>
      </c>
      <c r="Y231" s="98">
        <f t="shared" si="14"/>
        <v>0</v>
      </c>
      <c r="AQ231" s="3"/>
    </row>
    <row r="232" spans="3:43" x14ac:dyDescent="0.3">
      <c r="F232" s="28" t="s">
        <v>447</v>
      </c>
      <c r="G232" s="28" t="s">
        <v>206</v>
      </c>
      <c r="J232" s="98">
        <f t="shared" ref="J232:Y232" si="15">J$208</f>
        <v>17617.880855232706</v>
      </c>
      <c r="K232" s="98">
        <f t="shared" si="15"/>
        <v>0</v>
      </c>
      <c r="L232" s="98">
        <f t="shared" si="15"/>
        <v>825.14763139853017</v>
      </c>
      <c r="M232" s="98">
        <f t="shared" si="15"/>
        <v>0</v>
      </c>
      <c r="N232" s="98">
        <f t="shared" si="15"/>
        <v>510.12419029142586</v>
      </c>
      <c r="O232" s="98">
        <f t="shared" si="15"/>
        <v>0</v>
      </c>
      <c r="P232" s="98">
        <f t="shared" si="15"/>
        <v>0</v>
      </c>
      <c r="Q232" s="98">
        <f t="shared" si="15"/>
        <v>11.706974816638677</v>
      </c>
      <c r="R232" s="98">
        <f t="shared" si="15"/>
        <v>0</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3">
      <c r="F233" s="28" t="s">
        <v>448</v>
      </c>
      <c r="G233" s="28" t="s">
        <v>206</v>
      </c>
      <c r="J233" s="98">
        <f t="shared" ref="J233:Y233" si="16">J$217</f>
        <v>20406.995946034098</v>
      </c>
      <c r="K233" s="98">
        <f t="shared" si="16"/>
        <v>0</v>
      </c>
      <c r="L233" s="98">
        <f t="shared" si="16"/>
        <v>1471.6601249626106</v>
      </c>
      <c r="M233" s="98">
        <f t="shared" si="16"/>
        <v>0</v>
      </c>
      <c r="N233" s="98">
        <f t="shared" si="16"/>
        <v>15124.540000914845</v>
      </c>
      <c r="O233" s="98">
        <f t="shared" si="16"/>
        <v>1697.8156341045546</v>
      </c>
      <c r="P233" s="98">
        <f t="shared" si="16"/>
        <v>3475.8130674027066</v>
      </c>
      <c r="Q233" s="98">
        <f t="shared" si="16"/>
        <v>0.80750664611319134</v>
      </c>
      <c r="R233" s="98">
        <f t="shared" si="16"/>
        <v>0</v>
      </c>
      <c r="S233" s="98">
        <f t="shared" si="16"/>
        <v>0</v>
      </c>
      <c r="T233" s="98">
        <f t="shared" si="16"/>
        <v>0</v>
      </c>
      <c r="U233" s="98">
        <f t="shared" si="16"/>
        <v>0</v>
      </c>
      <c r="V233" s="98">
        <f t="shared" si="16"/>
        <v>0</v>
      </c>
      <c r="W233" s="98">
        <f t="shared" si="16"/>
        <v>0</v>
      </c>
      <c r="X233" s="98">
        <f t="shared" si="16"/>
        <v>0</v>
      </c>
      <c r="Y233" s="98">
        <f t="shared" si="16"/>
        <v>0</v>
      </c>
      <c r="AQ233" s="3"/>
    </row>
    <row r="234" spans="3:43" x14ac:dyDescent="0.3">
      <c r="F234" s="28" t="s">
        <v>449</v>
      </c>
      <c r="G234" s="28" t="s">
        <v>166</v>
      </c>
      <c r="J234" s="323">
        <f>IF(J$39, J$45, J$34)</f>
        <v>0.34865983505227499</v>
      </c>
      <c r="K234" s="323">
        <f t="shared" ref="K234:Y234" si="17">IF(K$39, K$45, K$34)</f>
        <v>0.34865983505227499</v>
      </c>
      <c r="L234" s="323">
        <f t="shared" si="17"/>
        <v>0.34865983505227499</v>
      </c>
      <c r="M234" s="323">
        <f t="shared" si="17"/>
        <v>0.34865983505227499</v>
      </c>
      <c r="N234" s="323">
        <f t="shared" si="17"/>
        <v>0.34865983505227499</v>
      </c>
      <c r="O234" s="323">
        <f t="shared" si="17"/>
        <v>0</v>
      </c>
      <c r="P234" s="323">
        <f t="shared" si="17"/>
        <v>0</v>
      </c>
      <c r="Q234" s="323">
        <f t="shared" si="17"/>
        <v>0.34865983505227499</v>
      </c>
      <c r="R234" s="323">
        <f t="shared" si="17"/>
        <v>0</v>
      </c>
      <c r="S234" s="323">
        <f t="shared" si="17"/>
        <v>0</v>
      </c>
      <c r="T234" s="323">
        <f t="shared" si="17"/>
        <v>0</v>
      </c>
      <c r="U234" s="323">
        <f t="shared" si="17"/>
        <v>0</v>
      </c>
      <c r="V234" s="323">
        <f t="shared" si="17"/>
        <v>0</v>
      </c>
      <c r="W234" s="323">
        <f t="shared" si="17"/>
        <v>0</v>
      </c>
      <c r="X234" s="323">
        <f t="shared" si="17"/>
        <v>0</v>
      </c>
      <c r="Y234" s="323">
        <f t="shared" si="17"/>
        <v>0</v>
      </c>
      <c r="AQ234" s="3"/>
    </row>
    <row r="235" spans="3:43" x14ac:dyDescent="0.3">
      <c r="F235" s="28" t="s">
        <v>450</v>
      </c>
      <c r="G235" s="28" t="s">
        <v>166</v>
      </c>
      <c r="J235" s="323">
        <f>IF(J$39, J$45, J$35)</f>
        <v>0.54319459284507854</v>
      </c>
      <c r="K235" s="323">
        <f t="shared" ref="K235:Y235" si="18">IF(K$39, K$45, K$35)</f>
        <v>0.54319459284507854</v>
      </c>
      <c r="L235" s="323">
        <f t="shared" si="18"/>
        <v>0.54319459284507854</v>
      </c>
      <c r="M235" s="323">
        <f t="shared" si="18"/>
        <v>0.54319459284507854</v>
      </c>
      <c r="N235" s="323">
        <f t="shared" si="18"/>
        <v>0.54319459284507854</v>
      </c>
      <c r="O235" s="323">
        <f t="shared" si="18"/>
        <v>0.27624476019334121</v>
      </c>
      <c r="P235" s="323">
        <f t="shared" si="18"/>
        <v>0.14407962362625185</v>
      </c>
      <c r="Q235" s="323">
        <f t="shared" si="18"/>
        <v>0.54319459284507854</v>
      </c>
      <c r="R235" s="323">
        <f t="shared" si="18"/>
        <v>0</v>
      </c>
      <c r="S235" s="323">
        <f t="shared" si="18"/>
        <v>0</v>
      </c>
      <c r="T235" s="323">
        <f t="shared" si="18"/>
        <v>0</v>
      </c>
      <c r="U235" s="323">
        <f t="shared" si="18"/>
        <v>0</v>
      </c>
      <c r="V235" s="323">
        <f t="shared" si="18"/>
        <v>0</v>
      </c>
      <c r="W235" s="323">
        <f t="shared" si="18"/>
        <v>0</v>
      </c>
      <c r="X235" s="323">
        <f t="shared" si="18"/>
        <v>0</v>
      </c>
      <c r="Y235" s="323">
        <f t="shared" si="18"/>
        <v>0</v>
      </c>
      <c r="AQ235" s="3"/>
    </row>
    <row r="236" spans="3:43" x14ac:dyDescent="0.3">
      <c r="F236" s="28" t="s">
        <v>451</v>
      </c>
      <c r="G236" s="28" t="s">
        <v>206</v>
      </c>
      <c r="J236" s="98">
        <f t="shared" ref="J236:Y236" si="19">J232 * (1 - J234)</f>
        <v>11475.233422276639</v>
      </c>
      <c r="K236" s="98">
        <f t="shared" si="19"/>
        <v>0</v>
      </c>
      <c r="L236" s="98">
        <f t="shared" si="19"/>
        <v>537.45179434134332</v>
      </c>
      <c r="M236" s="98">
        <f t="shared" si="19"/>
        <v>0</v>
      </c>
      <c r="N236" s="98">
        <f t="shared" si="19"/>
        <v>332.26437424824201</v>
      </c>
      <c r="O236" s="98">
        <f t="shared" si="19"/>
        <v>0</v>
      </c>
      <c r="P236" s="98">
        <f t="shared" si="19"/>
        <v>0</v>
      </c>
      <c r="Q236" s="98">
        <f t="shared" si="19"/>
        <v>7.6252229081082996</v>
      </c>
      <c r="R236" s="98">
        <f t="shared" si="19"/>
        <v>0</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3">
      <c r="F237" s="67" t="s">
        <v>452</v>
      </c>
      <c r="G237" s="67" t="s">
        <v>206</v>
      </c>
      <c r="H237" s="37"/>
      <c r="I237" s="37"/>
      <c r="J237" s="100">
        <f t="shared" ref="J237:Y237" si="20">J233 * (1 - J235)</f>
        <v>9322.0260919369375</v>
      </c>
      <c r="K237" s="100">
        <f t="shared" si="20"/>
        <v>0</v>
      </c>
      <c r="L237" s="100">
        <f t="shared" si="20"/>
        <v>672.26230257720795</v>
      </c>
      <c r="M237" s="100">
        <f t="shared" si="20"/>
        <v>0</v>
      </c>
      <c r="N237" s="100">
        <f t="shared" si="20"/>
        <v>6908.971653148802</v>
      </c>
      <c r="O237" s="100">
        <f t="shared" si="20"/>
        <v>1228.8029614088364</v>
      </c>
      <c r="P237" s="100">
        <f t="shared" si="20"/>
        <v>2975.0192288561166</v>
      </c>
      <c r="Q237" s="100">
        <f t="shared" si="20"/>
        <v>0.36887340225804144</v>
      </c>
      <c r="R237" s="100">
        <f t="shared" si="20"/>
        <v>0</v>
      </c>
      <c r="S237" s="100">
        <f t="shared" si="20"/>
        <v>0</v>
      </c>
      <c r="T237" s="100">
        <f t="shared" si="20"/>
        <v>0</v>
      </c>
      <c r="U237" s="100">
        <f t="shared" si="20"/>
        <v>0</v>
      </c>
      <c r="V237" s="100">
        <f t="shared" si="20"/>
        <v>0</v>
      </c>
      <c r="W237" s="100">
        <f t="shared" si="20"/>
        <v>0</v>
      </c>
      <c r="X237" s="100">
        <f t="shared" si="20"/>
        <v>0</v>
      </c>
      <c r="Y237" s="100">
        <f t="shared" si="20"/>
        <v>0</v>
      </c>
      <c r="AQ237" s="3"/>
    </row>
    <row r="238" spans="3:43" x14ac:dyDescent="0.3">
      <c r="F238" s="28" t="s">
        <v>453</v>
      </c>
      <c r="G238" s="28" t="s">
        <v>206</v>
      </c>
      <c r="J238" s="121">
        <f t="shared" ref="J238:Y238" si="21">J231 + J236 + J237</f>
        <v>901691.5877829832</v>
      </c>
      <c r="K238" s="121">
        <f t="shared" si="21"/>
        <v>18.350451934590168</v>
      </c>
      <c r="L238" s="121">
        <f t="shared" si="21"/>
        <v>268866.10085929261</v>
      </c>
      <c r="M238" s="121">
        <f t="shared" si="21"/>
        <v>30.968009054504083</v>
      </c>
      <c r="N238" s="121">
        <f t="shared" si="21"/>
        <v>254619.81523460752</v>
      </c>
      <c r="O238" s="121">
        <f t="shared" si="21"/>
        <v>124834.60021441797</v>
      </c>
      <c r="P238" s="121">
        <f t="shared" si="21"/>
        <v>440634.65498847567</v>
      </c>
      <c r="Q238" s="121">
        <f t="shared" si="21"/>
        <v>9047.8998172492538</v>
      </c>
      <c r="R238" s="121">
        <f t="shared" si="21"/>
        <v>162.86490240768723</v>
      </c>
      <c r="S238" s="121">
        <f t="shared" si="21"/>
        <v>0</v>
      </c>
      <c r="T238" s="121">
        <f t="shared" si="21"/>
        <v>2814.8705870277408</v>
      </c>
      <c r="U238" s="121">
        <f t="shared" si="21"/>
        <v>0</v>
      </c>
      <c r="V238" s="121">
        <f t="shared" si="21"/>
        <v>359.61906314590294</v>
      </c>
      <c r="W238" s="121">
        <f t="shared" si="21"/>
        <v>0</v>
      </c>
      <c r="X238" s="121">
        <f t="shared" si="21"/>
        <v>134754.49574344291</v>
      </c>
      <c r="Y238" s="121">
        <f t="shared" si="21"/>
        <v>0</v>
      </c>
      <c r="AQ238" s="3"/>
    </row>
    <row r="239" spans="3:43" x14ac:dyDescent="0.3">
      <c r="E239" s="32"/>
      <c r="J239" s="89"/>
      <c r="K239" s="89"/>
      <c r="L239" s="89"/>
      <c r="M239" s="89"/>
      <c r="N239" s="89"/>
      <c r="O239" s="89"/>
      <c r="P239" s="89"/>
      <c r="Q239" s="89"/>
      <c r="R239" s="89"/>
      <c r="S239" s="89"/>
      <c r="T239" s="89"/>
      <c r="U239" s="89"/>
      <c r="V239" s="89"/>
      <c r="W239" s="89"/>
      <c r="X239" s="89"/>
      <c r="Y239" s="89"/>
      <c r="AQ239" s="3"/>
    </row>
    <row r="240" spans="3:43" x14ac:dyDescent="0.3">
      <c r="E240" s="32" t="s">
        <v>156</v>
      </c>
      <c r="I240" t="s">
        <v>153</v>
      </c>
      <c r="J240" s="89"/>
      <c r="K240" s="89"/>
      <c r="L240" s="89"/>
      <c r="M240" s="89"/>
      <c r="N240" s="89"/>
      <c r="O240" s="89"/>
      <c r="P240" s="89"/>
      <c r="Q240" s="89"/>
      <c r="R240" s="89"/>
      <c r="S240" s="89"/>
      <c r="T240" s="89"/>
      <c r="U240" s="89"/>
      <c r="V240" s="89"/>
      <c r="W240" s="89"/>
      <c r="X240" s="89"/>
      <c r="Y240" s="89"/>
      <c r="AA240" t="s">
        <v>308</v>
      </c>
      <c r="AQ240" s="3"/>
    </row>
    <row r="241" spans="5:43" x14ac:dyDescent="0.3">
      <c r="E241" s="32"/>
      <c r="J241" s="89"/>
      <c r="K241" s="89"/>
      <c r="L241" s="89"/>
      <c r="M241" s="89"/>
      <c r="N241" s="89"/>
      <c r="O241" s="89"/>
      <c r="P241" s="89"/>
      <c r="Q241" s="89"/>
      <c r="R241" s="89"/>
      <c r="S241" s="89"/>
      <c r="T241" s="89"/>
      <c r="U241" s="89"/>
      <c r="V241" s="89"/>
      <c r="W241" s="89"/>
      <c r="X241" s="89"/>
      <c r="Y241" s="89"/>
      <c r="AQ241" s="3"/>
    </row>
    <row r="242" spans="5:43" x14ac:dyDescent="0.3">
      <c r="F242" s="28" t="s">
        <v>446</v>
      </c>
      <c r="G242" s="28" t="s">
        <v>206</v>
      </c>
      <c r="J242" s="98">
        <f t="shared" ref="J242:Y242" si="22">J$200</f>
        <v>2219285.745124469</v>
      </c>
      <c r="K242" s="98">
        <f t="shared" si="22"/>
        <v>442.08512771373279</v>
      </c>
      <c r="L242" s="98">
        <f t="shared" si="22"/>
        <v>961376.16201579839</v>
      </c>
      <c r="M242" s="98">
        <f t="shared" si="22"/>
        <v>924.22425525108804</v>
      </c>
      <c r="N242" s="98">
        <f t="shared" si="22"/>
        <v>892252.31657411065</v>
      </c>
      <c r="O242" s="98">
        <f t="shared" si="22"/>
        <v>454699.56788257457</v>
      </c>
      <c r="P242" s="98">
        <f t="shared" si="22"/>
        <v>1485878.4647084998</v>
      </c>
      <c r="Q242" s="98">
        <f t="shared" si="22"/>
        <v>30004.340243212198</v>
      </c>
      <c r="R242" s="98">
        <f t="shared" si="22"/>
        <v>602.4003628152069</v>
      </c>
      <c r="S242" s="98">
        <f t="shared" si="22"/>
        <v>0</v>
      </c>
      <c r="T242" s="98">
        <f t="shared" si="22"/>
        <v>10411.568347971635</v>
      </c>
      <c r="U242" s="98">
        <f t="shared" si="22"/>
        <v>0</v>
      </c>
      <c r="V242" s="98">
        <f t="shared" si="22"/>
        <v>1554.6705868586694</v>
      </c>
      <c r="W242" s="98">
        <f t="shared" si="22"/>
        <v>0</v>
      </c>
      <c r="X242" s="98">
        <f t="shared" si="22"/>
        <v>332893.45294245722</v>
      </c>
      <c r="Y242" s="98">
        <f t="shared" si="22"/>
        <v>0</v>
      </c>
      <c r="AQ242" s="3"/>
    </row>
    <row r="243" spans="5:43" x14ac:dyDescent="0.3">
      <c r="F243" s="28" t="s">
        <v>447</v>
      </c>
      <c r="G243" s="28" t="s">
        <v>206</v>
      </c>
      <c r="J243" s="98">
        <f t="shared" ref="J243:Y243" si="23">J$209</f>
        <v>44385.700516611476</v>
      </c>
      <c r="K243" s="98">
        <f t="shared" si="23"/>
        <v>0</v>
      </c>
      <c r="L243" s="98">
        <f t="shared" si="23"/>
        <v>2963.7897775053607</v>
      </c>
      <c r="M243" s="98">
        <f t="shared" si="23"/>
        <v>0</v>
      </c>
      <c r="N243" s="98">
        <f t="shared" si="23"/>
        <v>1752.6019966255099</v>
      </c>
      <c r="O243" s="98">
        <f t="shared" si="23"/>
        <v>0</v>
      </c>
      <c r="P243" s="98">
        <f t="shared" si="23"/>
        <v>0</v>
      </c>
      <c r="Q243" s="98">
        <f t="shared" si="23"/>
        <v>38.856606082022459</v>
      </c>
      <c r="R243" s="98">
        <f t="shared" si="23"/>
        <v>0</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3">
      <c r="F244" s="28" t="s">
        <v>448</v>
      </c>
      <c r="G244" s="28" t="s">
        <v>206</v>
      </c>
      <c r="J244" s="98">
        <f t="shared" ref="J244:Y244" si="24">J$218</f>
        <v>51412.47224607876</v>
      </c>
      <c r="K244" s="98">
        <f t="shared" si="24"/>
        <v>0</v>
      </c>
      <c r="L244" s="98">
        <f t="shared" si="24"/>
        <v>5285.9525597060529</v>
      </c>
      <c r="M244" s="98">
        <f t="shared" si="24"/>
        <v>0</v>
      </c>
      <c r="N244" s="98">
        <f t="shared" si="24"/>
        <v>51808.277868665733</v>
      </c>
      <c r="O244" s="98">
        <f t="shared" si="24"/>
        <v>5751.112585506844</v>
      </c>
      <c r="P244" s="98">
        <f t="shared" si="24"/>
        <v>11402.139890867096</v>
      </c>
      <c r="Q244" s="98">
        <f t="shared" si="24"/>
        <v>2.6801943412435212</v>
      </c>
      <c r="R244" s="98">
        <f t="shared" si="24"/>
        <v>0</v>
      </c>
      <c r="S244" s="98">
        <f t="shared" si="24"/>
        <v>0</v>
      </c>
      <c r="T244" s="98">
        <f t="shared" si="24"/>
        <v>0</v>
      </c>
      <c r="U244" s="98">
        <f t="shared" si="24"/>
        <v>0</v>
      </c>
      <c r="V244" s="98">
        <f t="shared" si="24"/>
        <v>0</v>
      </c>
      <c r="W244" s="98">
        <f t="shared" si="24"/>
        <v>0</v>
      </c>
      <c r="X244" s="98">
        <f t="shared" si="24"/>
        <v>0</v>
      </c>
      <c r="Y244" s="98">
        <f t="shared" si="24"/>
        <v>0</v>
      </c>
      <c r="AQ244" s="3"/>
    </row>
    <row r="245" spans="5:43" x14ac:dyDescent="0.3">
      <c r="F245" s="28" t="s">
        <v>449</v>
      </c>
      <c r="G245" s="28" t="s">
        <v>166</v>
      </c>
      <c r="J245" s="374">
        <f t="shared" ref="J245:Y245" si="25">IF(J$39, J$45, J$34)</f>
        <v>0.34865983505227499</v>
      </c>
      <c r="K245" s="374">
        <f t="shared" si="25"/>
        <v>0.34865983505227499</v>
      </c>
      <c r="L245" s="374">
        <f t="shared" si="25"/>
        <v>0.34865983505227499</v>
      </c>
      <c r="M245" s="374">
        <f t="shared" si="25"/>
        <v>0.34865983505227499</v>
      </c>
      <c r="N245" s="374">
        <f t="shared" si="25"/>
        <v>0.34865983505227499</v>
      </c>
      <c r="O245" s="374">
        <f t="shared" si="25"/>
        <v>0</v>
      </c>
      <c r="P245" s="374">
        <f t="shared" si="25"/>
        <v>0</v>
      </c>
      <c r="Q245" s="374">
        <f t="shared" si="25"/>
        <v>0.34865983505227499</v>
      </c>
      <c r="R245" s="374">
        <f t="shared" si="25"/>
        <v>0</v>
      </c>
      <c r="S245" s="374">
        <f t="shared" si="25"/>
        <v>0</v>
      </c>
      <c r="T245" s="374">
        <f t="shared" si="25"/>
        <v>0</v>
      </c>
      <c r="U245" s="374">
        <f t="shared" si="25"/>
        <v>0</v>
      </c>
      <c r="V245" s="374">
        <f t="shared" si="25"/>
        <v>0</v>
      </c>
      <c r="W245" s="374">
        <f t="shared" si="25"/>
        <v>0</v>
      </c>
      <c r="X245" s="374">
        <f t="shared" si="25"/>
        <v>0</v>
      </c>
      <c r="Y245" s="374">
        <f t="shared" si="25"/>
        <v>0</v>
      </c>
      <c r="AQ245" s="3"/>
    </row>
    <row r="246" spans="5:43" x14ac:dyDescent="0.3">
      <c r="F246" s="28" t="s">
        <v>450</v>
      </c>
      <c r="G246" s="28" t="s">
        <v>166</v>
      </c>
      <c r="J246" s="374">
        <f t="shared" ref="J246:Y246" si="26">IF(J$39, J$45, J$35)</f>
        <v>0.54319459284507854</v>
      </c>
      <c r="K246" s="374">
        <f t="shared" si="26"/>
        <v>0.54319459284507854</v>
      </c>
      <c r="L246" s="374">
        <f t="shared" si="26"/>
        <v>0.54319459284507854</v>
      </c>
      <c r="M246" s="374">
        <f t="shared" si="26"/>
        <v>0.54319459284507854</v>
      </c>
      <c r="N246" s="374">
        <f t="shared" si="26"/>
        <v>0.54319459284507854</v>
      </c>
      <c r="O246" s="374">
        <f t="shared" si="26"/>
        <v>0.27624476019334121</v>
      </c>
      <c r="P246" s="374">
        <f t="shared" si="26"/>
        <v>0.14407962362625185</v>
      </c>
      <c r="Q246" s="374">
        <f t="shared" si="26"/>
        <v>0.54319459284507854</v>
      </c>
      <c r="R246" s="374">
        <f t="shared" si="26"/>
        <v>0</v>
      </c>
      <c r="S246" s="374">
        <f t="shared" si="26"/>
        <v>0</v>
      </c>
      <c r="T246" s="374">
        <f t="shared" si="26"/>
        <v>0</v>
      </c>
      <c r="U246" s="374">
        <f t="shared" si="26"/>
        <v>0</v>
      </c>
      <c r="V246" s="374">
        <f t="shared" si="26"/>
        <v>0</v>
      </c>
      <c r="W246" s="374">
        <f t="shared" si="26"/>
        <v>0</v>
      </c>
      <c r="X246" s="374">
        <f t="shared" si="26"/>
        <v>0</v>
      </c>
      <c r="Y246" s="374">
        <f t="shared" si="26"/>
        <v>0</v>
      </c>
      <c r="AQ246" s="3"/>
    </row>
    <row r="247" spans="5:43" x14ac:dyDescent="0.3">
      <c r="F247" s="28" t="s">
        <v>451</v>
      </c>
      <c r="G247" s="28" t="s">
        <v>206</v>
      </c>
      <c r="J247" s="98">
        <f t="shared" ref="J247:Y247" si="27">J243 * (1 - J245)</f>
        <v>28910.189495810046</v>
      </c>
      <c r="K247" s="98">
        <f t="shared" si="27"/>
        <v>0</v>
      </c>
      <c r="L247" s="98">
        <f t="shared" si="27"/>
        <v>1930.435322550723</v>
      </c>
      <c r="M247" s="98">
        <f t="shared" si="27"/>
        <v>0</v>
      </c>
      <c r="N247" s="98">
        <f t="shared" si="27"/>
        <v>1141.5400735697719</v>
      </c>
      <c r="O247" s="98">
        <f t="shared" si="27"/>
        <v>0</v>
      </c>
      <c r="P247" s="98">
        <f t="shared" si="27"/>
        <v>0</v>
      </c>
      <c r="Q247" s="98">
        <f t="shared" si="27"/>
        <v>25.308868214773284</v>
      </c>
      <c r="R247" s="98">
        <f t="shared" si="27"/>
        <v>0</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3">
      <c r="F248" s="67" t="s">
        <v>452</v>
      </c>
      <c r="G248" s="67" t="s">
        <v>206</v>
      </c>
      <c r="H248" s="37"/>
      <c r="I248" s="37"/>
      <c r="J248" s="100">
        <f t="shared" ref="J248:Y248" si="28">J244 * (1 - J246)</f>
        <v>23485.495317211109</v>
      </c>
      <c r="K248" s="100">
        <f t="shared" si="28"/>
        <v>0</v>
      </c>
      <c r="L248" s="100">
        <f t="shared" si="28"/>
        <v>2414.651711238123</v>
      </c>
      <c r="M248" s="100">
        <f t="shared" si="28"/>
        <v>0</v>
      </c>
      <c r="N248" s="100">
        <f t="shared" si="28"/>
        <v>23666.301465791155</v>
      </c>
      <c r="O248" s="100">
        <f t="shared" si="28"/>
        <v>4162.3978684785989</v>
      </c>
      <c r="P248" s="100">
        <f t="shared" si="28"/>
        <v>9759.3238668570939</v>
      </c>
      <c r="Q248" s="100">
        <f t="shared" si="28"/>
        <v>1.2243272673060632</v>
      </c>
      <c r="R248" s="100">
        <f t="shared" si="28"/>
        <v>0</v>
      </c>
      <c r="S248" s="100">
        <f t="shared" si="28"/>
        <v>0</v>
      </c>
      <c r="T248" s="100">
        <f t="shared" si="28"/>
        <v>0</v>
      </c>
      <c r="U248" s="100">
        <f t="shared" si="28"/>
        <v>0</v>
      </c>
      <c r="V248" s="100">
        <f t="shared" si="28"/>
        <v>0</v>
      </c>
      <c r="W248" s="100">
        <f t="shared" si="28"/>
        <v>0</v>
      </c>
      <c r="X248" s="100">
        <f t="shared" si="28"/>
        <v>0</v>
      </c>
      <c r="Y248" s="100">
        <f t="shared" si="28"/>
        <v>0</v>
      </c>
      <c r="AQ248" s="3"/>
    </row>
    <row r="249" spans="5:43" x14ac:dyDescent="0.3">
      <c r="F249" s="28" t="s">
        <v>453</v>
      </c>
      <c r="G249" s="28" t="s">
        <v>206</v>
      </c>
      <c r="J249" s="121">
        <f t="shared" ref="J249:Y249" si="29">J242 + J247 + J248</f>
        <v>2271681.4299374898</v>
      </c>
      <c r="K249" s="121">
        <f t="shared" si="29"/>
        <v>442.08512771373279</v>
      </c>
      <c r="L249" s="121">
        <f t="shared" si="29"/>
        <v>965721.24904958718</v>
      </c>
      <c r="M249" s="121">
        <f t="shared" si="29"/>
        <v>924.22425525108804</v>
      </c>
      <c r="N249" s="121">
        <f t="shared" si="29"/>
        <v>917060.15811347158</v>
      </c>
      <c r="O249" s="121">
        <f t="shared" si="29"/>
        <v>458861.96575105318</v>
      </c>
      <c r="P249" s="121">
        <f t="shared" si="29"/>
        <v>1495637.7885753568</v>
      </c>
      <c r="Q249" s="121">
        <f t="shared" si="29"/>
        <v>30030.873438694278</v>
      </c>
      <c r="R249" s="121">
        <f t="shared" si="29"/>
        <v>602.4003628152069</v>
      </c>
      <c r="S249" s="121">
        <f t="shared" si="29"/>
        <v>0</v>
      </c>
      <c r="T249" s="121">
        <f t="shared" si="29"/>
        <v>10411.568347971635</v>
      </c>
      <c r="U249" s="121">
        <f t="shared" si="29"/>
        <v>0</v>
      </c>
      <c r="V249" s="121">
        <f t="shared" si="29"/>
        <v>1554.6705868586694</v>
      </c>
      <c r="W249" s="121">
        <f t="shared" si="29"/>
        <v>0</v>
      </c>
      <c r="X249" s="121">
        <f t="shared" si="29"/>
        <v>332893.45294245722</v>
      </c>
      <c r="Y249" s="121">
        <f t="shared" si="29"/>
        <v>0</v>
      </c>
      <c r="AQ249" s="3"/>
    </row>
    <row r="250" spans="5:43" x14ac:dyDescent="0.3">
      <c r="E250" s="32"/>
      <c r="J250" s="89"/>
      <c r="K250" s="89"/>
      <c r="L250" s="89"/>
      <c r="M250" s="89"/>
      <c r="N250" s="89"/>
      <c r="O250" s="89"/>
      <c r="P250" s="89"/>
      <c r="Q250" s="89"/>
      <c r="R250" s="89"/>
      <c r="S250" s="89"/>
      <c r="T250" s="89"/>
      <c r="U250" s="89"/>
      <c r="V250" s="89"/>
      <c r="W250" s="89"/>
      <c r="X250" s="89"/>
      <c r="Y250" s="89"/>
      <c r="AQ250" s="3"/>
    </row>
    <row r="251" spans="5:43" x14ac:dyDescent="0.3">
      <c r="E251" s="32" t="s">
        <v>157</v>
      </c>
      <c r="I251" t="s">
        <v>153</v>
      </c>
      <c r="J251" s="89"/>
      <c r="K251" s="89"/>
      <c r="L251" s="89"/>
      <c r="M251" s="89"/>
      <c r="N251" s="89"/>
      <c r="O251" s="89"/>
      <c r="P251" s="89"/>
      <c r="Q251" s="89"/>
      <c r="R251" s="89"/>
      <c r="S251" s="89"/>
      <c r="T251" s="89"/>
      <c r="U251" s="89"/>
      <c r="V251" s="89"/>
      <c r="W251" s="89"/>
      <c r="X251" s="89"/>
      <c r="Y251" s="89"/>
      <c r="AA251" t="s">
        <v>308</v>
      </c>
      <c r="AQ251" s="3"/>
    </row>
    <row r="252" spans="5:43" x14ac:dyDescent="0.3">
      <c r="E252" s="32"/>
      <c r="J252" s="89"/>
      <c r="K252" s="89"/>
      <c r="L252" s="89"/>
      <c r="M252" s="89"/>
      <c r="N252" s="89"/>
      <c r="O252" s="89"/>
      <c r="P252" s="89"/>
      <c r="Q252" s="89"/>
      <c r="R252" s="89"/>
      <c r="S252" s="89"/>
      <c r="T252" s="89"/>
      <c r="U252" s="89"/>
      <c r="V252" s="89"/>
      <c r="W252" s="89"/>
      <c r="X252" s="89"/>
      <c r="Y252" s="89"/>
      <c r="AQ252" s="3"/>
    </row>
    <row r="253" spans="5:43" x14ac:dyDescent="0.3">
      <c r="F253" s="28" t="s">
        <v>446</v>
      </c>
      <c r="G253" s="28" t="s">
        <v>206</v>
      </c>
      <c r="J253" s="98">
        <f t="shared" ref="J253:Y253" si="30">J$201</f>
        <v>4076714.4467384536</v>
      </c>
      <c r="K253" s="98">
        <f t="shared" si="30"/>
        <v>4114.2867134426042</v>
      </c>
      <c r="L253" s="98">
        <f t="shared" si="30"/>
        <v>1226415.2909883673</v>
      </c>
      <c r="M253" s="98">
        <f t="shared" si="30"/>
        <v>14603.793923010659</v>
      </c>
      <c r="N253" s="98">
        <f t="shared" si="30"/>
        <v>1158752.1376952573</v>
      </c>
      <c r="O253" s="98">
        <f t="shared" si="30"/>
        <v>625409.26543506305</v>
      </c>
      <c r="P253" s="98">
        <f t="shared" si="30"/>
        <v>2472466.3221518858</v>
      </c>
      <c r="Q253" s="98">
        <f t="shared" si="30"/>
        <v>155047.29553545482</v>
      </c>
      <c r="R253" s="98">
        <f t="shared" si="30"/>
        <v>1012.2920957316472</v>
      </c>
      <c r="S253" s="98">
        <f t="shared" si="30"/>
        <v>0</v>
      </c>
      <c r="T253" s="98">
        <f t="shared" si="30"/>
        <v>17495.919646473743</v>
      </c>
      <c r="U253" s="98">
        <f t="shared" si="30"/>
        <v>0</v>
      </c>
      <c r="V253" s="98">
        <f t="shared" si="30"/>
        <v>2113.8817344775266</v>
      </c>
      <c r="W253" s="98">
        <f t="shared" si="30"/>
        <v>0</v>
      </c>
      <c r="X253" s="98">
        <f t="shared" si="30"/>
        <v>476929.11411067331</v>
      </c>
      <c r="Y253" s="98">
        <f t="shared" si="30"/>
        <v>0</v>
      </c>
      <c r="AQ253" s="3"/>
    </row>
    <row r="254" spans="5:43" x14ac:dyDescent="0.3">
      <c r="F254" s="28" t="s">
        <v>447</v>
      </c>
      <c r="G254" s="28" t="s">
        <v>206</v>
      </c>
      <c r="J254" s="98">
        <f t="shared" ref="J254:Y254" si="31">J$210</f>
        <v>81534.262508646862</v>
      </c>
      <c r="K254" s="98">
        <f t="shared" si="31"/>
        <v>0</v>
      </c>
      <c r="L254" s="98">
        <f t="shared" si="31"/>
        <v>3780.8687650275378</v>
      </c>
      <c r="M254" s="98">
        <f t="shared" si="31"/>
        <v>0</v>
      </c>
      <c r="N254" s="98">
        <f t="shared" si="31"/>
        <v>2594.9723100448064</v>
      </c>
      <c r="O254" s="98">
        <f t="shared" si="31"/>
        <v>0</v>
      </c>
      <c r="P254" s="98">
        <f t="shared" si="31"/>
        <v>0</v>
      </c>
      <c r="Q254" s="98">
        <f t="shared" si="31"/>
        <v>200.79134011510283</v>
      </c>
      <c r="R254" s="98">
        <f t="shared" si="31"/>
        <v>0</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3">
      <c r="F255" s="28" t="s">
        <v>448</v>
      </c>
      <c r="G255" s="28" t="s">
        <v>206</v>
      </c>
      <c r="J255" s="98">
        <f t="shared" ref="J255:Y255" si="32">J$219</f>
        <v>94442.082912749902</v>
      </c>
      <c r="K255" s="98">
        <f t="shared" si="32"/>
        <v>0</v>
      </c>
      <c r="L255" s="98">
        <f t="shared" si="32"/>
        <v>6743.2221671376046</v>
      </c>
      <c r="M255" s="98">
        <f t="shared" si="32"/>
        <v>0</v>
      </c>
      <c r="N255" s="98">
        <f t="shared" si="32"/>
        <v>74191.705177055614</v>
      </c>
      <c r="O255" s="98">
        <f t="shared" si="32"/>
        <v>10169.001978820506</v>
      </c>
      <c r="P255" s="98">
        <f t="shared" si="32"/>
        <v>21276.310844510852</v>
      </c>
      <c r="Q255" s="98">
        <f t="shared" si="32"/>
        <v>13.849892407257586</v>
      </c>
      <c r="R255" s="98">
        <f t="shared" si="32"/>
        <v>0</v>
      </c>
      <c r="S255" s="98">
        <f t="shared" si="32"/>
        <v>0</v>
      </c>
      <c r="T255" s="98">
        <f t="shared" si="32"/>
        <v>0</v>
      </c>
      <c r="U255" s="98">
        <f t="shared" si="32"/>
        <v>0</v>
      </c>
      <c r="V255" s="98">
        <f t="shared" si="32"/>
        <v>0</v>
      </c>
      <c r="W255" s="98">
        <f t="shared" si="32"/>
        <v>0</v>
      </c>
      <c r="X255" s="98">
        <f t="shared" si="32"/>
        <v>0</v>
      </c>
      <c r="Y255" s="98">
        <f t="shared" si="32"/>
        <v>0</v>
      </c>
      <c r="AQ255" s="3"/>
    </row>
    <row r="256" spans="5:43" x14ac:dyDescent="0.3">
      <c r="F256" s="28" t="s">
        <v>449</v>
      </c>
      <c r="G256" s="28" t="s">
        <v>166</v>
      </c>
      <c r="J256" s="374">
        <f t="shared" ref="J256:Y256" si="33">IF(J$39, J$45, J$34)</f>
        <v>0.34865983505227499</v>
      </c>
      <c r="K256" s="374">
        <f t="shared" si="33"/>
        <v>0.34865983505227499</v>
      </c>
      <c r="L256" s="374">
        <f t="shared" si="33"/>
        <v>0.34865983505227499</v>
      </c>
      <c r="M256" s="374">
        <f t="shared" si="33"/>
        <v>0.34865983505227499</v>
      </c>
      <c r="N256" s="374">
        <f t="shared" si="33"/>
        <v>0.34865983505227499</v>
      </c>
      <c r="O256" s="374">
        <f t="shared" si="33"/>
        <v>0</v>
      </c>
      <c r="P256" s="374">
        <f t="shared" si="33"/>
        <v>0</v>
      </c>
      <c r="Q256" s="374">
        <f t="shared" si="33"/>
        <v>0.34865983505227499</v>
      </c>
      <c r="R256" s="374">
        <f t="shared" si="33"/>
        <v>0</v>
      </c>
      <c r="S256" s="374">
        <f t="shared" si="33"/>
        <v>0</v>
      </c>
      <c r="T256" s="374">
        <f t="shared" si="33"/>
        <v>0</v>
      </c>
      <c r="U256" s="374">
        <f t="shared" si="33"/>
        <v>0</v>
      </c>
      <c r="V256" s="374">
        <f t="shared" si="33"/>
        <v>0</v>
      </c>
      <c r="W256" s="374">
        <f t="shared" si="33"/>
        <v>0</v>
      </c>
      <c r="X256" s="374">
        <f t="shared" si="33"/>
        <v>0</v>
      </c>
      <c r="Y256" s="374">
        <f t="shared" si="33"/>
        <v>0</v>
      </c>
      <c r="AQ256" s="3"/>
    </row>
    <row r="257" spans="5:43" x14ac:dyDescent="0.3">
      <c r="F257" s="28" t="s">
        <v>450</v>
      </c>
      <c r="G257" s="28" t="s">
        <v>166</v>
      </c>
      <c r="J257" s="374">
        <f t="shared" ref="J257:Y257" si="34">IF(J$39, J$45, J$35)</f>
        <v>0.54319459284507854</v>
      </c>
      <c r="K257" s="374">
        <f t="shared" si="34"/>
        <v>0.54319459284507854</v>
      </c>
      <c r="L257" s="374">
        <f t="shared" si="34"/>
        <v>0.54319459284507854</v>
      </c>
      <c r="M257" s="374">
        <f t="shared" si="34"/>
        <v>0.54319459284507854</v>
      </c>
      <c r="N257" s="374">
        <f t="shared" si="34"/>
        <v>0.54319459284507854</v>
      </c>
      <c r="O257" s="374">
        <f t="shared" si="34"/>
        <v>0.27624476019334121</v>
      </c>
      <c r="P257" s="374">
        <f t="shared" si="34"/>
        <v>0.14407962362625185</v>
      </c>
      <c r="Q257" s="374">
        <f t="shared" si="34"/>
        <v>0.54319459284507854</v>
      </c>
      <c r="R257" s="374">
        <f t="shared" si="34"/>
        <v>0</v>
      </c>
      <c r="S257" s="374">
        <f t="shared" si="34"/>
        <v>0</v>
      </c>
      <c r="T257" s="374">
        <f t="shared" si="34"/>
        <v>0</v>
      </c>
      <c r="U257" s="374">
        <f t="shared" si="34"/>
        <v>0</v>
      </c>
      <c r="V257" s="374">
        <f t="shared" si="34"/>
        <v>0</v>
      </c>
      <c r="W257" s="374">
        <f t="shared" si="34"/>
        <v>0</v>
      </c>
      <c r="X257" s="374">
        <f t="shared" si="34"/>
        <v>0</v>
      </c>
      <c r="Y257" s="374">
        <f t="shared" si="34"/>
        <v>0</v>
      </c>
      <c r="AQ257" s="3"/>
    </row>
    <row r="258" spans="5:43" x14ac:dyDescent="0.3">
      <c r="F258" s="28" t="s">
        <v>451</v>
      </c>
      <c r="G258" s="28" t="s">
        <v>206</v>
      </c>
      <c r="J258" s="98">
        <f t="shared" ref="J258:Y258" si="35">J254 * (1 - J256)</f>
        <v>53106.539991273159</v>
      </c>
      <c r="K258" s="98">
        <f t="shared" si="35"/>
        <v>0</v>
      </c>
      <c r="L258" s="98">
        <f t="shared" si="35"/>
        <v>2462.6316850587382</v>
      </c>
      <c r="M258" s="98">
        <f t="shared" si="35"/>
        <v>0</v>
      </c>
      <c r="N258" s="98">
        <f t="shared" si="35"/>
        <v>1690.2096924593634</v>
      </c>
      <c r="O258" s="98">
        <f t="shared" si="35"/>
        <v>0</v>
      </c>
      <c r="P258" s="98">
        <f t="shared" si="35"/>
        <v>0</v>
      </c>
      <c r="Q258" s="98">
        <f t="shared" si="35"/>
        <v>130.78346459064585</v>
      </c>
      <c r="R258" s="98">
        <f t="shared" si="35"/>
        <v>0</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3">
      <c r="F259" s="67" t="s">
        <v>452</v>
      </c>
      <c r="G259" s="67" t="s">
        <v>206</v>
      </c>
      <c r="H259" s="37"/>
      <c r="I259" s="37"/>
      <c r="J259" s="100">
        <f t="shared" ref="J259:Y259" si="36">J255 * (1 - J257)</f>
        <v>43141.654137517573</v>
      </c>
      <c r="K259" s="100">
        <f t="shared" si="36"/>
        <v>0</v>
      </c>
      <c r="L259" s="100">
        <f t="shared" si="36"/>
        <v>3080.3403475953855</v>
      </c>
      <c r="M259" s="100">
        <f t="shared" si="36"/>
        <v>0</v>
      </c>
      <c r="N259" s="100">
        <f t="shared" si="36"/>
        <v>33891.172090922781</v>
      </c>
      <c r="O259" s="100">
        <f t="shared" si="36"/>
        <v>7359.868465775623</v>
      </c>
      <c r="P259" s="100">
        <f t="shared" si="36"/>
        <v>18210.82798587859</v>
      </c>
      <c r="Q259" s="100">
        <f t="shared" si="36"/>
        <v>6.3267057401491567</v>
      </c>
      <c r="R259" s="100">
        <f t="shared" si="36"/>
        <v>0</v>
      </c>
      <c r="S259" s="100">
        <f t="shared" si="36"/>
        <v>0</v>
      </c>
      <c r="T259" s="100">
        <f t="shared" si="36"/>
        <v>0</v>
      </c>
      <c r="U259" s="100">
        <f t="shared" si="36"/>
        <v>0</v>
      </c>
      <c r="V259" s="100">
        <f t="shared" si="36"/>
        <v>0</v>
      </c>
      <c r="W259" s="100">
        <f t="shared" si="36"/>
        <v>0</v>
      </c>
      <c r="X259" s="100">
        <f t="shared" si="36"/>
        <v>0</v>
      </c>
      <c r="Y259" s="100">
        <f t="shared" si="36"/>
        <v>0</v>
      </c>
      <c r="AQ259" s="3"/>
    </row>
    <row r="260" spans="5:43" x14ac:dyDescent="0.3">
      <c r="F260" s="28" t="s">
        <v>453</v>
      </c>
      <c r="G260" s="28" t="s">
        <v>206</v>
      </c>
      <c r="J260" s="121">
        <f t="shared" ref="J260:Y260" si="37">J253 + J258 + J259</f>
        <v>4172962.6408672445</v>
      </c>
      <c r="K260" s="121">
        <f t="shared" si="37"/>
        <v>4114.2867134426042</v>
      </c>
      <c r="L260" s="121">
        <f t="shared" si="37"/>
        <v>1231958.2630210214</v>
      </c>
      <c r="M260" s="121">
        <f t="shared" si="37"/>
        <v>14603.793923010659</v>
      </c>
      <c r="N260" s="121">
        <f t="shared" si="37"/>
        <v>1194333.5194786394</v>
      </c>
      <c r="O260" s="121">
        <f t="shared" si="37"/>
        <v>632769.13390083867</v>
      </c>
      <c r="P260" s="121">
        <f t="shared" si="37"/>
        <v>2490677.1501377644</v>
      </c>
      <c r="Q260" s="121">
        <f t="shared" si="37"/>
        <v>155184.40570578561</v>
      </c>
      <c r="R260" s="121">
        <f t="shared" si="37"/>
        <v>1012.2920957316472</v>
      </c>
      <c r="S260" s="121">
        <f t="shared" si="37"/>
        <v>0</v>
      </c>
      <c r="T260" s="121">
        <f t="shared" si="37"/>
        <v>17495.919646473743</v>
      </c>
      <c r="U260" s="121">
        <f t="shared" si="37"/>
        <v>0</v>
      </c>
      <c r="V260" s="121">
        <f t="shared" si="37"/>
        <v>2113.8817344775266</v>
      </c>
      <c r="W260" s="121">
        <f t="shared" si="37"/>
        <v>0</v>
      </c>
      <c r="X260" s="121">
        <f t="shared" si="37"/>
        <v>476929.11411067331</v>
      </c>
      <c r="Y260" s="121">
        <f t="shared" si="37"/>
        <v>0</v>
      </c>
      <c r="AQ260" s="3"/>
    </row>
    <row r="261" spans="5:43" x14ac:dyDescent="0.3">
      <c r="E261" s="32"/>
      <c r="J261" s="89"/>
      <c r="K261" s="89"/>
      <c r="L261" s="89"/>
      <c r="M261" s="89"/>
      <c r="N261" s="89"/>
      <c r="O261" s="89"/>
      <c r="P261" s="89"/>
      <c r="Q261" s="89"/>
      <c r="R261" s="89"/>
      <c r="S261" s="89"/>
      <c r="T261" s="89"/>
      <c r="U261" s="89"/>
      <c r="V261" s="89"/>
      <c r="W261" s="89"/>
      <c r="X261" s="89"/>
      <c r="Y261" s="89"/>
      <c r="AQ261" s="3"/>
    </row>
    <row r="262" spans="5:43" x14ac:dyDescent="0.3">
      <c r="E262" s="32" t="s">
        <v>454</v>
      </c>
      <c r="I262" t="s">
        <v>153</v>
      </c>
      <c r="J262" s="89"/>
      <c r="K262" s="89"/>
      <c r="L262" s="89"/>
      <c r="M262" s="89"/>
      <c r="N262" s="89"/>
      <c r="O262" s="89"/>
      <c r="P262" s="89"/>
      <c r="Q262" s="89"/>
      <c r="R262" s="89"/>
      <c r="S262" s="89"/>
      <c r="T262" s="89"/>
      <c r="U262" s="89"/>
      <c r="V262" s="89"/>
      <c r="W262" s="89"/>
      <c r="X262" s="89"/>
      <c r="Y262" s="89"/>
      <c r="AQ262" s="3"/>
    </row>
    <row r="263" spans="5:43" x14ac:dyDescent="0.3">
      <c r="E263" s="32"/>
      <c r="J263" s="89"/>
      <c r="K263" s="89"/>
      <c r="L263" s="89"/>
      <c r="M263" s="89"/>
      <c r="N263" s="89"/>
      <c r="O263" s="89"/>
      <c r="P263" s="89"/>
      <c r="Q263" s="89"/>
      <c r="R263" s="89"/>
      <c r="S263" s="89"/>
      <c r="T263" s="89"/>
      <c r="U263" s="89"/>
      <c r="V263" s="89"/>
      <c r="W263" s="89"/>
      <c r="X263" s="89"/>
      <c r="Y263" s="89"/>
      <c r="AQ263" s="3"/>
    </row>
    <row r="264" spans="5:43" x14ac:dyDescent="0.3">
      <c r="F264" s="28" t="s">
        <v>453</v>
      </c>
      <c r="G264" s="28" t="s">
        <v>206</v>
      </c>
      <c r="J264" s="98">
        <f t="shared" ref="J264:Y264" si="38">J260 + J249 + J238</f>
        <v>7346335.6585877165</v>
      </c>
      <c r="K264" s="98">
        <f t="shared" si="38"/>
        <v>4574.7222930909265</v>
      </c>
      <c r="L264" s="98">
        <f t="shared" si="38"/>
        <v>2466545.6129299011</v>
      </c>
      <c r="M264" s="98">
        <f t="shared" si="38"/>
        <v>15558.986187316252</v>
      </c>
      <c r="N264" s="98">
        <f t="shared" si="38"/>
        <v>2366013.4928267184</v>
      </c>
      <c r="O264" s="98">
        <f t="shared" si="38"/>
        <v>1216465.6998663098</v>
      </c>
      <c r="P264" s="98">
        <f t="shared" si="38"/>
        <v>4426949.5937015973</v>
      </c>
      <c r="Q264" s="98">
        <f t="shared" si="38"/>
        <v>194263.17896172914</v>
      </c>
      <c r="R264" s="98">
        <f t="shared" si="38"/>
        <v>1777.5573609545413</v>
      </c>
      <c r="S264" s="98">
        <f t="shared" si="38"/>
        <v>0</v>
      </c>
      <c r="T264" s="98">
        <f t="shared" si="38"/>
        <v>30722.35858147312</v>
      </c>
      <c r="U264" s="98">
        <f t="shared" si="38"/>
        <v>0</v>
      </c>
      <c r="V264" s="98">
        <f t="shared" si="38"/>
        <v>4028.1713844820988</v>
      </c>
      <c r="W264" s="98">
        <f t="shared" si="38"/>
        <v>0</v>
      </c>
      <c r="X264" s="98">
        <f t="shared" si="38"/>
        <v>944577.0627965735</v>
      </c>
      <c r="Y264" s="98">
        <f t="shared" si="38"/>
        <v>0</v>
      </c>
      <c r="AQ264" s="3"/>
    </row>
    <row r="265" spans="5:43" x14ac:dyDescent="0.3">
      <c r="E265" s="32"/>
      <c r="J265" s="89"/>
      <c r="K265" s="89"/>
      <c r="L265" s="89"/>
      <c r="M265" s="89"/>
      <c r="N265" s="89"/>
      <c r="O265" s="89"/>
      <c r="P265" s="89"/>
      <c r="Q265" s="89"/>
      <c r="R265" s="89"/>
      <c r="S265" s="89"/>
      <c r="T265" s="89"/>
      <c r="U265" s="89"/>
      <c r="V265" s="89"/>
      <c r="W265" s="89"/>
      <c r="X265" s="89"/>
      <c r="Y265" s="89"/>
      <c r="AQ265" s="3"/>
    </row>
    <row r="266" spans="5:43" x14ac:dyDescent="0.3">
      <c r="E266" s="32" t="s">
        <v>211</v>
      </c>
      <c r="I266" t="s">
        <v>153</v>
      </c>
      <c r="J266" s="89"/>
      <c r="K266" s="89"/>
      <c r="L266" s="89"/>
      <c r="M266" s="89"/>
      <c r="N266" s="89"/>
      <c r="O266" s="89"/>
      <c r="P266" s="89"/>
      <c r="Q266" s="89"/>
      <c r="R266" s="89"/>
      <c r="S266" s="89"/>
      <c r="T266" s="89"/>
      <c r="U266" s="89"/>
      <c r="V266" s="89"/>
      <c r="W266" s="89"/>
      <c r="X266" s="89"/>
      <c r="Y266" s="89"/>
      <c r="AA266" t="s">
        <v>308</v>
      </c>
      <c r="AQ266" s="3"/>
    </row>
    <row r="267" spans="5:43" x14ac:dyDescent="0.3">
      <c r="E267" s="32"/>
      <c r="J267" s="89"/>
      <c r="K267" s="89"/>
      <c r="L267" s="89"/>
      <c r="M267" s="89"/>
      <c r="N267" s="89"/>
      <c r="O267" s="89"/>
      <c r="P267" s="89"/>
      <c r="Q267" s="89"/>
      <c r="R267" s="89"/>
      <c r="S267" s="89"/>
      <c r="T267" s="89"/>
      <c r="U267" s="89"/>
      <c r="V267" s="89"/>
      <c r="W267" s="89"/>
      <c r="X267" s="89"/>
      <c r="Y267" s="89"/>
      <c r="AQ267" s="3"/>
    </row>
    <row r="268" spans="5:43" x14ac:dyDescent="0.3">
      <c r="F268" s="28" t="s">
        <v>446</v>
      </c>
      <c r="G268" s="28" t="s">
        <v>211</v>
      </c>
      <c r="J268" s="98">
        <f t="shared" ref="J268:Y268" si="39">J202</f>
        <v>2209768.4645891488</v>
      </c>
      <c r="K268" s="98">
        <f t="shared" si="39"/>
        <v>1739.8559938586122</v>
      </c>
      <c r="L268" s="98">
        <f t="shared" si="39"/>
        <v>161625.84994522849</v>
      </c>
      <c r="M268" s="98">
        <f t="shared" si="39"/>
        <v>2930.0356035322934</v>
      </c>
      <c r="N268" s="98">
        <f t="shared" si="39"/>
        <v>13502.420622609596</v>
      </c>
      <c r="O268" s="98">
        <f t="shared" si="39"/>
        <v>2200.6306611608024</v>
      </c>
      <c r="P268" s="98">
        <f t="shared" si="39"/>
        <v>2114.609858747162</v>
      </c>
      <c r="Q268" s="98">
        <f t="shared" si="39"/>
        <v>609.61643835616439</v>
      </c>
      <c r="R268" s="98">
        <f t="shared" si="39"/>
        <v>397.9095890410959</v>
      </c>
      <c r="S268" s="98">
        <f t="shared" si="39"/>
        <v>0</v>
      </c>
      <c r="T268" s="98">
        <f t="shared" si="39"/>
        <v>258.48493150684931</v>
      </c>
      <c r="U268" s="98">
        <f t="shared" si="39"/>
        <v>0</v>
      </c>
      <c r="V268" s="98">
        <f t="shared" si="39"/>
        <v>42</v>
      </c>
      <c r="W268" s="98">
        <f t="shared" si="39"/>
        <v>0</v>
      </c>
      <c r="X268" s="98">
        <f t="shared" si="39"/>
        <v>280</v>
      </c>
      <c r="Y268" s="98">
        <f t="shared" si="39"/>
        <v>0</v>
      </c>
      <c r="AQ268" s="3"/>
    </row>
    <row r="269" spans="5:43" x14ac:dyDescent="0.3">
      <c r="F269" s="28" t="s">
        <v>447</v>
      </c>
      <c r="G269" s="28" t="s">
        <v>211</v>
      </c>
      <c r="J269" s="98">
        <f t="shared" ref="J269:Y269" si="40">J211</f>
        <v>52808.841615088189</v>
      </c>
      <c r="K269" s="98">
        <f t="shared" si="40"/>
        <v>0</v>
      </c>
      <c r="L269" s="98">
        <f t="shared" si="40"/>
        <v>1010.0849315068493</v>
      </c>
      <c r="M269" s="98">
        <f t="shared" si="40"/>
        <v>0</v>
      </c>
      <c r="N269" s="98">
        <f t="shared" si="40"/>
        <v>43</v>
      </c>
      <c r="O269" s="98">
        <f t="shared" si="40"/>
        <v>0</v>
      </c>
      <c r="P269" s="98">
        <f t="shared" si="40"/>
        <v>0</v>
      </c>
      <c r="Q269" s="98">
        <f t="shared" si="40"/>
        <v>74</v>
      </c>
      <c r="R269" s="98">
        <f t="shared" si="40"/>
        <v>0</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3">
      <c r="F270" s="28" t="s">
        <v>448</v>
      </c>
      <c r="G270" s="28" t="s">
        <v>211</v>
      </c>
      <c r="J270" s="98">
        <f t="shared" ref="J270:Y270" si="41">J220</f>
        <v>58864.02895910322</v>
      </c>
      <c r="K270" s="98">
        <f t="shared" si="41"/>
        <v>0</v>
      </c>
      <c r="L270" s="98">
        <f t="shared" si="41"/>
        <v>915.90958904109584</v>
      </c>
      <c r="M270" s="98">
        <f t="shared" si="41"/>
        <v>0</v>
      </c>
      <c r="N270" s="98">
        <f t="shared" si="41"/>
        <v>586.42465753424653</v>
      </c>
      <c r="O270" s="98">
        <f t="shared" si="41"/>
        <v>27</v>
      </c>
      <c r="P270" s="98">
        <f t="shared" si="41"/>
        <v>20</v>
      </c>
      <c r="Q270" s="98">
        <f t="shared" si="41"/>
        <v>7</v>
      </c>
      <c r="R270" s="98">
        <f t="shared" si="41"/>
        <v>0</v>
      </c>
      <c r="S270" s="98">
        <f t="shared" si="41"/>
        <v>0</v>
      </c>
      <c r="T270" s="98">
        <f t="shared" si="41"/>
        <v>0</v>
      </c>
      <c r="U270" s="98">
        <f t="shared" si="41"/>
        <v>0</v>
      </c>
      <c r="V270" s="98">
        <f t="shared" si="41"/>
        <v>0</v>
      </c>
      <c r="W270" s="98">
        <f t="shared" si="41"/>
        <v>0</v>
      </c>
      <c r="X270" s="98">
        <f t="shared" si="41"/>
        <v>0</v>
      </c>
      <c r="Y270" s="98">
        <f t="shared" si="41"/>
        <v>0</v>
      </c>
      <c r="AQ270" s="3"/>
    </row>
    <row r="271" spans="5:43" x14ac:dyDescent="0.3">
      <c r="F271" s="28" t="s">
        <v>449</v>
      </c>
      <c r="G271" s="28" t="s">
        <v>166</v>
      </c>
      <c r="J271" s="374">
        <f t="shared" ref="J271:Y271" si="42">IF(J$40, J$46, J$34)</f>
        <v>0.34865983505227499</v>
      </c>
      <c r="K271" s="374">
        <f t="shared" si="42"/>
        <v>0.34865983505227499</v>
      </c>
      <c r="L271" s="374">
        <f t="shared" si="42"/>
        <v>0.34865983505227499</v>
      </c>
      <c r="M271" s="374">
        <f t="shared" si="42"/>
        <v>0.34865983505227499</v>
      </c>
      <c r="N271" s="374">
        <f t="shared" si="42"/>
        <v>0.34865983505227499</v>
      </c>
      <c r="O271" s="374">
        <f t="shared" si="42"/>
        <v>0</v>
      </c>
      <c r="P271" s="374">
        <f t="shared" si="42"/>
        <v>0</v>
      </c>
      <c r="Q271" s="374">
        <f t="shared" si="42"/>
        <v>0.34865983505227499</v>
      </c>
      <c r="R271" s="374">
        <f t="shared" si="42"/>
        <v>1</v>
      </c>
      <c r="S271" s="374">
        <f t="shared" si="42"/>
        <v>1</v>
      </c>
      <c r="T271" s="374">
        <f t="shared" si="42"/>
        <v>1</v>
      </c>
      <c r="U271" s="374">
        <f t="shared" si="42"/>
        <v>1</v>
      </c>
      <c r="V271" s="374">
        <f t="shared" si="42"/>
        <v>1</v>
      </c>
      <c r="W271" s="374">
        <f t="shared" si="42"/>
        <v>1</v>
      </c>
      <c r="X271" s="374">
        <f t="shared" si="42"/>
        <v>1</v>
      </c>
      <c r="Y271" s="374">
        <f t="shared" si="42"/>
        <v>1</v>
      </c>
      <c r="AQ271" s="3"/>
    </row>
    <row r="272" spans="5:43" x14ac:dyDescent="0.3">
      <c r="F272" s="28" t="s">
        <v>450</v>
      </c>
      <c r="G272" s="28" t="s">
        <v>166</v>
      </c>
      <c r="J272" s="374">
        <f t="shared" ref="J272:Y272" si="43">IF(J$40, J$46, J$35)</f>
        <v>0.54319459284507854</v>
      </c>
      <c r="K272" s="374">
        <f t="shared" si="43"/>
        <v>0.54319459284507854</v>
      </c>
      <c r="L272" s="374">
        <f t="shared" si="43"/>
        <v>0.54319459284507854</v>
      </c>
      <c r="M272" s="374">
        <f t="shared" si="43"/>
        <v>0.54319459284507854</v>
      </c>
      <c r="N272" s="374">
        <f t="shared" si="43"/>
        <v>0.54319459284507854</v>
      </c>
      <c r="O272" s="374">
        <f t="shared" si="43"/>
        <v>0.27624476019334121</v>
      </c>
      <c r="P272" s="374">
        <f t="shared" si="43"/>
        <v>0.14407962362625185</v>
      </c>
      <c r="Q272" s="374">
        <f t="shared" si="43"/>
        <v>0.54319459284507854</v>
      </c>
      <c r="R272" s="374">
        <f t="shared" si="43"/>
        <v>1</v>
      </c>
      <c r="S272" s="374">
        <f t="shared" si="43"/>
        <v>1</v>
      </c>
      <c r="T272" s="374">
        <f t="shared" si="43"/>
        <v>1</v>
      </c>
      <c r="U272" s="374">
        <f t="shared" si="43"/>
        <v>1</v>
      </c>
      <c r="V272" s="374">
        <f t="shared" si="43"/>
        <v>1</v>
      </c>
      <c r="W272" s="374">
        <f t="shared" si="43"/>
        <v>1</v>
      </c>
      <c r="X272" s="374">
        <f t="shared" si="43"/>
        <v>1</v>
      </c>
      <c r="Y272" s="374">
        <f t="shared" si="43"/>
        <v>1</v>
      </c>
      <c r="AQ272" s="3"/>
    </row>
    <row r="273" spans="5:43" x14ac:dyDescent="0.3">
      <c r="F273" s="28" t="s">
        <v>451</v>
      </c>
      <c r="G273" s="28" t="s">
        <v>211</v>
      </c>
      <c r="J273" s="98">
        <f t="shared" ref="J273:Y273" si="44">J269 * (1 - J271)</f>
        <v>34396.519608269831</v>
      </c>
      <c r="K273" s="98">
        <f t="shared" si="44"/>
        <v>0</v>
      </c>
      <c r="L273" s="98">
        <f t="shared" si="44"/>
        <v>657.90888589888277</v>
      </c>
      <c r="M273" s="98">
        <f t="shared" si="44"/>
        <v>0</v>
      </c>
      <c r="N273" s="98">
        <f t="shared" si="44"/>
        <v>28.007627092752177</v>
      </c>
      <c r="O273" s="98">
        <f t="shared" si="44"/>
        <v>0</v>
      </c>
      <c r="P273" s="98">
        <f t="shared" si="44"/>
        <v>0</v>
      </c>
      <c r="Q273" s="98">
        <f t="shared" si="44"/>
        <v>48.199172206131657</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3">
      <c r="F274" s="67" t="s">
        <v>452</v>
      </c>
      <c r="G274" s="67" t="s">
        <v>211</v>
      </c>
      <c r="H274" s="37"/>
      <c r="I274" s="37"/>
      <c r="J274" s="100">
        <f t="shared" ref="J274:Y274" si="45">J270 * (1 - J272)</f>
        <v>26889.406715442234</v>
      </c>
      <c r="K274" s="100">
        <f t="shared" si="45"/>
        <v>0</v>
      </c>
      <c r="L274" s="100">
        <f t="shared" si="45"/>
        <v>418.39245273901457</v>
      </c>
      <c r="M274" s="100">
        <f t="shared" si="45"/>
        <v>0</v>
      </c>
      <c r="N274" s="100">
        <f t="shared" si="45"/>
        <v>267.88195445061689</v>
      </c>
      <c r="O274" s="100">
        <f t="shared" si="45"/>
        <v>19.541391474779786</v>
      </c>
      <c r="P274" s="100">
        <f t="shared" si="45"/>
        <v>17.118407527474965</v>
      </c>
      <c r="Q274" s="100">
        <f t="shared" si="45"/>
        <v>3.1976378500844502</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3">
      <c r="F275" s="28" t="s">
        <v>453</v>
      </c>
      <c r="G275" s="28" t="s">
        <v>211</v>
      </c>
      <c r="J275" s="121">
        <f t="shared" ref="J275:Y275" si="46">J268 + J273 + J274</f>
        <v>2271054.3909128611</v>
      </c>
      <c r="K275" s="121">
        <f t="shared" si="46"/>
        <v>1739.8559938586122</v>
      </c>
      <c r="L275" s="121">
        <f t="shared" si="46"/>
        <v>162702.15128386638</v>
      </c>
      <c r="M275" s="121">
        <f t="shared" si="46"/>
        <v>2930.0356035322934</v>
      </c>
      <c r="N275" s="121">
        <f t="shared" si="46"/>
        <v>13798.310204152966</v>
      </c>
      <c r="O275" s="121">
        <f t="shared" si="46"/>
        <v>2220.1720526355821</v>
      </c>
      <c r="P275" s="121">
        <f t="shared" si="46"/>
        <v>2131.728266274637</v>
      </c>
      <c r="Q275" s="121">
        <f t="shared" si="46"/>
        <v>661.01324841238045</v>
      </c>
      <c r="R275" s="121">
        <f t="shared" si="46"/>
        <v>397.9095890410959</v>
      </c>
      <c r="S275" s="121">
        <f t="shared" si="46"/>
        <v>0</v>
      </c>
      <c r="T275" s="121">
        <f t="shared" si="46"/>
        <v>258.48493150684931</v>
      </c>
      <c r="U275" s="121">
        <f t="shared" si="46"/>
        <v>0</v>
      </c>
      <c r="V275" s="121">
        <f t="shared" si="46"/>
        <v>42</v>
      </c>
      <c r="W275" s="121">
        <f t="shared" si="46"/>
        <v>0</v>
      </c>
      <c r="X275" s="121">
        <f t="shared" si="46"/>
        <v>280</v>
      </c>
      <c r="Y275" s="121">
        <f t="shared" si="46"/>
        <v>0</v>
      </c>
      <c r="AQ275" s="3"/>
    </row>
    <row r="276" spans="5:43" x14ac:dyDescent="0.3">
      <c r="E276" s="32"/>
      <c r="J276" s="89"/>
      <c r="K276" s="89"/>
      <c r="L276" s="89"/>
      <c r="M276" s="89"/>
      <c r="N276" s="89"/>
      <c r="O276" s="89"/>
      <c r="P276" s="89"/>
      <c r="Q276" s="89"/>
      <c r="R276" s="89"/>
      <c r="S276" s="89"/>
      <c r="T276" s="89"/>
      <c r="U276" s="89"/>
      <c r="V276" s="89"/>
      <c r="W276" s="89"/>
      <c r="X276" s="89"/>
      <c r="Y276" s="89"/>
      <c r="AQ276" s="3"/>
    </row>
    <row r="277" spans="5:43" x14ac:dyDescent="0.3">
      <c r="E277" s="32" t="s">
        <v>249</v>
      </c>
      <c r="I277" t="s">
        <v>153</v>
      </c>
      <c r="J277" s="89"/>
      <c r="K277" s="89"/>
      <c r="L277" s="89"/>
      <c r="M277" s="89"/>
      <c r="N277" s="89"/>
      <c r="O277" s="89"/>
      <c r="P277" s="89"/>
      <c r="Q277" s="89"/>
      <c r="R277" s="89"/>
      <c r="S277" s="89"/>
      <c r="T277" s="89"/>
      <c r="U277" s="89"/>
      <c r="V277" s="89"/>
      <c r="W277" s="89"/>
      <c r="X277" s="89"/>
      <c r="Y277" s="89"/>
      <c r="AA277" t="s">
        <v>308</v>
      </c>
      <c r="AQ277" s="3"/>
    </row>
    <row r="278" spans="5:43" x14ac:dyDescent="0.3">
      <c r="E278" s="32"/>
      <c r="J278" s="89"/>
      <c r="K278" s="89"/>
      <c r="L278" s="89"/>
      <c r="M278" s="89"/>
      <c r="N278" s="89"/>
      <c r="O278" s="89"/>
      <c r="P278" s="89"/>
      <c r="Q278" s="89"/>
      <c r="R278" s="89"/>
      <c r="S278" s="89"/>
      <c r="T278" s="89"/>
      <c r="U278" s="89"/>
      <c r="V278" s="89"/>
      <c r="W278" s="89"/>
      <c r="X278" s="89"/>
      <c r="Y278" s="89"/>
      <c r="AQ278" s="3"/>
    </row>
    <row r="279" spans="5:43" x14ac:dyDescent="0.3">
      <c r="F279" s="28" t="s">
        <v>446</v>
      </c>
      <c r="G279" s="28" t="s">
        <v>250</v>
      </c>
      <c r="J279" s="98">
        <f t="shared" ref="J279:Y279" si="47">J203</f>
        <v>0</v>
      </c>
      <c r="K279" s="98">
        <f t="shared" si="47"/>
        <v>0</v>
      </c>
      <c r="L279" s="98">
        <f t="shared" si="47"/>
        <v>0</v>
      </c>
      <c r="M279" s="98">
        <f t="shared" si="47"/>
        <v>0</v>
      </c>
      <c r="N279" s="98">
        <f t="shared" si="47"/>
        <v>1489384.3969515495</v>
      </c>
      <c r="O279" s="98">
        <f t="shared" si="47"/>
        <v>687232.56115518801</v>
      </c>
      <c r="P279" s="98">
        <f t="shared" si="47"/>
        <v>1836382.4990181862</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3">
      <c r="F280" s="28" t="s">
        <v>447</v>
      </c>
      <c r="G280" s="28" t="s">
        <v>250</v>
      </c>
      <c r="J280" s="98">
        <f t="shared" ref="J280:Y280" si="48">J212</f>
        <v>0</v>
      </c>
      <c r="K280" s="98">
        <f t="shared" si="48"/>
        <v>0</v>
      </c>
      <c r="L280" s="98">
        <f t="shared" si="48"/>
        <v>0</v>
      </c>
      <c r="M280" s="98">
        <f t="shared" si="48"/>
        <v>0</v>
      </c>
      <c r="N280" s="98">
        <f t="shared" si="48"/>
        <v>5479.8624886860125</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3">
      <c r="F281" s="28" t="s">
        <v>448</v>
      </c>
      <c r="G281" s="28" t="s">
        <v>250</v>
      </c>
      <c r="J281" s="98">
        <f t="shared" ref="J281:Y281" si="49">J221</f>
        <v>0</v>
      </c>
      <c r="K281" s="98">
        <f t="shared" si="49"/>
        <v>0</v>
      </c>
      <c r="L281" s="98">
        <f t="shared" si="49"/>
        <v>0</v>
      </c>
      <c r="M281" s="98">
        <f t="shared" si="49"/>
        <v>0</v>
      </c>
      <c r="N281" s="98">
        <f t="shared" si="49"/>
        <v>128320.68565499567</v>
      </c>
      <c r="O281" s="98">
        <f t="shared" si="49"/>
        <v>13871.718074198587</v>
      </c>
      <c r="P281" s="98">
        <f t="shared" si="49"/>
        <v>25452.929265717015</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3">
      <c r="F282" s="28" t="s">
        <v>449</v>
      </c>
      <c r="G282" s="28" t="s">
        <v>166</v>
      </c>
      <c r="J282" s="374">
        <f t="shared" ref="J282:Y282" si="50">IF(J$41, J$47, J$34)</f>
        <v>0.34865983505227499</v>
      </c>
      <c r="K282" s="374">
        <f t="shared" si="50"/>
        <v>0.34865983505227499</v>
      </c>
      <c r="L282" s="374">
        <f t="shared" si="50"/>
        <v>0.34865983505227499</v>
      </c>
      <c r="M282" s="374">
        <f t="shared" si="50"/>
        <v>0.34865983505227499</v>
      </c>
      <c r="N282" s="374">
        <f t="shared" si="50"/>
        <v>0.34865983505227499</v>
      </c>
      <c r="O282" s="374">
        <f t="shared" si="50"/>
        <v>0</v>
      </c>
      <c r="P282" s="374">
        <f t="shared" si="50"/>
        <v>0</v>
      </c>
      <c r="Q282" s="374">
        <f t="shared" si="50"/>
        <v>0.34865983505227499</v>
      </c>
      <c r="R282" s="374">
        <f t="shared" si="50"/>
        <v>0</v>
      </c>
      <c r="S282" s="374">
        <f t="shared" si="50"/>
        <v>0</v>
      </c>
      <c r="T282" s="374">
        <f t="shared" si="50"/>
        <v>0</v>
      </c>
      <c r="U282" s="374">
        <f t="shared" si="50"/>
        <v>0</v>
      </c>
      <c r="V282" s="374">
        <f t="shared" si="50"/>
        <v>0</v>
      </c>
      <c r="W282" s="374">
        <f t="shared" si="50"/>
        <v>0</v>
      </c>
      <c r="X282" s="374">
        <f t="shared" si="50"/>
        <v>0</v>
      </c>
      <c r="Y282" s="374">
        <f t="shared" si="50"/>
        <v>0</v>
      </c>
      <c r="AQ282" s="3"/>
    </row>
    <row r="283" spans="5:43" x14ac:dyDescent="0.3">
      <c r="F283" s="28" t="s">
        <v>450</v>
      </c>
      <c r="G283" s="28" t="s">
        <v>166</v>
      </c>
      <c r="J283" s="374">
        <f t="shared" ref="J283:Y283" si="51">IF(J$41, J$47, J$35)</f>
        <v>0.54319459284507854</v>
      </c>
      <c r="K283" s="374">
        <f t="shared" si="51"/>
        <v>0.54319459284507854</v>
      </c>
      <c r="L283" s="374">
        <f t="shared" si="51"/>
        <v>0.54319459284507854</v>
      </c>
      <c r="M283" s="374">
        <f t="shared" si="51"/>
        <v>0.54319459284507854</v>
      </c>
      <c r="N283" s="374">
        <f t="shared" si="51"/>
        <v>0.54319459284507854</v>
      </c>
      <c r="O283" s="374">
        <f t="shared" si="51"/>
        <v>0.27624476019334121</v>
      </c>
      <c r="P283" s="374">
        <f t="shared" si="51"/>
        <v>0.14407962362625185</v>
      </c>
      <c r="Q283" s="374">
        <f t="shared" si="51"/>
        <v>0.54319459284507854</v>
      </c>
      <c r="R283" s="374">
        <f t="shared" si="51"/>
        <v>0</v>
      </c>
      <c r="S283" s="374">
        <f t="shared" si="51"/>
        <v>0</v>
      </c>
      <c r="T283" s="374">
        <f t="shared" si="51"/>
        <v>0</v>
      </c>
      <c r="U283" s="374">
        <f t="shared" si="51"/>
        <v>0</v>
      </c>
      <c r="V283" s="374">
        <f t="shared" si="51"/>
        <v>0</v>
      </c>
      <c r="W283" s="374">
        <f t="shared" si="51"/>
        <v>0</v>
      </c>
      <c r="X283" s="374">
        <f t="shared" si="51"/>
        <v>0</v>
      </c>
      <c r="Y283" s="374">
        <f t="shared" si="51"/>
        <v>0</v>
      </c>
      <c r="AQ283" s="3"/>
    </row>
    <row r="284" spans="5:43" x14ac:dyDescent="0.3">
      <c r="F284" s="28" t="s">
        <v>451</v>
      </c>
      <c r="G284" s="28" t="s">
        <v>250</v>
      </c>
      <c r="J284" s="98">
        <f t="shared" ref="J284:Y284" si="52">J280 * (1 - J282)</f>
        <v>0</v>
      </c>
      <c r="K284" s="98">
        <f t="shared" si="52"/>
        <v>0</v>
      </c>
      <c r="L284" s="98">
        <f t="shared" si="52"/>
        <v>0</v>
      </c>
      <c r="M284" s="98">
        <f t="shared" si="52"/>
        <v>0</v>
      </c>
      <c r="N284" s="98">
        <f t="shared" si="52"/>
        <v>3569.2545372715986</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3">
      <c r="F285" s="67" t="s">
        <v>452</v>
      </c>
      <c r="G285" s="67" t="s">
        <v>250</v>
      </c>
      <c r="H285" s="37"/>
      <c r="I285" s="37"/>
      <c r="J285" s="100">
        <f t="shared" ref="J285:Y285" si="53">J281 * (1 - J283)</f>
        <v>0</v>
      </c>
      <c r="K285" s="100">
        <f t="shared" si="53"/>
        <v>0</v>
      </c>
      <c r="L285" s="100">
        <f t="shared" si="53"/>
        <v>0</v>
      </c>
      <c r="M285" s="100">
        <f t="shared" si="53"/>
        <v>0</v>
      </c>
      <c r="N285" s="100">
        <f t="shared" si="53"/>
        <v>58617.583057028991</v>
      </c>
      <c r="O285" s="100">
        <f t="shared" si="53"/>
        <v>10039.728641321961</v>
      </c>
      <c r="P285" s="100">
        <f t="shared" si="53"/>
        <v>21785.680796926899</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3">
      <c r="F286" s="28" t="s">
        <v>453</v>
      </c>
      <c r="G286" s="28" t="s">
        <v>250</v>
      </c>
      <c r="J286" s="121">
        <f t="shared" ref="J286:Y286" si="54">J279 + J284 + J285</f>
        <v>0</v>
      </c>
      <c r="K286" s="121">
        <f t="shared" si="54"/>
        <v>0</v>
      </c>
      <c r="L286" s="121">
        <f t="shared" si="54"/>
        <v>0</v>
      </c>
      <c r="M286" s="121">
        <f t="shared" si="54"/>
        <v>0</v>
      </c>
      <c r="N286" s="121">
        <f t="shared" si="54"/>
        <v>1551571.23454585</v>
      </c>
      <c r="O286" s="121">
        <f t="shared" si="54"/>
        <v>697272.28979651001</v>
      </c>
      <c r="P286" s="121">
        <f t="shared" si="54"/>
        <v>1858168.1798151131</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3">
      <c r="E287" s="32"/>
      <c r="J287" s="89"/>
      <c r="K287" s="89"/>
      <c r="L287" s="89"/>
      <c r="M287" s="89"/>
      <c r="N287" s="89"/>
      <c r="O287" s="89"/>
      <c r="P287" s="89"/>
      <c r="Q287" s="89"/>
      <c r="R287" s="89"/>
      <c r="S287" s="89"/>
      <c r="T287" s="89"/>
      <c r="U287" s="89"/>
      <c r="V287" s="89"/>
      <c r="W287" s="89"/>
      <c r="X287" s="89"/>
      <c r="Y287" s="89"/>
      <c r="AQ287" s="3"/>
    </row>
    <row r="288" spans="5:43" x14ac:dyDescent="0.3">
      <c r="E288" s="32" t="s">
        <v>251</v>
      </c>
      <c r="I288" t="s">
        <v>153</v>
      </c>
      <c r="J288" s="89"/>
      <c r="K288" s="89"/>
      <c r="L288" s="89"/>
      <c r="M288" s="89"/>
      <c r="N288" s="89"/>
      <c r="O288" s="89"/>
      <c r="P288" s="89"/>
      <c r="Q288" s="89"/>
      <c r="R288" s="89"/>
      <c r="S288" s="89"/>
      <c r="T288" s="89"/>
      <c r="U288" s="89"/>
      <c r="V288" s="89"/>
      <c r="W288" s="89"/>
      <c r="X288" s="89"/>
      <c r="Y288" s="89"/>
      <c r="AA288" t="s">
        <v>308</v>
      </c>
      <c r="AQ288" s="3"/>
    </row>
    <row r="289" spans="5:43" x14ac:dyDescent="0.3">
      <c r="E289" s="32"/>
      <c r="J289" s="89"/>
      <c r="K289" s="89"/>
      <c r="L289" s="89"/>
      <c r="M289" s="89"/>
      <c r="N289" s="89"/>
      <c r="O289" s="89"/>
      <c r="P289" s="89"/>
      <c r="Q289" s="89"/>
      <c r="R289" s="89"/>
      <c r="S289" s="89"/>
      <c r="T289" s="89"/>
      <c r="U289" s="89"/>
      <c r="V289" s="89"/>
      <c r="W289" s="89"/>
      <c r="X289" s="89"/>
      <c r="Y289" s="89"/>
      <c r="AQ289" s="3"/>
    </row>
    <row r="290" spans="5:43" x14ac:dyDescent="0.3">
      <c r="F290" s="28" t="s">
        <v>446</v>
      </c>
      <c r="G290" s="28" t="s">
        <v>250</v>
      </c>
      <c r="J290" s="98">
        <f t="shared" ref="J290:Y290" si="55">J204</f>
        <v>0</v>
      </c>
      <c r="K290" s="98">
        <f t="shared" si="55"/>
        <v>0</v>
      </c>
      <c r="L290" s="98">
        <f t="shared" si="55"/>
        <v>0</v>
      </c>
      <c r="M290" s="98">
        <f t="shared" si="55"/>
        <v>0</v>
      </c>
      <c r="N290" s="98">
        <f t="shared" si="55"/>
        <v>31833.338788561836</v>
      </c>
      <c r="O290" s="98">
        <f t="shared" si="55"/>
        <v>6366.4839268776614</v>
      </c>
      <c r="P290" s="98">
        <f t="shared" si="55"/>
        <v>16242.2939565531</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3">
      <c r="F291" s="28" t="s">
        <v>447</v>
      </c>
      <c r="G291" s="28" t="s">
        <v>250</v>
      </c>
      <c r="J291" s="98">
        <f t="shared" ref="J291:Y291" si="56">J213</f>
        <v>0</v>
      </c>
      <c r="K291" s="98">
        <f t="shared" si="56"/>
        <v>0</v>
      </c>
      <c r="L291" s="98">
        <f t="shared" si="56"/>
        <v>0</v>
      </c>
      <c r="M291" s="98">
        <f t="shared" si="56"/>
        <v>0</v>
      </c>
      <c r="N291" s="98">
        <f t="shared" si="56"/>
        <v>56.52138527605959</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3">
      <c r="F292" s="28" t="s">
        <v>448</v>
      </c>
      <c r="G292" s="28" t="s">
        <v>250</v>
      </c>
      <c r="J292" s="98">
        <f t="shared" ref="J292:Y292" si="57">J222</f>
        <v>0</v>
      </c>
      <c r="K292" s="98">
        <f t="shared" si="57"/>
        <v>0</v>
      </c>
      <c r="L292" s="98">
        <f t="shared" si="57"/>
        <v>0</v>
      </c>
      <c r="M292" s="98">
        <f t="shared" si="57"/>
        <v>0</v>
      </c>
      <c r="N292" s="98">
        <f t="shared" si="57"/>
        <v>198.9394585929038</v>
      </c>
      <c r="O292" s="98">
        <f t="shared" si="57"/>
        <v>14.880533089780863</v>
      </c>
      <c r="P292" s="98">
        <f t="shared" si="57"/>
        <v>62.676593325708225</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3">
      <c r="F293" s="28" t="s">
        <v>449</v>
      </c>
      <c r="G293" s="28" t="s">
        <v>166</v>
      </c>
      <c r="J293" s="374">
        <f t="shared" ref="J293:Y293" si="58">IF(J$42, J$48, J$34)</f>
        <v>0.34865983505227499</v>
      </c>
      <c r="K293" s="374">
        <f t="shared" si="58"/>
        <v>0.34865983505227499</v>
      </c>
      <c r="L293" s="374">
        <f t="shared" si="58"/>
        <v>0.34865983505227499</v>
      </c>
      <c r="M293" s="374">
        <f t="shared" si="58"/>
        <v>0.34865983505227499</v>
      </c>
      <c r="N293" s="374">
        <f t="shared" si="58"/>
        <v>0.34865983505227499</v>
      </c>
      <c r="O293" s="374">
        <f t="shared" si="58"/>
        <v>0</v>
      </c>
      <c r="P293" s="374">
        <f t="shared" si="58"/>
        <v>0</v>
      </c>
      <c r="Q293" s="374">
        <f t="shared" si="58"/>
        <v>0.34865983505227499</v>
      </c>
      <c r="R293" s="374">
        <f t="shared" si="58"/>
        <v>0</v>
      </c>
      <c r="S293" s="374">
        <f t="shared" si="58"/>
        <v>0</v>
      </c>
      <c r="T293" s="374">
        <f t="shared" si="58"/>
        <v>0</v>
      </c>
      <c r="U293" s="374">
        <f t="shared" si="58"/>
        <v>0</v>
      </c>
      <c r="V293" s="374">
        <f t="shared" si="58"/>
        <v>0</v>
      </c>
      <c r="W293" s="374">
        <f t="shared" si="58"/>
        <v>0</v>
      </c>
      <c r="X293" s="374">
        <f t="shared" si="58"/>
        <v>0</v>
      </c>
      <c r="Y293" s="374">
        <f t="shared" si="58"/>
        <v>0</v>
      </c>
      <c r="AQ293" s="3"/>
    </row>
    <row r="294" spans="5:43" x14ac:dyDescent="0.3">
      <c r="F294" s="28" t="s">
        <v>450</v>
      </c>
      <c r="G294" s="28" t="s">
        <v>166</v>
      </c>
      <c r="J294" s="374">
        <f t="shared" ref="J294:Y294" si="59">IF(J$42, J$48, J$35)</f>
        <v>0.54319459284507854</v>
      </c>
      <c r="K294" s="374">
        <f t="shared" si="59"/>
        <v>0.54319459284507854</v>
      </c>
      <c r="L294" s="374">
        <f t="shared" si="59"/>
        <v>0.54319459284507854</v>
      </c>
      <c r="M294" s="374">
        <f t="shared" si="59"/>
        <v>0.54319459284507854</v>
      </c>
      <c r="N294" s="374">
        <f t="shared" si="59"/>
        <v>0.54319459284507854</v>
      </c>
      <c r="O294" s="374">
        <f t="shared" si="59"/>
        <v>0.27624476019334121</v>
      </c>
      <c r="P294" s="374">
        <f t="shared" si="59"/>
        <v>0.14407962362625185</v>
      </c>
      <c r="Q294" s="374">
        <f t="shared" si="59"/>
        <v>0.54319459284507854</v>
      </c>
      <c r="R294" s="374">
        <f t="shared" si="59"/>
        <v>0</v>
      </c>
      <c r="S294" s="374">
        <f t="shared" si="59"/>
        <v>0</v>
      </c>
      <c r="T294" s="374">
        <f t="shared" si="59"/>
        <v>0</v>
      </c>
      <c r="U294" s="374">
        <f t="shared" si="59"/>
        <v>0</v>
      </c>
      <c r="V294" s="374">
        <f t="shared" si="59"/>
        <v>0</v>
      </c>
      <c r="W294" s="374">
        <f t="shared" si="59"/>
        <v>0</v>
      </c>
      <c r="X294" s="374">
        <f t="shared" si="59"/>
        <v>0</v>
      </c>
      <c r="Y294" s="374">
        <f t="shared" si="59"/>
        <v>0</v>
      </c>
      <c r="AQ294" s="3"/>
    </row>
    <row r="295" spans="5:43" x14ac:dyDescent="0.3">
      <c r="F295" s="28" t="s">
        <v>451</v>
      </c>
      <c r="G295" s="28" t="s">
        <v>250</v>
      </c>
      <c r="J295" s="98">
        <f t="shared" ref="J295:Y295" si="60">J291 * (1 - J293)</f>
        <v>0</v>
      </c>
      <c r="K295" s="98">
        <f t="shared" si="60"/>
        <v>0</v>
      </c>
      <c r="L295" s="98">
        <f t="shared" si="60"/>
        <v>0</v>
      </c>
      <c r="M295" s="98">
        <f t="shared" si="60"/>
        <v>0</v>
      </c>
      <c r="N295" s="98">
        <f t="shared" si="60"/>
        <v>36.814648408782574</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3">
      <c r="F296" s="67" t="s">
        <v>452</v>
      </c>
      <c r="G296" s="67" t="s">
        <v>250</v>
      </c>
      <c r="H296" s="37"/>
      <c r="I296" s="37"/>
      <c r="J296" s="100">
        <f t="shared" ref="J296:Y296" si="61">J292 * (1 - J294)</f>
        <v>0</v>
      </c>
      <c r="K296" s="100">
        <f t="shared" si="61"/>
        <v>0</v>
      </c>
      <c r="L296" s="100">
        <f t="shared" si="61"/>
        <v>0</v>
      </c>
      <c r="M296" s="100">
        <f t="shared" si="61"/>
        <v>0</v>
      </c>
      <c r="N296" s="100">
        <f t="shared" si="61"/>
        <v>90.876620381711064</v>
      </c>
      <c r="O296" s="100">
        <f t="shared" si="61"/>
        <v>10.76986379484527</v>
      </c>
      <c r="P296" s="100">
        <f t="shared" si="61"/>
        <v>53.646173349164535</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3">
      <c r="F297" s="28" t="s">
        <v>453</v>
      </c>
      <c r="G297" s="28" t="s">
        <v>250</v>
      </c>
      <c r="J297" s="121">
        <f t="shared" ref="J297:Y297" si="62">J290 + J295 + J296</f>
        <v>0</v>
      </c>
      <c r="K297" s="121">
        <f t="shared" si="62"/>
        <v>0</v>
      </c>
      <c r="L297" s="121">
        <f t="shared" si="62"/>
        <v>0</v>
      </c>
      <c r="M297" s="121">
        <f t="shared" si="62"/>
        <v>0</v>
      </c>
      <c r="N297" s="121">
        <f t="shared" si="62"/>
        <v>31961.030057352327</v>
      </c>
      <c r="O297" s="121">
        <f t="shared" si="62"/>
        <v>6377.2537906725065</v>
      </c>
      <c r="P297" s="121">
        <f t="shared" si="62"/>
        <v>16295.940129902265</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3">
      <c r="E298" s="32"/>
      <c r="J298" s="89"/>
      <c r="K298" s="89"/>
      <c r="L298" s="89"/>
      <c r="M298" s="89"/>
      <c r="N298" s="89"/>
      <c r="O298" s="89"/>
      <c r="P298" s="89"/>
      <c r="Q298" s="89"/>
      <c r="R298" s="89"/>
      <c r="S298" s="89"/>
      <c r="T298" s="89"/>
      <c r="U298" s="89"/>
      <c r="V298" s="89"/>
      <c r="W298" s="89"/>
      <c r="X298" s="89"/>
      <c r="Y298" s="89"/>
      <c r="AQ298" s="3"/>
    </row>
    <row r="299" spans="5:43" x14ac:dyDescent="0.3">
      <c r="E299" s="32" t="s">
        <v>252</v>
      </c>
      <c r="I299" t="s">
        <v>153</v>
      </c>
      <c r="J299" s="89"/>
      <c r="K299" s="89"/>
      <c r="L299" s="89"/>
      <c r="M299" s="89"/>
      <c r="N299" s="89"/>
      <c r="O299" s="89"/>
      <c r="P299" s="89"/>
      <c r="Q299" s="89"/>
      <c r="R299" s="89"/>
      <c r="S299" s="89"/>
      <c r="T299" s="89"/>
      <c r="U299" s="89"/>
      <c r="V299" s="89"/>
      <c r="W299" s="89"/>
      <c r="X299" s="89"/>
      <c r="Y299" s="89"/>
      <c r="AA299" t="s">
        <v>308</v>
      </c>
      <c r="AQ299" s="3"/>
    </row>
    <row r="300" spans="5:43" x14ac:dyDescent="0.3">
      <c r="E300" s="32"/>
      <c r="J300" s="89"/>
      <c r="K300" s="89"/>
      <c r="L300" s="89"/>
      <c r="M300" s="89"/>
      <c r="N300" s="89"/>
      <c r="O300" s="89"/>
      <c r="P300" s="89"/>
      <c r="Q300" s="89"/>
      <c r="R300" s="89"/>
      <c r="S300" s="89"/>
      <c r="T300" s="89"/>
      <c r="U300" s="89"/>
      <c r="V300" s="89"/>
      <c r="W300" s="89"/>
      <c r="X300" s="89"/>
      <c r="Y300" s="89"/>
      <c r="AQ300" s="3"/>
    </row>
    <row r="301" spans="5:43" x14ac:dyDescent="0.3">
      <c r="F301" s="28" t="s">
        <v>446</v>
      </c>
      <c r="G301" s="28" t="s">
        <v>253</v>
      </c>
      <c r="J301" s="98">
        <f t="shared" ref="J301:Y301" si="63">J205</f>
        <v>0</v>
      </c>
      <c r="K301" s="98">
        <f t="shared" si="63"/>
        <v>0</v>
      </c>
      <c r="L301" s="98">
        <f t="shared" si="63"/>
        <v>0</v>
      </c>
      <c r="M301" s="98">
        <f t="shared" si="63"/>
        <v>0</v>
      </c>
      <c r="N301" s="98">
        <f t="shared" si="63"/>
        <v>186870.64095515004</v>
      </c>
      <c r="O301" s="98">
        <f t="shared" si="63"/>
        <v>90839.454873788549</v>
      </c>
      <c r="P301" s="98">
        <f t="shared" si="63"/>
        <v>335985.79004469741</v>
      </c>
      <c r="Q301" s="98">
        <f t="shared" si="63"/>
        <v>0</v>
      </c>
      <c r="R301" s="98">
        <f t="shared" si="63"/>
        <v>0</v>
      </c>
      <c r="S301" s="98">
        <f t="shared" si="63"/>
        <v>0</v>
      </c>
      <c r="T301" s="98">
        <f t="shared" si="63"/>
        <v>2939.5815003992957</v>
      </c>
      <c r="U301" s="98">
        <f t="shared" si="63"/>
        <v>0</v>
      </c>
      <c r="V301" s="98">
        <f t="shared" si="63"/>
        <v>658.09713031219098</v>
      </c>
      <c r="W301" s="98">
        <f t="shared" si="63"/>
        <v>0</v>
      </c>
      <c r="X301" s="98">
        <f t="shared" si="63"/>
        <v>12290.739308282646</v>
      </c>
      <c r="Y301" s="98">
        <f t="shared" si="63"/>
        <v>0</v>
      </c>
      <c r="AQ301" s="3"/>
    </row>
    <row r="302" spans="5:43" x14ac:dyDescent="0.3">
      <c r="F302" s="28" t="s">
        <v>447</v>
      </c>
      <c r="G302" s="28" t="s">
        <v>253</v>
      </c>
      <c r="J302" s="98">
        <f t="shared" ref="J302:Y302" si="64">J214</f>
        <v>0</v>
      </c>
      <c r="K302" s="98">
        <f t="shared" si="64"/>
        <v>0</v>
      </c>
      <c r="L302" s="98">
        <f t="shared" si="64"/>
        <v>0</v>
      </c>
      <c r="M302" s="98">
        <f t="shared" si="64"/>
        <v>0</v>
      </c>
      <c r="N302" s="98">
        <f t="shared" si="64"/>
        <v>493.11440062148574</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3">
      <c r="F303" s="28" t="s">
        <v>448</v>
      </c>
      <c r="G303" s="28" t="s">
        <v>253</v>
      </c>
      <c r="J303" s="98">
        <f t="shared" ref="J303:Y303" si="65">J223</f>
        <v>0</v>
      </c>
      <c r="K303" s="98">
        <f t="shared" si="65"/>
        <v>0</v>
      </c>
      <c r="L303" s="98">
        <f t="shared" si="65"/>
        <v>0</v>
      </c>
      <c r="M303" s="98">
        <f t="shared" si="65"/>
        <v>0</v>
      </c>
      <c r="N303" s="98">
        <f t="shared" si="65"/>
        <v>8109.5853072992832</v>
      </c>
      <c r="O303" s="98">
        <f t="shared" si="65"/>
        <v>1452.3256653929107</v>
      </c>
      <c r="P303" s="98">
        <f t="shared" si="65"/>
        <v>3114.109918576678</v>
      </c>
      <c r="Q303" s="98">
        <f t="shared" si="65"/>
        <v>0</v>
      </c>
      <c r="R303" s="98">
        <f t="shared" si="65"/>
        <v>0</v>
      </c>
      <c r="S303" s="98">
        <f t="shared" si="65"/>
        <v>0</v>
      </c>
      <c r="T303" s="98">
        <f t="shared" si="65"/>
        <v>0</v>
      </c>
      <c r="U303" s="98">
        <f t="shared" si="65"/>
        <v>0</v>
      </c>
      <c r="V303" s="98">
        <f t="shared" si="65"/>
        <v>0</v>
      </c>
      <c r="W303" s="98">
        <f t="shared" si="65"/>
        <v>0</v>
      </c>
      <c r="X303" s="98">
        <f t="shared" si="65"/>
        <v>0</v>
      </c>
      <c r="Y303" s="98">
        <f t="shared" si="65"/>
        <v>0</v>
      </c>
      <c r="AQ303" s="3"/>
    </row>
    <row r="304" spans="5:43" x14ac:dyDescent="0.3">
      <c r="F304" s="28" t="s">
        <v>449</v>
      </c>
      <c r="G304" s="28" t="s">
        <v>166</v>
      </c>
      <c r="J304" s="374">
        <f t="shared" ref="J304:Y304" si="66">IF(J$43, J$49, J$34)</f>
        <v>0.34865983505227499</v>
      </c>
      <c r="K304" s="374">
        <f t="shared" si="66"/>
        <v>0.34865983505227499</v>
      </c>
      <c r="L304" s="374">
        <f t="shared" si="66"/>
        <v>0.34865983505227499</v>
      </c>
      <c r="M304" s="374">
        <f t="shared" si="66"/>
        <v>0.34865983505227499</v>
      </c>
      <c r="N304" s="374">
        <f t="shared" si="66"/>
        <v>0.34865983505227499</v>
      </c>
      <c r="O304" s="374">
        <f t="shared" si="66"/>
        <v>0</v>
      </c>
      <c r="P304" s="374">
        <f t="shared" si="66"/>
        <v>0</v>
      </c>
      <c r="Q304" s="374">
        <f t="shared" si="66"/>
        <v>0.34865983505227499</v>
      </c>
      <c r="R304" s="374">
        <f t="shared" si="66"/>
        <v>0</v>
      </c>
      <c r="S304" s="374">
        <f t="shared" si="66"/>
        <v>0</v>
      </c>
      <c r="T304" s="374">
        <f t="shared" si="66"/>
        <v>0</v>
      </c>
      <c r="U304" s="374">
        <f t="shared" si="66"/>
        <v>0</v>
      </c>
      <c r="V304" s="374">
        <f t="shared" si="66"/>
        <v>0</v>
      </c>
      <c r="W304" s="374">
        <f t="shared" si="66"/>
        <v>0</v>
      </c>
      <c r="X304" s="374">
        <f t="shared" si="66"/>
        <v>0</v>
      </c>
      <c r="Y304" s="374">
        <f t="shared" si="66"/>
        <v>0</v>
      </c>
      <c r="AQ304" s="3"/>
    </row>
    <row r="305" spans="2:43" x14ac:dyDescent="0.3">
      <c r="F305" s="28" t="s">
        <v>450</v>
      </c>
      <c r="G305" s="28" t="s">
        <v>166</v>
      </c>
      <c r="J305" s="374">
        <f t="shared" ref="J305:Y305" si="67">IF(J$43, J$49, J$35)</f>
        <v>0.54319459284507854</v>
      </c>
      <c r="K305" s="374">
        <f t="shared" si="67"/>
        <v>0.54319459284507854</v>
      </c>
      <c r="L305" s="374">
        <f t="shared" si="67"/>
        <v>0.54319459284507854</v>
      </c>
      <c r="M305" s="374">
        <f t="shared" si="67"/>
        <v>0.54319459284507854</v>
      </c>
      <c r="N305" s="374">
        <f t="shared" si="67"/>
        <v>0.54319459284507854</v>
      </c>
      <c r="O305" s="374">
        <f t="shared" si="67"/>
        <v>0.27624476019334121</v>
      </c>
      <c r="P305" s="374">
        <f t="shared" si="67"/>
        <v>0.14407962362625185</v>
      </c>
      <c r="Q305" s="374">
        <f t="shared" si="67"/>
        <v>0.54319459284507854</v>
      </c>
      <c r="R305" s="374">
        <f t="shared" si="67"/>
        <v>0</v>
      </c>
      <c r="S305" s="374">
        <f t="shared" si="67"/>
        <v>0</v>
      </c>
      <c r="T305" s="374">
        <f t="shared" si="67"/>
        <v>0</v>
      </c>
      <c r="U305" s="374">
        <f t="shared" si="67"/>
        <v>0</v>
      </c>
      <c r="V305" s="374">
        <f t="shared" si="67"/>
        <v>0</v>
      </c>
      <c r="W305" s="374">
        <f t="shared" si="67"/>
        <v>0</v>
      </c>
      <c r="X305" s="374">
        <f t="shared" si="67"/>
        <v>0</v>
      </c>
      <c r="Y305" s="374">
        <f t="shared" si="67"/>
        <v>0</v>
      </c>
      <c r="AQ305" s="3"/>
    </row>
    <row r="306" spans="2:43" x14ac:dyDescent="0.3">
      <c r="F306" s="28" t="s">
        <v>451</v>
      </c>
      <c r="G306" s="28" t="s">
        <v>253</v>
      </c>
      <c r="J306" s="98">
        <f t="shared" ref="J306:Y306" si="68">J302 * (1 - J304)</f>
        <v>0</v>
      </c>
      <c r="K306" s="98">
        <f t="shared" si="68"/>
        <v>0</v>
      </c>
      <c r="L306" s="98">
        <f t="shared" si="68"/>
        <v>0</v>
      </c>
      <c r="M306" s="98">
        <f t="shared" si="68"/>
        <v>0</v>
      </c>
      <c r="N306" s="98">
        <f t="shared" si="68"/>
        <v>321.18521503889713</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3">
      <c r="F307" s="67" t="s">
        <v>452</v>
      </c>
      <c r="G307" s="67" t="s">
        <v>253</v>
      </c>
      <c r="H307" s="37"/>
      <c r="I307" s="37"/>
      <c r="J307" s="100">
        <f t="shared" ref="J307:Y307" si="69">J303 * (1 - J305)</f>
        <v>0</v>
      </c>
      <c r="K307" s="100">
        <f t="shared" si="69"/>
        <v>0</v>
      </c>
      <c r="L307" s="100">
        <f t="shared" si="69"/>
        <v>0</v>
      </c>
      <c r="M307" s="100">
        <f t="shared" si="69"/>
        <v>0</v>
      </c>
      <c r="N307" s="100">
        <f t="shared" si="69"/>
        <v>3704.5024181584181</v>
      </c>
      <c r="O307" s="100">
        <f t="shared" si="69"/>
        <v>1051.1283102338114</v>
      </c>
      <c r="P307" s="100">
        <f t="shared" si="69"/>
        <v>2665.4301335773725</v>
      </c>
      <c r="Q307" s="100">
        <f t="shared" si="69"/>
        <v>0</v>
      </c>
      <c r="R307" s="100">
        <f t="shared" si="69"/>
        <v>0</v>
      </c>
      <c r="S307" s="100">
        <f t="shared" si="69"/>
        <v>0</v>
      </c>
      <c r="T307" s="100">
        <f t="shared" si="69"/>
        <v>0</v>
      </c>
      <c r="U307" s="100">
        <f t="shared" si="69"/>
        <v>0</v>
      </c>
      <c r="V307" s="100">
        <f t="shared" si="69"/>
        <v>0</v>
      </c>
      <c r="W307" s="100">
        <f t="shared" si="69"/>
        <v>0</v>
      </c>
      <c r="X307" s="100">
        <f t="shared" si="69"/>
        <v>0</v>
      </c>
      <c r="Y307" s="100">
        <f t="shared" si="69"/>
        <v>0</v>
      </c>
      <c r="AQ307" s="3"/>
    </row>
    <row r="308" spans="2:43" x14ac:dyDescent="0.3">
      <c r="F308" s="28" t="s">
        <v>453</v>
      </c>
      <c r="G308" s="28" t="s">
        <v>253</v>
      </c>
      <c r="J308" s="121">
        <f t="shared" ref="J308:Y308" si="70">J301 + J306 + J307</f>
        <v>0</v>
      </c>
      <c r="K308" s="121">
        <f t="shared" si="70"/>
        <v>0</v>
      </c>
      <c r="L308" s="121">
        <f t="shared" si="70"/>
        <v>0</v>
      </c>
      <c r="M308" s="121">
        <f t="shared" si="70"/>
        <v>0</v>
      </c>
      <c r="N308" s="121">
        <f t="shared" si="70"/>
        <v>190896.32858834736</v>
      </c>
      <c r="O308" s="121">
        <f t="shared" si="70"/>
        <v>91890.583184022355</v>
      </c>
      <c r="P308" s="121">
        <f t="shared" si="70"/>
        <v>338651.22017827479</v>
      </c>
      <c r="Q308" s="121">
        <f t="shared" si="70"/>
        <v>0</v>
      </c>
      <c r="R308" s="121">
        <f t="shared" si="70"/>
        <v>0</v>
      </c>
      <c r="S308" s="121">
        <f t="shared" si="70"/>
        <v>0</v>
      </c>
      <c r="T308" s="121">
        <f t="shared" si="70"/>
        <v>2939.5815003992957</v>
      </c>
      <c r="U308" s="121">
        <f t="shared" si="70"/>
        <v>0</v>
      </c>
      <c r="V308" s="121">
        <f t="shared" si="70"/>
        <v>658.09713031219098</v>
      </c>
      <c r="W308" s="121">
        <f t="shared" si="70"/>
        <v>0</v>
      </c>
      <c r="X308" s="121">
        <f t="shared" si="70"/>
        <v>12290.739308282646</v>
      </c>
      <c r="Y308" s="121">
        <f t="shared" si="70"/>
        <v>0</v>
      </c>
      <c r="AQ308" s="3"/>
    </row>
    <row r="309" spans="2:43" x14ac:dyDescent="0.3">
      <c r="D309" s="32"/>
      <c r="AQ309" s="3"/>
    </row>
    <row r="310" spans="2:43" x14ac:dyDescent="0.3">
      <c r="B310" s="30" t="s">
        <v>933</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3">
      <c r="C311" s="32"/>
      <c r="AQ311" s="3"/>
    </row>
    <row r="312" spans="2:43" x14ac:dyDescent="0.3">
      <c r="C312" s="29" t="s">
        <v>1037</v>
      </c>
      <c r="AQ312" s="3"/>
    </row>
    <row r="313" spans="2:43" x14ac:dyDescent="0.3">
      <c r="C313" s="32"/>
      <c r="AQ313" s="3"/>
    </row>
    <row r="314" spans="2:43" x14ac:dyDescent="0.3">
      <c r="C314" s="32"/>
      <c r="E314" s="32" t="s">
        <v>449</v>
      </c>
      <c r="AQ314" s="3"/>
    </row>
    <row r="315" spans="2:43" x14ac:dyDescent="0.3">
      <c r="C315" s="32"/>
      <c r="F315" s="78" t="s">
        <v>246</v>
      </c>
      <c r="G315" s="23" t="s">
        <v>166</v>
      </c>
      <c r="H315" s="23"/>
      <c r="I315" s="23"/>
      <c r="J315" s="154">
        <f>IF(J$39, J$45, J$34)</f>
        <v>0.34865983505227499</v>
      </c>
      <c r="K315" s="154">
        <f t="shared" ref="K315:Y315" si="71">IF(K$39, K$45, K$34)</f>
        <v>0.34865983505227499</v>
      </c>
      <c r="L315" s="154">
        <f t="shared" si="71"/>
        <v>0.34865983505227499</v>
      </c>
      <c r="M315" s="154">
        <f t="shared" si="71"/>
        <v>0.34865983505227499</v>
      </c>
      <c r="N315" s="154">
        <f t="shared" si="71"/>
        <v>0.34865983505227499</v>
      </c>
      <c r="O315" s="154">
        <f t="shared" si="71"/>
        <v>0</v>
      </c>
      <c r="P315" s="154">
        <f t="shared" si="71"/>
        <v>0</v>
      </c>
      <c r="Q315" s="154">
        <f t="shared" si="71"/>
        <v>0.34865983505227499</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3">
      <c r="C316" s="32"/>
      <c r="F316" s="72" t="s">
        <v>247</v>
      </c>
      <c r="G316" t="s">
        <v>166</v>
      </c>
      <c r="J316" s="323">
        <f t="shared" ref="J316:Y317" si="72">IF(J$39, J$45, J$34)</f>
        <v>0.34865983505227499</v>
      </c>
      <c r="K316" s="323">
        <f t="shared" si="72"/>
        <v>0.34865983505227499</v>
      </c>
      <c r="L316" s="323">
        <f t="shared" si="72"/>
        <v>0.34865983505227499</v>
      </c>
      <c r="M316" s="323">
        <f t="shared" si="72"/>
        <v>0.34865983505227499</v>
      </c>
      <c r="N316" s="323">
        <f t="shared" si="72"/>
        <v>0.34865983505227499</v>
      </c>
      <c r="O316" s="323">
        <f t="shared" si="72"/>
        <v>0</v>
      </c>
      <c r="P316" s="323">
        <f t="shared" si="72"/>
        <v>0</v>
      </c>
      <c r="Q316" s="323">
        <f t="shared" si="72"/>
        <v>0.34865983505227499</v>
      </c>
      <c r="R316" s="323">
        <f t="shared" si="72"/>
        <v>0</v>
      </c>
      <c r="S316" s="323">
        <f t="shared" si="72"/>
        <v>0</v>
      </c>
      <c r="T316" s="323">
        <f t="shared" si="72"/>
        <v>0</v>
      </c>
      <c r="U316" s="323">
        <f t="shared" si="72"/>
        <v>0</v>
      </c>
      <c r="V316" s="323">
        <f t="shared" si="72"/>
        <v>0</v>
      </c>
      <c r="W316" s="323">
        <f t="shared" si="72"/>
        <v>0</v>
      </c>
      <c r="X316" s="323">
        <f t="shared" si="72"/>
        <v>0</v>
      </c>
      <c r="Y316" s="323">
        <f t="shared" si="72"/>
        <v>0</v>
      </c>
      <c r="AQ316" s="3"/>
    </row>
    <row r="317" spans="2:43" x14ac:dyDescent="0.3">
      <c r="C317" s="32"/>
      <c r="F317" s="80" t="s">
        <v>248</v>
      </c>
      <c r="G317" s="37" t="s">
        <v>166</v>
      </c>
      <c r="H317" s="37"/>
      <c r="I317" s="37"/>
      <c r="J317" s="155">
        <f t="shared" si="72"/>
        <v>0.34865983505227499</v>
      </c>
      <c r="K317" s="155">
        <f t="shared" si="72"/>
        <v>0.34865983505227499</v>
      </c>
      <c r="L317" s="155">
        <f t="shared" si="72"/>
        <v>0.34865983505227499</v>
      </c>
      <c r="M317" s="155">
        <f t="shared" si="72"/>
        <v>0.34865983505227499</v>
      </c>
      <c r="N317" s="155">
        <f t="shared" si="72"/>
        <v>0.34865983505227499</v>
      </c>
      <c r="O317" s="155">
        <f t="shared" si="72"/>
        <v>0</v>
      </c>
      <c r="P317" s="155">
        <f t="shared" si="72"/>
        <v>0</v>
      </c>
      <c r="Q317" s="155">
        <f t="shared" si="72"/>
        <v>0.34865983505227499</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3">
      <c r="C318" s="32"/>
      <c r="F318" s="72" t="s">
        <v>211</v>
      </c>
      <c r="G318" t="s">
        <v>166</v>
      </c>
      <c r="J318" s="323">
        <f t="shared" ref="J318:Y318" si="73">IF(J$39, J46, J$34)</f>
        <v>0.34865983505227499</v>
      </c>
      <c r="K318" s="323">
        <f t="shared" si="73"/>
        <v>0.34865983505227499</v>
      </c>
      <c r="L318" s="323">
        <f t="shared" si="73"/>
        <v>0.34865983505227499</v>
      </c>
      <c r="M318" s="323">
        <f t="shared" si="73"/>
        <v>0.34865983505227499</v>
      </c>
      <c r="N318" s="323">
        <f t="shared" si="73"/>
        <v>0.34865983505227499</v>
      </c>
      <c r="O318" s="323">
        <f t="shared" si="73"/>
        <v>0</v>
      </c>
      <c r="P318" s="323">
        <f t="shared" si="73"/>
        <v>0</v>
      </c>
      <c r="Q318" s="323">
        <f t="shared" si="73"/>
        <v>0.34865983505227499</v>
      </c>
      <c r="R318" s="323">
        <f t="shared" si="73"/>
        <v>1</v>
      </c>
      <c r="S318" s="323">
        <f t="shared" si="73"/>
        <v>1</v>
      </c>
      <c r="T318" s="323">
        <f t="shared" si="73"/>
        <v>1</v>
      </c>
      <c r="U318" s="323">
        <f t="shared" si="73"/>
        <v>1</v>
      </c>
      <c r="V318" s="323">
        <f t="shared" si="73"/>
        <v>1</v>
      </c>
      <c r="W318" s="323">
        <f t="shared" si="73"/>
        <v>1</v>
      </c>
      <c r="X318" s="323">
        <f t="shared" si="73"/>
        <v>1</v>
      </c>
      <c r="Y318" s="323">
        <f t="shared" si="73"/>
        <v>1</v>
      </c>
      <c r="AQ318" s="3"/>
    </row>
    <row r="319" spans="2:43" x14ac:dyDescent="0.3">
      <c r="C319" s="32"/>
      <c r="F319" s="72" t="s">
        <v>249</v>
      </c>
      <c r="G319" t="s">
        <v>166</v>
      </c>
      <c r="J319" s="323">
        <f t="shared" ref="J319:Y319" si="74">IF(J$39, J47, J$34)</f>
        <v>0.34865983505227499</v>
      </c>
      <c r="K319" s="323">
        <f t="shared" si="74"/>
        <v>0.34865983505227499</v>
      </c>
      <c r="L319" s="323">
        <f t="shared" si="74"/>
        <v>0.34865983505227499</v>
      </c>
      <c r="M319" s="323">
        <f t="shared" si="74"/>
        <v>0.34865983505227499</v>
      </c>
      <c r="N319" s="323">
        <f t="shared" si="74"/>
        <v>0.34865983505227499</v>
      </c>
      <c r="O319" s="323">
        <f t="shared" si="74"/>
        <v>0</v>
      </c>
      <c r="P319" s="323">
        <f t="shared" si="74"/>
        <v>0</v>
      </c>
      <c r="Q319" s="323">
        <f t="shared" si="74"/>
        <v>0.34865983505227499</v>
      </c>
      <c r="R319" s="323">
        <f t="shared" si="74"/>
        <v>0</v>
      </c>
      <c r="S319" s="323">
        <f t="shared" si="74"/>
        <v>0</v>
      </c>
      <c r="T319" s="323">
        <f t="shared" si="74"/>
        <v>0</v>
      </c>
      <c r="U319" s="323">
        <f t="shared" si="74"/>
        <v>0</v>
      </c>
      <c r="V319" s="323">
        <f t="shared" si="74"/>
        <v>0</v>
      </c>
      <c r="W319" s="323">
        <f t="shared" si="74"/>
        <v>0</v>
      </c>
      <c r="X319" s="323">
        <f t="shared" si="74"/>
        <v>0</v>
      </c>
      <c r="Y319" s="323">
        <f t="shared" si="74"/>
        <v>0</v>
      </c>
      <c r="AQ319" s="3"/>
    </row>
    <row r="320" spans="2:43" x14ac:dyDescent="0.3">
      <c r="C320" s="32"/>
      <c r="F320" s="72" t="s">
        <v>251</v>
      </c>
      <c r="G320" t="s">
        <v>166</v>
      </c>
      <c r="J320" s="323">
        <f t="shared" ref="J320:Y320" si="75">IF(J$39, J48, J$34)</f>
        <v>0.34865983505227499</v>
      </c>
      <c r="K320" s="323">
        <f t="shared" si="75"/>
        <v>0.34865983505227499</v>
      </c>
      <c r="L320" s="323">
        <f t="shared" si="75"/>
        <v>0.34865983505227499</v>
      </c>
      <c r="M320" s="323">
        <f t="shared" si="75"/>
        <v>0.34865983505227499</v>
      </c>
      <c r="N320" s="323">
        <f t="shared" si="75"/>
        <v>0.34865983505227499</v>
      </c>
      <c r="O320" s="323">
        <f t="shared" si="75"/>
        <v>0</v>
      </c>
      <c r="P320" s="323">
        <f t="shared" si="75"/>
        <v>0</v>
      </c>
      <c r="Q320" s="323">
        <f t="shared" si="75"/>
        <v>0.34865983505227499</v>
      </c>
      <c r="R320" s="323">
        <f t="shared" si="75"/>
        <v>0</v>
      </c>
      <c r="S320" s="323">
        <f t="shared" si="75"/>
        <v>0</v>
      </c>
      <c r="T320" s="323">
        <f t="shared" si="75"/>
        <v>0</v>
      </c>
      <c r="U320" s="323">
        <f t="shared" si="75"/>
        <v>0</v>
      </c>
      <c r="V320" s="323">
        <f t="shared" si="75"/>
        <v>0</v>
      </c>
      <c r="W320" s="323">
        <f t="shared" si="75"/>
        <v>0</v>
      </c>
      <c r="X320" s="323">
        <f t="shared" si="75"/>
        <v>0</v>
      </c>
      <c r="Y320" s="323">
        <f t="shared" si="75"/>
        <v>0</v>
      </c>
      <c r="AQ320" s="3"/>
    </row>
    <row r="321" spans="3:43" x14ac:dyDescent="0.3">
      <c r="C321" s="32"/>
      <c r="F321" s="80" t="s">
        <v>252</v>
      </c>
      <c r="G321" s="37" t="s">
        <v>166</v>
      </c>
      <c r="H321" s="37"/>
      <c r="I321" s="37"/>
      <c r="J321" s="155">
        <f t="shared" ref="J321:Y321" si="76">IF(J$39, J49, J$34)</f>
        <v>0.34865983505227499</v>
      </c>
      <c r="K321" s="155">
        <f t="shared" si="76"/>
        <v>0.34865983505227499</v>
      </c>
      <c r="L321" s="155">
        <f t="shared" si="76"/>
        <v>0.34865983505227499</v>
      </c>
      <c r="M321" s="155">
        <f t="shared" si="76"/>
        <v>0.34865983505227499</v>
      </c>
      <c r="N321" s="155">
        <f t="shared" si="76"/>
        <v>0.34865983505227499</v>
      </c>
      <c r="O321" s="155">
        <f t="shared" si="76"/>
        <v>0</v>
      </c>
      <c r="P321" s="155">
        <f t="shared" si="76"/>
        <v>0</v>
      </c>
      <c r="Q321" s="155">
        <f t="shared" si="76"/>
        <v>0.34865983505227499</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3">
      <c r="C322" s="32"/>
      <c r="AQ322" s="3"/>
    </row>
    <row r="323" spans="3:43" x14ac:dyDescent="0.3">
      <c r="C323" s="32"/>
      <c r="E323" s="32" t="s">
        <v>450</v>
      </c>
      <c r="AQ323" s="3"/>
    </row>
    <row r="324" spans="3:43" x14ac:dyDescent="0.3">
      <c r="C324" s="32"/>
      <c r="F324" s="78" t="s">
        <v>246</v>
      </c>
      <c r="G324" s="23" t="s">
        <v>166</v>
      </c>
      <c r="H324" s="23"/>
      <c r="I324" s="23"/>
      <c r="J324" s="154">
        <f>IF(J$39, J$45, J$35)</f>
        <v>0.54319459284507854</v>
      </c>
      <c r="K324" s="154">
        <f t="shared" ref="K324:Y326" si="77">IF(K$39, K$45, K$35)</f>
        <v>0.54319459284507854</v>
      </c>
      <c r="L324" s="154">
        <f t="shared" si="77"/>
        <v>0.54319459284507854</v>
      </c>
      <c r="M324" s="154">
        <f t="shared" si="77"/>
        <v>0.54319459284507854</v>
      </c>
      <c r="N324" s="154">
        <f t="shared" si="77"/>
        <v>0.54319459284507854</v>
      </c>
      <c r="O324" s="154">
        <f t="shared" si="77"/>
        <v>0.27624476019334121</v>
      </c>
      <c r="P324" s="154">
        <f t="shared" si="77"/>
        <v>0.14407962362625185</v>
      </c>
      <c r="Q324" s="154">
        <f t="shared" si="77"/>
        <v>0.54319459284507854</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3">
      <c r="C325" s="32"/>
      <c r="F325" s="72" t="s">
        <v>247</v>
      </c>
      <c r="G325" t="s">
        <v>166</v>
      </c>
      <c r="J325" s="323">
        <f t="shared" ref="J325:J326" si="78">IF(J$39, J$45, J$35)</f>
        <v>0.54319459284507854</v>
      </c>
      <c r="K325" s="323">
        <f t="shared" si="77"/>
        <v>0.54319459284507854</v>
      </c>
      <c r="L325" s="323">
        <f t="shared" si="77"/>
        <v>0.54319459284507854</v>
      </c>
      <c r="M325" s="323">
        <f t="shared" si="77"/>
        <v>0.54319459284507854</v>
      </c>
      <c r="N325" s="323">
        <f t="shared" si="77"/>
        <v>0.54319459284507854</v>
      </c>
      <c r="O325" s="323">
        <f t="shared" si="77"/>
        <v>0.27624476019334121</v>
      </c>
      <c r="P325" s="323">
        <f t="shared" si="77"/>
        <v>0.14407962362625185</v>
      </c>
      <c r="Q325" s="323">
        <f t="shared" si="77"/>
        <v>0.54319459284507854</v>
      </c>
      <c r="R325" s="323">
        <f t="shared" si="77"/>
        <v>0</v>
      </c>
      <c r="S325" s="323">
        <f t="shared" si="77"/>
        <v>0</v>
      </c>
      <c r="T325" s="323">
        <f t="shared" si="77"/>
        <v>0</v>
      </c>
      <c r="U325" s="323">
        <f t="shared" si="77"/>
        <v>0</v>
      </c>
      <c r="V325" s="323">
        <f t="shared" si="77"/>
        <v>0</v>
      </c>
      <c r="W325" s="323">
        <f t="shared" si="77"/>
        <v>0</v>
      </c>
      <c r="X325" s="323">
        <f t="shared" si="77"/>
        <v>0</v>
      </c>
      <c r="Y325" s="323">
        <f t="shared" si="77"/>
        <v>0</v>
      </c>
      <c r="AQ325" s="3"/>
    </row>
    <row r="326" spans="3:43" x14ac:dyDescent="0.3">
      <c r="C326" s="32"/>
      <c r="F326" s="80" t="s">
        <v>248</v>
      </c>
      <c r="G326" s="37" t="s">
        <v>166</v>
      </c>
      <c r="H326" s="37"/>
      <c r="I326" s="37"/>
      <c r="J326" s="155">
        <f t="shared" si="78"/>
        <v>0.54319459284507854</v>
      </c>
      <c r="K326" s="155">
        <f t="shared" si="77"/>
        <v>0.54319459284507854</v>
      </c>
      <c r="L326" s="155">
        <f t="shared" si="77"/>
        <v>0.54319459284507854</v>
      </c>
      <c r="M326" s="155">
        <f t="shared" si="77"/>
        <v>0.54319459284507854</v>
      </c>
      <c r="N326" s="155">
        <f t="shared" si="77"/>
        <v>0.54319459284507854</v>
      </c>
      <c r="O326" s="155">
        <f t="shared" si="77"/>
        <v>0.27624476019334121</v>
      </c>
      <c r="P326" s="155">
        <f t="shared" si="77"/>
        <v>0.14407962362625185</v>
      </c>
      <c r="Q326" s="155">
        <f t="shared" si="77"/>
        <v>0.54319459284507854</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3">
      <c r="C327" s="32"/>
      <c r="F327" s="72" t="s">
        <v>211</v>
      </c>
      <c r="G327" t="s">
        <v>166</v>
      </c>
      <c r="J327" s="323">
        <f t="shared" ref="J327:Y327" si="79">IF(J$39, J46, J$35)</f>
        <v>0.54319459284507854</v>
      </c>
      <c r="K327" s="323">
        <f t="shared" si="79"/>
        <v>0.54319459284507854</v>
      </c>
      <c r="L327" s="323">
        <f t="shared" si="79"/>
        <v>0.54319459284507854</v>
      </c>
      <c r="M327" s="323">
        <f t="shared" si="79"/>
        <v>0.54319459284507854</v>
      </c>
      <c r="N327" s="323">
        <f t="shared" si="79"/>
        <v>0.54319459284507854</v>
      </c>
      <c r="O327" s="323">
        <f t="shared" si="79"/>
        <v>0.27624476019334121</v>
      </c>
      <c r="P327" s="323">
        <f t="shared" si="79"/>
        <v>0.14407962362625185</v>
      </c>
      <c r="Q327" s="323">
        <f t="shared" si="79"/>
        <v>0.54319459284507854</v>
      </c>
      <c r="R327" s="323">
        <f t="shared" si="79"/>
        <v>1</v>
      </c>
      <c r="S327" s="323">
        <f t="shared" si="79"/>
        <v>1</v>
      </c>
      <c r="T327" s="323">
        <f t="shared" si="79"/>
        <v>1</v>
      </c>
      <c r="U327" s="323">
        <f t="shared" si="79"/>
        <v>1</v>
      </c>
      <c r="V327" s="323">
        <f t="shared" si="79"/>
        <v>1</v>
      </c>
      <c r="W327" s="323">
        <f t="shared" si="79"/>
        <v>1</v>
      </c>
      <c r="X327" s="323">
        <f t="shared" si="79"/>
        <v>1</v>
      </c>
      <c r="Y327" s="323">
        <f t="shared" si="79"/>
        <v>1</v>
      </c>
      <c r="AQ327" s="3"/>
    </row>
    <row r="328" spans="3:43" x14ac:dyDescent="0.3">
      <c r="C328" s="32"/>
      <c r="F328" s="72" t="s">
        <v>249</v>
      </c>
      <c r="G328" t="s">
        <v>166</v>
      </c>
      <c r="J328" s="323">
        <f t="shared" ref="J328:Y328" si="80">IF(J$39, J47, J$35)</f>
        <v>0.54319459284507854</v>
      </c>
      <c r="K328" s="323">
        <f t="shared" si="80"/>
        <v>0.54319459284507854</v>
      </c>
      <c r="L328" s="323">
        <f t="shared" si="80"/>
        <v>0.54319459284507854</v>
      </c>
      <c r="M328" s="323">
        <f t="shared" si="80"/>
        <v>0.54319459284507854</v>
      </c>
      <c r="N328" s="323">
        <f t="shared" si="80"/>
        <v>0.54319459284507854</v>
      </c>
      <c r="O328" s="323">
        <f t="shared" si="80"/>
        <v>0.27624476019334121</v>
      </c>
      <c r="P328" s="323">
        <f t="shared" si="80"/>
        <v>0.14407962362625185</v>
      </c>
      <c r="Q328" s="323">
        <f t="shared" si="80"/>
        <v>0.54319459284507854</v>
      </c>
      <c r="R328" s="323">
        <f t="shared" si="80"/>
        <v>0</v>
      </c>
      <c r="S328" s="323">
        <f t="shared" si="80"/>
        <v>0</v>
      </c>
      <c r="T328" s="323">
        <f t="shared" si="80"/>
        <v>0</v>
      </c>
      <c r="U328" s="323">
        <f t="shared" si="80"/>
        <v>0</v>
      </c>
      <c r="V328" s="323">
        <f t="shared" si="80"/>
        <v>0</v>
      </c>
      <c r="W328" s="323">
        <f t="shared" si="80"/>
        <v>0</v>
      </c>
      <c r="X328" s="323">
        <f t="shared" si="80"/>
        <v>0</v>
      </c>
      <c r="Y328" s="323">
        <f t="shared" si="80"/>
        <v>0</v>
      </c>
      <c r="AQ328" s="3"/>
    </row>
    <row r="329" spans="3:43" x14ac:dyDescent="0.3">
      <c r="C329" s="32"/>
      <c r="F329" s="72" t="s">
        <v>251</v>
      </c>
      <c r="G329" t="s">
        <v>166</v>
      </c>
      <c r="J329" s="323">
        <f t="shared" ref="J329:Y329" si="81">IF(J$39, J48, J$35)</f>
        <v>0.54319459284507854</v>
      </c>
      <c r="K329" s="323">
        <f t="shared" si="81"/>
        <v>0.54319459284507854</v>
      </c>
      <c r="L329" s="323">
        <f t="shared" si="81"/>
        <v>0.54319459284507854</v>
      </c>
      <c r="M329" s="323">
        <f t="shared" si="81"/>
        <v>0.54319459284507854</v>
      </c>
      <c r="N329" s="323">
        <f t="shared" si="81"/>
        <v>0.54319459284507854</v>
      </c>
      <c r="O329" s="323">
        <f t="shared" si="81"/>
        <v>0.27624476019334121</v>
      </c>
      <c r="P329" s="323">
        <f t="shared" si="81"/>
        <v>0.14407962362625185</v>
      </c>
      <c r="Q329" s="323">
        <f t="shared" si="81"/>
        <v>0.54319459284507854</v>
      </c>
      <c r="R329" s="323">
        <f t="shared" si="81"/>
        <v>0</v>
      </c>
      <c r="S329" s="323">
        <f t="shared" si="81"/>
        <v>0</v>
      </c>
      <c r="T329" s="323">
        <f t="shared" si="81"/>
        <v>0</v>
      </c>
      <c r="U329" s="323">
        <f t="shared" si="81"/>
        <v>0</v>
      </c>
      <c r="V329" s="323">
        <f t="shared" si="81"/>
        <v>0</v>
      </c>
      <c r="W329" s="323">
        <f t="shared" si="81"/>
        <v>0</v>
      </c>
      <c r="X329" s="323">
        <f t="shared" si="81"/>
        <v>0</v>
      </c>
      <c r="Y329" s="323">
        <f t="shared" si="81"/>
        <v>0</v>
      </c>
      <c r="AQ329" s="3"/>
    </row>
    <row r="330" spans="3:43" x14ac:dyDescent="0.3">
      <c r="C330" s="32"/>
      <c r="F330" s="80" t="s">
        <v>252</v>
      </c>
      <c r="G330" s="37" t="s">
        <v>166</v>
      </c>
      <c r="H330" s="37"/>
      <c r="I330" s="37"/>
      <c r="J330" s="155">
        <f t="shared" ref="J330:Y330" si="82">IF(J$39, J49, J$35)</f>
        <v>0.54319459284507854</v>
      </c>
      <c r="K330" s="155">
        <f t="shared" si="82"/>
        <v>0.54319459284507854</v>
      </c>
      <c r="L330" s="155">
        <f t="shared" si="82"/>
        <v>0.54319459284507854</v>
      </c>
      <c r="M330" s="155">
        <f t="shared" si="82"/>
        <v>0.54319459284507854</v>
      </c>
      <c r="N330" s="155">
        <f t="shared" si="82"/>
        <v>0.54319459284507854</v>
      </c>
      <c r="O330" s="155">
        <f t="shared" si="82"/>
        <v>0.27624476019334121</v>
      </c>
      <c r="P330" s="155">
        <f t="shared" si="82"/>
        <v>0.14407962362625185</v>
      </c>
      <c r="Q330" s="155">
        <f t="shared" si="82"/>
        <v>0.54319459284507854</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3">
      <c r="C331" s="32"/>
      <c r="AQ331" s="3"/>
    </row>
    <row r="332" spans="3:43" x14ac:dyDescent="0.3">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3">
      <c r="C333" s="32"/>
      <c r="AQ333" s="3"/>
    </row>
    <row r="334" spans="3:43" x14ac:dyDescent="0.3">
      <c r="E334" s="32" t="s">
        <v>970</v>
      </c>
      <c r="G334" s="13"/>
      <c r="I334" t="s">
        <v>153</v>
      </c>
      <c r="AQ334" s="3"/>
    </row>
    <row r="335" spans="3:43" x14ac:dyDescent="0.3">
      <c r="E335" s="32"/>
      <c r="F335" s="78" t="s">
        <v>246</v>
      </c>
      <c r="G335" s="78" t="s">
        <v>206</v>
      </c>
      <c r="H335" s="23"/>
      <c r="I335" s="23"/>
      <c r="J335" s="83"/>
      <c r="K335" s="126">
        <f t="shared" ref="K335:P341" si="83">(1 - K315) * K105</f>
        <v>0</v>
      </c>
      <c r="L335" s="126">
        <f t="shared" si="83"/>
        <v>0</v>
      </c>
      <c r="M335" s="126">
        <f t="shared" si="83"/>
        <v>0</v>
      </c>
      <c r="N335" s="126">
        <f t="shared" si="83"/>
        <v>0</v>
      </c>
      <c r="O335" s="126">
        <f t="shared" si="83"/>
        <v>0</v>
      </c>
      <c r="P335" s="126">
        <f t="shared" si="83"/>
        <v>0</v>
      </c>
      <c r="Q335" s="83"/>
      <c r="R335" s="126">
        <f t="shared" ref="R335:Y341" si="84">(1 - R315) * R105</f>
        <v>0</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3">
      <c r="E336" s="32"/>
      <c r="F336" s="72" t="s">
        <v>247</v>
      </c>
      <c r="G336" s="72" t="s">
        <v>206</v>
      </c>
      <c r="J336" s="322"/>
      <c r="K336" s="321">
        <f t="shared" si="83"/>
        <v>0</v>
      </c>
      <c r="L336" s="321">
        <f t="shared" si="83"/>
        <v>0</v>
      </c>
      <c r="M336" s="321">
        <f t="shared" si="83"/>
        <v>0</v>
      </c>
      <c r="N336" s="321">
        <f t="shared" si="83"/>
        <v>0</v>
      </c>
      <c r="O336" s="321">
        <f t="shared" si="83"/>
        <v>0</v>
      </c>
      <c r="P336" s="321">
        <f t="shared" si="83"/>
        <v>0</v>
      </c>
      <c r="Q336" s="322"/>
      <c r="R336" s="321">
        <f t="shared" si="84"/>
        <v>0</v>
      </c>
      <c r="S336" s="321">
        <f t="shared" si="84"/>
        <v>0</v>
      </c>
      <c r="T336" s="321">
        <f t="shared" si="84"/>
        <v>0</v>
      </c>
      <c r="U336" s="321">
        <f t="shared" si="84"/>
        <v>0</v>
      </c>
      <c r="V336" s="321">
        <f t="shared" si="84"/>
        <v>0</v>
      </c>
      <c r="W336" s="321">
        <f t="shared" si="84"/>
        <v>0</v>
      </c>
      <c r="X336" s="321">
        <f t="shared" si="84"/>
        <v>0</v>
      </c>
      <c r="Y336" s="321">
        <f t="shared" si="84"/>
        <v>0</v>
      </c>
      <c r="AQ336" s="3"/>
    </row>
    <row r="337" spans="5:43" x14ac:dyDescent="0.3">
      <c r="E337" s="32"/>
      <c r="F337" s="72" t="s">
        <v>248</v>
      </c>
      <c r="G337" s="72" t="s">
        <v>206</v>
      </c>
      <c r="J337" s="322"/>
      <c r="K337" s="321">
        <f t="shared" si="83"/>
        <v>0</v>
      </c>
      <c r="L337" s="321">
        <f t="shared" si="83"/>
        <v>0</v>
      </c>
      <c r="M337" s="321">
        <f t="shared" si="83"/>
        <v>0</v>
      </c>
      <c r="N337" s="321">
        <f t="shared" si="83"/>
        <v>0</v>
      </c>
      <c r="O337" s="321">
        <f t="shared" si="83"/>
        <v>0</v>
      </c>
      <c r="P337" s="321">
        <f t="shared" si="83"/>
        <v>0</v>
      </c>
      <c r="Q337" s="322"/>
      <c r="R337" s="321">
        <f t="shared" si="84"/>
        <v>0</v>
      </c>
      <c r="S337" s="321">
        <f t="shared" si="84"/>
        <v>0</v>
      </c>
      <c r="T337" s="321">
        <f t="shared" si="84"/>
        <v>0</v>
      </c>
      <c r="U337" s="321">
        <f t="shared" si="84"/>
        <v>0</v>
      </c>
      <c r="V337" s="321">
        <f t="shared" si="84"/>
        <v>0</v>
      </c>
      <c r="W337" s="321">
        <f t="shared" si="84"/>
        <v>0</v>
      </c>
      <c r="X337" s="321">
        <f t="shared" si="84"/>
        <v>0</v>
      </c>
      <c r="Y337" s="321">
        <f t="shared" si="84"/>
        <v>0</v>
      </c>
      <c r="AQ337" s="3"/>
    </row>
    <row r="338" spans="5:43" x14ac:dyDescent="0.3">
      <c r="E338" s="32"/>
      <c r="F338" s="72" t="s">
        <v>211</v>
      </c>
      <c r="G338" s="72" t="s">
        <v>211</v>
      </c>
      <c r="J338" s="322"/>
      <c r="K338" s="321">
        <f t="shared" si="83"/>
        <v>0</v>
      </c>
      <c r="L338" s="321">
        <f t="shared" si="83"/>
        <v>0</v>
      </c>
      <c r="M338" s="321">
        <f t="shared" si="83"/>
        <v>0</v>
      </c>
      <c r="N338" s="321">
        <f t="shared" si="83"/>
        <v>0</v>
      </c>
      <c r="O338" s="321">
        <f t="shared" si="83"/>
        <v>0</v>
      </c>
      <c r="P338" s="321">
        <f t="shared" si="83"/>
        <v>0</v>
      </c>
      <c r="Q338" s="322"/>
      <c r="R338" s="321">
        <f t="shared" si="84"/>
        <v>0</v>
      </c>
      <c r="S338" s="321">
        <f t="shared" si="84"/>
        <v>0</v>
      </c>
      <c r="T338" s="321">
        <f t="shared" si="84"/>
        <v>0</v>
      </c>
      <c r="U338" s="321">
        <f t="shared" si="84"/>
        <v>0</v>
      </c>
      <c r="V338" s="321">
        <f t="shared" si="84"/>
        <v>0</v>
      </c>
      <c r="W338" s="321">
        <f t="shared" si="84"/>
        <v>0</v>
      </c>
      <c r="X338" s="321">
        <f t="shared" si="84"/>
        <v>0</v>
      </c>
      <c r="Y338" s="321">
        <f t="shared" si="84"/>
        <v>0</v>
      </c>
      <c r="AQ338" s="3"/>
    </row>
    <row r="339" spans="5:43" x14ac:dyDescent="0.3">
      <c r="E339" s="32"/>
      <c r="F339" s="72" t="s">
        <v>249</v>
      </c>
      <c r="G339" s="72" t="s">
        <v>250</v>
      </c>
      <c r="J339" s="322"/>
      <c r="K339" s="321">
        <f t="shared" si="83"/>
        <v>0</v>
      </c>
      <c r="L339" s="321">
        <f t="shared" si="83"/>
        <v>0</v>
      </c>
      <c r="M339" s="321">
        <f t="shared" si="83"/>
        <v>0</v>
      </c>
      <c r="N339" s="321">
        <f t="shared" si="83"/>
        <v>0</v>
      </c>
      <c r="O339" s="321">
        <f t="shared" si="83"/>
        <v>0</v>
      </c>
      <c r="P339" s="321">
        <f t="shared" si="83"/>
        <v>0</v>
      </c>
      <c r="Q339" s="322"/>
      <c r="R339" s="321">
        <f t="shared" si="84"/>
        <v>0</v>
      </c>
      <c r="S339" s="321">
        <f t="shared" si="84"/>
        <v>0</v>
      </c>
      <c r="T339" s="321">
        <f t="shared" si="84"/>
        <v>0</v>
      </c>
      <c r="U339" s="321">
        <f t="shared" si="84"/>
        <v>0</v>
      </c>
      <c r="V339" s="321">
        <f t="shared" si="84"/>
        <v>0</v>
      </c>
      <c r="W339" s="321">
        <f t="shared" si="84"/>
        <v>0</v>
      </c>
      <c r="X339" s="321">
        <f t="shared" si="84"/>
        <v>0</v>
      </c>
      <c r="Y339" s="321">
        <f t="shared" si="84"/>
        <v>0</v>
      </c>
      <c r="AQ339" s="3"/>
    </row>
    <row r="340" spans="5:43" x14ac:dyDescent="0.3">
      <c r="E340" s="32"/>
      <c r="F340" s="72" t="s">
        <v>251</v>
      </c>
      <c r="G340" s="72" t="s">
        <v>250</v>
      </c>
      <c r="J340" s="322"/>
      <c r="K340" s="321">
        <f t="shared" si="83"/>
        <v>0</v>
      </c>
      <c r="L340" s="321">
        <f t="shared" si="83"/>
        <v>0</v>
      </c>
      <c r="M340" s="321">
        <f t="shared" si="83"/>
        <v>0</v>
      </c>
      <c r="N340" s="321">
        <f t="shared" si="83"/>
        <v>0</v>
      </c>
      <c r="O340" s="321">
        <f t="shared" si="83"/>
        <v>0</v>
      </c>
      <c r="P340" s="321">
        <f t="shared" si="83"/>
        <v>0</v>
      </c>
      <c r="Q340" s="322"/>
      <c r="R340" s="321">
        <f t="shared" si="84"/>
        <v>0</v>
      </c>
      <c r="S340" s="321">
        <f t="shared" si="84"/>
        <v>0</v>
      </c>
      <c r="T340" s="321">
        <f t="shared" si="84"/>
        <v>0</v>
      </c>
      <c r="U340" s="321">
        <f t="shared" si="84"/>
        <v>0</v>
      </c>
      <c r="V340" s="321">
        <f t="shared" si="84"/>
        <v>0</v>
      </c>
      <c r="W340" s="321">
        <f t="shared" si="84"/>
        <v>0</v>
      </c>
      <c r="X340" s="321">
        <f t="shared" si="84"/>
        <v>0</v>
      </c>
      <c r="Y340" s="321">
        <f t="shared" si="84"/>
        <v>0</v>
      </c>
      <c r="AQ340" s="3"/>
    </row>
    <row r="341" spans="5:43" x14ac:dyDescent="0.3">
      <c r="E341" s="32"/>
      <c r="F341" s="80" t="s">
        <v>252</v>
      </c>
      <c r="G341" s="80" t="s">
        <v>253</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3">
      <c r="AQ342" s="3"/>
    </row>
    <row r="343" spans="5:43" x14ac:dyDescent="0.3">
      <c r="E343" s="32" t="s">
        <v>971</v>
      </c>
      <c r="G343" s="13"/>
      <c r="I343" t="s">
        <v>153</v>
      </c>
      <c r="AQ343" s="3"/>
    </row>
    <row r="344" spans="5:43" x14ac:dyDescent="0.3">
      <c r="E344" s="32"/>
      <c r="F344" s="78" t="s">
        <v>246</v>
      </c>
      <c r="G344" s="78" t="s">
        <v>206</v>
      </c>
      <c r="H344" s="23"/>
      <c r="I344" s="23"/>
      <c r="J344" s="83"/>
      <c r="K344" s="126">
        <f t="shared" ref="K344:P350" si="85">(1 - K324) * K152</f>
        <v>0</v>
      </c>
      <c r="L344" s="126">
        <f t="shared" si="85"/>
        <v>0</v>
      </c>
      <c r="M344" s="126">
        <f t="shared" si="85"/>
        <v>0</v>
      </c>
      <c r="N344" s="126">
        <f t="shared" si="85"/>
        <v>0</v>
      </c>
      <c r="O344" s="126">
        <f t="shared" si="85"/>
        <v>0</v>
      </c>
      <c r="P344" s="126">
        <f t="shared" si="85"/>
        <v>0</v>
      </c>
      <c r="Q344" s="83"/>
      <c r="R344" s="126">
        <f t="shared" ref="R344:Y350" si="86">(1 - R324) * R152</f>
        <v>0</v>
      </c>
      <c r="S344" s="126">
        <f t="shared" si="86"/>
        <v>0</v>
      </c>
      <c r="T344" s="126">
        <f t="shared" si="86"/>
        <v>0</v>
      </c>
      <c r="U344" s="126">
        <f t="shared" si="86"/>
        <v>0</v>
      </c>
      <c r="V344" s="126">
        <f t="shared" si="86"/>
        <v>0</v>
      </c>
      <c r="W344" s="126">
        <f t="shared" si="86"/>
        <v>0</v>
      </c>
      <c r="X344" s="126">
        <f t="shared" si="86"/>
        <v>0</v>
      </c>
      <c r="Y344" s="126">
        <f t="shared" si="86"/>
        <v>0</v>
      </c>
      <c r="AQ344" s="3"/>
    </row>
    <row r="345" spans="5:43" x14ac:dyDescent="0.3">
      <c r="E345" s="32"/>
      <c r="F345" s="72" t="s">
        <v>247</v>
      </c>
      <c r="G345" s="72" t="s">
        <v>206</v>
      </c>
      <c r="J345" s="322"/>
      <c r="K345" s="321">
        <f t="shared" si="85"/>
        <v>0</v>
      </c>
      <c r="L345" s="321">
        <f t="shared" si="85"/>
        <v>0</v>
      </c>
      <c r="M345" s="321">
        <f t="shared" si="85"/>
        <v>0</v>
      </c>
      <c r="N345" s="321">
        <f t="shared" si="85"/>
        <v>0</v>
      </c>
      <c r="O345" s="321">
        <f t="shared" si="85"/>
        <v>0</v>
      </c>
      <c r="P345" s="321">
        <f t="shared" si="85"/>
        <v>0</v>
      </c>
      <c r="Q345" s="322"/>
      <c r="R345" s="321">
        <f t="shared" si="86"/>
        <v>0</v>
      </c>
      <c r="S345" s="321">
        <f t="shared" si="86"/>
        <v>0</v>
      </c>
      <c r="T345" s="321">
        <f t="shared" si="86"/>
        <v>0</v>
      </c>
      <c r="U345" s="321">
        <f t="shared" si="86"/>
        <v>0</v>
      </c>
      <c r="V345" s="321">
        <f t="shared" si="86"/>
        <v>0</v>
      </c>
      <c r="W345" s="321">
        <f t="shared" si="86"/>
        <v>0</v>
      </c>
      <c r="X345" s="321">
        <f t="shared" si="86"/>
        <v>0</v>
      </c>
      <c r="Y345" s="321">
        <f t="shared" si="86"/>
        <v>0</v>
      </c>
      <c r="AQ345" s="3"/>
    </row>
    <row r="346" spans="5:43" x14ac:dyDescent="0.3">
      <c r="E346" s="32"/>
      <c r="F346" s="72" t="s">
        <v>248</v>
      </c>
      <c r="G346" s="72" t="s">
        <v>206</v>
      </c>
      <c r="J346" s="322"/>
      <c r="K346" s="321">
        <f t="shared" si="85"/>
        <v>0</v>
      </c>
      <c r="L346" s="321">
        <f t="shared" si="85"/>
        <v>0</v>
      </c>
      <c r="M346" s="321">
        <f t="shared" si="85"/>
        <v>0</v>
      </c>
      <c r="N346" s="321">
        <f t="shared" si="85"/>
        <v>0</v>
      </c>
      <c r="O346" s="321">
        <f t="shared" si="85"/>
        <v>0</v>
      </c>
      <c r="P346" s="321">
        <f t="shared" si="85"/>
        <v>0</v>
      </c>
      <c r="Q346" s="322"/>
      <c r="R346" s="321">
        <f t="shared" si="86"/>
        <v>0</v>
      </c>
      <c r="S346" s="321">
        <f t="shared" si="86"/>
        <v>0</v>
      </c>
      <c r="T346" s="321">
        <f t="shared" si="86"/>
        <v>0</v>
      </c>
      <c r="U346" s="321">
        <f t="shared" si="86"/>
        <v>0</v>
      </c>
      <c r="V346" s="321">
        <f t="shared" si="86"/>
        <v>0</v>
      </c>
      <c r="W346" s="321">
        <f t="shared" si="86"/>
        <v>0</v>
      </c>
      <c r="X346" s="321">
        <f t="shared" si="86"/>
        <v>0</v>
      </c>
      <c r="Y346" s="321">
        <f t="shared" si="86"/>
        <v>0</v>
      </c>
      <c r="AQ346" s="3"/>
    </row>
    <row r="347" spans="5:43" x14ac:dyDescent="0.3">
      <c r="E347" s="32"/>
      <c r="F347" s="72" t="s">
        <v>211</v>
      </c>
      <c r="G347" s="72" t="s">
        <v>211</v>
      </c>
      <c r="J347" s="322"/>
      <c r="K347" s="321">
        <f t="shared" si="85"/>
        <v>0</v>
      </c>
      <c r="L347" s="321">
        <f t="shared" si="85"/>
        <v>0</v>
      </c>
      <c r="M347" s="321">
        <f t="shared" si="85"/>
        <v>0</v>
      </c>
      <c r="N347" s="321">
        <f t="shared" si="85"/>
        <v>0</v>
      </c>
      <c r="O347" s="321">
        <f t="shared" si="85"/>
        <v>0</v>
      </c>
      <c r="P347" s="321">
        <f t="shared" si="85"/>
        <v>0</v>
      </c>
      <c r="Q347" s="322"/>
      <c r="R347" s="321">
        <f t="shared" si="86"/>
        <v>0</v>
      </c>
      <c r="S347" s="321">
        <f t="shared" si="86"/>
        <v>0</v>
      </c>
      <c r="T347" s="321">
        <f t="shared" si="86"/>
        <v>0</v>
      </c>
      <c r="U347" s="321">
        <f t="shared" si="86"/>
        <v>0</v>
      </c>
      <c r="V347" s="321">
        <f t="shared" si="86"/>
        <v>0</v>
      </c>
      <c r="W347" s="321">
        <f t="shared" si="86"/>
        <v>0</v>
      </c>
      <c r="X347" s="321">
        <f t="shared" si="86"/>
        <v>0</v>
      </c>
      <c r="Y347" s="321">
        <f t="shared" si="86"/>
        <v>0</v>
      </c>
      <c r="AQ347" s="3"/>
    </row>
    <row r="348" spans="5:43" x14ac:dyDescent="0.3">
      <c r="E348" s="32"/>
      <c r="F348" s="72" t="s">
        <v>249</v>
      </c>
      <c r="G348" s="72" t="s">
        <v>250</v>
      </c>
      <c r="J348" s="322"/>
      <c r="K348" s="321">
        <f t="shared" si="85"/>
        <v>0</v>
      </c>
      <c r="L348" s="321">
        <f t="shared" si="85"/>
        <v>0</v>
      </c>
      <c r="M348" s="321">
        <f t="shared" si="85"/>
        <v>0</v>
      </c>
      <c r="N348" s="321">
        <f t="shared" si="85"/>
        <v>0</v>
      </c>
      <c r="O348" s="321">
        <f t="shared" si="85"/>
        <v>0</v>
      </c>
      <c r="P348" s="321">
        <f t="shared" si="85"/>
        <v>0</v>
      </c>
      <c r="Q348" s="322"/>
      <c r="R348" s="321">
        <f t="shared" si="86"/>
        <v>0</v>
      </c>
      <c r="S348" s="321">
        <f t="shared" si="86"/>
        <v>0</v>
      </c>
      <c r="T348" s="321">
        <f t="shared" si="86"/>
        <v>0</v>
      </c>
      <c r="U348" s="321">
        <f t="shared" si="86"/>
        <v>0</v>
      </c>
      <c r="V348" s="321">
        <f t="shared" si="86"/>
        <v>0</v>
      </c>
      <c r="W348" s="321">
        <f t="shared" si="86"/>
        <v>0</v>
      </c>
      <c r="X348" s="321">
        <f t="shared" si="86"/>
        <v>0</v>
      </c>
      <c r="Y348" s="321">
        <f t="shared" si="86"/>
        <v>0</v>
      </c>
      <c r="AQ348" s="3"/>
    </row>
    <row r="349" spans="5:43" x14ac:dyDescent="0.3">
      <c r="E349" s="32"/>
      <c r="F349" s="72" t="s">
        <v>251</v>
      </c>
      <c r="G349" s="72" t="s">
        <v>250</v>
      </c>
      <c r="J349" s="322"/>
      <c r="K349" s="321">
        <f t="shared" si="85"/>
        <v>0</v>
      </c>
      <c r="L349" s="321">
        <f t="shared" si="85"/>
        <v>0</v>
      </c>
      <c r="M349" s="321">
        <f t="shared" si="85"/>
        <v>0</v>
      </c>
      <c r="N349" s="321">
        <f t="shared" si="85"/>
        <v>0</v>
      </c>
      <c r="O349" s="321">
        <f t="shared" si="85"/>
        <v>0</v>
      </c>
      <c r="P349" s="321">
        <f t="shared" si="85"/>
        <v>0</v>
      </c>
      <c r="Q349" s="322"/>
      <c r="R349" s="321">
        <f t="shared" si="86"/>
        <v>0</v>
      </c>
      <c r="S349" s="321">
        <f t="shared" si="86"/>
        <v>0</v>
      </c>
      <c r="T349" s="321">
        <f t="shared" si="86"/>
        <v>0</v>
      </c>
      <c r="U349" s="321">
        <f t="shared" si="86"/>
        <v>0</v>
      </c>
      <c r="V349" s="321">
        <f t="shared" si="86"/>
        <v>0</v>
      </c>
      <c r="W349" s="321">
        <f t="shared" si="86"/>
        <v>0</v>
      </c>
      <c r="X349" s="321">
        <f t="shared" si="86"/>
        <v>0</v>
      </c>
      <c r="Y349" s="321">
        <f t="shared" si="86"/>
        <v>0</v>
      </c>
      <c r="AQ349" s="3"/>
    </row>
    <row r="350" spans="5:43" x14ac:dyDescent="0.3">
      <c r="E350" s="32"/>
      <c r="F350" s="80" t="s">
        <v>252</v>
      </c>
      <c r="G350" s="80" t="s">
        <v>253</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0</v>
      </c>
      <c r="U350" s="100">
        <f t="shared" si="86"/>
        <v>0</v>
      </c>
      <c r="V350" s="100">
        <f t="shared" si="86"/>
        <v>0</v>
      </c>
      <c r="W350" s="100">
        <f t="shared" si="86"/>
        <v>0</v>
      </c>
      <c r="X350" s="100">
        <f t="shared" si="86"/>
        <v>0</v>
      </c>
      <c r="Y350" s="100">
        <f t="shared" si="86"/>
        <v>0</v>
      </c>
      <c r="AQ350" s="3"/>
    </row>
    <row r="351" spans="5:43" x14ac:dyDescent="0.3">
      <c r="AQ351" s="3"/>
    </row>
    <row r="352" spans="5:43" x14ac:dyDescent="0.3">
      <c r="E352" s="32" t="s">
        <v>972</v>
      </c>
      <c r="G352" s="13"/>
      <c r="I352" t="s">
        <v>153</v>
      </c>
      <c r="AQ352" s="3"/>
    </row>
    <row r="353" spans="3:43" x14ac:dyDescent="0.3">
      <c r="E353" s="32"/>
      <c r="F353" s="78" t="s">
        <v>246</v>
      </c>
      <c r="G353" s="78" t="s">
        <v>206</v>
      </c>
      <c r="H353" s="23"/>
      <c r="I353" s="23"/>
      <c r="J353" s="83"/>
      <c r="K353" s="126">
        <f t="shared" ref="K353:P359" si="87">K58+K335+K344</f>
        <v>18.350451934590168</v>
      </c>
      <c r="L353" s="126">
        <f t="shared" si="87"/>
        <v>0.1664543847844776</v>
      </c>
      <c r="M353" s="126">
        <f t="shared" si="87"/>
        <v>30.968009054504083</v>
      </c>
      <c r="N353" s="126">
        <f t="shared" si="87"/>
        <v>6.286703172921615</v>
      </c>
      <c r="O353" s="126">
        <f t="shared" si="87"/>
        <v>19.278476192852601</v>
      </c>
      <c r="P353" s="126">
        <f t="shared" si="87"/>
        <v>48.779728202076853</v>
      </c>
      <c r="Q353" s="83"/>
      <c r="R353" s="126">
        <f t="shared" ref="R353:Y359" si="88">R58+R335+R344</f>
        <v>162.86490240768723</v>
      </c>
      <c r="S353" s="126">
        <f t="shared" si="88"/>
        <v>0</v>
      </c>
      <c r="T353" s="126">
        <f t="shared" si="88"/>
        <v>2814.8705870277408</v>
      </c>
      <c r="U353" s="126">
        <f t="shared" si="88"/>
        <v>0</v>
      </c>
      <c r="V353" s="126">
        <f t="shared" si="88"/>
        <v>359.61906314590294</v>
      </c>
      <c r="W353" s="126">
        <f t="shared" si="88"/>
        <v>0</v>
      </c>
      <c r="X353" s="126">
        <f t="shared" si="88"/>
        <v>134754.49574344291</v>
      </c>
      <c r="Y353" s="126">
        <f t="shared" si="88"/>
        <v>0</v>
      </c>
      <c r="AQ353" s="3"/>
    </row>
    <row r="354" spans="3:43" x14ac:dyDescent="0.3">
      <c r="E354" s="32"/>
      <c r="F354" s="72" t="s">
        <v>247</v>
      </c>
      <c r="G354" s="72" t="s">
        <v>206</v>
      </c>
      <c r="J354" s="322"/>
      <c r="K354" s="321">
        <f t="shared" si="87"/>
        <v>442.08512771373279</v>
      </c>
      <c r="L354" s="321">
        <f t="shared" si="87"/>
        <v>0.59787580461090495</v>
      </c>
      <c r="M354" s="321">
        <f t="shared" si="87"/>
        <v>924.22425525108804</v>
      </c>
      <c r="N354" s="321">
        <f t="shared" si="87"/>
        <v>22.675065430603073</v>
      </c>
      <c r="O354" s="321">
        <f t="shared" si="87"/>
        <v>70.918314424861464</v>
      </c>
      <c r="P354" s="321">
        <f t="shared" si="87"/>
        <v>165.60985233193685</v>
      </c>
      <c r="Q354" s="322"/>
      <c r="R354" s="321">
        <f t="shared" si="88"/>
        <v>602.4003628152069</v>
      </c>
      <c r="S354" s="321">
        <f t="shared" si="88"/>
        <v>0</v>
      </c>
      <c r="T354" s="321">
        <f t="shared" si="88"/>
        <v>10411.568347971635</v>
      </c>
      <c r="U354" s="321">
        <f t="shared" si="88"/>
        <v>0</v>
      </c>
      <c r="V354" s="321">
        <f t="shared" si="88"/>
        <v>1554.6705868586694</v>
      </c>
      <c r="W354" s="321">
        <f t="shared" si="88"/>
        <v>0</v>
      </c>
      <c r="X354" s="321">
        <f t="shared" si="88"/>
        <v>332893.45294245722</v>
      </c>
      <c r="Y354" s="321">
        <f t="shared" si="88"/>
        <v>0</v>
      </c>
      <c r="AQ354" s="3"/>
    </row>
    <row r="355" spans="3:43" x14ac:dyDescent="0.3">
      <c r="E355" s="32"/>
      <c r="F355" s="72" t="s">
        <v>248</v>
      </c>
      <c r="G355" s="72" t="s">
        <v>206</v>
      </c>
      <c r="J355" s="322"/>
      <c r="K355" s="321">
        <f t="shared" si="87"/>
        <v>4114.2867134426042</v>
      </c>
      <c r="L355" s="321">
        <f t="shared" si="87"/>
        <v>0.76270252774869396</v>
      </c>
      <c r="M355" s="321">
        <f t="shared" si="87"/>
        <v>14603.793923010659</v>
      </c>
      <c r="N355" s="321">
        <f t="shared" si="87"/>
        <v>29.447702238505478</v>
      </c>
      <c r="O355" s="321">
        <f t="shared" si="87"/>
        <v>97.54346399950731</v>
      </c>
      <c r="P355" s="321">
        <f t="shared" si="87"/>
        <v>275.57084393681538</v>
      </c>
      <c r="Q355" s="322"/>
      <c r="R355" s="321">
        <f t="shared" si="88"/>
        <v>1012.2920957316472</v>
      </c>
      <c r="S355" s="321">
        <f t="shared" si="88"/>
        <v>0</v>
      </c>
      <c r="T355" s="321">
        <f t="shared" si="88"/>
        <v>17495.919646473743</v>
      </c>
      <c r="U355" s="321">
        <f t="shared" si="88"/>
        <v>0</v>
      </c>
      <c r="V355" s="321">
        <f t="shared" si="88"/>
        <v>2113.8817344775266</v>
      </c>
      <c r="W355" s="321">
        <f t="shared" si="88"/>
        <v>0</v>
      </c>
      <c r="X355" s="321">
        <f t="shared" si="88"/>
        <v>476929.11411067331</v>
      </c>
      <c r="Y355" s="321">
        <f t="shared" si="88"/>
        <v>0</v>
      </c>
      <c r="AQ355" s="3"/>
    </row>
    <row r="356" spans="3:43" x14ac:dyDescent="0.3">
      <c r="E356" s="32"/>
      <c r="F356" s="72" t="s">
        <v>211</v>
      </c>
      <c r="G356" s="72" t="s">
        <v>211</v>
      </c>
      <c r="J356" s="322"/>
      <c r="K356" s="321">
        <f t="shared" si="87"/>
        <v>1739.8559938586122</v>
      </c>
      <c r="L356" s="321">
        <f t="shared" si="87"/>
        <v>1</v>
      </c>
      <c r="M356" s="321">
        <f t="shared" si="87"/>
        <v>2930.0356035322934</v>
      </c>
      <c r="N356" s="321">
        <f t="shared" si="87"/>
        <v>1</v>
      </c>
      <c r="O356" s="321">
        <f t="shared" si="87"/>
        <v>1</v>
      </c>
      <c r="P356" s="321">
        <f t="shared" si="87"/>
        <v>1</v>
      </c>
      <c r="Q356" s="322"/>
      <c r="R356" s="321">
        <f t="shared" si="88"/>
        <v>397.9095890410959</v>
      </c>
      <c r="S356" s="321">
        <f t="shared" si="88"/>
        <v>0</v>
      </c>
      <c r="T356" s="321">
        <f t="shared" si="88"/>
        <v>258.48493150684931</v>
      </c>
      <c r="U356" s="321">
        <f t="shared" si="88"/>
        <v>0</v>
      </c>
      <c r="V356" s="321">
        <f t="shared" si="88"/>
        <v>42</v>
      </c>
      <c r="W356" s="321">
        <f t="shared" si="88"/>
        <v>0</v>
      </c>
      <c r="X356" s="321">
        <f t="shared" si="88"/>
        <v>280</v>
      </c>
      <c r="Y356" s="321">
        <f t="shared" si="88"/>
        <v>0</v>
      </c>
      <c r="AQ356" s="3"/>
    </row>
    <row r="357" spans="3:43" x14ac:dyDescent="0.3">
      <c r="E357" s="32"/>
      <c r="F357" s="72" t="s">
        <v>249</v>
      </c>
      <c r="G357" s="72" t="s">
        <v>250</v>
      </c>
      <c r="J357" s="322"/>
      <c r="K357" s="321">
        <f t="shared" si="87"/>
        <v>0</v>
      </c>
      <c r="L357" s="321">
        <f t="shared" si="87"/>
        <v>0</v>
      </c>
      <c r="M357" s="321">
        <f t="shared" si="87"/>
        <v>0</v>
      </c>
      <c r="N357" s="321">
        <f t="shared" si="87"/>
        <v>37.850155191376949</v>
      </c>
      <c r="O357" s="321">
        <f t="shared" si="87"/>
        <v>107.18588337781929</v>
      </c>
      <c r="P357" s="321">
        <f t="shared" si="87"/>
        <v>204.67557859586987</v>
      </c>
      <c r="Q357" s="322"/>
      <c r="R357" s="321">
        <f t="shared" si="88"/>
        <v>0</v>
      </c>
      <c r="S357" s="321">
        <f t="shared" si="88"/>
        <v>0</v>
      </c>
      <c r="T357" s="321">
        <f t="shared" si="88"/>
        <v>0</v>
      </c>
      <c r="U357" s="321">
        <f t="shared" si="88"/>
        <v>0</v>
      </c>
      <c r="V357" s="321">
        <f t="shared" si="88"/>
        <v>0</v>
      </c>
      <c r="W357" s="321">
        <f t="shared" si="88"/>
        <v>0</v>
      </c>
      <c r="X357" s="321">
        <f t="shared" si="88"/>
        <v>0</v>
      </c>
      <c r="Y357" s="321">
        <f t="shared" si="88"/>
        <v>0</v>
      </c>
      <c r="AQ357" s="3"/>
    </row>
    <row r="358" spans="3:43" x14ac:dyDescent="0.3">
      <c r="E358" s="32"/>
      <c r="F358" s="72" t="s">
        <v>251</v>
      </c>
      <c r="G358" s="72" t="s">
        <v>250</v>
      </c>
      <c r="J358" s="322"/>
      <c r="K358" s="321">
        <f t="shared" si="87"/>
        <v>0</v>
      </c>
      <c r="L358" s="321">
        <f t="shared" si="87"/>
        <v>0</v>
      </c>
      <c r="M358" s="321">
        <f t="shared" si="87"/>
        <v>0</v>
      </c>
      <c r="N358" s="321">
        <f t="shared" si="87"/>
        <v>0.80898981879554421</v>
      </c>
      <c r="O358" s="321">
        <f t="shared" si="87"/>
        <v>0.99296401579984772</v>
      </c>
      <c r="P358" s="321">
        <f t="shared" si="87"/>
        <v>1.810298734092207</v>
      </c>
      <c r="Q358" s="322"/>
      <c r="R358" s="321">
        <f t="shared" si="88"/>
        <v>0</v>
      </c>
      <c r="S358" s="321">
        <f t="shared" si="88"/>
        <v>0</v>
      </c>
      <c r="T358" s="321">
        <f t="shared" si="88"/>
        <v>0</v>
      </c>
      <c r="U358" s="321">
        <f t="shared" si="88"/>
        <v>0</v>
      </c>
      <c r="V358" s="321">
        <f t="shared" si="88"/>
        <v>0</v>
      </c>
      <c r="W358" s="321">
        <f t="shared" si="88"/>
        <v>0</v>
      </c>
      <c r="X358" s="321">
        <f t="shared" si="88"/>
        <v>0</v>
      </c>
      <c r="Y358" s="321">
        <f t="shared" si="88"/>
        <v>0</v>
      </c>
      <c r="AQ358" s="3"/>
    </row>
    <row r="359" spans="3:43" x14ac:dyDescent="0.3">
      <c r="E359" s="32"/>
      <c r="F359" s="80" t="s">
        <v>252</v>
      </c>
      <c r="G359" s="80" t="s">
        <v>253</v>
      </c>
      <c r="H359" s="37"/>
      <c r="I359" s="37"/>
      <c r="J359" s="81"/>
      <c r="K359" s="100">
        <f t="shared" si="87"/>
        <v>0</v>
      </c>
      <c r="L359" s="100">
        <f t="shared" si="87"/>
        <v>0</v>
      </c>
      <c r="M359" s="100">
        <f t="shared" si="87"/>
        <v>0</v>
      </c>
      <c r="N359" s="100">
        <f t="shared" si="87"/>
        <v>4.7489974887219137</v>
      </c>
      <c r="O359" s="100">
        <f t="shared" si="87"/>
        <v>14.167994601186939</v>
      </c>
      <c r="P359" s="100">
        <f t="shared" si="87"/>
        <v>37.447582959517128</v>
      </c>
      <c r="Q359" s="81"/>
      <c r="R359" s="100">
        <f t="shared" si="88"/>
        <v>0</v>
      </c>
      <c r="S359" s="100">
        <f t="shared" si="88"/>
        <v>0</v>
      </c>
      <c r="T359" s="100">
        <f t="shared" si="88"/>
        <v>2939.5815003992957</v>
      </c>
      <c r="U359" s="100">
        <f t="shared" si="88"/>
        <v>0</v>
      </c>
      <c r="V359" s="100">
        <f t="shared" si="88"/>
        <v>658.09713031219098</v>
      </c>
      <c r="W359" s="100">
        <f t="shared" si="88"/>
        <v>0</v>
      </c>
      <c r="X359" s="100">
        <f t="shared" si="88"/>
        <v>12290.739308282646</v>
      </c>
      <c r="Y359" s="100">
        <f t="shared" si="88"/>
        <v>0</v>
      </c>
      <c r="AQ359" s="3"/>
    </row>
    <row r="360" spans="3:43" x14ac:dyDescent="0.3">
      <c r="AQ360" s="3"/>
    </row>
    <row r="361" spans="3:43" x14ac:dyDescent="0.3">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3">
      <c r="C362" s="32"/>
      <c r="AQ362" s="3"/>
    </row>
    <row r="363" spans="3:43" x14ac:dyDescent="0.3">
      <c r="E363" s="32" t="s">
        <v>968</v>
      </c>
      <c r="G363" s="13"/>
      <c r="I363" t="s">
        <v>153</v>
      </c>
      <c r="AQ363" s="3"/>
    </row>
    <row r="364" spans="3:43" x14ac:dyDescent="0.3">
      <c r="E364" s="32"/>
      <c r="F364" s="78" t="s">
        <v>246</v>
      </c>
      <c r="G364" s="78" t="s">
        <v>206</v>
      </c>
      <c r="H364" s="23"/>
      <c r="I364" s="23"/>
      <c r="J364" s="126">
        <f t="shared" ref="J364:J370" si="89">(1 - J315) * J114</f>
        <v>11475.233422276639</v>
      </c>
      <c r="K364" s="83"/>
      <c r="L364" s="126">
        <f t="shared" ref="L364:L370" si="90">(1 - L315) * L114</f>
        <v>19.367552103931565</v>
      </c>
      <c r="M364" s="83"/>
      <c r="N364" s="126">
        <f t="shared" ref="N364:Q370" si="91">(1 - N315) * N114</f>
        <v>44.066379752520817</v>
      </c>
      <c r="O364" s="126">
        <f t="shared" si="91"/>
        <v>0</v>
      </c>
      <c r="P364" s="126">
        <f t="shared" si="91"/>
        <v>0</v>
      </c>
      <c r="Q364" s="126">
        <f t="shared" si="91"/>
        <v>7.6252229081082996</v>
      </c>
      <c r="R364" s="83"/>
      <c r="S364" s="83"/>
      <c r="T364" s="83"/>
      <c r="U364" s="83"/>
      <c r="V364" s="83"/>
      <c r="W364" s="83"/>
      <c r="X364" s="83"/>
      <c r="Y364" s="83"/>
      <c r="AQ364" s="3"/>
    </row>
    <row r="365" spans="3:43" x14ac:dyDescent="0.3">
      <c r="E365" s="32"/>
      <c r="F365" s="72" t="s">
        <v>247</v>
      </c>
      <c r="G365" s="72" t="s">
        <v>206</v>
      </c>
      <c r="J365" s="321">
        <f t="shared" si="89"/>
        <v>28910.189495810046</v>
      </c>
      <c r="K365" s="322"/>
      <c r="L365" s="321">
        <f t="shared" si="90"/>
        <v>69.564949054808707</v>
      </c>
      <c r="M365" s="322"/>
      <c r="N365" s="321">
        <f t="shared" si="91"/>
        <v>151.39612394033924</v>
      </c>
      <c r="O365" s="321">
        <f t="shared" si="91"/>
        <v>0</v>
      </c>
      <c r="P365" s="321">
        <f t="shared" si="91"/>
        <v>0</v>
      </c>
      <c r="Q365" s="321">
        <f t="shared" si="91"/>
        <v>25.308868214773284</v>
      </c>
      <c r="R365" s="322"/>
      <c r="S365" s="322"/>
      <c r="T365" s="322"/>
      <c r="U365" s="322"/>
      <c r="V365" s="322"/>
      <c r="W365" s="322"/>
      <c r="X365" s="322"/>
      <c r="Y365" s="322"/>
      <c r="AQ365" s="3"/>
    </row>
    <row r="366" spans="3:43" x14ac:dyDescent="0.3">
      <c r="E366" s="32"/>
      <c r="F366" s="72" t="s">
        <v>248</v>
      </c>
      <c r="G366" s="72" t="s">
        <v>206</v>
      </c>
      <c r="J366" s="321">
        <f t="shared" si="89"/>
        <v>53106.539991273159</v>
      </c>
      <c r="K366" s="322"/>
      <c r="L366" s="321">
        <f t="shared" si="90"/>
        <v>88.743117011301734</v>
      </c>
      <c r="M366" s="322"/>
      <c r="N366" s="321">
        <f t="shared" si="91"/>
        <v>224.16313015147091</v>
      </c>
      <c r="O366" s="321">
        <f t="shared" si="91"/>
        <v>0</v>
      </c>
      <c r="P366" s="321">
        <f t="shared" si="91"/>
        <v>0</v>
      </c>
      <c r="Q366" s="321">
        <f t="shared" si="91"/>
        <v>130.78346459064585</v>
      </c>
      <c r="R366" s="322"/>
      <c r="S366" s="322"/>
      <c r="T366" s="322"/>
      <c r="U366" s="322"/>
      <c r="V366" s="322"/>
      <c r="W366" s="322"/>
      <c r="X366" s="322"/>
      <c r="Y366" s="322"/>
      <c r="AQ366" s="3"/>
    </row>
    <row r="367" spans="3:43" x14ac:dyDescent="0.3">
      <c r="E367" s="32"/>
      <c r="F367" s="72" t="s">
        <v>211</v>
      </c>
      <c r="G367" s="72" t="s">
        <v>211</v>
      </c>
      <c r="J367" s="321">
        <f t="shared" si="89"/>
        <v>34396.519608269831</v>
      </c>
      <c r="K367" s="322"/>
      <c r="L367" s="321">
        <f t="shared" si="90"/>
        <v>235.8712095747843</v>
      </c>
      <c r="M367" s="322"/>
      <c r="N367" s="321">
        <f t="shared" si="91"/>
        <v>10.825514367114664</v>
      </c>
      <c r="O367" s="321">
        <f t="shared" si="91"/>
        <v>0</v>
      </c>
      <c r="P367" s="321">
        <f t="shared" si="91"/>
        <v>0</v>
      </c>
      <c r="Q367" s="321">
        <f t="shared" si="91"/>
        <v>48.199172206131657</v>
      </c>
      <c r="R367" s="322"/>
      <c r="S367" s="322"/>
      <c r="T367" s="322"/>
      <c r="U367" s="322"/>
      <c r="V367" s="322"/>
      <c r="W367" s="322"/>
      <c r="X367" s="322"/>
      <c r="Y367" s="322"/>
      <c r="AQ367" s="3"/>
    </row>
    <row r="368" spans="3:43" x14ac:dyDescent="0.3">
      <c r="E368" s="32"/>
      <c r="F368" s="72" t="s">
        <v>249</v>
      </c>
      <c r="G368" s="72" t="s">
        <v>250</v>
      </c>
      <c r="J368" s="321">
        <f t="shared" si="89"/>
        <v>0</v>
      </c>
      <c r="K368" s="322"/>
      <c r="L368" s="321">
        <f t="shared" si="90"/>
        <v>0</v>
      </c>
      <c r="M368" s="322"/>
      <c r="N368" s="321">
        <f t="shared" si="91"/>
        <v>473.37041844669091</v>
      </c>
      <c r="O368" s="321">
        <f t="shared" si="91"/>
        <v>0</v>
      </c>
      <c r="P368" s="321">
        <f t="shared" si="91"/>
        <v>0</v>
      </c>
      <c r="Q368" s="321">
        <f t="shared" si="91"/>
        <v>0</v>
      </c>
      <c r="R368" s="322"/>
      <c r="S368" s="322"/>
      <c r="T368" s="322"/>
      <c r="U368" s="322"/>
      <c r="V368" s="322"/>
      <c r="W368" s="322"/>
      <c r="X368" s="322"/>
      <c r="Y368" s="322"/>
      <c r="AQ368" s="3"/>
    </row>
    <row r="369" spans="5:43" x14ac:dyDescent="0.3">
      <c r="E369" s="32"/>
      <c r="F369" s="72" t="s">
        <v>251</v>
      </c>
      <c r="G369" s="72" t="s">
        <v>250</v>
      </c>
      <c r="J369" s="321">
        <f t="shared" si="89"/>
        <v>0</v>
      </c>
      <c r="K369" s="322"/>
      <c r="L369" s="321">
        <f t="shared" si="90"/>
        <v>0</v>
      </c>
      <c r="M369" s="322"/>
      <c r="N369" s="321">
        <f t="shared" si="91"/>
        <v>4.8825224820067579</v>
      </c>
      <c r="O369" s="321">
        <f t="shared" si="91"/>
        <v>0</v>
      </c>
      <c r="P369" s="321">
        <f t="shared" si="91"/>
        <v>0</v>
      </c>
      <c r="Q369" s="321">
        <f t="shared" si="91"/>
        <v>0</v>
      </c>
      <c r="R369" s="322"/>
      <c r="S369" s="322"/>
      <c r="T369" s="322"/>
      <c r="U369" s="322"/>
      <c r="V369" s="322"/>
      <c r="W369" s="322"/>
      <c r="X369" s="322"/>
      <c r="Y369" s="322"/>
      <c r="AQ369" s="3"/>
    </row>
    <row r="370" spans="5:43" x14ac:dyDescent="0.3">
      <c r="E370" s="32"/>
      <c r="F370" s="80" t="s">
        <v>252</v>
      </c>
      <c r="G370" s="80" t="s">
        <v>253</v>
      </c>
      <c r="H370" s="37"/>
      <c r="I370" s="37"/>
      <c r="J370" s="100">
        <f t="shared" si="89"/>
        <v>0</v>
      </c>
      <c r="K370" s="81"/>
      <c r="L370" s="100">
        <f t="shared" si="90"/>
        <v>0</v>
      </c>
      <c r="M370" s="81"/>
      <c r="N370" s="100">
        <f t="shared" si="91"/>
        <v>42.597012360478736</v>
      </c>
      <c r="O370" s="100">
        <f t="shared" si="91"/>
        <v>0</v>
      </c>
      <c r="P370" s="100">
        <f t="shared" si="91"/>
        <v>0</v>
      </c>
      <c r="Q370" s="100">
        <f t="shared" si="91"/>
        <v>0</v>
      </c>
      <c r="R370" s="81"/>
      <c r="S370" s="81"/>
      <c r="T370" s="81"/>
      <c r="U370" s="81"/>
      <c r="V370" s="81"/>
      <c r="W370" s="81"/>
      <c r="X370" s="81"/>
      <c r="Y370" s="81"/>
      <c r="AQ370" s="3"/>
    </row>
    <row r="371" spans="5:43" x14ac:dyDescent="0.3">
      <c r="AQ371" s="3"/>
    </row>
    <row r="372" spans="5:43" x14ac:dyDescent="0.3">
      <c r="E372" s="32" t="s">
        <v>969</v>
      </c>
      <c r="G372" s="13"/>
      <c r="I372" t="s">
        <v>153</v>
      </c>
      <c r="AQ372" s="3"/>
    </row>
    <row r="373" spans="5:43" x14ac:dyDescent="0.3">
      <c r="E373" s="32"/>
      <c r="F373" s="78" t="s">
        <v>246</v>
      </c>
      <c r="G373" s="78" t="s">
        <v>206</v>
      </c>
      <c r="H373" s="23"/>
      <c r="I373" s="23"/>
      <c r="J373" s="126">
        <f t="shared" ref="J373:J379" si="92">(1 - J324) * J161</f>
        <v>9322.0260919369375</v>
      </c>
      <c r="K373" s="83"/>
      <c r="L373" s="126">
        <f t="shared" ref="L373:L379" si="93">(1 - L324) * L161</f>
        <v>24.225568338885939</v>
      </c>
      <c r="M373" s="83"/>
      <c r="N373" s="126">
        <f t="shared" ref="N373:Q379" si="94">(1 - N324) * N161</f>
        <v>916.29856272100005</v>
      </c>
      <c r="O373" s="126">
        <f t="shared" si="94"/>
        <v>162.96931640949305</v>
      </c>
      <c r="P373" s="126">
        <f t="shared" si="94"/>
        <v>290.74535764478941</v>
      </c>
      <c r="Q373" s="126">
        <f t="shared" si="94"/>
        <v>0.36887340225804144</v>
      </c>
      <c r="R373" s="83"/>
      <c r="S373" s="83"/>
      <c r="T373" s="83"/>
      <c r="U373" s="83"/>
      <c r="V373" s="83"/>
      <c r="W373" s="83"/>
      <c r="X373" s="83"/>
      <c r="Y373" s="83"/>
      <c r="AQ373" s="3"/>
    </row>
    <row r="374" spans="5:43" x14ac:dyDescent="0.3">
      <c r="E374" s="32"/>
      <c r="F374" s="72" t="s">
        <v>247</v>
      </c>
      <c r="G374" s="72" t="s">
        <v>206</v>
      </c>
      <c r="J374" s="321">
        <f t="shared" si="92"/>
        <v>23485.495317211109</v>
      </c>
      <c r="K374" s="322"/>
      <c r="L374" s="321">
        <f t="shared" si="93"/>
        <v>87.014116098662029</v>
      </c>
      <c r="M374" s="322"/>
      <c r="N374" s="321">
        <f t="shared" si="94"/>
        <v>3138.7302056946623</v>
      </c>
      <c r="O374" s="321">
        <f t="shared" si="94"/>
        <v>552.03572627507367</v>
      </c>
      <c r="P374" s="321">
        <f t="shared" si="94"/>
        <v>953.76798930193615</v>
      </c>
      <c r="Q374" s="321">
        <f t="shared" si="94"/>
        <v>1.2243272673060632</v>
      </c>
      <c r="R374" s="322"/>
      <c r="S374" s="322"/>
      <c r="T374" s="322"/>
      <c r="U374" s="322"/>
      <c r="V374" s="322"/>
      <c r="W374" s="322"/>
      <c r="X374" s="322"/>
      <c r="Y374" s="322"/>
      <c r="AQ374" s="3"/>
    </row>
    <row r="375" spans="5:43" x14ac:dyDescent="0.3">
      <c r="E375" s="32"/>
      <c r="F375" s="72" t="s">
        <v>248</v>
      </c>
      <c r="G375" s="72" t="s">
        <v>206</v>
      </c>
      <c r="J375" s="321">
        <f t="shared" si="92"/>
        <v>43141.654137517573</v>
      </c>
      <c r="K375" s="322"/>
      <c r="L375" s="321">
        <f t="shared" si="93"/>
        <v>111.00279654477484</v>
      </c>
      <c r="M375" s="322"/>
      <c r="N375" s="321">
        <f t="shared" si="94"/>
        <v>4494.7980444657624</v>
      </c>
      <c r="O375" s="321">
        <f t="shared" si="94"/>
        <v>976.09850431681457</v>
      </c>
      <c r="P375" s="321">
        <f t="shared" si="94"/>
        <v>1779.7241928408666</v>
      </c>
      <c r="Q375" s="321">
        <f t="shared" si="94"/>
        <v>6.3267057401491567</v>
      </c>
      <c r="R375" s="322"/>
      <c r="S375" s="322"/>
      <c r="T375" s="322"/>
      <c r="U375" s="322"/>
      <c r="V375" s="322"/>
      <c r="W375" s="322"/>
      <c r="X375" s="322"/>
      <c r="Y375" s="322"/>
      <c r="AQ375" s="3"/>
    </row>
    <row r="376" spans="5:43" x14ac:dyDescent="0.3">
      <c r="E376" s="32"/>
      <c r="F376" s="72" t="s">
        <v>211</v>
      </c>
      <c r="G376" s="72" t="s">
        <v>211</v>
      </c>
      <c r="J376" s="321">
        <f t="shared" si="92"/>
        <v>26889.406715442234</v>
      </c>
      <c r="K376" s="322"/>
      <c r="L376" s="321">
        <f t="shared" si="93"/>
        <v>150.00060953680409</v>
      </c>
      <c r="M376" s="322"/>
      <c r="N376" s="321">
        <f t="shared" si="94"/>
        <v>103.54179370469986</v>
      </c>
      <c r="O376" s="321">
        <f t="shared" si="94"/>
        <v>7.5531430586057899</v>
      </c>
      <c r="P376" s="321">
        <f t="shared" si="94"/>
        <v>7.1008486848662162</v>
      </c>
      <c r="Q376" s="321">
        <f t="shared" si="94"/>
        <v>3.1976378500844502</v>
      </c>
      <c r="R376" s="322"/>
      <c r="S376" s="322"/>
      <c r="T376" s="322"/>
      <c r="U376" s="322"/>
      <c r="V376" s="322"/>
      <c r="W376" s="322"/>
      <c r="X376" s="322"/>
      <c r="Y376" s="322"/>
      <c r="AQ376" s="3"/>
    </row>
    <row r="377" spans="5:43" x14ac:dyDescent="0.3">
      <c r="E377" s="32"/>
      <c r="F377" s="72" t="s">
        <v>249</v>
      </c>
      <c r="G377" s="72" t="s">
        <v>250</v>
      </c>
      <c r="J377" s="321">
        <f t="shared" si="92"/>
        <v>0</v>
      </c>
      <c r="K377" s="322"/>
      <c r="L377" s="321">
        <f t="shared" si="93"/>
        <v>0</v>
      </c>
      <c r="M377" s="322"/>
      <c r="N377" s="321">
        <f t="shared" si="94"/>
        <v>7774.1246891431847</v>
      </c>
      <c r="O377" s="321">
        <f t="shared" si="94"/>
        <v>1331.5134850726299</v>
      </c>
      <c r="P377" s="321">
        <f t="shared" si="94"/>
        <v>2129.0906268438353</v>
      </c>
      <c r="Q377" s="321">
        <f t="shared" si="94"/>
        <v>0</v>
      </c>
      <c r="R377" s="322"/>
      <c r="S377" s="322"/>
      <c r="T377" s="322"/>
      <c r="U377" s="322"/>
      <c r="V377" s="322"/>
      <c r="W377" s="322"/>
      <c r="X377" s="322"/>
      <c r="Y377" s="322"/>
      <c r="AQ377" s="3"/>
    </row>
    <row r="378" spans="5:43" x14ac:dyDescent="0.3">
      <c r="E378" s="32"/>
      <c r="F378" s="72" t="s">
        <v>251</v>
      </c>
      <c r="G378" s="72" t="s">
        <v>250</v>
      </c>
      <c r="J378" s="321">
        <f t="shared" si="92"/>
        <v>0</v>
      </c>
      <c r="K378" s="322"/>
      <c r="L378" s="321">
        <f t="shared" si="93"/>
        <v>0</v>
      </c>
      <c r="M378" s="322"/>
      <c r="N378" s="321">
        <f t="shared" si="94"/>
        <v>12.052461758582114</v>
      </c>
      <c r="O378" s="321">
        <f t="shared" si="94"/>
        <v>1.4283472579338305</v>
      </c>
      <c r="P378" s="321">
        <f t="shared" si="94"/>
        <v>5.2427815273901084</v>
      </c>
      <c r="Q378" s="321">
        <f t="shared" si="94"/>
        <v>0</v>
      </c>
      <c r="R378" s="322"/>
      <c r="S378" s="322"/>
      <c r="T378" s="322"/>
      <c r="U378" s="322"/>
      <c r="V378" s="322"/>
      <c r="W378" s="322"/>
      <c r="X378" s="322"/>
      <c r="Y378" s="322"/>
      <c r="AQ378" s="3"/>
    </row>
    <row r="379" spans="5:43" x14ac:dyDescent="0.3">
      <c r="E379" s="32"/>
      <c r="F379" s="80" t="s">
        <v>252</v>
      </c>
      <c r="G379" s="80" t="s">
        <v>253</v>
      </c>
      <c r="H379" s="37"/>
      <c r="I379" s="37"/>
      <c r="J379" s="100">
        <f t="shared" si="92"/>
        <v>0</v>
      </c>
      <c r="K379" s="81"/>
      <c r="L379" s="100">
        <f t="shared" si="93"/>
        <v>0</v>
      </c>
      <c r="M379" s="81"/>
      <c r="N379" s="100">
        <f t="shared" si="94"/>
        <v>491.30759420730823</v>
      </c>
      <c r="O379" s="100">
        <f t="shared" si="94"/>
        <v>139.40531359158712</v>
      </c>
      <c r="P379" s="100">
        <f t="shared" si="94"/>
        <v>260.48955581444142</v>
      </c>
      <c r="Q379" s="100">
        <f t="shared" si="94"/>
        <v>0</v>
      </c>
      <c r="R379" s="81"/>
      <c r="S379" s="81"/>
      <c r="T379" s="81"/>
      <c r="U379" s="81"/>
      <c r="V379" s="81"/>
      <c r="W379" s="81"/>
      <c r="X379" s="81"/>
      <c r="Y379" s="81"/>
      <c r="AQ379" s="3"/>
    </row>
    <row r="380" spans="5:43" x14ac:dyDescent="0.3">
      <c r="AQ380" s="3"/>
    </row>
    <row r="381" spans="5:43" x14ac:dyDescent="0.3">
      <c r="E381" s="32" t="s">
        <v>967</v>
      </c>
      <c r="G381" s="13"/>
      <c r="I381" t="s">
        <v>153</v>
      </c>
      <c r="AQ381" s="3"/>
    </row>
    <row r="382" spans="5:43" x14ac:dyDescent="0.3">
      <c r="E382" s="32"/>
      <c r="F382" s="78" t="s">
        <v>246</v>
      </c>
      <c r="G382" s="78" t="s">
        <v>206</v>
      </c>
      <c r="H382" s="23"/>
      <c r="I382" s="23"/>
      <c r="J382" s="126">
        <f t="shared" ref="J382:J388" si="95">J67+J364+J373</f>
        <v>901691.5877829832</v>
      </c>
      <c r="K382" s="83"/>
      <c r="L382" s="126">
        <f t="shared" ref="L382:L388" si="96">L67+L364+L373</f>
        <v>9688.8224179080244</v>
      </c>
      <c r="M382" s="83"/>
      <c r="N382" s="126">
        <f t="shared" ref="N382:Q388" si="97">N67+N364+N373</f>
        <v>33767.979079252291</v>
      </c>
      <c r="O382" s="126">
        <f t="shared" si="97"/>
        <v>16553.56334573626</v>
      </c>
      <c r="P382" s="126">
        <f t="shared" si="97"/>
        <v>43057.973082427474</v>
      </c>
      <c r="Q382" s="126">
        <f t="shared" si="97"/>
        <v>9047.8998172492538</v>
      </c>
      <c r="R382" s="83"/>
      <c r="S382" s="83"/>
      <c r="T382" s="83"/>
      <c r="U382" s="83"/>
      <c r="V382" s="83"/>
      <c r="W382" s="83"/>
      <c r="X382" s="83"/>
      <c r="Y382" s="83"/>
      <c r="AQ382" s="3"/>
    </row>
    <row r="383" spans="5:43" x14ac:dyDescent="0.3">
      <c r="E383" s="32"/>
      <c r="F383" s="72" t="s">
        <v>247</v>
      </c>
      <c r="G383" s="72" t="s">
        <v>206</v>
      </c>
      <c r="J383" s="321">
        <f t="shared" si="95"/>
        <v>2271681.4299374898</v>
      </c>
      <c r="K383" s="322"/>
      <c r="L383" s="321">
        <f t="shared" si="96"/>
        <v>34800.600214522688</v>
      </c>
      <c r="M383" s="322"/>
      <c r="N383" s="321">
        <f t="shared" si="97"/>
        <v>121621.59144121558</v>
      </c>
      <c r="O383" s="321">
        <f t="shared" si="97"/>
        <v>60846.910142387082</v>
      </c>
      <c r="P383" s="321">
        <f t="shared" si="97"/>
        <v>146150.85147460975</v>
      </c>
      <c r="Q383" s="321">
        <f t="shared" si="97"/>
        <v>30030.873438694278</v>
      </c>
      <c r="R383" s="322"/>
      <c r="S383" s="322"/>
      <c r="T383" s="322"/>
      <c r="U383" s="322"/>
      <c r="V383" s="322"/>
      <c r="W383" s="322"/>
      <c r="X383" s="322"/>
      <c r="Y383" s="322"/>
      <c r="AQ383" s="3"/>
    </row>
    <row r="384" spans="5:43" x14ac:dyDescent="0.3">
      <c r="E384" s="32"/>
      <c r="F384" s="72" t="s">
        <v>248</v>
      </c>
      <c r="G384" s="72" t="s">
        <v>206</v>
      </c>
      <c r="J384" s="321">
        <f t="shared" si="95"/>
        <v>4172962.6408672445</v>
      </c>
      <c r="K384" s="322"/>
      <c r="L384" s="321">
        <f t="shared" si="96"/>
        <v>44394.681213202712</v>
      </c>
      <c r="M384" s="322"/>
      <c r="N384" s="321">
        <f t="shared" si="97"/>
        <v>158393.92016057888</v>
      </c>
      <c r="O384" s="321">
        <f t="shared" si="97"/>
        <v>83907.721451929261</v>
      </c>
      <c r="P384" s="321">
        <f t="shared" si="97"/>
        <v>243384.20768101569</v>
      </c>
      <c r="Q384" s="321">
        <f t="shared" si="97"/>
        <v>155184.40570578561</v>
      </c>
      <c r="R384" s="322"/>
      <c r="S384" s="322"/>
      <c r="T384" s="322"/>
      <c r="U384" s="322"/>
      <c r="V384" s="322"/>
      <c r="W384" s="322"/>
      <c r="X384" s="322"/>
      <c r="Y384" s="322"/>
      <c r="AQ384" s="3"/>
    </row>
    <row r="385" spans="3:43" x14ac:dyDescent="0.3">
      <c r="E385" s="32"/>
      <c r="F385" s="72" t="s">
        <v>211</v>
      </c>
      <c r="G385" s="72" t="s">
        <v>211</v>
      </c>
      <c r="J385" s="321">
        <f t="shared" si="95"/>
        <v>2271054.3909128611</v>
      </c>
      <c r="K385" s="322"/>
      <c r="L385" s="321">
        <f t="shared" si="96"/>
        <v>58331.051875219389</v>
      </c>
      <c r="M385" s="322"/>
      <c r="N385" s="321">
        <f t="shared" si="97"/>
        <v>5332.9394649519545</v>
      </c>
      <c r="O385" s="321">
        <f t="shared" si="97"/>
        <v>857.75488438728496</v>
      </c>
      <c r="P385" s="321">
        <f t="shared" si="97"/>
        <v>883.84266954154384</v>
      </c>
      <c r="Q385" s="321">
        <f t="shared" si="97"/>
        <v>661.01324841238045</v>
      </c>
      <c r="R385" s="322"/>
      <c r="S385" s="322"/>
      <c r="T385" s="322"/>
      <c r="U385" s="322"/>
      <c r="V385" s="322"/>
      <c r="W385" s="322"/>
      <c r="X385" s="322"/>
      <c r="Y385" s="322"/>
      <c r="AQ385" s="3"/>
    </row>
    <row r="386" spans="3:43" x14ac:dyDescent="0.3">
      <c r="E386" s="32"/>
      <c r="F386" s="72" t="s">
        <v>249</v>
      </c>
      <c r="G386" s="72" t="s">
        <v>250</v>
      </c>
      <c r="J386" s="321">
        <f t="shared" si="95"/>
        <v>0</v>
      </c>
      <c r="K386" s="322"/>
      <c r="L386" s="321">
        <f t="shared" si="96"/>
        <v>0</v>
      </c>
      <c r="M386" s="322"/>
      <c r="N386" s="321">
        <f t="shared" si="97"/>
        <v>205771.26112290189</v>
      </c>
      <c r="O386" s="321">
        <f t="shared" si="97"/>
        <v>92461.138178747322</v>
      </c>
      <c r="P386" s="321">
        <f t="shared" si="97"/>
        <v>181576.73008988079</v>
      </c>
      <c r="Q386" s="321">
        <f t="shared" si="97"/>
        <v>0</v>
      </c>
      <c r="R386" s="322"/>
      <c r="S386" s="322"/>
      <c r="T386" s="322"/>
      <c r="U386" s="322"/>
      <c r="V386" s="322"/>
      <c r="W386" s="322"/>
      <c r="X386" s="322"/>
      <c r="Y386" s="322"/>
      <c r="AQ386" s="3"/>
    </row>
    <row r="387" spans="3:43" x14ac:dyDescent="0.3">
      <c r="E387" s="32"/>
      <c r="F387" s="72" t="s">
        <v>251</v>
      </c>
      <c r="G387" s="72" t="s">
        <v>250</v>
      </c>
      <c r="J387" s="321">
        <f t="shared" si="95"/>
        <v>0</v>
      </c>
      <c r="K387" s="322"/>
      <c r="L387" s="321">
        <f t="shared" si="96"/>
        <v>0</v>
      </c>
      <c r="M387" s="322"/>
      <c r="N387" s="321">
        <f t="shared" si="97"/>
        <v>4238.706727806526</v>
      </c>
      <c r="O387" s="321">
        <f t="shared" si="97"/>
        <v>845.64808256768254</v>
      </c>
      <c r="P387" s="321">
        <f t="shared" si="97"/>
        <v>1592.4073899499301</v>
      </c>
      <c r="Q387" s="321">
        <f t="shared" si="97"/>
        <v>0</v>
      </c>
      <c r="R387" s="322"/>
      <c r="S387" s="322"/>
      <c r="T387" s="322"/>
      <c r="U387" s="322"/>
      <c r="V387" s="322"/>
      <c r="W387" s="322"/>
      <c r="X387" s="322"/>
      <c r="Y387" s="322"/>
      <c r="AQ387" s="3"/>
    </row>
    <row r="388" spans="3:43" x14ac:dyDescent="0.3">
      <c r="E388" s="32"/>
      <c r="F388" s="80" t="s">
        <v>252</v>
      </c>
      <c r="G388" s="80" t="s">
        <v>253</v>
      </c>
      <c r="H388" s="37"/>
      <c r="I388" s="37"/>
      <c r="J388" s="100">
        <f t="shared" si="95"/>
        <v>0</v>
      </c>
      <c r="K388" s="81"/>
      <c r="L388" s="100">
        <f t="shared" si="96"/>
        <v>0</v>
      </c>
      <c r="M388" s="81"/>
      <c r="N388" s="100">
        <f t="shared" si="97"/>
        <v>25316.890674305672</v>
      </c>
      <c r="O388" s="100">
        <f t="shared" si="97"/>
        <v>12185.058994656049</v>
      </c>
      <c r="P388" s="100">
        <f t="shared" si="97"/>
        <v>33092.351626422977</v>
      </c>
      <c r="Q388" s="100">
        <f t="shared" si="97"/>
        <v>0</v>
      </c>
      <c r="R388" s="81"/>
      <c r="S388" s="81"/>
      <c r="T388" s="81"/>
      <c r="U388" s="81"/>
      <c r="V388" s="81"/>
      <c r="W388" s="81"/>
      <c r="X388" s="81"/>
      <c r="Y388" s="81"/>
      <c r="AQ388" s="3"/>
    </row>
    <row r="389" spans="3:43" x14ac:dyDescent="0.3">
      <c r="AQ389" s="3"/>
    </row>
    <row r="390" spans="3:43" x14ac:dyDescent="0.3">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3">
      <c r="C391" s="32"/>
      <c r="AQ391" s="3"/>
    </row>
    <row r="392" spans="3:43" x14ac:dyDescent="0.3">
      <c r="E392" s="32" t="s">
        <v>979</v>
      </c>
      <c r="G392" s="13"/>
      <c r="I392" t="s">
        <v>153</v>
      </c>
      <c r="AQ392" s="3"/>
    </row>
    <row r="393" spans="3:43" x14ac:dyDescent="0.3">
      <c r="E393" s="32"/>
      <c r="F393" s="78" t="s">
        <v>246</v>
      </c>
      <c r="G393" s="78" t="s">
        <v>206</v>
      </c>
      <c r="H393" s="23"/>
      <c r="I393" s="23"/>
      <c r="J393" s="83"/>
      <c r="K393" s="83"/>
      <c r="L393" s="126">
        <f t="shared" ref="L393:L399" si="98">(1 - L315) * L123</f>
        <v>85.08327324794918</v>
      </c>
      <c r="M393" s="83"/>
      <c r="N393" s="126">
        <f t="shared" ref="N393:P399" si="99">(1 - N315) * N123</f>
        <v>101.00102042942127</v>
      </c>
      <c r="O393" s="126">
        <f t="shared" si="99"/>
        <v>0</v>
      </c>
      <c r="P393" s="126">
        <f t="shared" si="99"/>
        <v>0</v>
      </c>
      <c r="Q393" s="83"/>
      <c r="R393" s="83"/>
      <c r="S393" s="83"/>
      <c r="T393" s="83"/>
      <c r="U393" s="83"/>
      <c r="V393" s="83"/>
      <c r="W393" s="83"/>
      <c r="X393" s="83"/>
      <c r="Y393" s="83"/>
      <c r="AQ393" s="3"/>
    </row>
    <row r="394" spans="3:43" x14ac:dyDescent="0.3">
      <c r="E394" s="32"/>
      <c r="F394" s="72" t="s">
        <v>247</v>
      </c>
      <c r="G394" s="72" t="s">
        <v>206</v>
      </c>
      <c r="J394" s="322"/>
      <c r="K394" s="322"/>
      <c r="L394" s="321">
        <f t="shared" si="98"/>
        <v>305.60462866695724</v>
      </c>
      <c r="M394" s="322"/>
      <c r="N394" s="321">
        <f t="shared" si="99"/>
        <v>347.00293268721879</v>
      </c>
      <c r="O394" s="321">
        <f t="shared" si="99"/>
        <v>0</v>
      </c>
      <c r="P394" s="321">
        <f t="shared" si="99"/>
        <v>0</v>
      </c>
      <c r="Q394" s="322"/>
      <c r="R394" s="322"/>
      <c r="S394" s="322"/>
      <c r="T394" s="322"/>
      <c r="U394" s="322"/>
      <c r="V394" s="322"/>
      <c r="W394" s="322"/>
      <c r="X394" s="322"/>
      <c r="Y394" s="322"/>
      <c r="AQ394" s="3"/>
    </row>
    <row r="395" spans="3:43" x14ac:dyDescent="0.3">
      <c r="E395" s="32"/>
      <c r="F395" s="72" t="s">
        <v>248</v>
      </c>
      <c r="G395" s="72" t="s">
        <v>206</v>
      </c>
      <c r="J395" s="322"/>
      <c r="K395" s="322"/>
      <c r="L395" s="321">
        <f t="shared" si="98"/>
        <v>389.85592154491059</v>
      </c>
      <c r="M395" s="322"/>
      <c r="N395" s="321">
        <f t="shared" si="99"/>
        <v>513.78636082889409</v>
      </c>
      <c r="O395" s="321">
        <f t="shared" si="99"/>
        <v>0</v>
      </c>
      <c r="P395" s="321">
        <f t="shared" si="99"/>
        <v>0</v>
      </c>
      <c r="Q395" s="322"/>
      <c r="R395" s="322"/>
      <c r="S395" s="322"/>
      <c r="T395" s="322"/>
      <c r="U395" s="322"/>
      <c r="V395" s="322"/>
      <c r="W395" s="322"/>
      <c r="X395" s="322"/>
      <c r="Y395" s="322"/>
      <c r="AQ395" s="3"/>
    </row>
    <row r="396" spans="3:43" x14ac:dyDescent="0.3">
      <c r="E396" s="32"/>
      <c r="F396" s="72" t="s">
        <v>211</v>
      </c>
      <c r="G396" s="72" t="s">
        <v>211</v>
      </c>
      <c r="J396" s="322"/>
      <c r="K396" s="322"/>
      <c r="L396" s="321">
        <f t="shared" si="98"/>
        <v>210.02815943906739</v>
      </c>
      <c r="M396" s="322"/>
      <c r="N396" s="321">
        <f t="shared" si="99"/>
        <v>9.9504551401223367</v>
      </c>
      <c r="O396" s="321">
        <f t="shared" si="99"/>
        <v>0</v>
      </c>
      <c r="P396" s="321">
        <f t="shared" si="99"/>
        <v>0</v>
      </c>
      <c r="Q396" s="322"/>
      <c r="R396" s="322"/>
      <c r="S396" s="322"/>
      <c r="T396" s="322"/>
      <c r="U396" s="322"/>
      <c r="V396" s="322"/>
      <c r="W396" s="322"/>
      <c r="X396" s="322"/>
      <c r="Y396" s="322"/>
      <c r="AQ396" s="3"/>
    </row>
    <row r="397" spans="3:43" x14ac:dyDescent="0.3">
      <c r="E397" s="32"/>
      <c r="F397" s="72" t="s">
        <v>249</v>
      </c>
      <c r="G397" s="72" t="s">
        <v>250</v>
      </c>
      <c r="J397" s="322"/>
      <c r="K397" s="322"/>
      <c r="L397" s="321">
        <f t="shared" si="98"/>
        <v>0</v>
      </c>
      <c r="M397" s="322"/>
      <c r="N397" s="321">
        <f t="shared" si="99"/>
        <v>1084.9744311360841</v>
      </c>
      <c r="O397" s="321">
        <f t="shared" si="99"/>
        <v>0</v>
      </c>
      <c r="P397" s="321">
        <f t="shared" si="99"/>
        <v>0</v>
      </c>
      <c r="Q397" s="322"/>
      <c r="R397" s="322"/>
      <c r="S397" s="322"/>
      <c r="T397" s="322"/>
      <c r="U397" s="322"/>
      <c r="V397" s="322"/>
      <c r="W397" s="322"/>
      <c r="X397" s="322"/>
      <c r="Y397" s="322"/>
      <c r="AQ397" s="3"/>
    </row>
    <row r="398" spans="3:43" x14ac:dyDescent="0.3">
      <c r="E398" s="32"/>
      <c r="F398" s="72" t="s">
        <v>251</v>
      </c>
      <c r="G398" s="72" t="s">
        <v>250</v>
      </c>
      <c r="J398" s="322"/>
      <c r="K398" s="322"/>
      <c r="L398" s="321">
        <f t="shared" si="98"/>
        <v>0</v>
      </c>
      <c r="M398" s="322"/>
      <c r="N398" s="321">
        <f t="shared" si="99"/>
        <v>11.190838814574125</v>
      </c>
      <c r="O398" s="321">
        <f t="shared" si="99"/>
        <v>0</v>
      </c>
      <c r="P398" s="321">
        <f t="shared" si="99"/>
        <v>0</v>
      </c>
      <c r="Q398" s="322"/>
      <c r="R398" s="322"/>
      <c r="S398" s="322"/>
      <c r="T398" s="322"/>
      <c r="U398" s="322"/>
      <c r="V398" s="322"/>
      <c r="W398" s="322"/>
      <c r="X398" s="322"/>
      <c r="Y398" s="322"/>
      <c r="AQ398" s="3"/>
    </row>
    <row r="399" spans="3:43" x14ac:dyDescent="0.3">
      <c r="E399" s="32"/>
      <c r="F399" s="80" t="s">
        <v>252</v>
      </c>
      <c r="G399" s="80" t="s">
        <v>253</v>
      </c>
      <c r="H399" s="37"/>
      <c r="I399" s="37"/>
      <c r="J399" s="81"/>
      <c r="K399" s="81"/>
      <c r="L399" s="100">
        <f t="shared" si="98"/>
        <v>0</v>
      </c>
      <c r="M399" s="81"/>
      <c r="N399" s="100">
        <f t="shared" si="99"/>
        <v>97.633201089247834</v>
      </c>
      <c r="O399" s="100">
        <f t="shared" si="99"/>
        <v>0</v>
      </c>
      <c r="P399" s="100">
        <f t="shared" si="99"/>
        <v>0</v>
      </c>
      <c r="Q399" s="81"/>
      <c r="R399" s="81"/>
      <c r="S399" s="81"/>
      <c r="T399" s="81"/>
      <c r="U399" s="81"/>
      <c r="V399" s="81"/>
      <c r="W399" s="81"/>
      <c r="X399" s="81"/>
      <c r="Y399" s="81"/>
      <c r="AQ399" s="3"/>
    </row>
    <row r="400" spans="3:43" x14ac:dyDescent="0.3">
      <c r="AQ400" s="3"/>
    </row>
    <row r="401" spans="5:43" x14ac:dyDescent="0.3">
      <c r="E401" s="32" t="s">
        <v>980</v>
      </c>
      <c r="G401" s="13"/>
      <c r="I401" t="s">
        <v>153</v>
      </c>
      <c r="AQ401" s="3"/>
    </row>
    <row r="402" spans="5:43" x14ac:dyDescent="0.3">
      <c r="E402" s="32"/>
      <c r="F402" s="78" t="s">
        <v>246</v>
      </c>
      <c r="G402" s="78" t="s">
        <v>206</v>
      </c>
      <c r="H402" s="23"/>
      <c r="I402" s="23"/>
      <c r="J402" s="83"/>
      <c r="K402" s="83"/>
      <c r="L402" s="126">
        <f t="shared" ref="L402:L408" si="100">(1 - L324) * L170</f>
        <v>106.42494412837448</v>
      </c>
      <c r="M402" s="83"/>
      <c r="N402" s="126">
        <f t="shared" ref="N402:P408" si="101">(1 - N324) * N170</f>
        <v>2100.174563297066</v>
      </c>
      <c r="O402" s="126">
        <f t="shared" si="101"/>
        <v>373.52892042606311</v>
      </c>
      <c r="P402" s="126">
        <f t="shared" si="101"/>
        <v>768.77028397279582</v>
      </c>
      <c r="Q402" s="83"/>
      <c r="R402" s="83"/>
      <c r="S402" s="83"/>
      <c r="T402" s="83"/>
      <c r="U402" s="83"/>
      <c r="V402" s="83"/>
      <c r="W402" s="83"/>
      <c r="X402" s="83"/>
      <c r="Y402" s="83"/>
      <c r="AQ402" s="3"/>
    </row>
    <row r="403" spans="5:43" x14ac:dyDescent="0.3">
      <c r="E403" s="32"/>
      <c r="F403" s="72" t="s">
        <v>247</v>
      </c>
      <c r="G403" s="72" t="s">
        <v>206</v>
      </c>
      <c r="J403" s="322"/>
      <c r="K403" s="322"/>
      <c r="L403" s="321">
        <f t="shared" si="100"/>
        <v>382.26027619403447</v>
      </c>
      <c r="M403" s="322"/>
      <c r="N403" s="321">
        <f t="shared" si="101"/>
        <v>7194.0321716506205</v>
      </c>
      <c r="O403" s="321">
        <f t="shared" si="101"/>
        <v>1265.2768841100362</v>
      </c>
      <c r="P403" s="321">
        <f t="shared" si="101"/>
        <v>2521.8923318996372</v>
      </c>
      <c r="Q403" s="322"/>
      <c r="R403" s="322"/>
      <c r="S403" s="322"/>
      <c r="T403" s="322"/>
      <c r="U403" s="322"/>
      <c r="V403" s="322"/>
      <c r="W403" s="322"/>
      <c r="X403" s="322"/>
      <c r="Y403" s="322"/>
      <c r="AQ403" s="3"/>
    </row>
    <row r="404" spans="5:43" x14ac:dyDescent="0.3">
      <c r="E404" s="32"/>
      <c r="F404" s="72" t="s">
        <v>248</v>
      </c>
      <c r="G404" s="72" t="s">
        <v>206</v>
      </c>
      <c r="J404" s="322"/>
      <c r="K404" s="322"/>
      <c r="L404" s="321">
        <f t="shared" si="100"/>
        <v>487.64455203341782</v>
      </c>
      <c r="M404" s="322"/>
      <c r="N404" s="321">
        <f t="shared" si="101"/>
        <v>10302.166678197324</v>
      </c>
      <c r="O404" s="321">
        <f t="shared" si="101"/>
        <v>2237.237220967545</v>
      </c>
      <c r="P404" s="321">
        <f t="shared" si="101"/>
        <v>4705.8329123696267</v>
      </c>
      <c r="Q404" s="322"/>
      <c r="R404" s="322"/>
      <c r="S404" s="322"/>
      <c r="T404" s="322"/>
      <c r="U404" s="322"/>
      <c r="V404" s="322"/>
      <c r="W404" s="322"/>
      <c r="X404" s="322"/>
      <c r="Y404" s="322"/>
      <c r="AQ404" s="3"/>
    </row>
    <row r="405" spans="5:43" x14ac:dyDescent="0.3">
      <c r="E405" s="32"/>
      <c r="F405" s="72" t="s">
        <v>211</v>
      </c>
      <c r="G405" s="72" t="s">
        <v>211</v>
      </c>
      <c r="J405" s="322"/>
      <c r="K405" s="322"/>
      <c r="L405" s="321">
        <f t="shared" si="100"/>
        <v>133.5659065493729</v>
      </c>
      <c r="M405" s="322"/>
      <c r="N405" s="321">
        <f t="shared" si="101"/>
        <v>95.172195837288527</v>
      </c>
      <c r="O405" s="321">
        <f t="shared" si="101"/>
        <v>6.9425995498092039</v>
      </c>
      <c r="P405" s="321">
        <f t="shared" si="101"/>
        <v>5.744050366362031</v>
      </c>
      <c r="Q405" s="322"/>
      <c r="R405" s="322"/>
      <c r="S405" s="322"/>
      <c r="T405" s="322"/>
      <c r="U405" s="322"/>
      <c r="V405" s="322"/>
      <c r="W405" s="322"/>
      <c r="X405" s="322"/>
      <c r="Y405" s="322"/>
      <c r="AQ405" s="3"/>
    </row>
    <row r="406" spans="5:43" x14ac:dyDescent="0.3">
      <c r="E406" s="32"/>
      <c r="F406" s="72" t="s">
        <v>249</v>
      </c>
      <c r="G406" s="72" t="s">
        <v>250</v>
      </c>
      <c r="J406" s="322"/>
      <c r="K406" s="322"/>
      <c r="L406" s="321">
        <f t="shared" si="100"/>
        <v>0</v>
      </c>
      <c r="M406" s="322"/>
      <c r="N406" s="321">
        <f t="shared" si="101"/>
        <v>17818.448689425233</v>
      </c>
      <c r="O406" s="321">
        <f t="shared" si="101"/>
        <v>3051.8554386164988</v>
      </c>
      <c r="P406" s="321">
        <f t="shared" si="101"/>
        <v>5629.6052981256826</v>
      </c>
      <c r="Q406" s="322"/>
      <c r="R406" s="322"/>
      <c r="S406" s="322"/>
      <c r="T406" s="322"/>
      <c r="U406" s="322"/>
      <c r="V406" s="322"/>
      <c r="W406" s="322"/>
      <c r="X406" s="322"/>
      <c r="Y406" s="322"/>
      <c r="AQ406" s="3"/>
    </row>
    <row r="407" spans="5:43" x14ac:dyDescent="0.3">
      <c r="E407" s="32"/>
      <c r="F407" s="72" t="s">
        <v>251</v>
      </c>
      <c r="G407" s="72" t="s">
        <v>250</v>
      </c>
      <c r="J407" s="322"/>
      <c r="K407" s="322"/>
      <c r="L407" s="321">
        <f t="shared" si="100"/>
        <v>0</v>
      </c>
      <c r="M407" s="322"/>
      <c r="N407" s="321">
        <f t="shared" si="101"/>
        <v>27.624482499807225</v>
      </c>
      <c r="O407" s="321">
        <f t="shared" si="101"/>
        <v>3.2738003754581189</v>
      </c>
      <c r="P407" s="321">
        <f t="shared" si="101"/>
        <v>13.862627683098465</v>
      </c>
      <c r="Q407" s="322"/>
      <c r="R407" s="322"/>
      <c r="S407" s="322"/>
      <c r="T407" s="322"/>
      <c r="U407" s="322"/>
      <c r="V407" s="322"/>
      <c r="W407" s="322"/>
      <c r="X407" s="322"/>
      <c r="Y407" s="322"/>
      <c r="AQ407" s="3"/>
    </row>
    <row r="408" spans="5:43" x14ac:dyDescent="0.3">
      <c r="E408" s="32"/>
      <c r="F408" s="80" t="s">
        <v>252</v>
      </c>
      <c r="G408" s="80" t="s">
        <v>253</v>
      </c>
      <c r="H408" s="37"/>
      <c r="I408" s="37"/>
      <c r="J408" s="81"/>
      <c r="K408" s="81"/>
      <c r="L408" s="100">
        <f t="shared" si="100"/>
        <v>0</v>
      </c>
      <c r="M408" s="81"/>
      <c r="N408" s="100">
        <f t="shared" si="101"/>
        <v>1126.0867953833558</v>
      </c>
      <c r="O408" s="100">
        <f t="shared" si="101"/>
        <v>319.51975644716578</v>
      </c>
      <c r="P408" s="100">
        <f t="shared" si="101"/>
        <v>688.76982737613969</v>
      </c>
      <c r="Q408" s="81"/>
      <c r="R408" s="81"/>
      <c r="S408" s="81"/>
      <c r="T408" s="81"/>
      <c r="U408" s="81"/>
      <c r="V408" s="81"/>
      <c r="W408" s="81"/>
      <c r="X408" s="81"/>
      <c r="Y408" s="81"/>
      <c r="AQ408" s="3"/>
    </row>
    <row r="409" spans="5:43" x14ac:dyDescent="0.3">
      <c r="AQ409" s="3"/>
    </row>
    <row r="410" spans="5:43" x14ac:dyDescent="0.3">
      <c r="E410" s="32" t="s">
        <v>981</v>
      </c>
      <c r="G410" s="13"/>
      <c r="I410" t="s">
        <v>153</v>
      </c>
      <c r="AQ410" s="3"/>
    </row>
    <row r="411" spans="5:43" x14ac:dyDescent="0.3">
      <c r="E411" s="32"/>
      <c r="F411" s="78" t="s">
        <v>246</v>
      </c>
      <c r="G411" s="78" t="s">
        <v>206</v>
      </c>
      <c r="H411" s="23"/>
      <c r="I411" s="23"/>
      <c r="J411" s="83"/>
      <c r="K411" s="83"/>
      <c r="L411" s="126">
        <f t="shared" ref="L411:L417" si="102">L76+L393+L402</f>
        <v>42563.805730843065</v>
      </c>
      <c r="M411" s="83"/>
      <c r="N411" s="126">
        <f t="shared" ref="N411:P417" si="103">N76+N393+N402</f>
        <v>77396.880887378269</v>
      </c>
      <c r="O411" s="126">
        <f t="shared" si="103"/>
        <v>37941.097023446426</v>
      </c>
      <c r="P411" s="126">
        <f t="shared" si="103"/>
        <v>113851.1392306112</v>
      </c>
      <c r="Q411" s="83"/>
      <c r="R411" s="83"/>
      <c r="S411" s="83"/>
      <c r="T411" s="83"/>
      <c r="U411" s="83"/>
      <c r="V411" s="83"/>
      <c r="W411" s="83"/>
      <c r="X411" s="83"/>
      <c r="Y411" s="83"/>
      <c r="AQ411" s="3"/>
    </row>
    <row r="412" spans="5:43" x14ac:dyDescent="0.3">
      <c r="E412" s="32"/>
      <c r="F412" s="72" t="s">
        <v>247</v>
      </c>
      <c r="G412" s="72" t="s">
        <v>206</v>
      </c>
      <c r="J412" s="322"/>
      <c r="K412" s="322"/>
      <c r="L412" s="321">
        <f t="shared" si="102"/>
        <v>152881.9419901706</v>
      </c>
      <c r="M412" s="322"/>
      <c r="N412" s="321">
        <f t="shared" si="103"/>
        <v>278759.11093218956</v>
      </c>
      <c r="O412" s="321">
        <f t="shared" si="103"/>
        <v>139462.33044040427</v>
      </c>
      <c r="P412" s="321">
        <f t="shared" si="103"/>
        <v>386442.736355812</v>
      </c>
      <c r="Q412" s="322"/>
      <c r="R412" s="322"/>
      <c r="S412" s="322"/>
      <c r="T412" s="322"/>
      <c r="U412" s="322"/>
      <c r="V412" s="322"/>
      <c r="W412" s="322"/>
      <c r="X412" s="322"/>
      <c r="Y412" s="322"/>
      <c r="AQ412" s="3"/>
    </row>
    <row r="413" spans="5:43" x14ac:dyDescent="0.3">
      <c r="E413" s="32"/>
      <c r="F413" s="72" t="s">
        <v>248</v>
      </c>
      <c r="G413" s="72" t="s">
        <v>206</v>
      </c>
      <c r="J413" s="322"/>
      <c r="K413" s="322"/>
      <c r="L413" s="321">
        <f t="shared" si="102"/>
        <v>195029.54075707641</v>
      </c>
      <c r="M413" s="322"/>
      <c r="N413" s="321">
        <f t="shared" si="103"/>
        <v>363042.02105732524</v>
      </c>
      <c r="O413" s="321">
        <f t="shared" si="103"/>
        <v>192318.16945588088</v>
      </c>
      <c r="P413" s="321">
        <f t="shared" si="103"/>
        <v>643540.95958436897</v>
      </c>
      <c r="Q413" s="322"/>
      <c r="R413" s="322"/>
      <c r="S413" s="322"/>
      <c r="T413" s="322"/>
      <c r="U413" s="322"/>
      <c r="V413" s="322"/>
      <c r="W413" s="322"/>
      <c r="X413" s="322"/>
      <c r="Y413" s="322"/>
      <c r="AQ413" s="3"/>
    </row>
    <row r="414" spans="5:43" x14ac:dyDescent="0.3">
      <c r="E414" s="32"/>
      <c r="F414" s="72" t="s">
        <v>211</v>
      </c>
      <c r="G414" s="72" t="s">
        <v>211</v>
      </c>
      <c r="J414" s="322"/>
      <c r="K414" s="322"/>
      <c r="L414" s="321">
        <f t="shared" si="102"/>
        <v>51940.054428782634</v>
      </c>
      <c r="M414" s="322"/>
      <c r="N414" s="321">
        <f t="shared" si="103"/>
        <v>4901.8617602311642</v>
      </c>
      <c r="O414" s="321">
        <f t="shared" si="103"/>
        <v>788.41995020984461</v>
      </c>
      <c r="P414" s="321">
        <f t="shared" si="103"/>
        <v>714.96197639115712</v>
      </c>
      <c r="Q414" s="322"/>
      <c r="R414" s="322"/>
      <c r="S414" s="322"/>
      <c r="T414" s="322"/>
      <c r="U414" s="322"/>
      <c r="V414" s="322"/>
      <c r="W414" s="322"/>
      <c r="X414" s="322"/>
      <c r="Y414" s="322"/>
      <c r="AQ414" s="3"/>
    </row>
    <row r="415" spans="5:43" x14ac:dyDescent="0.3">
      <c r="E415" s="32"/>
      <c r="F415" s="72" t="s">
        <v>249</v>
      </c>
      <c r="G415" s="72" t="s">
        <v>250</v>
      </c>
      <c r="J415" s="322"/>
      <c r="K415" s="322"/>
      <c r="L415" s="321">
        <f t="shared" si="102"/>
        <v>0</v>
      </c>
      <c r="M415" s="322"/>
      <c r="N415" s="321">
        <f t="shared" si="103"/>
        <v>471631.83055156923</v>
      </c>
      <c r="O415" s="321">
        <f t="shared" si="103"/>
        <v>211922.77102329888</v>
      </c>
      <c r="P415" s="321">
        <f t="shared" si="103"/>
        <v>480113.57940439001</v>
      </c>
      <c r="Q415" s="322"/>
      <c r="R415" s="322"/>
      <c r="S415" s="322"/>
      <c r="T415" s="322"/>
      <c r="U415" s="322"/>
      <c r="V415" s="322"/>
      <c r="W415" s="322"/>
      <c r="X415" s="322"/>
      <c r="Y415" s="322"/>
      <c r="AQ415" s="3"/>
    </row>
    <row r="416" spans="5:43" x14ac:dyDescent="0.3">
      <c r="E416" s="32"/>
      <c r="F416" s="72" t="s">
        <v>251</v>
      </c>
      <c r="G416" s="72" t="s">
        <v>250</v>
      </c>
      <c r="J416" s="322"/>
      <c r="K416" s="322"/>
      <c r="L416" s="321">
        <f t="shared" si="102"/>
        <v>0</v>
      </c>
      <c r="M416" s="322"/>
      <c r="N416" s="321">
        <f t="shared" si="103"/>
        <v>9715.200277713353</v>
      </c>
      <c r="O416" s="321">
        <f t="shared" si="103"/>
        <v>1938.2422550523561</v>
      </c>
      <c r="P416" s="321">
        <f t="shared" si="103"/>
        <v>4210.5417994938898</v>
      </c>
      <c r="Q416" s="322"/>
      <c r="R416" s="322"/>
      <c r="S416" s="322"/>
      <c r="T416" s="322"/>
      <c r="U416" s="322"/>
      <c r="V416" s="322"/>
      <c r="W416" s="322"/>
      <c r="X416" s="322"/>
      <c r="Y416" s="322"/>
      <c r="AQ416" s="3"/>
    </row>
    <row r="417" spans="3:43" x14ac:dyDescent="0.3">
      <c r="E417" s="32"/>
      <c r="F417" s="80" t="s">
        <v>252</v>
      </c>
      <c r="G417" s="80" t="s">
        <v>253</v>
      </c>
      <c r="H417" s="37"/>
      <c r="I417" s="37"/>
      <c r="J417" s="81"/>
      <c r="K417" s="81"/>
      <c r="L417" s="100">
        <f t="shared" si="102"/>
        <v>0</v>
      </c>
      <c r="M417" s="81"/>
      <c r="N417" s="100">
        <f t="shared" si="103"/>
        <v>58026.817872614047</v>
      </c>
      <c r="O417" s="100">
        <f t="shared" si="103"/>
        <v>27928.39800693082</v>
      </c>
      <c r="P417" s="100">
        <f t="shared" si="103"/>
        <v>87500.680194020388</v>
      </c>
      <c r="Q417" s="81"/>
      <c r="R417" s="81"/>
      <c r="S417" s="81"/>
      <c r="T417" s="81"/>
      <c r="U417" s="81"/>
      <c r="V417" s="81"/>
      <c r="W417" s="81"/>
      <c r="X417" s="81"/>
      <c r="Y417" s="81"/>
      <c r="AQ417" s="3"/>
    </row>
    <row r="418" spans="3:43" x14ac:dyDescent="0.3">
      <c r="AQ418" s="3"/>
    </row>
    <row r="419" spans="3:43" x14ac:dyDescent="0.3">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3">
      <c r="C420" s="32"/>
      <c r="AQ420" s="3"/>
    </row>
    <row r="421" spans="3:43" x14ac:dyDescent="0.3">
      <c r="E421" s="32" t="s">
        <v>976</v>
      </c>
      <c r="G421" s="13"/>
      <c r="I421" t="s">
        <v>153</v>
      </c>
      <c r="AQ421" s="3"/>
    </row>
    <row r="422" spans="3:43" x14ac:dyDescent="0.3">
      <c r="E422" s="32"/>
      <c r="F422" s="78" t="s">
        <v>246</v>
      </c>
      <c r="G422" s="78" t="s">
        <v>206</v>
      </c>
      <c r="H422" s="23"/>
      <c r="I422" s="23"/>
      <c r="J422" s="83"/>
      <c r="K422" s="83"/>
      <c r="L422" s="126">
        <f t="shared" ref="L422:L428" si="104">(1 - L315) * L132</f>
        <v>108.63017473978789</v>
      </c>
      <c r="M422" s="83"/>
      <c r="N422" s="126">
        <f t="shared" ref="N422:P428" si="105">(1 - N315) * N132</f>
        <v>58.360607253582423</v>
      </c>
      <c r="O422" s="126">
        <f t="shared" si="105"/>
        <v>0</v>
      </c>
      <c r="P422" s="126">
        <f t="shared" si="105"/>
        <v>0</v>
      </c>
      <c r="Q422" s="83"/>
      <c r="R422" s="83"/>
      <c r="S422" s="83"/>
      <c r="T422" s="83"/>
      <c r="U422" s="83"/>
      <c r="V422" s="83"/>
      <c r="W422" s="83"/>
      <c r="X422" s="83"/>
      <c r="Y422" s="83"/>
      <c r="AQ422" s="3"/>
    </row>
    <row r="423" spans="3:43" x14ac:dyDescent="0.3">
      <c r="E423" s="32"/>
      <c r="F423" s="72" t="s">
        <v>247</v>
      </c>
      <c r="G423" s="72" t="s">
        <v>206</v>
      </c>
      <c r="J423" s="322"/>
      <c r="K423" s="322"/>
      <c r="L423" s="321">
        <f t="shared" si="104"/>
        <v>390.1810890212754</v>
      </c>
      <c r="M423" s="322"/>
      <c r="N423" s="321">
        <f t="shared" si="105"/>
        <v>200.50591354719552</v>
      </c>
      <c r="O423" s="321">
        <f t="shared" si="105"/>
        <v>0</v>
      </c>
      <c r="P423" s="321">
        <f t="shared" si="105"/>
        <v>0</v>
      </c>
      <c r="Q423" s="322"/>
      <c r="R423" s="322"/>
      <c r="S423" s="322"/>
      <c r="T423" s="322"/>
      <c r="U423" s="322"/>
      <c r="V423" s="322"/>
      <c r="W423" s="322"/>
      <c r="X423" s="322"/>
      <c r="Y423" s="322"/>
      <c r="AQ423" s="3"/>
    </row>
    <row r="424" spans="3:43" x14ac:dyDescent="0.3">
      <c r="E424" s="32"/>
      <c r="F424" s="72" t="s">
        <v>248</v>
      </c>
      <c r="G424" s="72" t="s">
        <v>206</v>
      </c>
      <c r="J424" s="322"/>
      <c r="K424" s="322"/>
      <c r="L424" s="321">
        <f t="shared" si="104"/>
        <v>497.74903179086931</v>
      </c>
      <c r="M424" s="322"/>
      <c r="N424" s="321">
        <f t="shared" si="105"/>
        <v>296.8770403417426</v>
      </c>
      <c r="O424" s="321">
        <f t="shared" si="105"/>
        <v>0</v>
      </c>
      <c r="P424" s="321">
        <f t="shared" si="105"/>
        <v>0</v>
      </c>
      <c r="Q424" s="322"/>
      <c r="R424" s="322"/>
      <c r="S424" s="322"/>
      <c r="T424" s="322"/>
      <c r="U424" s="322"/>
      <c r="V424" s="322"/>
      <c r="W424" s="322"/>
      <c r="X424" s="322"/>
      <c r="Y424" s="322"/>
      <c r="AQ424" s="3"/>
    </row>
    <row r="425" spans="3:43" x14ac:dyDescent="0.3">
      <c r="E425" s="32"/>
      <c r="F425" s="72" t="s">
        <v>211</v>
      </c>
      <c r="G425" s="72" t="s">
        <v>211</v>
      </c>
      <c r="J425" s="322"/>
      <c r="K425" s="322"/>
      <c r="L425" s="321">
        <f t="shared" si="104"/>
        <v>108.23165048577009</v>
      </c>
      <c r="M425" s="322"/>
      <c r="N425" s="321">
        <f t="shared" si="105"/>
        <v>3.5250748336262889</v>
      </c>
      <c r="O425" s="321">
        <f t="shared" si="105"/>
        <v>0</v>
      </c>
      <c r="P425" s="321">
        <f t="shared" si="105"/>
        <v>0</v>
      </c>
      <c r="Q425" s="322"/>
      <c r="R425" s="322"/>
      <c r="S425" s="322"/>
      <c r="T425" s="322"/>
      <c r="U425" s="322"/>
      <c r="V425" s="322"/>
      <c r="W425" s="322"/>
      <c r="X425" s="322"/>
      <c r="Y425" s="322"/>
      <c r="AQ425" s="3"/>
    </row>
    <row r="426" spans="3:43" x14ac:dyDescent="0.3">
      <c r="E426" s="32"/>
      <c r="F426" s="72" t="s">
        <v>249</v>
      </c>
      <c r="G426" s="72" t="s">
        <v>250</v>
      </c>
      <c r="J426" s="322"/>
      <c r="K426" s="322"/>
      <c r="L426" s="321">
        <f t="shared" si="104"/>
        <v>0</v>
      </c>
      <c r="M426" s="322"/>
      <c r="N426" s="321">
        <f t="shared" si="105"/>
        <v>626.92204877236236</v>
      </c>
      <c r="O426" s="321">
        <f t="shared" si="105"/>
        <v>0</v>
      </c>
      <c r="P426" s="321">
        <f t="shared" si="105"/>
        <v>0</v>
      </c>
      <c r="Q426" s="322"/>
      <c r="R426" s="322"/>
      <c r="S426" s="322"/>
      <c r="T426" s="322"/>
      <c r="U426" s="322"/>
      <c r="V426" s="322"/>
      <c r="W426" s="322"/>
      <c r="X426" s="322"/>
      <c r="Y426" s="322"/>
      <c r="AQ426" s="3"/>
    </row>
    <row r="427" spans="3:43" x14ac:dyDescent="0.3">
      <c r="E427" s="32"/>
      <c r="F427" s="72" t="s">
        <v>251</v>
      </c>
      <c r="G427" s="72" t="s">
        <v>250</v>
      </c>
      <c r="J427" s="322"/>
      <c r="K427" s="322"/>
      <c r="L427" s="321">
        <f t="shared" si="104"/>
        <v>0</v>
      </c>
      <c r="M427" s="322"/>
      <c r="N427" s="321">
        <f t="shared" si="105"/>
        <v>6.4663123809911447</v>
      </c>
      <c r="O427" s="321">
        <f t="shared" si="105"/>
        <v>0</v>
      </c>
      <c r="P427" s="321">
        <f t="shared" si="105"/>
        <v>0</v>
      </c>
      <c r="Q427" s="322"/>
      <c r="R427" s="322"/>
      <c r="S427" s="322"/>
      <c r="T427" s="322"/>
      <c r="U427" s="322"/>
      <c r="V427" s="322"/>
      <c r="W427" s="322"/>
      <c r="X427" s="322"/>
      <c r="Y427" s="322"/>
      <c r="AQ427" s="3"/>
    </row>
    <row r="428" spans="3:43" x14ac:dyDescent="0.3">
      <c r="E428" s="32"/>
      <c r="F428" s="80" t="s">
        <v>252</v>
      </c>
      <c r="G428" s="80" t="s">
        <v>253</v>
      </c>
      <c r="H428" s="37"/>
      <c r="I428" s="37"/>
      <c r="J428" s="81"/>
      <c r="K428" s="81"/>
      <c r="L428" s="100">
        <f t="shared" si="104"/>
        <v>0</v>
      </c>
      <c r="M428" s="81"/>
      <c r="N428" s="100">
        <f t="shared" si="105"/>
        <v>56.414607292619365</v>
      </c>
      <c r="O428" s="100">
        <f t="shared" si="105"/>
        <v>0</v>
      </c>
      <c r="P428" s="100">
        <f t="shared" si="105"/>
        <v>0</v>
      </c>
      <c r="Q428" s="81"/>
      <c r="R428" s="81"/>
      <c r="S428" s="81"/>
      <c r="T428" s="81"/>
      <c r="U428" s="81"/>
      <c r="V428" s="81"/>
      <c r="W428" s="81"/>
      <c r="X428" s="81"/>
      <c r="Y428" s="81"/>
      <c r="AQ428" s="3"/>
    </row>
    <row r="429" spans="3:43" x14ac:dyDescent="0.3">
      <c r="AQ429" s="3"/>
    </row>
    <row r="430" spans="3:43" x14ac:dyDescent="0.3">
      <c r="E430" s="32" t="s">
        <v>977</v>
      </c>
      <c r="G430" s="13"/>
      <c r="I430" t="s">
        <v>153</v>
      </c>
      <c r="AQ430" s="3"/>
    </row>
    <row r="431" spans="3:43" x14ac:dyDescent="0.3">
      <c r="E431" s="32"/>
      <c r="F431" s="78" t="s">
        <v>246</v>
      </c>
      <c r="G431" s="78" t="s">
        <v>206</v>
      </c>
      <c r="H431" s="23"/>
      <c r="I431" s="23"/>
      <c r="J431" s="83"/>
      <c r="K431" s="83"/>
      <c r="L431" s="126">
        <f t="shared" ref="L431:L437" si="106">(1 - L324) * L179</f>
        <v>135.87817952944286</v>
      </c>
      <c r="M431" s="83"/>
      <c r="N431" s="126">
        <f t="shared" ref="N431:P437" si="107">(1 - N324) * N179</f>
        <v>1213.5269755833131</v>
      </c>
      <c r="O431" s="126">
        <f t="shared" si="107"/>
        <v>215.8332116859487</v>
      </c>
      <c r="P431" s="126">
        <f t="shared" si="107"/>
        <v>661.02363040496323</v>
      </c>
      <c r="Q431" s="83"/>
      <c r="R431" s="83"/>
      <c r="S431" s="83"/>
      <c r="T431" s="83"/>
      <c r="U431" s="83"/>
      <c r="V431" s="83"/>
      <c r="W431" s="83"/>
      <c r="X431" s="83"/>
      <c r="Y431" s="83"/>
      <c r="AQ431" s="3"/>
    </row>
    <row r="432" spans="3:43" x14ac:dyDescent="0.3">
      <c r="E432" s="32"/>
      <c r="F432" s="72" t="s">
        <v>247</v>
      </c>
      <c r="G432" s="72" t="s">
        <v>206</v>
      </c>
      <c r="J432" s="322"/>
      <c r="K432" s="322"/>
      <c r="L432" s="321">
        <f t="shared" si="106"/>
        <v>488.05128216007432</v>
      </c>
      <c r="M432" s="322"/>
      <c r="N432" s="321">
        <f t="shared" si="107"/>
        <v>4156.869746011379</v>
      </c>
      <c r="O432" s="321">
        <f t="shared" si="107"/>
        <v>731.10476494821921</v>
      </c>
      <c r="P432" s="321">
        <f t="shared" si="107"/>
        <v>2168.4376457788876</v>
      </c>
      <c r="Q432" s="322"/>
      <c r="R432" s="322"/>
      <c r="S432" s="322"/>
      <c r="T432" s="322"/>
      <c r="U432" s="322"/>
      <c r="V432" s="322"/>
      <c r="W432" s="322"/>
      <c r="X432" s="322"/>
      <c r="Y432" s="322"/>
      <c r="AQ432" s="3"/>
    </row>
    <row r="433" spans="3:43" x14ac:dyDescent="0.3">
      <c r="E433" s="32"/>
      <c r="F433" s="72" t="s">
        <v>248</v>
      </c>
      <c r="G433" s="72" t="s">
        <v>206</v>
      </c>
      <c r="J433" s="322"/>
      <c r="K433" s="322"/>
      <c r="L433" s="321">
        <f t="shared" si="106"/>
        <v>622.60078715968541</v>
      </c>
      <c r="M433" s="322"/>
      <c r="N433" s="321">
        <f t="shared" si="107"/>
        <v>5952.8181082819865</v>
      </c>
      <c r="O433" s="321">
        <f t="shared" si="107"/>
        <v>1292.7247886294567</v>
      </c>
      <c r="P433" s="321">
        <f t="shared" si="107"/>
        <v>4046.2890159315875</v>
      </c>
      <c r="Q433" s="322"/>
      <c r="R433" s="322"/>
      <c r="S433" s="322"/>
      <c r="T433" s="322"/>
      <c r="U433" s="322"/>
      <c r="V433" s="322"/>
      <c r="W433" s="322"/>
      <c r="X433" s="322"/>
      <c r="Y433" s="322"/>
      <c r="AQ433" s="3"/>
    </row>
    <row r="434" spans="3:43" x14ac:dyDescent="0.3">
      <c r="E434" s="32"/>
      <c r="F434" s="72" t="s">
        <v>211</v>
      </c>
      <c r="G434" s="72" t="s">
        <v>211</v>
      </c>
      <c r="J434" s="322"/>
      <c r="K434" s="322"/>
      <c r="L434" s="321">
        <f t="shared" si="106"/>
        <v>68.829144401756736</v>
      </c>
      <c r="M434" s="322"/>
      <c r="N434" s="321">
        <f t="shared" si="107"/>
        <v>33.715956474615467</v>
      </c>
      <c r="O434" s="321">
        <f t="shared" si="107"/>
        <v>2.4595038727722702</v>
      </c>
      <c r="P434" s="321">
        <f t="shared" si="107"/>
        <v>2.3561168405162505</v>
      </c>
      <c r="Q434" s="322"/>
      <c r="R434" s="322"/>
      <c r="S434" s="322"/>
      <c r="T434" s="322"/>
      <c r="U434" s="322"/>
      <c r="V434" s="322"/>
      <c r="W434" s="322"/>
      <c r="X434" s="322"/>
      <c r="Y434" s="322"/>
      <c r="AQ434" s="3"/>
    </row>
    <row r="435" spans="3:43" x14ac:dyDescent="0.3">
      <c r="E435" s="32"/>
      <c r="F435" s="72" t="s">
        <v>249</v>
      </c>
      <c r="G435" s="72" t="s">
        <v>250</v>
      </c>
      <c r="J435" s="322"/>
      <c r="K435" s="322"/>
      <c r="L435" s="321">
        <f t="shared" si="106"/>
        <v>0</v>
      </c>
      <c r="M435" s="322"/>
      <c r="N435" s="321">
        <f t="shared" si="107"/>
        <v>10295.890887145315</v>
      </c>
      <c r="O435" s="321">
        <f t="shared" si="107"/>
        <v>1763.4290811177254</v>
      </c>
      <c r="P435" s="321">
        <f t="shared" si="107"/>
        <v>4840.5904982218826</v>
      </c>
      <c r="Q435" s="322"/>
      <c r="R435" s="322"/>
      <c r="S435" s="322"/>
      <c r="T435" s="322"/>
      <c r="U435" s="322"/>
      <c r="V435" s="322"/>
      <c r="W435" s="322"/>
      <c r="X435" s="322"/>
      <c r="Y435" s="322"/>
      <c r="AQ435" s="3"/>
    </row>
    <row r="436" spans="3:43" x14ac:dyDescent="0.3">
      <c r="E436" s="32"/>
      <c r="F436" s="72" t="s">
        <v>251</v>
      </c>
      <c r="G436" s="72" t="s">
        <v>250</v>
      </c>
      <c r="J436" s="322"/>
      <c r="K436" s="322"/>
      <c r="L436" s="321">
        <f t="shared" si="106"/>
        <v>0</v>
      </c>
      <c r="M436" s="322"/>
      <c r="N436" s="321">
        <f t="shared" si="107"/>
        <v>15.962032530961306</v>
      </c>
      <c r="O436" s="321">
        <f t="shared" si="107"/>
        <v>1.8916737388039939</v>
      </c>
      <c r="P436" s="321">
        <f t="shared" si="107"/>
        <v>11.919717331787966</v>
      </c>
      <c r="Q436" s="322"/>
      <c r="R436" s="322"/>
      <c r="S436" s="322"/>
      <c r="T436" s="322"/>
      <c r="U436" s="322"/>
      <c r="V436" s="322"/>
      <c r="W436" s="322"/>
      <c r="X436" s="322"/>
      <c r="Y436" s="322"/>
      <c r="AQ436" s="3"/>
    </row>
    <row r="437" spans="3:43" x14ac:dyDescent="0.3">
      <c r="E437" s="32"/>
      <c r="F437" s="80" t="s">
        <v>252</v>
      </c>
      <c r="G437" s="80" t="s">
        <v>253</v>
      </c>
      <c r="H437" s="37"/>
      <c r="I437" s="37"/>
      <c r="J437" s="81"/>
      <c r="K437" s="81"/>
      <c r="L437" s="100">
        <f t="shared" si="106"/>
        <v>0</v>
      </c>
      <c r="M437" s="81"/>
      <c r="N437" s="100">
        <f t="shared" si="107"/>
        <v>650.67767552642943</v>
      </c>
      <c r="O437" s="100">
        <f t="shared" si="107"/>
        <v>184.62553087573986</v>
      </c>
      <c r="P437" s="100">
        <f t="shared" si="107"/>
        <v>592.23560184031112</v>
      </c>
      <c r="Q437" s="81"/>
      <c r="R437" s="81"/>
      <c r="S437" s="81"/>
      <c r="T437" s="81"/>
      <c r="U437" s="81"/>
      <c r="V437" s="81"/>
      <c r="W437" s="81"/>
      <c r="X437" s="81"/>
      <c r="Y437" s="81"/>
      <c r="AQ437" s="3"/>
    </row>
    <row r="438" spans="3:43" x14ac:dyDescent="0.3">
      <c r="AQ438" s="3"/>
    </row>
    <row r="439" spans="3:43" x14ac:dyDescent="0.3">
      <c r="E439" s="32" t="s">
        <v>978</v>
      </c>
      <c r="G439" s="13"/>
      <c r="I439" t="s">
        <v>153</v>
      </c>
      <c r="AQ439" s="3"/>
    </row>
    <row r="440" spans="3:43" x14ac:dyDescent="0.3">
      <c r="E440" s="32"/>
      <c r="F440" s="78" t="s">
        <v>246</v>
      </c>
      <c r="G440" s="78" t="s">
        <v>206</v>
      </c>
      <c r="H440" s="23"/>
      <c r="I440" s="23"/>
      <c r="J440" s="83"/>
      <c r="K440" s="83"/>
      <c r="L440" s="126">
        <f t="shared" ref="L440:L446" si="108">L85+L422+L431</f>
        <v>54343.391804608509</v>
      </c>
      <c r="M440" s="83"/>
      <c r="N440" s="126">
        <f t="shared" ref="N440:P446" si="109">N85+N422+N431</f>
        <v>44721.617157095723</v>
      </c>
      <c r="O440" s="126">
        <f t="shared" si="109"/>
        <v>21923.198921566669</v>
      </c>
      <c r="P440" s="126">
        <f t="shared" si="109"/>
        <v>97894.383990813396</v>
      </c>
      <c r="Q440" s="83"/>
      <c r="R440" s="83"/>
      <c r="S440" s="83"/>
      <c r="T440" s="83"/>
      <c r="U440" s="83"/>
      <c r="V440" s="83"/>
      <c r="W440" s="83"/>
      <c r="X440" s="83"/>
      <c r="Y440" s="83"/>
      <c r="AQ440" s="3"/>
    </row>
    <row r="441" spans="3:43" x14ac:dyDescent="0.3">
      <c r="E441" s="32"/>
      <c r="F441" s="72" t="s">
        <v>247</v>
      </c>
      <c r="G441" s="72" t="s">
        <v>206</v>
      </c>
      <c r="J441" s="322"/>
      <c r="K441" s="322"/>
      <c r="L441" s="321">
        <f t="shared" si="108"/>
        <v>195192.20922016719</v>
      </c>
      <c r="M441" s="322"/>
      <c r="N441" s="321">
        <f t="shared" si="109"/>
        <v>161073.13492777693</v>
      </c>
      <c r="O441" s="321">
        <f t="shared" si="109"/>
        <v>80584.396661510051</v>
      </c>
      <c r="P441" s="321">
        <f t="shared" si="109"/>
        <v>332281.028357993</v>
      </c>
      <c r="Q441" s="322"/>
      <c r="R441" s="322"/>
      <c r="S441" s="322"/>
      <c r="T441" s="322"/>
      <c r="U441" s="322"/>
      <c r="V441" s="322"/>
      <c r="W441" s="322"/>
      <c r="X441" s="322"/>
      <c r="Y441" s="322"/>
      <c r="AQ441" s="3"/>
    </row>
    <row r="442" spans="3:43" x14ac:dyDescent="0.3">
      <c r="E442" s="32"/>
      <c r="F442" s="72" t="s">
        <v>248</v>
      </c>
      <c r="G442" s="72" t="s">
        <v>206</v>
      </c>
      <c r="J442" s="322"/>
      <c r="K442" s="322"/>
      <c r="L442" s="321">
        <f t="shared" si="108"/>
        <v>249004.20826689879</v>
      </c>
      <c r="M442" s="322"/>
      <c r="N442" s="321">
        <f t="shared" si="109"/>
        <v>209773.65097295141</v>
      </c>
      <c r="O442" s="321">
        <f t="shared" si="109"/>
        <v>111125.66098464007</v>
      </c>
      <c r="P442" s="321">
        <f t="shared" si="109"/>
        <v>553345.76568233559</v>
      </c>
      <c r="Q442" s="322"/>
      <c r="R442" s="322"/>
      <c r="S442" s="322"/>
      <c r="T442" s="322"/>
      <c r="U442" s="322"/>
      <c r="V442" s="322"/>
      <c r="W442" s="322"/>
      <c r="X442" s="322"/>
      <c r="Y442" s="322"/>
      <c r="AQ442" s="3"/>
    </row>
    <row r="443" spans="3:43" x14ac:dyDescent="0.3">
      <c r="E443" s="32"/>
      <c r="F443" s="72" t="s">
        <v>211</v>
      </c>
      <c r="G443" s="72" t="s">
        <v>211</v>
      </c>
      <c r="J443" s="322"/>
      <c r="K443" s="322"/>
      <c r="L443" s="321">
        <f t="shared" si="108"/>
        <v>26765.733852839774</v>
      </c>
      <c r="M443" s="322"/>
      <c r="N443" s="321">
        <f t="shared" si="109"/>
        <v>1736.5466489298194</v>
      </c>
      <c r="O443" s="321">
        <f t="shared" si="109"/>
        <v>279.30775885890233</v>
      </c>
      <c r="P443" s="321">
        <f t="shared" si="109"/>
        <v>293.26587433300654</v>
      </c>
      <c r="Q443" s="322"/>
      <c r="R443" s="322"/>
      <c r="S443" s="322"/>
      <c r="T443" s="322"/>
      <c r="U443" s="322"/>
      <c r="V443" s="322"/>
      <c r="W443" s="322"/>
      <c r="X443" s="322"/>
      <c r="Y443" s="322"/>
      <c r="AQ443" s="3"/>
    </row>
    <row r="444" spans="3:43" x14ac:dyDescent="0.3">
      <c r="E444" s="32"/>
      <c r="F444" s="72" t="s">
        <v>249</v>
      </c>
      <c r="G444" s="72" t="s">
        <v>250</v>
      </c>
      <c r="J444" s="322"/>
      <c r="K444" s="322"/>
      <c r="L444" s="321">
        <f t="shared" si="108"/>
        <v>0</v>
      </c>
      <c r="M444" s="322"/>
      <c r="N444" s="321">
        <f t="shared" si="109"/>
        <v>272519.22717298009</v>
      </c>
      <c r="O444" s="321">
        <f t="shared" si="109"/>
        <v>122453.63022271881</v>
      </c>
      <c r="P444" s="321">
        <f t="shared" si="109"/>
        <v>412823.47650659439</v>
      </c>
      <c r="Q444" s="322"/>
      <c r="R444" s="322"/>
      <c r="S444" s="322"/>
      <c r="T444" s="322"/>
      <c r="U444" s="322"/>
      <c r="V444" s="322"/>
      <c r="W444" s="322"/>
      <c r="X444" s="322"/>
      <c r="Y444" s="322"/>
      <c r="AQ444" s="3"/>
    </row>
    <row r="445" spans="3:43" x14ac:dyDescent="0.3">
      <c r="E445" s="32"/>
      <c r="F445" s="72" t="s">
        <v>251</v>
      </c>
      <c r="G445" s="72" t="s">
        <v>250</v>
      </c>
      <c r="J445" s="322"/>
      <c r="K445" s="322"/>
      <c r="L445" s="321">
        <f t="shared" si="108"/>
        <v>0</v>
      </c>
      <c r="M445" s="322"/>
      <c r="N445" s="321">
        <f t="shared" si="109"/>
        <v>5613.6560342351049</v>
      </c>
      <c r="O445" s="321">
        <f t="shared" si="109"/>
        <v>1119.9589323798341</v>
      </c>
      <c r="P445" s="321">
        <f t="shared" si="109"/>
        <v>3620.4152063346251</v>
      </c>
      <c r="Q445" s="322"/>
      <c r="R445" s="322"/>
      <c r="S445" s="322"/>
      <c r="T445" s="322"/>
      <c r="U445" s="322"/>
      <c r="V445" s="322"/>
      <c r="W445" s="322"/>
      <c r="X445" s="322"/>
      <c r="Y445" s="322"/>
      <c r="AQ445" s="3"/>
    </row>
    <row r="446" spans="3:43" x14ac:dyDescent="0.3">
      <c r="E446" s="32"/>
      <c r="F446" s="80" t="s">
        <v>252</v>
      </c>
      <c r="G446" s="80" t="s">
        <v>253</v>
      </c>
      <c r="H446" s="37"/>
      <c r="I446" s="37"/>
      <c r="J446" s="81"/>
      <c r="K446" s="81"/>
      <c r="L446" s="100">
        <f t="shared" si="108"/>
        <v>0</v>
      </c>
      <c r="M446" s="81"/>
      <c r="N446" s="100">
        <f t="shared" si="109"/>
        <v>33529.169444433785</v>
      </c>
      <c r="O446" s="100">
        <f t="shared" si="109"/>
        <v>16137.64158396001</v>
      </c>
      <c r="P446" s="100">
        <f t="shared" si="109"/>
        <v>75237.061695274606</v>
      </c>
      <c r="Q446" s="81"/>
      <c r="R446" s="81"/>
      <c r="S446" s="81"/>
      <c r="T446" s="81"/>
      <c r="U446" s="81"/>
      <c r="V446" s="81"/>
      <c r="W446" s="81"/>
      <c r="X446" s="81"/>
      <c r="Y446" s="81"/>
      <c r="AQ446" s="3"/>
    </row>
    <row r="447" spans="3:43" x14ac:dyDescent="0.3">
      <c r="AQ447" s="3"/>
    </row>
    <row r="448" spans="3:43" x14ac:dyDescent="0.3">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3">
      <c r="C449" s="32"/>
      <c r="AQ449" s="3"/>
    </row>
    <row r="450" spans="3:43" x14ac:dyDescent="0.3">
      <c r="E450" s="32" t="s">
        <v>973</v>
      </c>
      <c r="G450" s="13"/>
      <c r="I450" t="s">
        <v>153</v>
      </c>
      <c r="AQ450" s="3"/>
    </row>
    <row r="451" spans="3:43" x14ac:dyDescent="0.3">
      <c r="E451" s="32"/>
      <c r="F451" s="78" t="s">
        <v>246</v>
      </c>
      <c r="G451" s="78" t="s">
        <v>206</v>
      </c>
      <c r="H451" s="23"/>
      <c r="I451" s="23"/>
      <c r="J451" s="83"/>
      <c r="K451" s="83"/>
      <c r="L451" s="126">
        <f t="shared" ref="L451:L457" si="110">(1 - L315) * L141</f>
        <v>324.37079424967465</v>
      </c>
      <c r="M451" s="83"/>
      <c r="N451" s="126">
        <f t="shared" ref="N451:P457" si="111">(1 - N315) * N141</f>
        <v>128.83636681271753</v>
      </c>
      <c r="O451" s="126">
        <f t="shared" si="111"/>
        <v>0</v>
      </c>
      <c r="P451" s="126">
        <f t="shared" si="111"/>
        <v>0</v>
      </c>
      <c r="Q451" s="83"/>
      <c r="R451" s="83"/>
      <c r="S451" s="83"/>
      <c r="T451" s="83"/>
      <c r="U451" s="83"/>
      <c r="V451" s="83"/>
      <c r="W451" s="83"/>
      <c r="X451" s="83"/>
      <c r="Y451" s="83"/>
      <c r="AQ451" s="3"/>
    </row>
    <row r="452" spans="3:43" x14ac:dyDescent="0.3">
      <c r="E452" s="32"/>
      <c r="F452" s="72" t="s">
        <v>247</v>
      </c>
      <c r="G452" s="72" t="s">
        <v>206</v>
      </c>
      <c r="J452" s="322"/>
      <c r="K452" s="322"/>
      <c r="L452" s="321">
        <f t="shared" si="110"/>
        <v>1165.0846558076817</v>
      </c>
      <c r="M452" s="322"/>
      <c r="N452" s="321">
        <f t="shared" si="111"/>
        <v>442.63510339501835</v>
      </c>
      <c r="O452" s="321">
        <f t="shared" si="111"/>
        <v>0</v>
      </c>
      <c r="P452" s="321">
        <f t="shared" si="111"/>
        <v>0</v>
      </c>
      <c r="Q452" s="322"/>
      <c r="R452" s="322"/>
      <c r="S452" s="322"/>
      <c r="T452" s="322"/>
      <c r="U452" s="322"/>
      <c r="V452" s="322"/>
      <c r="W452" s="322"/>
      <c r="X452" s="322"/>
      <c r="Y452" s="322"/>
      <c r="AQ452" s="3"/>
    </row>
    <row r="453" spans="3:43" x14ac:dyDescent="0.3">
      <c r="E453" s="32"/>
      <c r="F453" s="72" t="s">
        <v>248</v>
      </c>
      <c r="G453" s="72" t="s">
        <v>206</v>
      </c>
      <c r="J453" s="322"/>
      <c r="K453" s="322"/>
      <c r="L453" s="321">
        <f t="shared" si="110"/>
        <v>1486.2836147116564</v>
      </c>
      <c r="M453" s="322"/>
      <c r="N453" s="321">
        <f t="shared" si="111"/>
        <v>655.38316113725557</v>
      </c>
      <c r="O453" s="321">
        <f t="shared" si="111"/>
        <v>0</v>
      </c>
      <c r="P453" s="321">
        <f t="shared" si="111"/>
        <v>0</v>
      </c>
      <c r="Q453" s="322"/>
      <c r="R453" s="322"/>
      <c r="S453" s="322"/>
      <c r="T453" s="322"/>
      <c r="U453" s="322"/>
      <c r="V453" s="322"/>
      <c r="W453" s="322"/>
      <c r="X453" s="322"/>
      <c r="Y453" s="322"/>
      <c r="AQ453" s="3"/>
    </row>
    <row r="454" spans="3:43" x14ac:dyDescent="0.3">
      <c r="E454" s="32"/>
      <c r="F454" s="72" t="s">
        <v>211</v>
      </c>
      <c r="G454" s="72" t="s">
        <v>211</v>
      </c>
      <c r="J454" s="322"/>
      <c r="K454" s="322"/>
      <c r="L454" s="321">
        <f t="shared" si="110"/>
        <v>103.77786639926106</v>
      </c>
      <c r="M454" s="322"/>
      <c r="N454" s="321">
        <f t="shared" si="111"/>
        <v>3.7065827518888894</v>
      </c>
      <c r="O454" s="321">
        <f t="shared" si="111"/>
        <v>0</v>
      </c>
      <c r="P454" s="321">
        <f t="shared" si="111"/>
        <v>0</v>
      </c>
      <c r="Q454" s="322"/>
      <c r="R454" s="322"/>
      <c r="S454" s="322"/>
      <c r="T454" s="322"/>
      <c r="U454" s="322"/>
      <c r="V454" s="322"/>
      <c r="W454" s="322"/>
      <c r="X454" s="322"/>
      <c r="Y454" s="322"/>
      <c r="AQ454" s="3"/>
    </row>
    <row r="455" spans="3:43" x14ac:dyDescent="0.3">
      <c r="E455" s="32"/>
      <c r="F455" s="72" t="s">
        <v>249</v>
      </c>
      <c r="G455" s="72" t="s">
        <v>250</v>
      </c>
      <c r="J455" s="322"/>
      <c r="K455" s="322"/>
      <c r="L455" s="321">
        <f t="shared" si="110"/>
        <v>0</v>
      </c>
      <c r="M455" s="322"/>
      <c r="N455" s="321">
        <f t="shared" si="111"/>
        <v>1383.9876389164617</v>
      </c>
      <c r="O455" s="321">
        <f t="shared" si="111"/>
        <v>0</v>
      </c>
      <c r="P455" s="321">
        <f t="shared" si="111"/>
        <v>0</v>
      </c>
      <c r="Q455" s="322"/>
      <c r="R455" s="322"/>
      <c r="S455" s="322"/>
      <c r="T455" s="322"/>
      <c r="U455" s="322"/>
      <c r="V455" s="322"/>
      <c r="W455" s="322"/>
      <c r="X455" s="322"/>
      <c r="Y455" s="322"/>
      <c r="AQ455" s="3"/>
    </row>
    <row r="456" spans="3:43" x14ac:dyDescent="0.3">
      <c r="E456" s="32"/>
      <c r="F456" s="72" t="s">
        <v>251</v>
      </c>
      <c r="G456" s="72" t="s">
        <v>250</v>
      </c>
      <c r="J456" s="322"/>
      <c r="K456" s="322"/>
      <c r="L456" s="321">
        <f t="shared" si="110"/>
        <v>0</v>
      </c>
      <c r="M456" s="322"/>
      <c r="N456" s="321">
        <f t="shared" si="111"/>
        <v>14.274974731210547</v>
      </c>
      <c r="O456" s="321">
        <f t="shared" si="111"/>
        <v>0</v>
      </c>
      <c r="P456" s="321">
        <f t="shared" si="111"/>
        <v>0</v>
      </c>
      <c r="Q456" s="322"/>
      <c r="R456" s="322"/>
      <c r="S456" s="322"/>
      <c r="T456" s="322"/>
      <c r="U456" s="322"/>
      <c r="V456" s="322"/>
      <c r="W456" s="322"/>
      <c r="X456" s="322"/>
      <c r="Y456" s="322"/>
      <c r="AQ456" s="3"/>
    </row>
    <row r="457" spans="3:43" x14ac:dyDescent="0.3">
      <c r="E457" s="32"/>
      <c r="F457" s="80" t="s">
        <v>252</v>
      </c>
      <c r="G457" s="80" t="s">
        <v>253</v>
      </c>
      <c r="H457" s="37"/>
      <c r="I457" s="37"/>
      <c r="J457" s="81"/>
      <c r="K457" s="81"/>
      <c r="L457" s="100">
        <f t="shared" si="110"/>
        <v>0</v>
      </c>
      <c r="M457" s="81"/>
      <c r="N457" s="100">
        <f t="shared" si="111"/>
        <v>124.54039429655117</v>
      </c>
      <c r="O457" s="100">
        <f t="shared" si="111"/>
        <v>0</v>
      </c>
      <c r="P457" s="100">
        <f t="shared" si="111"/>
        <v>0</v>
      </c>
      <c r="Q457" s="81"/>
      <c r="R457" s="81"/>
      <c r="S457" s="81"/>
      <c r="T457" s="81"/>
      <c r="U457" s="81"/>
      <c r="V457" s="81"/>
      <c r="W457" s="81"/>
      <c r="X457" s="81"/>
      <c r="Y457" s="81"/>
      <c r="AQ457" s="3"/>
    </row>
    <row r="458" spans="3:43" x14ac:dyDescent="0.3">
      <c r="AQ458" s="3"/>
    </row>
    <row r="459" spans="3:43" x14ac:dyDescent="0.3">
      <c r="E459" s="32" t="s">
        <v>974</v>
      </c>
      <c r="G459" s="13"/>
      <c r="I459" t="s">
        <v>153</v>
      </c>
      <c r="AQ459" s="3"/>
    </row>
    <row r="460" spans="3:43" x14ac:dyDescent="0.3">
      <c r="E460" s="32"/>
      <c r="F460" s="78" t="s">
        <v>246</v>
      </c>
      <c r="G460" s="78" t="s">
        <v>206</v>
      </c>
      <c r="H460" s="23"/>
      <c r="I460" s="23"/>
      <c r="J460" s="83"/>
      <c r="K460" s="83"/>
      <c r="L460" s="126">
        <f t="shared" ref="L460:L466" si="112">(1 - L324) * L188</f>
        <v>405.73361058050455</v>
      </c>
      <c r="M460" s="83"/>
      <c r="N460" s="126">
        <f t="shared" ref="N460:P466" si="113">(1 - N324) * N188</f>
        <v>2678.9715515474227</v>
      </c>
      <c r="O460" s="126">
        <f t="shared" si="113"/>
        <v>476.4715128873317</v>
      </c>
      <c r="P460" s="126">
        <f t="shared" si="113"/>
        <v>1254.4799568335684</v>
      </c>
      <c r="Q460" s="83"/>
      <c r="R460" s="83"/>
      <c r="S460" s="83"/>
      <c r="T460" s="83"/>
      <c r="U460" s="83"/>
      <c r="V460" s="83"/>
      <c r="W460" s="83"/>
      <c r="X460" s="83"/>
      <c r="Y460" s="83"/>
      <c r="AQ460" s="3"/>
    </row>
    <row r="461" spans="3:43" x14ac:dyDescent="0.3">
      <c r="E461" s="32"/>
      <c r="F461" s="72" t="s">
        <v>247</v>
      </c>
      <c r="G461" s="72" t="s">
        <v>206</v>
      </c>
      <c r="J461" s="322"/>
      <c r="K461" s="322"/>
      <c r="L461" s="321">
        <f t="shared" si="112"/>
        <v>1457.3260367853522</v>
      </c>
      <c r="M461" s="322"/>
      <c r="N461" s="321">
        <f t="shared" si="113"/>
        <v>9176.669342434494</v>
      </c>
      <c r="O461" s="321">
        <f t="shared" si="113"/>
        <v>1613.9804931452709</v>
      </c>
      <c r="P461" s="321">
        <f t="shared" si="113"/>
        <v>4115.2258998766338</v>
      </c>
      <c r="Q461" s="322"/>
      <c r="R461" s="322"/>
      <c r="S461" s="322"/>
      <c r="T461" s="322"/>
      <c r="U461" s="322"/>
      <c r="V461" s="322"/>
      <c r="W461" s="322"/>
      <c r="X461" s="322"/>
      <c r="Y461" s="322"/>
      <c r="AQ461" s="3"/>
    </row>
    <row r="462" spans="3:43" x14ac:dyDescent="0.3">
      <c r="E462" s="32"/>
      <c r="F462" s="72" t="s">
        <v>248</v>
      </c>
      <c r="G462" s="72" t="s">
        <v>206</v>
      </c>
      <c r="J462" s="322"/>
      <c r="K462" s="322"/>
      <c r="L462" s="321">
        <f t="shared" si="112"/>
        <v>1859.0922118575072</v>
      </c>
      <c r="M462" s="322"/>
      <c r="N462" s="321">
        <f t="shared" si="113"/>
        <v>13141.389259977712</v>
      </c>
      <c r="O462" s="321">
        <f t="shared" si="113"/>
        <v>2853.8079518618083</v>
      </c>
      <c r="P462" s="321">
        <f t="shared" si="113"/>
        <v>7678.9818647365073</v>
      </c>
      <c r="Q462" s="322"/>
      <c r="R462" s="322"/>
      <c r="S462" s="322"/>
      <c r="T462" s="322"/>
      <c r="U462" s="322"/>
      <c r="V462" s="322"/>
      <c r="W462" s="322"/>
      <c r="X462" s="322"/>
      <c r="Y462" s="322"/>
      <c r="AQ462" s="3"/>
    </row>
    <row r="463" spans="3:43" x14ac:dyDescent="0.3">
      <c r="E463" s="32"/>
      <c r="F463" s="72" t="s">
        <v>211</v>
      </c>
      <c r="G463" s="72" t="s">
        <v>211</v>
      </c>
      <c r="J463" s="322"/>
      <c r="K463" s="322"/>
      <c r="L463" s="321">
        <f t="shared" si="112"/>
        <v>65.996792251080819</v>
      </c>
      <c r="M463" s="322"/>
      <c r="N463" s="321">
        <f t="shared" si="113"/>
        <v>35.452008434013017</v>
      </c>
      <c r="O463" s="321">
        <f t="shared" si="113"/>
        <v>2.5861449935925225</v>
      </c>
      <c r="P463" s="321">
        <f t="shared" si="113"/>
        <v>1.9173916357304659</v>
      </c>
      <c r="Q463" s="322"/>
      <c r="R463" s="322"/>
      <c r="S463" s="322"/>
      <c r="T463" s="322"/>
      <c r="U463" s="322"/>
      <c r="V463" s="322"/>
      <c r="W463" s="322"/>
      <c r="X463" s="322"/>
      <c r="Y463" s="322"/>
      <c r="AQ463" s="3"/>
    </row>
    <row r="464" spans="3:43" x14ac:dyDescent="0.3">
      <c r="E464" s="32"/>
      <c r="F464" s="72" t="s">
        <v>249</v>
      </c>
      <c r="G464" s="72" t="s">
        <v>250</v>
      </c>
      <c r="J464" s="322"/>
      <c r="K464" s="322"/>
      <c r="L464" s="321">
        <f t="shared" si="112"/>
        <v>0</v>
      </c>
      <c r="M464" s="322"/>
      <c r="N464" s="321">
        <f t="shared" si="113"/>
        <v>22729.118791315253</v>
      </c>
      <c r="O464" s="321">
        <f t="shared" si="113"/>
        <v>3892.9306365151065</v>
      </c>
      <c r="P464" s="321">
        <f t="shared" si="113"/>
        <v>9186.3943737355003</v>
      </c>
      <c r="Q464" s="322"/>
      <c r="R464" s="322"/>
      <c r="S464" s="322"/>
      <c r="T464" s="322"/>
      <c r="U464" s="322"/>
      <c r="V464" s="322"/>
      <c r="W464" s="322"/>
      <c r="X464" s="322"/>
      <c r="Y464" s="322"/>
      <c r="AQ464" s="3"/>
    </row>
    <row r="465" spans="3:43" x14ac:dyDescent="0.3">
      <c r="E465" s="32"/>
      <c r="F465" s="72" t="s">
        <v>251</v>
      </c>
      <c r="G465" s="72" t="s">
        <v>250</v>
      </c>
      <c r="J465" s="322"/>
      <c r="K465" s="322"/>
      <c r="L465" s="321">
        <f t="shared" si="112"/>
        <v>0</v>
      </c>
      <c r="M465" s="322"/>
      <c r="N465" s="321">
        <f t="shared" si="113"/>
        <v>35.237643592360413</v>
      </c>
      <c r="O465" s="321">
        <f t="shared" si="113"/>
        <v>4.176042422649326</v>
      </c>
      <c r="P465" s="321">
        <f t="shared" si="113"/>
        <v>22.621046806887996</v>
      </c>
      <c r="Q465" s="322"/>
      <c r="R465" s="322"/>
      <c r="S465" s="322"/>
      <c r="T465" s="322"/>
      <c r="U465" s="322"/>
      <c r="V465" s="322"/>
      <c r="W465" s="322"/>
      <c r="X465" s="322"/>
      <c r="Y465" s="322"/>
      <c r="AQ465" s="3"/>
    </row>
    <row r="466" spans="3:43" x14ac:dyDescent="0.3">
      <c r="E466" s="32"/>
      <c r="F466" s="80" t="s">
        <v>252</v>
      </c>
      <c r="G466" s="80" t="s">
        <v>253</v>
      </c>
      <c r="H466" s="37"/>
      <c r="I466" s="37"/>
      <c r="J466" s="81"/>
      <c r="K466" s="81"/>
      <c r="L466" s="100">
        <f t="shared" si="112"/>
        <v>0</v>
      </c>
      <c r="M466" s="81"/>
      <c r="N466" s="100">
        <f t="shared" si="113"/>
        <v>1436.4303530413245</v>
      </c>
      <c r="O466" s="100">
        <f t="shared" si="113"/>
        <v>407.57770931931856</v>
      </c>
      <c r="P466" s="100">
        <f t="shared" si="113"/>
        <v>1123.9351485464801</v>
      </c>
      <c r="Q466" s="81"/>
      <c r="R466" s="81"/>
      <c r="S466" s="81"/>
      <c r="T466" s="81"/>
      <c r="U466" s="81"/>
      <c r="V466" s="81"/>
      <c r="W466" s="81"/>
      <c r="X466" s="81"/>
      <c r="Y466" s="81"/>
      <c r="AQ466" s="3"/>
    </row>
    <row r="467" spans="3:43" x14ac:dyDescent="0.3">
      <c r="AQ467" s="3"/>
    </row>
    <row r="468" spans="3:43" x14ac:dyDescent="0.3">
      <c r="E468" s="32" t="s">
        <v>975</v>
      </c>
      <c r="G468" s="13"/>
      <c r="I468" t="s">
        <v>153</v>
      </c>
      <c r="AQ468" s="3"/>
    </row>
    <row r="469" spans="3:43" x14ac:dyDescent="0.3">
      <c r="E469" s="32"/>
      <c r="F469" s="78" t="s">
        <v>246</v>
      </c>
      <c r="G469" s="78" t="s">
        <v>206</v>
      </c>
      <c r="H469" s="23"/>
      <c r="I469" s="23"/>
      <c r="J469" s="83"/>
      <c r="K469" s="83"/>
      <c r="L469" s="126">
        <f t="shared" ref="L469:L475" si="114">L94+L451+L460</f>
        <v>162269.91445154825</v>
      </c>
      <c r="M469" s="83"/>
      <c r="N469" s="126">
        <f t="shared" ref="N469:P475" si="115">N94+N451+N460</f>
        <v>98727.051407708321</v>
      </c>
      <c r="O469" s="126">
        <f t="shared" si="115"/>
        <v>48397.462447475766</v>
      </c>
      <c r="P469" s="126">
        <f t="shared" si="115"/>
        <v>185782.37895642148</v>
      </c>
      <c r="Q469" s="83"/>
      <c r="R469" s="83"/>
      <c r="S469" s="83"/>
      <c r="T469" s="83"/>
      <c r="U469" s="83"/>
      <c r="V469" s="83"/>
      <c r="W469" s="83"/>
      <c r="X469" s="83"/>
      <c r="Y469" s="83"/>
      <c r="AQ469" s="3"/>
    </row>
    <row r="470" spans="3:43" x14ac:dyDescent="0.3">
      <c r="E470" s="32"/>
      <c r="F470" s="72" t="s">
        <v>247</v>
      </c>
      <c r="G470" s="72" t="s">
        <v>206</v>
      </c>
      <c r="J470" s="322"/>
      <c r="K470" s="322"/>
      <c r="L470" s="321">
        <f t="shared" si="114"/>
        <v>582845.89974892209</v>
      </c>
      <c r="M470" s="322"/>
      <c r="N470" s="321">
        <f t="shared" si="115"/>
        <v>355583.64574685891</v>
      </c>
      <c r="O470" s="321">
        <f t="shared" si="115"/>
        <v>177897.4101923269</v>
      </c>
      <c r="P470" s="321">
        <f t="shared" si="115"/>
        <v>630597.56253461028</v>
      </c>
      <c r="Q470" s="322"/>
      <c r="R470" s="322"/>
      <c r="S470" s="322"/>
      <c r="T470" s="322"/>
      <c r="U470" s="322"/>
      <c r="V470" s="322"/>
      <c r="W470" s="322"/>
      <c r="X470" s="322"/>
      <c r="Y470" s="322"/>
      <c r="AQ470" s="3"/>
    </row>
    <row r="471" spans="3:43" x14ac:dyDescent="0.3">
      <c r="E471" s="32"/>
      <c r="F471" s="72" t="s">
        <v>248</v>
      </c>
      <c r="G471" s="72" t="s">
        <v>206</v>
      </c>
      <c r="J471" s="322"/>
      <c r="K471" s="322"/>
      <c r="L471" s="321">
        <f t="shared" si="114"/>
        <v>743529.07008131593</v>
      </c>
      <c r="M471" s="322"/>
      <c r="N471" s="321">
        <f t="shared" si="115"/>
        <v>463094.47958554531</v>
      </c>
      <c r="O471" s="321">
        <f t="shared" si="115"/>
        <v>245320.03854438892</v>
      </c>
      <c r="P471" s="321">
        <f t="shared" si="115"/>
        <v>1050130.6463461071</v>
      </c>
      <c r="Q471" s="322"/>
      <c r="R471" s="322"/>
      <c r="S471" s="322"/>
      <c r="T471" s="322"/>
      <c r="U471" s="322"/>
      <c r="V471" s="322"/>
      <c r="W471" s="322"/>
      <c r="X471" s="322"/>
      <c r="Y471" s="322"/>
      <c r="AQ471" s="3"/>
    </row>
    <row r="472" spans="3:43" x14ac:dyDescent="0.3">
      <c r="E472" s="32"/>
      <c r="F472" s="72" t="s">
        <v>211</v>
      </c>
      <c r="G472" s="72" t="s">
        <v>211</v>
      </c>
      <c r="J472" s="322"/>
      <c r="K472" s="322"/>
      <c r="L472" s="321">
        <f t="shared" si="114"/>
        <v>25664.311127024586</v>
      </c>
      <c r="M472" s="322"/>
      <c r="N472" s="321">
        <f t="shared" si="115"/>
        <v>1825.9623300400269</v>
      </c>
      <c r="O472" s="321">
        <f t="shared" si="115"/>
        <v>293.68945917955045</v>
      </c>
      <c r="P472" s="321">
        <f t="shared" si="115"/>
        <v>238.65774600892942</v>
      </c>
      <c r="Q472" s="322"/>
      <c r="R472" s="322"/>
      <c r="S472" s="322"/>
      <c r="T472" s="322"/>
      <c r="U472" s="322"/>
      <c r="V472" s="322"/>
      <c r="W472" s="322"/>
      <c r="X472" s="322"/>
      <c r="Y472" s="322"/>
      <c r="AQ472" s="3"/>
    </row>
    <row r="473" spans="3:43" x14ac:dyDescent="0.3">
      <c r="E473" s="32"/>
      <c r="F473" s="72" t="s">
        <v>249</v>
      </c>
      <c r="G473" s="72" t="s">
        <v>250</v>
      </c>
      <c r="J473" s="322"/>
      <c r="K473" s="322"/>
      <c r="L473" s="321">
        <f t="shared" si="114"/>
        <v>0</v>
      </c>
      <c r="M473" s="322"/>
      <c r="N473" s="321">
        <f t="shared" si="115"/>
        <v>601611.06554320757</v>
      </c>
      <c r="O473" s="321">
        <f t="shared" si="115"/>
        <v>270327.56448836724</v>
      </c>
      <c r="P473" s="321">
        <f t="shared" si="115"/>
        <v>783449.71823565208</v>
      </c>
      <c r="Q473" s="322"/>
      <c r="R473" s="322"/>
      <c r="S473" s="322"/>
      <c r="T473" s="322"/>
      <c r="U473" s="322"/>
      <c r="V473" s="322"/>
      <c r="W473" s="322"/>
      <c r="X473" s="322"/>
      <c r="Y473" s="322"/>
      <c r="AQ473" s="3"/>
    </row>
    <row r="474" spans="3:43" x14ac:dyDescent="0.3">
      <c r="E474" s="32"/>
      <c r="F474" s="72" t="s">
        <v>251</v>
      </c>
      <c r="G474" s="72" t="s">
        <v>250</v>
      </c>
      <c r="J474" s="322"/>
      <c r="K474" s="322"/>
      <c r="L474" s="321">
        <f t="shared" si="114"/>
        <v>0</v>
      </c>
      <c r="M474" s="322"/>
      <c r="N474" s="321">
        <f t="shared" si="115"/>
        <v>12392.658027778547</v>
      </c>
      <c r="O474" s="321">
        <f t="shared" si="115"/>
        <v>2472.4115566568344</v>
      </c>
      <c r="P474" s="321">
        <f t="shared" si="115"/>
        <v>6870.7654353897278</v>
      </c>
      <c r="Q474" s="322"/>
      <c r="R474" s="322"/>
      <c r="S474" s="322"/>
      <c r="T474" s="322"/>
      <c r="U474" s="322"/>
      <c r="V474" s="322"/>
      <c r="W474" s="322"/>
      <c r="X474" s="322"/>
      <c r="Y474" s="322"/>
      <c r="AQ474" s="3"/>
    </row>
    <row r="475" spans="3:43" x14ac:dyDescent="0.3">
      <c r="E475" s="32"/>
      <c r="F475" s="80" t="s">
        <v>252</v>
      </c>
      <c r="G475" s="80" t="s">
        <v>253</v>
      </c>
      <c r="H475" s="37"/>
      <c r="I475" s="37"/>
      <c r="J475" s="81"/>
      <c r="K475" s="81"/>
      <c r="L475" s="100">
        <f t="shared" si="114"/>
        <v>0</v>
      </c>
      <c r="M475" s="81"/>
      <c r="N475" s="100">
        <f t="shared" si="115"/>
        <v>74018.701599505148</v>
      </c>
      <c r="O475" s="100">
        <f t="shared" si="115"/>
        <v>35625.316603874293</v>
      </c>
      <c r="P475" s="100">
        <f t="shared" si="115"/>
        <v>142783.67907959732</v>
      </c>
      <c r="Q475" s="81"/>
      <c r="R475" s="81"/>
      <c r="S475" s="81"/>
      <c r="T475" s="81"/>
      <c r="U475" s="81"/>
      <c r="V475" s="81"/>
      <c r="W475" s="81"/>
      <c r="X475" s="81"/>
      <c r="Y475" s="81"/>
      <c r="AQ475" s="3"/>
    </row>
    <row r="476" spans="3:43" x14ac:dyDescent="0.3">
      <c r="AQ476" s="3"/>
    </row>
    <row r="477" spans="3:43" x14ac:dyDescent="0.3">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3">
      <c r="C478" s="32"/>
      <c r="AQ478" s="3"/>
    </row>
    <row r="479" spans="3:43" x14ac:dyDescent="0.3">
      <c r="D479" s="32" t="s">
        <v>1015</v>
      </c>
      <c r="AQ479" s="3"/>
    </row>
    <row r="480" spans="3:43" x14ac:dyDescent="0.3">
      <c r="E480" s="78" t="s">
        <v>246</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3">
      <c r="E481" s="342"/>
      <c r="F481" s="2" t="s">
        <v>982</v>
      </c>
      <c r="G481" t="s">
        <v>206</v>
      </c>
      <c r="J481" s="131">
        <f t="shared" ref="J481:Y481" si="116">J353</f>
        <v>0</v>
      </c>
      <c r="K481" s="131">
        <f t="shared" si="116"/>
        <v>18.350451934590168</v>
      </c>
      <c r="L481" s="131">
        <f t="shared" si="116"/>
        <v>0.1664543847844776</v>
      </c>
      <c r="M481" s="131">
        <f t="shared" si="116"/>
        <v>30.968009054504083</v>
      </c>
      <c r="N481" s="131">
        <f t="shared" si="116"/>
        <v>6.286703172921615</v>
      </c>
      <c r="O481" s="131">
        <f t="shared" si="116"/>
        <v>19.278476192852601</v>
      </c>
      <c r="P481" s="131">
        <f t="shared" si="116"/>
        <v>48.779728202076853</v>
      </c>
      <c r="Q481" s="131">
        <f t="shared" si="116"/>
        <v>0</v>
      </c>
      <c r="R481" s="131">
        <f t="shared" si="116"/>
        <v>162.86490240768723</v>
      </c>
      <c r="S481" s="131">
        <f t="shared" si="116"/>
        <v>0</v>
      </c>
      <c r="T481" s="131">
        <f t="shared" si="116"/>
        <v>2814.8705870277408</v>
      </c>
      <c r="U481" s="131">
        <f t="shared" si="116"/>
        <v>0</v>
      </c>
      <c r="V481" s="131">
        <f t="shared" si="116"/>
        <v>359.61906314590294</v>
      </c>
      <c r="W481" s="131">
        <f t="shared" si="116"/>
        <v>0</v>
      </c>
      <c r="X481" s="131">
        <f t="shared" si="116"/>
        <v>134754.49574344291</v>
      </c>
      <c r="Y481" s="131">
        <f t="shared" si="116"/>
        <v>0</v>
      </c>
      <c r="AQ481" s="3"/>
    </row>
    <row r="482" spans="5:43" x14ac:dyDescent="0.3">
      <c r="E482" s="342"/>
      <c r="F482" s="2" t="s">
        <v>983</v>
      </c>
      <c r="G482" t="s">
        <v>206</v>
      </c>
      <c r="J482" s="354">
        <f t="shared" ref="J482:Y482" si="117">J382</f>
        <v>901691.5877829832</v>
      </c>
      <c r="K482" s="354">
        <f t="shared" si="117"/>
        <v>0</v>
      </c>
      <c r="L482" s="354">
        <f t="shared" si="117"/>
        <v>9688.8224179080244</v>
      </c>
      <c r="M482" s="354">
        <f t="shared" si="117"/>
        <v>0</v>
      </c>
      <c r="N482" s="354">
        <f t="shared" si="117"/>
        <v>33767.979079252291</v>
      </c>
      <c r="O482" s="354">
        <f t="shared" si="117"/>
        <v>16553.56334573626</v>
      </c>
      <c r="P482" s="354">
        <f t="shared" si="117"/>
        <v>43057.973082427474</v>
      </c>
      <c r="Q482" s="354">
        <f t="shared" si="117"/>
        <v>9047.8998172492538</v>
      </c>
      <c r="R482" s="354">
        <f t="shared" si="117"/>
        <v>0</v>
      </c>
      <c r="S482" s="354">
        <f t="shared" si="117"/>
        <v>0</v>
      </c>
      <c r="T482" s="354">
        <f t="shared" si="117"/>
        <v>0</v>
      </c>
      <c r="U482" s="354">
        <f t="shared" si="117"/>
        <v>0</v>
      </c>
      <c r="V482" s="354">
        <f t="shared" si="117"/>
        <v>0</v>
      </c>
      <c r="W482" s="354">
        <f t="shared" si="117"/>
        <v>0</v>
      </c>
      <c r="X482" s="354">
        <f t="shared" si="117"/>
        <v>0</v>
      </c>
      <c r="Y482" s="354">
        <f t="shared" si="117"/>
        <v>0</v>
      </c>
      <c r="AQ482" s="3"/>
    </row>
    <row r="483" spans="5:43" x14ac:dyDescent="0.3">
      <c r="E483" s="342"/>
      <c r="F483" s="2" t="s">
        <v>984</v>
      </c>
      <c r="G483" t="s">
        <v>206</v>
      </c>
      <c r="J483" s="354">
        <f t="shared" ref="J483:Y483" si="118">J411</f>
        <v>0</v>
      </c>
      <c r="K483" s="354">
        <f t="shared" si="118"/>
        <v>0</v>
      </c>
      <c r="L483" s="354">
        <f t="shared" si="118"/>
        <v>42563.805730843065</v>
      </c>
      <c r="M483" s="354">
        <f t="shared" si="118"/>
        <v>0</v>
      </c>
      <c r="N483" s="354">
        <f t="shared" si="118"/>
        <v>77396.880887378269</v>
      </c>
      <c r="O483" s="354">
        <f t="shared" si="118"/>
        <v>37941.097023446426</v>
      </c>
      <c r="P483" s="354">
        <f t="shared" si="118"/>
        <v>113851.1392306112</v>
      </c>
      <c r="Q483" s="354">
        <f t="shared" si="118"/>
        <v>0</v>
      </c>
      <c r="R483" s="354">
        <f t="shared" si="118"/>
        <v>0</v>
      </c>
      <c r="S483" s="354">
        <f t="shared" si="118"/>
        <v>0</v>
      </c>
      <c r="T483" s="354">
        <f t="shared" si="118"/>
        <v>0</v>
      </c>
      <c r="U483" s="354">
        <f t="shared" si="118"/>
        <v>0</v>
      </c>
      <c r="V483" s="354">
        <f t="shared" si="118"/>
        <v>0</v>
      </c>
      <c r="W483" s="354">
        <f t="shared" si="118"/>
        <v>0</v>
      </c>
      <c r="X483" s="354">
        <f t="shared" si="118"/>
        <v>0</v>
      </c>
      <c r="Y483" s="354">
        <f t="shared" si="118"/>
        <v>0</v>
      </c>
      <c r="AQ483" s="3"/>
    </row>
    <row r="484" spans="5:43" x14ac:dyDescent="0.3">
      <c r="E484" s="342"/>
      <c r="F484" s="2" t="s">
        <v>986</v>
      </c>
      <c r="G484" t="s">
        <v>206</v>
      </c>
      <c r="J484" s="101">
        <f t="shared" ref="J484:Y484" si="119">J440</f>
        <v>0</v>
      </c>
      <c r="K484" s="101">
        <f t="shared" si="119"/>
        <v>0</v>
      </c>
      <c r="L484" s="101">
        <f t="shared" si="119"/>
        <v>54343.391804608509</v>
      </c>
      <c r="M484" s="101">
        <f t="shared" si="119"/>
        <v>0</v>
      </c>
      <c r="N484" s="101">
        <f t="shared" si="119"/>
        <v>44721.617157095723</v>
      </c>
      <c r="O484" s="101">
        <f t="shared" si="119"/>
        <v>21923.198921566669</v>
      </c>
      <c r="P484" s="101">
        <f t="shared" si="119"/>
        <v>97894.383990813396</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3">
      <c r="E485" s="342"/>
      <c r="F485" s="2" t="s">
        <v>985</v>
      </c>
      <c r="G485" t="s">
        <v>206</v>
      </c>
      <c r="J485" s="101">
        <f t="shared" ref="J485:Y485" si="120">J469</f>
        <v>0</v>
      </c>
      <c r="K485" s="101">
        <f t="shared" si="120"/>
        <v>0</v>
      </c>
      <c r="L485" s="101">
        <f t="shared" si="120"/>
        <v>162269.91445154825</v>
      </c>
      <c r="M485" s="101">
        <f t="shared" si="120"/>
        <v>0</v>
      </c>
      <c r="N485" s="101">
        <f t="shared" si="120"/>
        <v>98727.051407708321</v>
      </c>
      <c r="O485" s="101">
        <f t="shared" si="120"/>
        <v>48397.462447475766</v>
      </c>
      <c r="P485" s="101">
        <f t="shared" si="120"/>
        <v>185782.37895642148</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3">
      <c r="E486" s="72" t="s">
        <v>247</v>
      </c>
      <c r="F486" s="2"/>
      <c r="J486" s="26"/>
      <c r="K486" s="26"/>
      <c r="L486" s="26"/>
      <c r="M486" s="26"/>
      <c r="N486" s="26"/>
      <c r="O486" s="26"/>
      <c r="P486" s="26"/>
      <c r="Q486" s="26"/>
      <c r="R486" s="26"/>
      <c r="S486" s="26"/>
      <c r="T486" s="26"/>
      <c r="U486" s="26"/>
      <c r="V486" s="26"/>
      <c r="W486" s="26"/>
      <c r="X486" s="26"/>
      <c r="Y486" s="26"/>
      <c r="AQ486" s="3"/>
    </row>
    <row r="487" spans="5:43" x14ac:dyDescent="0.3">
      <c r="E487" s="342"/>
      <c r="F487" s="2" t="s">
        <v>982</v>
      </c>
      <c r="G487" t="s">
        <v>206</v>
      </c>
      <c r="J487" s="131">
        <f t="shared" ref="J487:Y487" si="121">J354</f>
        <v>0</v>
      </c>
      <c r="K487" s="131">
        <f t="shared" si="121"/>
        <v>442.08512771373279</v>
      </c>
      <c r="L487" s="131">
        <f t="shared" si="121"/>
        <v>0.59787580461090495</v>
      </c>
      <c r="M487" s="131">
        <f t="shared" si="121"/>
        <v>924.22425525108804</v>
      </c>
      <c r="N487" s="131">
        <f t="shared" si="121"/>
        <v>22.675065430603073</v>
      </c>
      <c r="O487" s="131">
        <f t="shared" si="121"/>
        <v>70.918314424861464</v>
      </c>
      <c r="P487" s="131">
        <f t="shared" si="121"/>
        <v>165.60985233193685</v>
      </c>
      <c r="Q487" s="131">
        <f t="shared" si="121"/>
        <v>0</v>
      </c>
      <c r="R487" s="131">
        <f t="shared" si="121"/>
        <v>602.4003628152069</v>
      </c>
      <c r="S487" s="131">
        <f t="shared" si="121"/>
        <v>0</v>
      </c>
      <c r="T487" s="131">
        <f t="shared" si="121"/>
        <v>10411.568347971635</v>
      </c>
      <c r="U487" s="131">
        <f t="shared" si="121"/>
        <v>0</v>
      </c>
      <c r="V487" s="131">
        <f t="shared" si="121"/>
        <v>1554.6705868586694</v>
      </c>
      <c r="W487" s="131">
        <f t="shared" si="121"/>
        <v>0</v>
      </c>
      <c r="X487" s="131">
        <f t="shared" si="121"/>
        <v>332893.45294245722</v>
      </c>
      <c r="Y487" s="131">
        <f t="shared" si="121"/>
        <v>0</v>
      </c>
      <c r="AQ487" s="3"/>
    </row>
    <row r="488" spans="5:43" x14ac:dyDescent="0.3">
      <c r="E488" s="342"/>
      <c r="F488" s="2" t="s">
        <v>983</v>
      </c>
      <c r="G488" t="s">
        <v>206</v>
      </c>
      <c r="J488" s="354">
        <f t="shared" ref="J488:Y488" si="122">J383</f>
        <v>2271681.4299374898</v>
      </c>
      <c r="K488" s="354">
        <f t="shared" si="122"/>
        <v>0</v>
      </c>
      <c r="L488" s="354">
        <f t="shared" si="122"/>
        <v>34800.600214522688</v>
      </c>
      <c r="M488" s="354">
        <f t="shared" si="122"/>
        <v>0</v>
      </c>
      <c r="N488" s="354">
        <f t="shared" si="122"/>
        <v>121621.59144121558</v>
      </c>
      <c r="O488" s="354">
        <f t="shared" si="122"/>
        <v>60846.910142387082</v>
      </c>
      <c r="P488" s="354">
        <f t="shared" si="122"/>
        <v>146150.85147460975</v>
      </c>
      <c r="Q488" s="354">
        <f t="shared" si="122"/>
        <v>30030.873438694278</v>
      </c>
      <c r="R488" s="354">
        <f t="shared" si="122"/>
        <v>0</v>
      </c>
      <c r="S488" s="354">
        <f t="shared" si="122"/>
        <v>0</v>
      </c>
      <c r="T488" s="354">
        <f t="shared" si="122"/>
        <v>0</v>
      </c>
      <c r="U488" s="354">
        <f t="shared" si="122"/>
        <v>0</v>
      </c>
      <c r="V488" s="354">
        <f t="shared" si="122"/>
        <v>0</v>
      </c>
      <c r="W488" s="354">
        <f t="shared" si="122"/>
        <v>0</v>
      </c>
      <c r="X488" s="354">
        <f t="shared" si="122"/>
        <v>0</v>
      </c>
      <c r="Y488" s="354">
        <f t="shared" si="122"/>
        <v>0</v>
      </c>
      <c r="AQ488" s="3"/>
    </row>
    <row r="489" spans="5:43" x14ac:dyDescent="0.3">
      <c r="E489" s="342"/>
      <c r="F489" s="2" t="s">
        <v>984</v>
      </c>
      <c r="G489" t="s">
        <v>206</v>
      </c>
      <c r="J489" s="354">
        <f t="shared" ref="J489:Y489" si="123">J412</f>
        <v>0</v>
      </c>
      <c r="K489" s="354">
        <f t="shared" si="123"/>
        <v>0</v>
      </c>
      <c r="L489" s="354">
        <f t="shared" si="123"/>
        <v>152881.9419901706</v>
      </c>
      <c r="M489" s="354">
        <f t="shared" si="123"/>
        <v>0</v>
      </c>
      <c r="N489" s="354">
        <f t="shared" si="123"/>
        <v>278759.11093218956</v>
      </c>
      <c r="O489" s="354">
        <f t="shared" si="123"/>
        <v>139462.33044040427</v>
      </c>
      <c r="P489" s="354">
        <f t="shared" si="123"/>
        <v>386442.736355812</v>
      </c>
      <c r="Q489" s="354">
        <f t="shared" si="123"/>
        <v>0</v>
      </c>
      <c r="R489" s="354">
        <f t="shared" si="123"/>
        <v>0</v>
      </c>
      <c r="S489" s="354">
        <f t="shared" si="123"/>
        <v>0</v>
      </c>
      <c r="T489" s="354">
        <f t="shared" si="123"/>
        <v>0</v>
      </c>
      <c r="U489" s="354">
        <f t="shared" si="123"/>
        <v>0</v>
      </c>
      <c r="V489" s="354">
        <f t="shared" si="123"/>
        <v>0</v>
      </c>
      <c r="W489" s="354">
        <f t="shared" si="123"/>
        <v>0</v>
      </c>
      <c r="X489" s="354">
        <f t="shared" si="123"/>
        <v>0</v>
      </c>
      <c r="Y489" s="354">
        <f t="shared" si="123"/>
        <v>0</v>
      </c>
      <c r="AQ489" s="3"/>
    </row>
    <row r="490" spans="5:43" x14ac:dyDescent="0.3">
      <c r="E490" s="342"/>
      <c r="F490" s="2" t="s">
        <v>986</v>
      </c>
      <c r="G490" t="s">
        <v>206</v>
      </c>
      <c r="J490" s="101">
        <f t="shared" ref="J490:Y490" si="124">J441</f>
        <v>0</v>
      </c>
      <c r="K490" s="101">
        <f t="shared" si="124"/>
        <v>0</v>
      </c>
      <c r="L490" s="101">
        <f t="shared" si="124"/>
        <v>195192.20922016719</v>
      </c>
      <c r="M490" s="101">
        <f t="shared" si="124"/>
        <v>0</v>
      </c>
      <c r="N490" s="101">
        <f t="shared" si="124"/>
        <v>161073.13492777693</v>
      </c>
      <c r="O490" s="101">
        <f t="shared" si="124"/>
        <v>80584.396661510051</v>
      </c>
      <c r="P490" s="101">
        <f t="shared" si="124"/>
        <v>332281.028357993</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3">
      <c r="E491" s="342"/>
      <c r="F491" s="2" t="s">
        <v>985</v>
      </c>
      <c r="G491" t="s">
        <v>206</v>
      </c>
      <c r="J491" s="101">
        <f t="shared" ref="J491:Y491" si="125">J470</f>
        <v>0</v>
      </c>
      <c r="K491" s="101">
        <f t="shared" si="125"/>
        <v>0</v>
      </c>
      <c r="L491" s="101">
        <f t="shared" si="125"/>
        <v>582845.89974892209</v>
      </c>
      <c r="M491" s="101">
        <f t="shared" si="125"/>
        <v>0</v>
      </c>
      <c r="N491" s="101">
        <f t="shared" si="125"/>
        <v>355583.64574685891</v>
      </c>
      <c r="O491" s="101">
        <f t="shared" si="125"/>
        <v>177897.4101923269</v>
      </c>
      <c r="P491" s="101">
        <f t="shared" si="125"/>
        <v>630597.56253461028</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3">
      <c r="E492" s="72" t="s">
        <v>248</v>
      </c>
      <c r="F492" s="2"/>
      <c r="J492" s="26"/>
      <c r="K492" s="26"/>
      <c r="L492" s="26"/>
      <c r="M492" s="26"/>
      <c r="N492" s="26"/>
      <c r="O492" s="26"/>
      <c r="P492" s="26"/>
      <c r="Q492" s="26"/>
      <c r="R492" s="26"/>
      <c r="S492" s="26"/>
      <c r="T492" s="26"/>
      <c r="U492" s="26"/>
      <c r="V492" s="26"/>
      <c r="W492" s="26"/>
      <c r="X492" s="26"/>
      <c r="Y492" s="26"/>
      <c r="AQ492" s="3"/>
    </row>
    <row r="493" spans="5:43" x14ac:dyDescent="0.3">
      <c r="E493" s="342"/>
      <c r="F493" s="2" t="s">
        <v>982</v>
      </c>
      <c r="G493" t="s">
        <v>206</v>
      </c>
      <c r="J493" s="131">
        <f t="shared" ref="J493:Y493" si="126">J355</f>
        <v>0</v>
      </c>
      <c r="K493" s="131">
        <f t="shared" si="126"/>
        <v>4114.2867134426042</v>
      </c>
      <c r="L493" s="131">
        <f t="shared" si="126"/>
        <v>0.76270252774869396</v>
      </c>
      <c r="M493" s="131">
        <f t="shared" si="126"/>
        <v>14603.793923010659</v>
      </c>
      <c r="N493" s="131">
        <f t="shared" si="126"/>
        <v>29.447702238505478</v>
      </c>
      <c r="O493" s="131">
        <f t="shared" si="126"/>
        <v>97.54346399950731</v>
      </c>
      <c r="P493" s="131">
        <f t="shared" si="126"/>
        <v>275.57084393681538</v>
      </c>
      <c r="Q493" s="131">
        <f t="shared" si="126"/>
        <v>0</v>
      </c>
      <c r="R493" s="131">
        <f t="shared" si="126"/>
        <v>1012.2920957316472</v>
      </c>
      <c r="S493" s="131">
        <f t="shared" si="126"/>
        <v>0</v>
      </c>
      <c r="T493" s="131">
        <f t="shared" si="126"/>
        <v>17495.919646473743</v>
      </c>
      <c r="U493" s="131">
        <f t="shared" si="126"/>
        <v>0</v>
      </c>
      <c r="V493" s="131">
        <f t="shared" si="126"/>
        <v>2113.8817344775266</v>
      </c>
      <c r="W493" s="131">
        <f t="shared" si="126"/>
        <v>0</v>
      </c>
      <c r="X493" s="131">
        <f t="shared" si="126"/>
        <v>476929.11411067331</v>
      </c>
      <c r="Y493" s="131">
        <f t="shared" si="126"/>
        <v>0</v>
      </c>
      <c r="AQ493" s="3"/>
    </row>
    <row r="494" spans="5:43" x14ac:dyDescent="0.3">
      <c r="E494" s="342"/>
      <c r="F494" s="2" t="s">
        <v>983</v>
      </c>
      <c r="G494" t="s">
        <v>206</v>
      </c>
      <c r="J494" s="354">
        <f t="shared" ref="J494:Y494" si="127">J384</f>
        <v>4172962.6408672445</v>
      </c>
      <c r="K494" s="354">
        <f t="shared" si="127"/>
        <v>0</v>
      </c>
      <c r="L494" s="354">
        <f t="shared" si="127"/>
        <v>44394.681213202712</v>
      </c>
      <c r="M494" s="354">
        <f t="shared" si="127"/>
        <v>0</v>
      </c>
      <c r="N494" s="354">
        <f t="shared" si="127"/>
        <v>158393.92016057888</v>
      </c>
      <c r="O494" s="354">
        <f t="shared" si="127"/>
        <v>83907.721451929261</v>
      </c>
      <c r="P494" s="354">
        <f t="shared" si="127"/>
        <v>243384.20768101569</v>
      </c>
      <c r="Q494" s="354">
        <f t="shared" si="127"/>
        <v>155184.40570578561</v>
      </c>
      <c r="R494" s="354">
        <f t="shared" si="127"/>
        <v>0</v>
      </c>
      <c r="S494" s="354">
        <f t="shared" si="127"/>
        <v>0</v>
      </c>
      <c r="T494" s="354">
        <f t="shared" si="127"/>
        <v>0</v>
      </c>
      <c r="U494" s="354">
        <f t="shared" si="127"/>
        <v>0</v>
      </c>
      <c r="V494" s="354">
        <f t="shared" si="127"/>
        <v>0</v>
      </c>
      <c r="W494" s="354">
        <f t="shared" si="127"/>
        <v>0</v>
      </c>
      <c r="X494" s="354">
        <f t="shared" si="127"/>
        <v>0</v>
      </c>
      <c r="Y494" s="354">
        <f t="shared" si="127"/>
        <v>0</v>
      </c>
      <c r="AQ494" s="3"/>
    </row>
    <row r="495" spans="5:43" x14ac:dyDescent="0.3">
      <c r="E495" s="342"/>
      <c r="F495" s="2" t="s">
        <v>984</v>
      </c>
      <c r="G495" t="s">
        <v>206</v>
      </c>
      <c r="J495" s="354">
        <f t="shared" ref="J495:Y495" si="128">J413</f>
        <v>0</v>
      </c>
      <c r="K495" s="354">
        <f t="shared" si="128"/>
        <v>0</v>
      </c>
      <c r="L495" s="354">
        <f t="shared" si="128"/>
        <v>195029.54075707641</v>
      </c>
      <c r="M495" s="354">
        <f t="shared" si="128"/>
        <v>0</v>
      </c>
      <c r="N495" s="354">
        <f t="shared" si="128"/>
        <v>363042.02105732524</v>
      </c>
      <c r="O495" s="354">
        <f t="shared" si="128"/>
        <v>192318.16945588088</v>
      </c>
      <c r="P495" s="354">
        <f t="shared" si="128"/>
        <v>643540.95958436897</v>
      </c>
      <c r="Q495" s="354">
        <f t="shared" si="128"/>
        <v>0</v>
      </c>
      <c r="R495" s="354">
        <f t="shared" si="128"/>
        <v>0</v>
      </c>
      <c r="S495" s="354">
        <f t="shared" si="128"/>
        <v>0</v>
      </c>
      <c r="T495" s="354">
        <f t="shared" si="128"/>
        <v>0</v>
      </c>
      <c r="U495" s="354">
        <f t="shared" si="128"/>
        <v>0</v>
      </c>
      <c r="V495" s="354">
        <f t="shared" si="128"/>
        <v>0</v>
      </c>
      <c r="W495" s="354">
        <f t="shared" si="128"/>
        <v>0</v>
      </c>
      <c r="X495" s="354">
        <f t="shared" si="128"/>
        <v>0</v>
      </c>
      <c r="Y495" s="354">
        <f t="shared" si="128"/>
        <v>0</v>
      </c>
      <c r="AQ495" s="3"/>
    </row>
    <row r="496" spans="5:43" x14ac:dyDescent="0.3">
      <c r="E496" s="342"/>
      <c r="F496" s="2" t="s">
        <v>986</v>
      </c>
      <c r="G496" t="s">
        <v>206</v>
      </c>
      <c r="J496" s="101">
        <f t="shared" ref="J496:Y496" si="129">J442</f>
        <v>0</v>
      </c>
      <c r="K496" s="101">
        <f t="shared" si="129"/>
        <v>0</v>
      </c>
      <c r="L496" s="101">
        <f t="shared" si="129"/>
        <v>249004.20826689879</v>
      </c>
      <c r="M496" s="101">
        <f t="shared" si="129"/>
        <v>0</v>
      </c>
      <c r="N496" s="101">
        <f t="shared" si="129"/>
        <v>209773.65097295141</v>
      </c>
      <c r="O496" s="101">
        <f t="shared" si="129"/>
        <v>111125.66098464007</v>
      </c>
      <c r="P496" s="101">
        <f t="shared" si="129"/>
        <v>553345.76568233559</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3">
      <c r="E497" s="342"/>
      <c r="F497" s="2" t="s">
        <v>985</v>
      </c>
      <c r="G497" t="s">
        <v>206</v>
      </c>
      <c r="J497" s="101">
        <f t="shared" ref="J497:Y497" si="130">J471</f>
        <v>0</v>
      </c>
      <c r="K497" s="101">
        <f t="shared" si="130"/>
        <v>0</v>
      </c>
      <c r="L497" s="101">
        <f t="shared" si="130"/>
        <v>743529.07008131593</v>
      </c>
      <c r="M497" s="101">
        <f t="shared" si="130"/>
        <v>0</v>
      </c>
      <c r="N497" s="101">
        <f t="shared" si="130"/>
        <v>463094.47958554531</v>
      </c>
      <c r="O497" s="101">
        <f t="shared" si="130"/>
        <v>245320.03854438892</v>
      </c>
      <c r="P497" s="101">
        <f t="shared" si="130"/>
        <v>1050130.6463461071</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3">
      <c r="E498" s="72" t="s">
        <v>211</v>
      </c>
      <c r="F498" s="2"/>
      <c r="J498" s="26"/>
      <c r="K498" s="26"/>
      <c r="L498" s="26"/>
      <c r="M498" s="26"/>
      <c r="N498" s="26"/>
      <c r="O498" s="26"/>
      <c r="P498" s="26"/>
      <c r="Q498" s="26"/>
      <c r="R498" s="26"/>
      <c r="S498" s="26"/>
      <c r="T498" s="26"/>
      <c r="U498" s="26"/>
      <c r="V498" s="26"/>
      <c r="W498" s="26"/>
      <c r="X498" s="26"/>
      <c r="Y498" s="26"/>
      <c r="AQ498" s="3"/>
    </row>
    <row r="499" spans="5:43" x14ac:dyDescent="0.3">
      <c r="E499" s="342"/>
      <c r="F499" s="2" t="s">
        <v>982</v>
      </c>
      <c r="G499" t="s">
        <v>211</v>
      </c>
      <c r="J499" s="131">
        <f t="shared" ref="J499:Y499" si="131">J356</f>
        <v>0</v>
      </c>
      <c r="K499" s="131">
        <f t="shared" si="131"/>
        <v>1739.8559938586122</v>
      </c>
      <c r="L499" s="131">
        <f t="shared" si="131"/>
        <v>1</v>
      </c>
      <c r="M499" s="131">
        <f t="shared" si="131"/>
        <v>2930.0356035322934</v>
      </c>
      <c r="N499" s="131">
        <f t="shared" si="131"/>
        <v>1</v>
      </c>
      <c r="O499" s="131">
        <f t="shared" si="131"/>
        <v>1</v>
      </c>
      <c r="P499" s="131">
        <f t="shared" si="131"/>
        <v>1</v>
      </c>
      <c r="Q499" s="131">
        <f t="shared" si="131"/>
        <v>0</v>
      </c>
      <c r="R499" s="131">
        <f t="shared" si="131"/>
        <v>397.9095890410959</v>
      </c>
      <c r="S499" s="131">
        <f t="shared" si="131"/>
        <v>0</v>
      </c>
      <c r="T499" s="131">
        <f t="shared" si="131"/>
        <v>258.48493150684931</v>
      </c>
      <c r="U499" s="131">
        <f t="shared" si="131"/>
        <v>0</v>
      </c>
      <c r="V499" s="131">
        <f t="shared" si="131"/>
        <v>42</v>
      </c>
      <c r="W499" s="131">
        <f t="shared" si="131"/>
        <v>0</v>
      </c>
      <c r="X499" s="131">
        <f t="shared" si="131"/>
        <v>280</v>
      </c>
      <c r="Y499" s="131">
        <f t="shared" si="131"/>
        <v>0</v>
      </c>
      <c r="AQ499" s="3"/>
    </row>
    <row r="500" spans="5:43" x14ac:dyDescent="0.3">
      <c r="E500" s="342"/>
      <c r="F500" s="2" t="s">
        <v>983</v>
      </c>
      <c r="G500" t="s">
        <v>211</v>
      </c>
      <c r="J500" s="354">
        <f t="shared" ref="J500:Y500" si="132">J385</f>
        <v>2271054.3909128611</v>
      </c>
      <c r="K500" s="354">
        <f t="shared" si="132"/>
        <v>0</v>
      </c>
      <c r="L500" s="354">
        <f t="shared" si="132"/>
        <v>58331.051875219389</v>
      </c>
      <c r="M500" s="354">
        <f t="shared" si="132"/>
        <v>0</v>
      </c>
      <c r="N500" s="354">
        <f t="shared" si="132"/>
        <v>5332.9394649519545</v>
      </c>
      <c r="O500" s="354">
        <f t="shared" si="132"/>
        <v>857.75488438728496</v>
      </c>
      <c r="P500" s="354">
        <f t="shared" si="132"/>
        <v>883.84266954154384</v>
      </c>
      <c r="Q500" s="354">
        <f t="shared" si="132"/>
        <v>661.01324841238045</v>
      </c>
      <c r="R500" s="354">
        <f t="shared" si="132"/>
        <v>0</v>
      </c>
      <c r="S500" s="354">
        <f t="shared" si="132"/>
        <v>0</v>
      </c>
      <c r="T500" s="354">
        <f t="shared" si="132"/>
        <v>0</v>
      </c>
      <c r="U500" s="354">
        <f t="shared" si="132"/>
        <v>0</v>
      </c>
      <c r="V500" s="354">
        <f t="shared" si="132"/>
        <v>0</v>
      </c>
      <c r="W500" s="354">
        <f t="shared" si="132"/>
        <v>0</v>
      </c>
      <c r="X500" s="354">
        <f t="shared" si="132"/>
        <v>0</v>
      </c>
      <c r="Y500" s="354">
        <f t="shared" si="132"/>
        <v>0</v>
      </c>
      <c r="AQ500" s="3"/>
    </row>
    <row r="501" spans="5:43" x14ac:dyDescent="0.3">
      <c r="E501" s="342"/>
      <c r="F501" s="2" t="s">
        <v>984</v>
      </c>
      <c r="G501" t="s">
        <v>211</v>
      </c>
      <c r="J501" s="354">
        <f t="shared" ref="J501:Y501" si="133">J414</f>
        <v>0</v>
      </c>
      <c r="K501" s="354">
        <f t="shared" si="133"/>
        <v>0</v>
      </c>
      <c r="L501" s="354">
        <f t="shared" si="133"/>
        <v>51940.054428782634</v>
      </c>
      <c r="M501" s="354">
        <f t="shared" si="133"/>
        <v>0</v>
      </c>
      <c r="N501" s="354">
        <f t="shared" si="133"/>
        <v>4901.8617602311642</v>
      </c>
      <c r="O501" s="354">
        <f t="shared" si="133"/>
        <v>788.41995020984461</v>
      </c>
      <c r="P501" s="354">
        <f t="shared" si="133"/>
        <v>714.96197639115712</v>
      </c>
      <c r="Q501" s="354">
        <f t="shared" si="133"/>
        <v>0</v>
      </c>
      <c r="R501" s="354">
        <f t="shared" si="133"/>
        <v>0</v>
      </c>
      <c r="S501" s="354">
        <f t="shared" si="133"/>
        <v>0</v>
      </c>
      <c r="T501" s="354">
        <f t="shared" si="133"/>
        <v>0</v>
      </c>
      <c r="U501" s="354">
        <f t="shared" si="133"/>
        <v>0</v>
      </c>
      <c r="V501" s="354">
        <f t="shared" si="133"/>
        <v>0</v>
      </c>
      <c r="W501" s="354">
        <f t="shared" si="133"/>
        <v>0</v>
      </c>
      <c r="X501" s="354">
        <f t="shared" si="133"/>
        <v>0</v>
      </c>
      <c r="Y501" s="354">
        <f t="shared" si="133"/>
        <v>0</v>
      </c>
      <c r="AQ501" s="3"/>
    </row>
    <row r="502" spans="5:43" x14ac:dyDescent="0.3">
      <c r="E502" s="342"/>
      <c r="F502" s="2" t="s">
        <v>986</v>
      </c>
      <c r="G502" t="s">
        <v>211</v>
      </c>
      <c r="J502" s="101">
        <f t="shared" ref="J502:Y502" si="134">J443</f>
        <v>0</v>
      </c>
      <c r="K502" s="101">
        <f t="shared" si="134"/>
        <v>0</v>
      </c>
      <c r="L502" s="101">
        <f t="shared" si="134"/>
        <v>26765.733852839774</v>
      </c>
      <c r="M502" s="101">
        <f t="shared" si="134"/>
        <v>0</v>
      </c>
      <c r="N502" s="101">
        <f t="shared" si="134"/>
        <v>1736.5466489298194</v>
      </c>
      <c r="O502" s="101">
        <f t="shared" si="134"/>
        <v>279.30775885890233</v>
      </c>
      <c r="P502" s="101">
        <f t="shared" si="134"/>
        <v>293.26587433300654</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3">
      <c r="E503" s="342"/>
      <c r="F503" s="2" t="s">
        <v>985</v>
      </c>
      <c r="G503" t="s">
        <v>211</v>
      </c>
      <c r="J503" s="101">
        <f t="shared" ref="J503:Y503" si="135">J472</f>
        <v>0</v>
      </c>
      <c r="K503" s="101">
        <f t="shared" si="135"/>
        <v>0</v>
      </c>
      <c r="L503" s="101">
        <f t="shared" si="135"/>
        <v>25664.311127024586</v>
      </c>
      <c r="M503" s="101">
        <f t="shared" si="135"/>
        <v>0</v>
      </c>
      <c r="N503" s="101">
        <f t="shared" si="135"/>
        <v>1825.9623300400269</v>
      </c>
      <c r="O503" s="101">
        <f t="shared" si="135"/>
        <v>293.68945917955045</v>
      </c>
      <c r="P503" s="101">
        <f t="shared" si="135"/>
        <v>238.65774600892942</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3">
      <c r="E504" s="72" t="s">
        <v>249</v>
      </c>
      <c r="F504" s="2"/>
      <c r="J504" s="26"/>
      <c r="K504" s="26"/>
      <c r="L504" s="26"/>
      <c r="M504" s="26"/>
      <c r="N504" s="26"/>
      <c r="O504" s="26"/>
      <c r="P504" s="26"/>
      <c r="Q504" s="26"/>
      <c r="R504" s="26"/>
      <c r="S504" s="26"/>
      <c r="T504" s="26"/>
      <c r="U504" s="26"/>
      <c r="V504" s="26"/>
      <c r="W504" s="26"/>
      <c r="X504" s="26"/>
      <c r="Y504" s="26"/>
      <c r="AQ504" s="3"/>
    </row>
    <row r="505" spans="5:43" x14ac:dyDescent="0.3">
      <c r="E505" s="342"/>
      <c r="F505" s="2" t="s">
        <v>982</v>
      </c>
      <c r="G505" t="s">
        <v>250</v>
      </c>
      <c r="J505" s="131">
        <f t="shared" ref="J505:Y505" si="136">J357</f>
        <v>0</v>
      </c>
      <c r="K505" s="131">
        <f t="shared" si="136"/>
        <v>0</v>
      </c>
      <c r="L505" s="131">
        <f t="shared" si="136"/>
        <v>0</v>
      </c>
      <c r="M505" s="131">
        <f t="shared" si="136"/>
        <v>0</v>
      </c>
      <c r="N505" s="131">
        <f t="shared" si="136"/>
        <v>37.850155191376949</v>
      </c>
      <c r="O505" s="131">
        <f t="shared" si="136"/>
        <v>107.18588337781929</v>
      </c>
      <c r="P505" s="131">
        <f t="shared" si="136"/>
        <v>204.67557859586987</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3">
      <c r="E506" s="342"/>
      <c r="F506" s="2" t="s">
        <v>983</v>
      </c>
      <c r="G506" t="s">
        <v>250</v>
      </c>
      <c r="J506" s="354">
        <f t="shared" ref="J506:Y506" si="137">J386</f>
        <v>0</v>
      </c>
      <c r="K506" s="354">
        <f t="shared" si="137"/>
        <v>0</v>
      </c>
      <c r="L506" s="354">
        <f t="shared" si="137"/>
        <v>0</v>
      </c>
      <c r="M506" s="354">
        <f t="shared" si="137"/>
        <v>0</v>
      </c>
      <c r="N506" s="354">
        <f t="shared" si="137"/>
        <v>205771.26112290189</v>
      </c>
      <c r="O506" s="354">
        <f t="shared" si="137"/>
        <v>92461.138178747322</v>
      </c>
      <c r="P506" s="354">
        <f t="shared" si="137"/>
        <v>181576.73008988079</v>
      </c>
      <c r="Q506" s="354">
        <f t="shared" si="137"/>
        <v>0</v>
      </c>
      <c r="R506" s="354">
        <f t="shared" si="137"/>
        <v>0</v>
      </c>
      <c r="S506" s="354">
        <f t="shared" si="137"/>
        <v>0</v>
      </c>
      <c r="T506" s="354">
        <f t="shared" si="137"/>
        <v>0</v>
      </c>
      <c r="U506" s="354">
        <f t="shared" si="137"/>
        <v>0</v>
      </c>
      <c r="V506" s="354">
        <f t="shared" si="137"/>
        <v>0</v>
      </c>
      <c r="W506" s="354">
        <f t="shared" si="137"/>
        <v>0</v>
      </c>
      <c r="X506" s="354">
        <f t="shared" si="137"/>
        <v>0</v>
      </c>
      <c r="Y506" s="354">
        <f t="shared" si="137"/>
        <v>0</v>
      </c>
      <c r="AQ506" s="3"/>
    </row>
    <row r="507" spans="5:43" x14ac:dyDescent="0.3">
      <c r="E507" s="342"/>
      <c r="F507" s="2" t="s">
        <v>984</v>
      </c>
      <c r="G507" t="s">
        <v>250</v>
      </c>
      <c r="J507" s="354">
        <f t="shared" ref="J507:Y507" si="138">J415</f>
        <v>0</v>
      </c>
      <c r="K507" s="354">
        <f t="shared" si="138"/>
        <v>0</v>
      </c>
      <c r="L507" s="354">
        <f t="shared" si="138"/>
        <v>0</v>
      </c>
      <c r="M507" s="354">
        <f t="shared" si="138"/>
        <v>0</v>
      </c>
      <c r="N507" s="354">
        <f t="shared" si="138"/>
        <v>471631.83055156923</v>
      </c>
      <c r="O507" s="354">
        <f t="shared" si="138"/>
        <v>211922.77102329888</v>
      </c>
      <c r="P507" s="354">
        <f t="shared" si="138"/>
        <v>480113.57940439001</v>
      </c>
      <c r="Q507" s="354">
        <f t="shared" si="138"/>
        <v>0</v>
      </c>
      <c r="R507" s="354">
        <f t="shared" si="138"/>
        <v>0</v>
      </c>
      <c r="S507" s="354">
        <f t="shared" si="138"/>
        <v>0</v>
      </c>
      <c r="T507" s="354">
        <f t="shared" si="138"/>
        <v>0</v>
      </c>
      <c r="U507" s="354">
        <f t="shared" si="138"/>
        <v>0</v>
      </c>
      <c r="V507" s="354">
        <f t="shared" si="138"/>
        <v>0</v>
      </c>
      <c r="W507" s="354">
        <f t="shared" si="138"/>
        <v>0</v>
      </c>
      <c r="X507" s="354">
        <f t="shared" si="138"/>
        <v>0</v>
      </c>
      <c r="Y507" s="354">
        <f t="shared" si="138"/>
        <v>0</v>
      </c>
      <c r="AQ507" s="3"/>
    </row>
    <row r="508" spans="5:43" x14ac:dyDescent="0.3">
      <c r="E508" s="342"/>
      <c r="F508" s="2" t="s">
        <v>986</v>
      </c>
      <c r="G508" t="s">
        <v>250</v>
      </c>
      <c r="J508" s="101">
        <f t="shared" ref="J508:Y508" si="139">J444</f>
        <v>0</v>
      </c>
      <c r="K508" s="101">
        <f t="shared" si="139"/>
        <v>0</v>
      </c>
      <c r="L508" s="101">
        <f t="shared" si="139"/>
        <v>0</v>
      </c>
      <c r="M508" s="101">
        <f t="shared" si="139"/>
        <v>0</v>
      </c>
      <c r="N508" s="101">
        <f t="shared" si="139"/>
        <v>272519.22717298009</v>
      </c>
      <c r="O508" s="101">
        <f t="shared" si="139"/>
        <v>122453.63022271881</v>
      </c>
      <c r="P508" s="101">
        <f t="shared" si="139"/>
        <v>412823.47650659439</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3">
      <c r="E509" s="342"/>
      <c r="F509" s="2" t="s">
        <v>985</v>
      </c>
      <c r="G509" t="s">
        <v>250</v>
      </c>
      <c r="J509" s="101">
        <f>J473</f>
        <v>0</v>
      </c>
      <c r="K509" s="101">
        <f t="shared" ref="K509:Y509" si="140">K473</f>
        <v>0</v>
      </c>
      <c r="L509" s="101">
        <f t="shared" si="140"/>
        <v>0</v>
      </c>
      <c r="M509" s="101">
        <f t="shared" si="140"/>
        <v>0</v>
      </c>
      <c r="N509" s="101">
        <f t="shared" si="140"/>
        <v>601611.06554320757</v>
      </c>
      <c r="O509" s="101">
        <f t="shared" si="140"/>
        <v>270327.56448836724</v>
      </c>
      <c r="P509" s="101">
        <f t="shared" si="140"/>
        <v>783449.71823565208</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3">
      <c r="E510" s="72" t="s">
        <v>251</v>
      </c>
      <c r="F510" s="2"/>
      <c r="J510" s="26"/>
      <c r="K510" s="26"/>
      <c r="L510" s="26"/>
      <c r="M510" s="26"/>
      <c r="N510" s="26"/>
      <c r="O510" s="26"/>
      <c r="P510" s="26"/>
      <c r="Q510" s="26"/>
      <c r="R510" s="26"/>
      <c r="S510" s="26"/>
      <c r="T510" s="26"/>
      <c r="U510" s="26"/>
      <c r="V510" s="26"/>
      <c r="W510" s="26"/>
      <c r="X510" s="26"/>
      <c r="Y510" s="26"/>
      <c r="AQ510" s="3"/>
    </row>
    <row r="511" spans="5:43" x14ac:dyDescent="0.3">
      <c r="E511" s="342"/>
      <c r="F511" s="2" t="s">
        <v>982</v>
      </c>
      <c r="G511" t="s">
        <v>250</v>
      </c>
      <c r="J511" s="131">
        <f t="shared" ref="J511:Y511" si="141">J358</f>
        <v>0</v>
      </c>
      <c r="K511" s="131">
        <f t="shared" si="141"/>
        <v>0</v>
      </c>
      <c r="L511" s="131">
        <f t="shared" si="141"/>
        <v>0</v>
      </c>
      <c r="M511" s="131">
        <f t="shared" si="141"/>
        <v>0</v>
      </c>
      <c r="N511" s="131">
        <f t="shared" si="141"/>
        <v>0.80898981879554421</v>
      </c>
      <c r="O511" s="131">
        <f t="shared" si="141"/>
        <v>0.99296401579984772</v>
      </c>
      <c r="P511" s="131">
        <f t="shared" si="141"/>
        <v>1.810298734092207</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3">
      <c r="E512" s="342"/>
      <c r="F512" s="2" t="s">
        <v>983</v>
      </c>
      <c r="G512" t="s">
        <v>250</v>
      </c>
      <c r="J512" s="354">
        <f t="shared" ref="J512:Y512" si="142">J387</f>
        <v>0</v>
      </c>
      <c r="K512" s="354">
        <f t="shared" si="142"/>
        <v>0</v>
      </c>
      <c r="L512" s="354">
        <f t="shared" si="142"/>
        <v>0</v>
      </c>
      <c r="M512" s="354">
        <f t="shared" si="142"/>
        <v>0</v>
      </c>
      <c r="N512" s="354">
        <f t="shared" si="142"/>
        <v>4238.706727806526</v>
      </c>
      <c r="O512" s="354">
        <f t="shared" si="142"/>
        <v>845.64808256768254</v>
      </c>
      <c r="P512" s="354">
        <f t="shared" si="142"/>
        <v>1592.4073899499301</v>
      </c>
      <c r="Q512" s="354">
        <f t="shared" si="142"/>
        <v>0</v>
      </c>
      <c r="R512" s="354">
        <f t="shared" si="142"/>
        <v>0</v>
      </c>
      <c r="S512" s="354">
        <f t="shared" si="142"/>
        <v>0</v>
      </c>
      <c r="T512" s="354">
        <f t="shared" si="142"/>
        <v>0</v>
      </c>
      <c r="U512" s="354">
        <f t="shared" si="142"/>
        <v>0</v>
      </c>
      <c r="V512" s="354">
        <f t="shared" si="142"/>
        <v>0</v>
      </c>
      <c r="W512" s="354">
        <f t="shared" si="142"/>
        <v>0</v>
      </c>
      <c r="X512" s="354">
        <f t="shared" si="142"/>
        <v>0</v>
      </c>
      <c r="Y512" s="354">
        <f t="shared" si="142"/>
        <v>0</v>
      </c>
      <c r="AQ512" s="3"/>
    </row>
    <row r="513" spans="3:43" x14ac:dyDescent="0.3">
      <c r="E513" s="342"/>
      <c r="F513" s="2" t="s">
        <v>984</v>
      </c>
      <c r="G513" t="s">
        <v>250</v>
      </c>
      <c r="J513" s="354">
        <f t="shared" ref="J513:Y513" si="143">J416</f>
        <v>0</v>
      </c>
      <c r="K513" s="354">
        <f t="shared" si="143"/>
        <v>0</v>
      </c>
      <c r="L513" s="354">
        <f t="shared" si="143"/>
        <v>0</v>
      </c>
      <c r="M513" s="354">
        <f t="shared" si="143"/>
        <v>0</v>
      </c>
      <c r="N513" s="354">
        <f t="shared" si="143"/>
        <v>9715.200277713353</v>
      </c>
      <c r="O513" s="354">
        <f t="shared" si="143"/>
        <v>1938.2422550523561</v>
      </c>
      <c r="P513" s="354">
        <f t="shared" si="143"/>
        <v>4210.5417994938898</v>
      </c>
      <c r="Q513" s="354">
        <f t="shared" si="143"/>
        <v>0</v>
      </c>
      <c r="R513" s="354">
        <f t="shared" si="143"/>
        <v>0</v>
      </c>
      <c r="S513" s="354">
        <f t="shared" si="143"/>
        <v>0</v>
      </c>
      <c r="T513" s="354">
        <f t="shared" si="143"/>
        <v>0</v>
      </c>
      <c r="U513" s="354">
        <f t="shared" si="143"/>
        <v>0</v>
      </c>
      <c r="V513" s="354">
        <f t="shared" si="143"/>
        <v>0</v>
      </c>
      <c r="W513" s="354">
        <f t="shared" si="143"/>
        <v>0</v>
      </c>
      <c r="X513" s="354">
        <f t="shared" si="143"/>
        <v>0</v>
      </c>
      <c r="Y513" s="354">
        <f t="shared" si="143"/>
        <v>0</v>
      </c>
      <c r="AQ513" s="3"/>
    </row>
    <row r="514" spans="3:43" x14ac:dyDescent="0.3">
      <c r="E514" s="342"/>
      <c r="F514" s="2" t="s">
        <v>986</v>
      </c>
      <c r="G514" t="s">
        <v>250</v>
      </c>
      <c r="J514" s="101">
        <f t="shared" ref="J514:Y514" si="144">J445</f>
        <v>0</v>
      </c>
      <c r="K514" s="101">
        <f t="shared" si="144"/>
        <v>0</v>
      </c>
      <c r="L514" s="101">
        <f t="shared" si="144"/>
        <v>0</v>
      </c>
      <c r="M514" s="101">
        <f t="shared" si="144"/>
        <v>0</v>
      </c>
      <c r="N514" s="101">
        <f t="shared" si="144"/>
        <v>5613.6560342351049</v>
      </c>
      <c r="O514" s="101">
        <f t="shared" si="144"/>
        <v>1119.9589323798341</v>
      </c>
      <c r="P514" s="101">
        <f t="shared" si="144"/>
        <v>3620.4152063346251</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3">
      <c r="E515" s="342"/>
      <c r="F515" s="2" t="s">
        <v>985</v>
      </c>
      <c r="G515" t="s">
        <v>250</v>
      </c>
      <c r="J515" s="101">
        <f t="shared" ref="J515:Y515" si="145">J474</f>
        <v>0</v>
      </c>
      <c r="K515" s="101">
        <f t="shared" si="145"/>
        <v>0</v>
      </c>
      <c r="L515" s="101">
        <f t="shared" si="145"/>
        <v>0</v>
      </c>
      <c r="M515" s="101">
        <f t="shared" si="145"/>
        <v>0</v>
      </c>
      <c r="N515" s="101">
        <f t="shared" si="145"/>
        <v>12392.658027778547</v>
      </c>
      <c r="O515" s="101">
        <f t="shared" si="145"/>
        <v>2472.4115566568344</v>
      </c>
      <c r="P515" s="101">
        <f t="shared" si="145"/>
        <v>6870.7654353897278</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3">
      <c r="E516" s="342" t="s">
        <v>252</v>
      </c>
      <c r="F516" s="343"/>
      <c r="J516" s="26"/>
      <c r="K516" s="26"/>
      <c r="L516" s="26"/>
      <c r="M516" s="26"/>
      <c r="N516" s="26"/>
      <c r="O516" s="26"/>
      <c r="P516" s="26"/>
      <c r="Q516" s="26"/>
      <c r="R516" s="26"/>
      <c r="S516" s="26"/>
      <c r="T516" s="26"/>
      <c r="U516" s="26"/>
      <c r="V516" s="26"/>
      <c r="W516" s="26"/>
      <c r="X516" s="26"/>
      <c r="Y516" s="26"/>
      <c r="AQ516" s="3"/>
    </row>
    <row r="517" spans="3:43" x14ac:dyDescent="0.3">
      <c r="E517" s="342"/>
      <c r="F517" s="343" t="s">
        <v>982</v>
      </c>
      <c r="G517" t="s">
        <v>253</v>
      </c>
      <c r="J517" s="131">
        <f t="shared" ref="J517:Y517" si="146">J359</f>
        <v>0</v>
      </c>
      <c r="K517" s="131">
        <f t="shared" si="146"/>
        <v>0</v>
      </c>
      <c r="L517" s="131">
        <f t="shared" si="146"/>
        <v>0</v>
      </c>
      <c r="M517" s="131">
        <f t="shared" si="146"/>
        <v>0</v>
      </c>
      <c r="N517" s="131">
        <f t="shared" si="146"/>
        <v>4.7489974887219137</v>
      </c>
      <c r="O517" s="131">
        <f t="shared" si="146"/>
        <v>14.167994601186939</v>
      </c>
      <c r="P517" s="131">
        <f t="shared" si="146"/>
        <v>37.447582959517128</v>
      </c>
      <c r="Q517" s="131">
        <f t="shared" si="146"/>
        <v>0</v>
      </c>
      <c r="R517" s="131">
        <f t="shared" si="146"/>
        <v>0</v>
      </c>
      <c r="S517" s="131">
        <f t="shared" si="146"/>
        <v>0</v>
      </c>
      <c r="T517" s="131">
        <f t="shared" si="146"/>
        <v>2939.5815003992957</v>
      </c>
      <c r="U517" s="131">
        <f t="shared" si="146"/>
        <v>0</v>
      </c>
      <c r="V517" s="131">
        <f t="shared" si="146"/>
        <v>658.09713031219098</v>
      </c>
      <c r="W517" s="131">
        <f t="shared" si="146"/>
        <v>0</v>
      </c>
      <c r="X517" s="131">
        <f t="shared" si="146"/>
        <v>12290.739308282646</v>
      </c>
      <c r="Y517" s="131">
        <f t="shared" si="146"/>
        <v>0</v>
      </c>
      <c r="AQ517" s="3"/>
    </row>
    <row r="518" spans="3:43" x14ac:dyDescent="0.3">
      <c r="E518" s="342"/>
      <c r="F518" s="343" t="s">
        <v>983</v>
      </c>
      <c r="G518" t="s">
        <v>253</v>
      </c>
      <c r="J518" s="354">
        <f t="shared" ref="J518:Y518" si="147">J388</f>
        <v>0</v>
      </c>
      <c r="K518" s="354">
        <f t="shared" si="147"/>
        <v>0</v>
      </c>
      <c r="L518" s="354">
        <f t="shared" si="147"/>
        <v>0</v>
      </c>
      <c r="M518" s="354">
        <f t="shared" si="147"/>
        <v>0</v>
      </c>
      <c r="N518" s="354">
        <f t="shared" si="147"/>
        <v>25316.890674305672</v>
      </c>
      <c r="O518" s="354">
        <f t="shared" si="147"/>
        <v>12185.058994656049</v>
      </c>
      <c r="P518" s="354">
        <f t="shared" si="147"/>
        <v>33092.351626422977</v>
      </c>
      <c r="Q518" s="354">
        <f t="shared" si="147"/>
        <v>0</v>
      </c>
      <c r="R518" s="354">
        <f t="shared" si="147"/>
        <v>0</v>
      </c>
      <c r="S518" s="354">
        <f t="shared" si="147"/>
        <v>0</v>
      </c>
      <c r="T518" s="354">
        <f t="shared" si="147"/>
        <v>0</v>
      </c>
      <c r="U518" s="354">
        <f t="shared" si="147"/>
        <v>0</v>
      </c>
      <c r="V518" s="354">
        <f t="shared" si="147"/>
        <v>0</v>
      </c>
      <c r="W518" s="354">
        <f t="shared" si="147"/>
        <v>0</v>
      </c>
      <c r="X518" s="354">
        <f t="shared" si="147"/>
        <v>0</v>
      </c>
      <c r="Y518" s="354">
        <f t="shared" si="147"/>
        <v>0</v>
      </c>
      <c r="AQ518" s="3"/>
    </row>
    <row r="519" spans="3:43" x14ac:dyDescent="0.3">
      <c r="E519" s="342"/>
      <c r="F519" s="343" t="s">
        <v>984</v>
      </c>
      <c r="G519" t="s">
        <v>253</v>
      </c>
      <c r="J519" s="354">
        <f t="shared" ref="J519:Y519" si="148">J417</f>
        <v>0</v>
      </c>
      <c r="K519" s="354">
        <f t="shared" si="148"/>
        <v>0</v>
      </c>
      <c r="L519" s="354">
        <f t="shared" si="148"/>
        <v>0</v>
      </c>
      <c r="M519" s="354">
        <f t="shared" si="148"/>
        <v>0</v>
      </c>
      <c r="N519" s="354">
        <f t="shared" si="148"/>
        <v>58026.817872614047</v>
      </c>
      <c r="O519" s="354">
        <f t="shared" si="148"/>
        <v>27928.39800693082</v>
      </c>
      <c r="P519" s="354">
        <f t="shared" si="148"/>
        <v>87500.680194020388</v>
      </c>
      <c r="Q519" s="354">
        <f t="shared" si="148"/>
        <v>0</v>
      </c>
      <c r="R519" s="354">
        <f t="shared" si="148"/>
        <v>0</v>
      </c>
      <c r="S519" s="354">
        <f t="shared" si="148"/>
        <v>0</v>
      </c>
      <c r="T519" s="354">
        <f t="shared" si="148"/>
        <v>0</v>
      </c>
      <c r="U519" s="354">
        <f t="shared" si="148"/>
        <v>0</v>
      </c>
      <c r="V519" s="354">
        <f t="shared" si="148"/>
        <v>0</v>
      </c>
      <c r="W519" s="354">
        <f t="shared" si="148"/>
        <v>0</v>
      </c>
      <c r="X519" s="354">
        <f t="shared" si="148"/>
        <v>0</v>
      </c>
      <c r="Y519" s="354">
        <f t="shared" si="148"/>
        <v>0</v>
      </c>
      <c r="AQ519" s="3"/>
    </row>
    <row r="520" spans="3:43" x14ac:dyDescent="0.3">
      <c r="E520" s="342"/>
      <c r="F520" s="343" t="s">
        <v>986</v>
      </c>
      <c r="G520" t="s">
        <v>253</v>
      </c>
      <c r="J520" s="101">
        <f t="shared" ref="J520:Y520" si="149">J446</f>
        <v>0</v>
      </c>
      <c r="K520" s="101">
        <f t="shared" si="149"/>
        <v>0</v>
      </c>
      <c r="L520" s="101">
        <f t="shared" si="149"/>
        <v>0</v>
      </c>
      <c r="M520" s="101">
        <f t="shared" si="149"/>
        <v>0</v>
      </c>
      <c r="N520" s="101">
        <f t="shared" si="149"/>
        <v>33529.169444433785</v>
      </c>
      <c r="O520" s="101">
        <f t="shared" si="149"/>
        <v>16137.64158396001</v>
      </c>
      <c r="P520" s="101">
        <f t="shared" si="149"/>
        <v>75237.061695274606</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3">
      <c r="E521" s="80"/>
      <c r="F521" s="344" t="s">
        <v>985</v>
      </c>
      <c r="G521" s="37" t="s">
        <v>253</v>
      </c>
      <c r="H521" s="37"/>
      <c r="I521" s="37"/>
      <c r="J521" s="354">
        <f t="shared" ref="J521:Y521" si="150">J475</f>
        <v>0</v>
      </c>
      <c r="K521" s="354">
        <f t="shared" si="150"/>
        <v>0</v>
      </c>
      <c r="L521" s="354">
        <f t="shared" si="150"/>
        <v>0</v>
      </c>
      <c r="M521" s="354">
        <f t="shared" si="150"/>
        <v>0</v>
      </c>
      <c r="N521" s="354">
        <f t="shared" si="150"/>
        <v>74018.701599505148</v>
      </c>
      <c r="O521" s="354">
        <f t="shared" si="150"/>
        <v>35625.316603874293</v>
      </c>
      <c r="P521" s="354">
        <f t="shared" si="150"/>
        <v>142783.67907959732</v>
      </c>
      <c r="Q521" s="354">
        <f t="shared" si="150"/>
        <v>0</v>
      </c>
      <c r="R521" s="354">
        <f t="shared" si="150"/>
        <v>0</v>
      </c>
      <c r="S521" s="354">
        <f t="shared" si="150"/>
        <v>0</v>
      </c>
      <c r="T521" s="354">
        <f t="shared" si="150"/>
        <v>0</v>
      </c>
      <c r="U521" s="354">
        <f t="shared" si="150"/>
        <v>0</v>
      </c>
      <c r="V521" s="354">
        <f t="shared" si="150"/>
        <v>0</v>
      </c>
      <c r="W521" s="354">
        <f t="shared" si="150"/>
        <v>0</v>
      </c>
      <c r="X521" s="354">
        <f t="shared" si="150"/>
        <v>0</v>
      </c>
      <c r="Y521" s="354">
        <f t="shared" si="150"/>
        <v>0</v>
      </c>
      <c r="AQ521" s="3"/>
    </row>
    <row r="522" spans="3:43" x14ac:dyDescent="0.3">
      <c r="AQ522" s="3"/>
    </row>
    <row r="523" spans="3:43" x14ac:dyDescent="0.3">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3">
      <c r="C524" s="32"/>
      <c r="AQ524" s="3"/>
    </row>
    <row r="525" spans="3:43" x14ac:dyDescent="0.3">
      <c r="D525" s="32" t="s">
        <v>1134</v>
      </c>
      <c r="AQ525" s="3"/>
    </row>
    <row r="526" spans="3:43" x14ac:dyDescent="0.3">
      <c r="E526" s="78" t="s">
        <v>246</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3">
      <c r="E527" s="342"/>
      <c r="F527" s="2" t="s">
        <v>982</v>
      </c>
      <c r="G527" t="s">
        <v>206</v>
      </c>
      <c r="J527" s="131">
        <f>J58</f>
        <v>0</v>
      </c>
      <c r="K527" s="131">
        <f t="shared" ref="K527:Y527" si="151">K58</f>
        <v>18.350451934590168</v>
      </c>
      <c r="L527" s="131">
        <f t="shared" si="151"/>
        <v>0.1664543847844776</v>
      </c>
      <c r="M527" s="131">
        <f t="shared" si="151"/>
        <v>30.968009054504083</v>
      </c>
      <c r="N527" s="131">
        <f t="shared" si="151"/>
        <v>6.286703172921615</v>
      </c>
      <c r="O527" s="131">
        <f t="shared" si="151"/>
        <v>19.278476192852601</v>
      </c>
      <c r="P527" s="131">
        <f t="shared" si="151"/>
        <v>48.779728202076853</v>
      </c>
      <c r="Q527" s="131">
        <f t="shared" si="151"/>
        <v>0</v>
      </c>
      <c r="R527" s="131">
        <f t="shared" si="151"/>
        <v>162.86490240768723</v>
      </c>
      <c r="S527" s="131">
        <f t="shared" si="151"/>
        <v>0</v>
      </c>
      <c r="T527" s="131">
        <f t="shared" si="151"/>
        <v>2814.8705870277408</v>
      </c>
      <c r="U527" s="131">
        <f t="shared" si="151"/>
        <v>0</v>
      </c>
      <c r="V527" s="131">
        <f t="shared" si="151"/>
        <v>359.61906314590294</v>
      </c>
      <c r="W527" s="131">
        <f t="shared" si="151"/>
        <v>0</v>
      </c>
      <c r="X527" s="131">
        <f t="shared" si="151"/>
        <v>134754.49574344291</v>
      </c>
      <c r="Y527" s="131">
        <f t="shared" si="151"/>
        <v>0</v>
      </c>
      <c r="AQ527" s="3"/>
    </row>
    <row r="528" spans="3:43" x14ac:dyDescent="0.3">
      <c r="E528" s="342"/>
      <c r="F528" s="2" t="s">
        <v>983</v>
      </c>
      <c r="G528" t="s">
        <v>206</v>
      </c>
      <c r="J528" s="354">
        <f>J67</f>
        <v>880894.32826876955</v>
      </c>
      <c r="K528" s="354">
        <f t="shared" ref="K528:Y528" si="152">K67</f>
        <v>0</v>
      </c>
      <c r="L528" s="354">
        <f t="shared" si="152"/>
        <v>9645.2292974652064</v>
      </c>
      <c r="M528" s="354">
        <f t="shared" si="152"/>
        <v>0</v>
      </c>
      <c r="N528" s="354">
        <f t="shared" si="152"/>
        <v>32807.614136778771</v>
      </c>
      <c r="O528" s="354">
        <f t="shared" si="152"/>
        <v>16390.594029326767</v>
      </c>
      <c r="P528" s="354">
        <f t="shared" si="152"/>
        <v>42767.227724782686</v>
      </c>
      <c r="Q528" s="354">
        <f t="shared" si="152"/>
        <v>9039.9057209388866</v>
      </c>
      <c r="R528" s="354">
        <f t="shared" si="152"/>
        <v>0</v>
      </c>
      <c r="S528" s="354">
        <f t="shared" si="152"/>
        <v>0</v>
      </c>
      <c r="T528" s="354">
        <f t="shared" si="152"/>
        <v>0</v>
      </c>
      <c r="U528" s="354">
        <f t="shared" si="152"/>
        <v>0</v>
      </c>
      <c r="V528" s="354">
        <f t="shared" si="152"/>
        <v>0</v>
      </c>
      <c r="W528" s="354">
        <f t="shared" si="152"/>
        <v>0</v>
      </c>
      <c r="X528" s="354">
        <f t="shared" si="152"/>
        <v>0</v>
      </c>
      <c r="Y528" s="354">
        <f t="shared" si="152"/>
        <v>0</v>
      </c>
      <c r="AQ528" s="3"/>
    </row>
    <row r="529" spans="5:43" x14ac:dyDescent="0.3">
      <c r="E529" s="342"/>
      <c r="F529" s="2" t="s">
        <v>984</v>
      </c>
      <c r="G529" t="s">
        <v>206</v>
      </c>
      <c r="J529" s="354">
        <f>J76</f>
        <v>0</v>
      </c>
      <c r="K529" s="354">
        <f t="shared" ref="K529:Y529" si="153">K76</f>
        <v>0</v>
      </c>
      <c r="L529" s="354">
        <f t="shared" si="153"/>
        <v>42372.297513466743</v>
      </c>
      <c r="M529" s="354">
        <f t="shared" si="153"/>
        <v>0</v>
      </c>
      <c r="N529" s="354">
        <f t="shared" si="153"/>
        <v>75195.705303651775</v>
      </c>
      <c r="O529" s="354">
        <f t="shared" si="153"/>
        <v>37567.568103020363</v>
      </c>
      <c r="P529" s="354">
        <f t="shared" si="153"/>
        <v>113082.36894663839</v>
      </c>
      <c r="Q529" s="354">
        <f t="shared" si="153"/>
        <v>0</v>
      </c>
      <c r="R529" s="354">
        <f t="shared" si="153"/>
        <v>0</v>
      </c>
      <c r="S529" s="354">
        <f t="shared" si="153"/>
        <v>0</v>
      </c>
      <c r="T529" s="354">
        <f t="shared" si="153"/>
        <v>0</v>
      </c>
      <c r="U529" s="354">
        <f t="shared" si="153"/>
        <v>0</v>
      </c>
      <c r="V529" s="354">
        <f t="shared" si="153"/>
        <v>0</v>
      </c>
      <c r="W529" s="354">
        <f t="shared" si="153"/>
        <v>0</v>
      </c>
      <c r="X529" s="354">
        <f t="shared" si="153"/>
        <v>0</v>
      </c>
      <c r="Y529" s="354">
        <f t="shared" si="153"/>
        <v>0</v>
      </c>
      <c r="AQ529" s="3"/>
    </row>
    <row r="530" spans="5:43" x14ac:dyDescent="0.3">
      <c r="E530" s="342"/>
      <c r="F530" s="2" t="s">
        <v>986</v>
      </c>
      <c r="G530" t="s">
        <v>206</v>
      </c>
      <c r="J530" s="101">
        <f>J85</f>
        <v>0</v>
      </c>
      <c r="K530" s="101">
        <f t="shared" ref="K530:Y530" si="154">K85</f>
        <v>0</v>
      </c>
      <c r="L530" s="101">
        <f t="shared" si="154"/>
        <v>54098.883450339279</v>
      </c>
      <c r="M530" s="101">
        <f t="shared" si="154"/>
        <v>0</v>
      </c>
      <c r="N530" s="101">
        <f t="shared" si="154"/>
        <v>43449.729574258825</v>
      </c>
      <c r="O530" s="101">
        <f t="shared" si="154"/>
        <v>21707.36570988072</v>
      </c>
      <c r="P530" s="101">
        <f t="shared" si="154"/>
        <v>97233.360360408435</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3">
      <c r="E531" s="342"/>
      <c r="F531" s="2" t="s">
        <v>985</v>
      </c>
      <c r="G531" t="s">
        <v>206</v>
      </c>
      <c r="J531" s="101">
        <f>J94</f>
        <v>0</v>
      </c>
      <c r="K531" s="101">
        <f t="shared" ref="K531:Y531" si="155">K94</f>
        <v>0</v>
      </c>
      <c r="L531" s="101">
        <f t="shared" si="155"/>
        <v>161539.81004671808</v>
      </c>
      <c r="M531" s="101">
        <f t="shared" si="155"/>
        <v>0</v>
      </c>
      <c r="N531" s="101">
        <f t="shared" si="155"/>
        <v>95919.243489348184</v>
      </c>
      <c r="O531" s="101">
        <f t="shared" si="155"/>
        <v>47920.990934588437</v>
      </c>
      <c r="P531" s="101">
        <f t="shared" si="155"/>
        <v>184527.89899958792</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3">
      <c r="E532" s="72" t="s">
        <v>247</v>
      </c>
      <c r="F532" s="2"/>
      <c r="J532" s="26"/>
      <c r="K532" s="26"/>
      <c r="L532" s="26"/>
      <c r="M532" s="26"/>
      <c r="N532" s="26"/>
      <c r="O532" s="26"/>
      <c r="P532" s="26"/>
      <c r="Q532" s="26"/>
      <c r="R532" s="26"/>
      <c r="S532" s="26"/>
      <c r="T532" s="26"/>
      <c r="U532" s="26"/>
      <c r="V532" s="26"/>
      <c r="W532" s="26"/>
      <c r="X532" s="26"/>
      <c r="Y532" s="26"/>
      <c r="AQ532" s="3"/>
    </row>
    <row r="533" spans="5:43" x14ac:dyDescent="0.3">
      <c r="E533" s="342"/>
      <c r="F533" s="2" t="s">
        <v>982</v>
      </c>
      <c r="G533" t="s">
        <v>206</v>
      </c>
      <c r="J533" s="131">
        <f>J59</f>
        <v>0</v>
      </c>
      <c r="K533" s="131">
        <f t="shared" ref="K533:Y533" si="156">K59</f>
        <v>442.08512771373279</v>
      </c>
      <c r="L533" s="131">
        <f t="shared" si="156"/>
        <v>0.59787580461090495</v>
      </c>
      <c r="M533" s="131">
        <f t="shared" si="156"/>
        <v>924.22425525108804</v>
      </c>
      <c r="N533" s="131">
        <f t="shared" si="156"/>
        <v>22.675065430603073</v>
      </c>
      <c r="O533" s="131">
        <f t="shared" si="156"/>
        <v>70.918314424861464</v>
      </c>
      <c r="P533" s="131">
        <f t="shared" si="156"/>
        <v>165.60985233193685</v>
      </c>
      <c r="Q533" s="131">
        <f t="shared" si="156"/>
        <v>0</v>
      </c>
      <c r="R533" s="131">
        <f t="shared" si="156"/>
        <v>602.4003628152069</v>
      </c>
      <c r="S533" s="131">
        <f t="shared" si="156"/>
        <v>0</v>
      </c>
      <c r="T533" s="131">
        <f t="shared" si="156"/>
        <v>10411.568347971635</v>
      </c>
      <c r="U533" s="131">
        <f t="shared" si="156"/>
        <v>0</v>
      </c>
      <c r="V533" s="131">
        <f t="shared" si="156"/>
        <v>1554.6705868586694</v>
      </c>
      <c r="W533" s="131">
        <f t="shared" si="156"/>
        <v>0</v>
      </c>
      <c r="X533" s="131">
        <f t="shared" si="156"/>
        <v>332893.45294245722</v>
      </c>
      <c r="Y533" s="131">
        <f t="shared" si="156"/>
        <v>0</v>
      </c>
      <c r="AQ533" s="3"/>
    </row>
    <row r="534" spans="5:43" x14ac:dyDescent="0.3">
      <c r="E534" s="342"/>
      <c r="F534" s="2" t="s">
        <v>983</v>
      </c>
      <c r="G534" t="s">
        <v>206</v>
      </c>
      <c r="J534" s="354">
        <f>J68</f>
        <v>2219285.745124469</v>
      </c>
      <c r="K534" s="354">
        <f t="shared" ref="K534:Y534" si="157">K68</f>
        <v>0</v>
      </c>
      <c r="L534" s="354">
        <f t="shared" si="157"/>
        <v>34644.021149369219</v>
      </c>
      <c r="M534" s="354">
        <f t="shared" si="157"/>
        <v>0</v>
      </c>
      <c r="N534" s="354">
        <f t="shared" si="157"/>
        <v>118331.46511158058</v>
      </c>
      <c r="O534" s="354">
        <f t="shared" si="157"/>
        <v>60294.874416112005</v>
      </c>
      <c r="P534" s="354">
        <f t="shared" si="157"/>
        <v>145197.08348530781</v>
      </c>
      <c r="Q534" s="354">
        <f t="shared" si="157"/>
        <v>30004.340243212198</v>
      </c>
      <c r="R534" s="354">
        <f t="shared" si="157"/>
        <v>0</v>
      </c>
      <c r="S534" s="354">
        <f t="shared" si="157"/>
        <v>0</v>
      </c>
      <c r="T534" s="354">
        <f t="shared" si="157"/>
        <v>0</v>
      </c>
      <c r="U534" s="354">
        <f t="shared" si="157"/>
        <v>0</v>
      </c>
      <c r="V534" s="354">
        <f t="shared" si="157"/>
        <v>0</v>
      </c>
      <c r="W534" s="354">
        <f t="shared" si="157"/>
        <v>0</v>
      </c>
      <c r="X534" s="354">
        <f t="shared" si="157"/>
        <v>0</v>
      </c>
      <c r="Y534" s="354">
        <f t="shared" si="157"/>
        <v>0</v>
      </c>
      <c r="AQ534" s="3"/>
    </row>
    <row r="535" spans="5:43" x14ac:dyDescent="0.3">
      <c r="E535" s="342"/>
      <c r="F535" s="2" t="s">
        <v>984</v>
      </c>
      <c r="G535" t="s">
        <v>206</v>
      </c>
      <c r="J535" s="354">
        <f>J77</f>
        <v>0</v>
      </c>
      <c r="K535" s="354">
        <f t="shared" ref="K535:Y535" si="158">K77</f>
        <v>0</v>
      </c>
      <c r="L535" s="354">
        <f t="shared" si="158"/>
        <v>152194.07708530963</v>
      </c>
      <c r="M535" s="354">
        <f t="shared" si="158"/>
        <v>0</v>
      </c>
      <c r="N535" s="354">
        <f t="shared" si="158"/>
        <v>271218.07582785172</v>
      </c>
      <c r="O535" s="354">
        <f t="shared" si="158"/>
        <v>138197.05355629424</v>
      </c>
      <c r="P535" s="354">
        <f t="shared" si="158"/>
        <v>383920.84402391239</v>
      </c>
      <c r="Q535" s="354">
        <f t="shared" si="158"/>
        <v>0</v>
      </c>
      <c r="R535" s="354">
        <f t="shared" si="158"/>
        <v>0</v>
      </c>
      <c r="S535" s="354">
        <f t="shared" si="158"/>
        <v>0</v>
      </c>
      <c r="T535" s="354">
        <f t="shared" si="158"/>
        <v>0</v>
      </c>
      <c r="U535" s="354">
        <f t="shared" si="158"/>
        <v>0</v>
      </c>
      <c r="V535" s="354">
        <f t="shared" si="158"/>
        <v>0</v>
      </c>
      <c r="W535" s="354">
        <f t="shared" si="158"/>
        <v>0</v>
      </c>
      <c r="X535" s="354">
        <f t="shared" si="158"/>
        <v>0</v>
      </c>
      <c r="Y535" s="354">
        <f t="shared" si="158"/>
        <v>0</v>
      </c>
      <c r="AQ535" s="3"/>
    </row>
    <row r="536" spans="5:43" x14ac:dyDescent="0.3">
      <c r="E536" s="342"/>
      <c r="F536" s="2" t="s">
        <v>986</v>
      </c>
      <c r="G536" t="s">
        <v>206</v>
      </c>
      <c r="J536" s="101">
        <f>J86</f>
        <v>0</v>
      </c>
      <c r="K536" s="101">
        <f t="shared" ref="K536:Y536" si="159">K86</f>
        <v>0</v>
      </c>
      <c r="L536" s="101">
        <f t="shared" si="159"/>
        <v>194313.97684898585</v>
      </c>
      <c r="M536" s="101">
        <f t="shared" si="159"/>
        <v>0</v>
      </c>
      <c r="N536" s="101">
        <f t="shared" si="159"/>
        <v>156715.75926821836</v>
      </c>
      <c r="O536" s="101">
        <f t="shared" si="159"/>
        <v>79853.29189656183</v>
      </c>
      <c r="P536" s="101">
        <f t="shared" si="159"/>
        <v>330112.59071221412</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3">
      <c r="E537" s="342"/>
      <c r="F537" s="2" t="s">
        <v>985</v>
      </c>
      <c r="G537" t="s">
        <v>206</v>
      </c>
      <c r="J537" s="101">
        <f>J95</f>
        <v>0</v>
      </c>
      <c r="K537" s="101">
        <f t="shared" ref="K537:Y537" si="160">K95</f>
        <v>0</v>
      </c>
      <c r="L537" s="101">
        <f t="shared" si="160"/>
        <v>580223.48905632901</v>
      </c>
      <c r="M537" s="101">
        <f t="shared" si="160"/>
        <v>0</v>
      </c>
      <c r="N537" s="101">
        <f t="shared" si="160"/>
        <v>345964.34130102937</v>
      </c>
      <c r="O537" s="101">
        <f t="shared" si="160"/>
        <v>176283.42969918164</v>
      </c>
      <c r="P537" s="101">
        <f t="shared" si="160"/>
        <v>626482.3366347336</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3">
      <c r="E538" s="72" t="s">
        <v>248</v>
      </c>
      <c r="F538" s="2"/>
      <c r="J538" s="26"/>
      <c r="K538" s="26"/>
      <c r="L538" s="26"/>
      <c r="M538" s="26"/>
      <c r="N538" s="26"/>
      <c r="O538" s="26"/>
      <c r="P538" s="26"/>
      <c r="Q538" s="26"/>
      <c r="R538" s="26"/>
      <c r="S538" s="26"/>
      <c r="T538" s="26"/>
      <c r="U538" s="26"/>
      <c r="V538" s="26"/>
      <c r="W538" s="26"/>
      <c r="X538" s="26"/>
      <c r="Y538" s="26"/>
      <c r="AQ538" s="3"/>
    </row>
    <row r="539" spans="5:43" x14ac:dyDescent="0.3">
      <c r="E539" s="342"/>
      <c r="F539" s="2" t="s">
        <v>982</v>
      </c>
      <c r="G539" t="s">
        <v>206</v>
      </c>
      <c r="J539" s="131">
        <f>J60</f>
        <v>0</v>
      </c>
      <c r="K539" s="131">
        <f t="shared" ref="K539:Y539" si="161">K60</f>
        <v>4114.2867134426042</v>
      </c>
      <c r="L539" s="131">
        <f t="shared" si="161"/>
        <v>0.76270252774869396</v>
      </c>
      <c r="M539" s="131">
        <f t="shared" si="161"/>
        <v>14603.793923010659</v>
      </c>
      <c r="N539" s="131">
        <f t="shared" si="161"/>
        <v>29.447702238505478</v>
      </c>
      <c r="O539" s="131">
        <f t="shared" si="161"/>
        <v>97.54346399950731</v>
      </c>
      <c r="P539" s="131">
        <f t="shared" si="161"/>
        <v>275.57084393681538</v>
      </c>
      <c r="Q539" s="131">
        <f t="shared" si="161"/>
        <v>0</v>
      </c>
      <c r="R539" s="131">
        <f t="shared" si="161"/>
        <v>1012.2920957316472</v>
      </c>
      <c r="S539" s="131">
        <f t="shared" si="161"/>
        <v>0</v>
      </c>
      <c r="T539" s="131">
        <f t="shared" si="161"/>
        <v>17495.919646473743</v>
      </c>
      <c r="U539" s="131">
        <f t="shared" si="161"/>
        <v>0</v>
      </c>
      <c r="V539" s="131">
        <f t="shared" si="161"/>
        <v>2113.8817344775266</v>
      </c>
      <c r="W539" s="131">
        <f t="shared" si="161"/>
        <v>0</v>
      </c>
      <c r="X539" s="131">
        <f t="shared" si="161"/>
        <v>476929.11411067331</v>
      </c>
      <c r="Y539" s="131">
        <f t="shared" si="161"/>
        <v>0</v>
      </c>
      <c r="AQ539" s="3"/>
    </row>
    <row r="540" spans="5:43" x14ac:dyDescent="0.3">
      <c r="E540" s="342"/>
      <c r="F540" s="2" t="s">
        <v>983</v>
      </c>
      <c r="G540" t="s">
        <v>206</v>
      </c>
      <c r="J540" s="354">
        <f>J69</f>
        <v>4076714.4467384536</v>
      </c>
      <c r="K540" s="354">
        <f t="shared" ref="K540:Y540" si="162">K69</f>
        <v>0</v>
      </c>
      <c r="L540" s="354">
        <f t="shared" si="162"/>
        <v>44194.935299646633</v>
      </c>
      <c r="M540" s="354">
        <f t="shared" si="162"/>
        <v>0</v>
      </c>
      <c r="N540" s="354">
        <f t="shared" si="162"/>
        <v>153674.95898596165</v>
      </c>
      <c r="O540" s="354">
        <f t="shared" si="162"/>
        <v>82931.622947612443</v>
      </c>
      <c r="P540" s="354">
        <f t="shared" si="162"/>
        <v>241604.48348817482</v>
      </c>
      <c r="Q540" s="354">
        <f t="shared" si="162"/>
        <v>155047.29553545482</v>
      </c>
      <c r="R540" s="354">
        <f t="shared" si="162"/>
        <v>0</v>
      </c>
      <c r="S540" s="354">
        <f t="shared" si="162"/>
        <v>0</v>
      </c>
      <c r="T540" s="354">
        <f t="shared" si="162"/>
        <v>0</v>
      </c>
      <c r="U540" s="354">
        <f t="shared" si="162"/>
        <v>0</v>
      </c>
      <c r="V540" s="354">
        <f t="shared" si="162"/>
        <v>0</v>
      </c>
      <c r="W540" s="354">
        <f t="shared" si="162"/>
        <v>0</v>
      </c>
      <c r="X540" s="354">
        <f t="shared" si="162"/>
        <v>0</v>
      </c>
      <c r="Y540" s="354">
        <f t="shared" si="162"/>
        <v>0</v>
      </c>
      <c r="AQ540" s="3"/>
    </row>
    <row r="541" spans="5:43" x14ac:dyDescent="0.3">
      <c r="E541" s="342"/>
      <c r="F541" s="2" t="s">
        <v>984</v>
      </c>
      <c r="G541" t="s">
        <v>206</v>
      </c>
      <c r="J541" s="354">
        <f>J78</f>
        <v>0</v>
      </c>
      <c r="K541" s="354">
        <f t="shared" ref="K541:Y541" si="163">K78</f>
        <v>0</v>
      </c>
      <c r="L541" s="354">
        <f t="shared" si="163"/>
        <v>194152.04028349806</v>
      </c>
      <c r="M541" s="354">
        <f t="shared" si="163"/>
        <v>0</v>
      </c>
      <c r="N541" s="354">
        <f t="shared" si="163"/>
        <v>352226.068018299</v>
      </c>
      <c r="O541" s="354">
        <f t="shared" si="163"/>
        <v>190080.93223491334</v>
      </c>
      <c r="P541" s="354">
        <f t="shared" si="163"/>
        <v>638835.12667199934</v>
      </c>
      <c r="Q541" s="354">
        <f t="shared" si="163"/>
        <v>0</v>
      </c>
      <c r="R541" s="354">
        <f t="shared" si="163"/>
        <v>0</v>
      </c>
      <c r="S541" s="354">
        <f t="shared" si="163"/>
        <v>0</v>
      </c>
      <c r="T541" s="354">
        <f t="shared" si="163"/>
        <v>0</v>
      </c>
      <c r="U541" s="354">
        <f t="shared" si="163"/>
        <v>0</v>
      </c>
      <c r="V541" s="354">
        <f t="shared" si="163"/>
        <v>0</v>
      </c>
      <c r="W541" s="354">
        <f t="shared" si="163"/>
        <v>0</v>
      </c>
      <c r="X541" s="354">
        <f t="shared" si="163"/>
        <v>0</v>
      </c>
      <c r="Y541" s="354">
        <f t="shared" si="163"/>
        <v>0</v>
      </c>
      <c r="AQ541" s="3"/>
    </row>
    <row r="542" spans="5:43" x14ac:dyDescent="0.3">
      <c r="E542" s="342"/>
      <c r="F542" s="2" t="s">
        <v>986</v>
      </c>
      <c r="G542" t="s">
        <v>206</v>
      </c>
      <c r="J542" s="101">
        <f>J87</f>
        <v>0</v>
      </c>
      <c r="K542" s="101">
        <f t="shared" ref="K542:Y542" si="164">K87</f>
        <v>0</v>
      </c>
      <c r="L542" s="101">
        <f t="shared" si="164"/>
        <v>247883.85844794821</v>
      </c>
      <c r="M542" s="101">
        <f t="shared" si="164"/>
        <v>0</v>
      </c>
      <c r="N542" s="101">
        <f t="shared" si="164"/>
        <v>203523.95582432768</v>
      </c>
      <c r="O542" s="101">
        <f t="shared" si="164"/>
        <v>109832.93619601062</v>
      </c>
      <c r="P542" s="101">
        <f t="shared" si="164"/>
        <v>549299.47666640405</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3">
      <c r="E543" s="342"/>
      <c r="F543" s="2" t="s">
        <v>985</v>
      </c>
      <c r="G543" t="s">
        <v>206</v>
      </c>
      <c r="J543" s="101">
        <f>J96</f>
        <v>0</v>
      </c>
      <c r="K543" s="101">
        <f t="shared" ref="K543:Y543" si="165">K96</f>
        <v>0</v>
      </c>
      <c r="L543" s="101">
        <f t="shared" si="165"/>
        <v>740183.69425474678</v>
      </c>
      <c r="M543" s="101">
        <f t="shared" si="165"/>
        <v>0</v>
      </c>
      <c r="N543" s="101">
        <f t="shared" si="165"/>
        <v>449297.70716443035</v>
      </c>
      <c r="O543" s="101">
        <f t="shared" si="165"/>
        <v>242466.23059252711</v>
      </c>
      <c r="P543" s="101">
        <f t="shared" si="165"/>
        <v>1042451.6644813707</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3">
      <c r="E544" s="72" t="s">
        <v>211</v>
      </c>
      <c r="F544" s="2"/>
      <c r="J544" s="26"/>
      <c r="K544" s="26"/>
      <c r="L544" s="26"/>
      <c r="M544" s="26"/>
      <c r="N544" s="26"/>
      <c r="O544" s="26"/>
      <c r="P544" s="26"/>
      <c r="Q544" s="26"/>
      <c r="R544" s="26"/>
      <c r="S544" s="26"/>
      <c r="T544" s="26"/>
      <c r="U544" s="26"/>
      <c r="V544" s="26"/>
      <c r="W544" s="26"/>
      <c r="X544" s="26"/>
      <c r="Y544" s="26"/>
      <c r="AQ544" s="3"/>
    </row>
    <row r="545" spans="5:43" x14ac:dyDescent="0.3">
      <c r="E545" s="342"/>
      <c r="F545" s="2" t="s">
        <v>982</v>
      </c>
      <c r="G545" t="s">
        <v>211</v>
      </c>
      <c r="J545" s="131">
        <f>J61</f>
        <v>0</v>
      </c>
      <c r="K545" s="131">
        <f t="shared" ref="K545:Y545" si="166">K61</f>
        <v>1739.8559938586122</v>
      </c>
      <c r="L545" s="131">
        <f t="shared" si="166"/>
        <v>1</v>
      </c>
      <c r="M545" s="131">
        <f t="shared" si="166"/>
        <v>2930.0356035322934</v>
      </c>
      <c r="N545" s="131">
        <f t="shared" si="166"/>
        <v>1</v>
      </c>
      <c r="O545" s="131">
        <f t="shared" si="166"/>
        <v>1</v>
      </c>
      <c r="P545" s="131">
        <f t="shared" si="166"/>
        <v>1</v>
      </c>
      <c r="Q545" s="131">
        <f t="shared" si="166"/>
        <v>0</v>
      </c>
      <c r="R545" s="131">
        <f t="shared" si="166"/>
        <v>397.9095890410959</v>
      </c>
      <c r="S545" s="131">
        <f t="shared" si="166"/>
        <v>0</v>
      </c>
      <c r="T545" s="131">
        <f t="shared" si="166"/>
        <v>258.48493150684931</v>
      </c>
      <c r="U545" s="131">
        <f t="shared" si="166"/>
        <v>0</v>
      </c>
      <c r="V545" s="131">
        <f t="shared" si="166"/>
        <v>42</v>
      </c>
      <c r="W545" s="131">
        <f t="shared" si="166"/>
        <v>0</v>
      </c>
      <c r="X545" s="131">
        <f t="shared" si="166"/>
        <v>280</v>
      </c>
      <c r="Y545" s="131">
        <f t="shared" si="166"/>
        <v>0</v>
      </c>
      <c r="AQ545" s="3"/>
    </row>
    <row r="546" spans="5:43" x14ac:dyDescent="0.3">
      <c r="E546" s="342"/>
      <c r="F546" s="2" t="s">
        <v>983</v>
      </c>
      <c r="G546" t="s">
        <v>211</v>
      </c>
      <c r="J546" s="354">
        <f>J70</f>
        <v>2209768.4645891488</v>
      </c>
      <c r="K546" s="354">
        <f t="shared" ref="K546:Y546" si="167">K70</f>
        <v>0</v>
      </c>
      <c r="L546" s="354">
        <f t="shared" si="167"/>
        <v>57945.180056107805</v>
      </c>
      <c r="M546" s="354">
        <f t="shared" si="167"/>
        <v>0</v>
      </c>
      <c r="N546" s="354">
        <f t="shared" si="167"/>
        <v>5218.57215688014</v>
      </c>
      <c r="O546" s="354">
        <f t="shared" si="167"/>
        <v>850.20174132867919</v>
      </c>
      <c r="P546" s="354">
        <f t="shared" si="167"/>
        <v>876.74182085667758</v>
      </c>
      <c r="Q546" s="354">
        <f t="shared" si="167"/>
        <v>609.61643835616439</v>
      </c>
      <c r="R546" s="354">
        <f t="shared" si="167"/>
        <v>0</v>
      </c>
      <c r="S546" s="354">
        <f t="shared" si="167"/>
        <v>0</v>
      </c>
      <c r="T546" s="354">
        <f t="shared" si="167"/>
        <v>0</v>
      </c>
      <c r="U546" s="354">
        <f t="shared" si="167"/>
        <v>0</v>
      </c>
      <c r="V546" s="354">
        <f t="shared" si="167"/>
        <v>0</v>
      </c>
      <c r="W546" s="354">
        <f t="shared" si="167"/>
        <v>0</v>
      </c>
      <c r="X546" s="354">
        <f t="shared" si="167"/>
        <v>0</v>
      </c>
      <c r="Y546" s="354">
        <f t="shared" si="167"/>
        <v>0</v>
      </c>
      <c r="AQ546" s="3"/>
    </row>
    <row r="547" spans="5:43" x14ac:dyDescent="0.3">
      <c r="E547" s="342"/>
      <c r="F547" s="2" t="s">
        <v>984</v>
      </c>
      <c r="G547" t="s">
        <v>211</v>
      </c>
      <c r="J547" s="354">
        <f>J79</f>
        <v>0</v>
      </c>
      <c r="K547" s="354">
        <f t="shared" ref="K547:Y547" si="168">K79</f>
        <v>0</v>
      </c>
      <c r="L547" s="354">
        <f t="shared" si="168"/>
        <v>51596.460362794191</v>
      </c>
      <c r="M547" s="354">
        <f t="shared" si="168"/>
        <v>0</v>
      </c>
      <c r="N547" s="354">
        <f t="shared" si="168"/>
        <v>4796.7391092537537</v>
      </c>
      <c r="O547" s="354">
        <f t="shared" si="168"/>
        <v>781.47735066003543</v>
      </c>
      <c r="P547" s="354">
        <f t="shared" si="168"/>
        <v>709.21792602479513</v>
      </c>
      <c r="Q547" s="354">
        <f t="shared" si="168"/>
        <v>0</v>
      </c>
      <c r="R547" s="354">
        <f t="shared" si="168"/>
        <v>0</v>
      </c>
      <c r="S547" s="354">
        <f t="shared" si="168"/>
        <v>0</v>
      </c>
      <c r="T547" s="354">
        <f t="shared" si="168"/>
        <v>0</v>
      </c>
      <c r="U547" s="354">
        <f t="shared" si="168"/>
        <v>0</v>
      </c>
      <c r="V547" s="354">
        <f t="shared" si="168"/>
        <v>0</v>
      </c>
      <c r="W547" s="354">
        <f t="shared" si="168"/>
        <v>0</v>
      </c>
      <c r="X547" s="354">
        <f t="shared" si="168"/>
        <v>0</v>
      </c>
      <c r="Y547" s="354">
        <f t="shared" si="168"/>
        <v>0</v>
      </c>
      <c r="AQ547" s="3"/>
    </row>
    <row r="548" spans="5:43" x14ac:dyDescent="0.3">
      <c r="E548" s="342"/>
      <c r="F548" s="2" t="s">
        <v>986</v>
      </c>
      <c r="G548" t="s">
        <v>211</v>
      </c>
      <c r="J548" s="101">
        <f>J88</f>
        <v>0</v>
      </c>
      <c r="K548" s="101">
        <f t="shared" ref="K548:Y548" si="169">K88</f>
        <v>0</v>
      </c>
      <c r="L548" s="101">
        <f t="shared" si="169"/>
        <v>26588.673057952248</v>
      </c>
      <c r="M548" s="101">
        <f t="shared" si="169"/>
        <v>0</v>
      </c>
      <c r="N548" s="101">
        <f t="shared" si="169"/>
        <v>1699.3056176215775</v>
      </c>
      <c r="O548" s="101">
        <f t="shared" si="169"/>
        <v>276.84825498613009</v>
      </c>
      <c r="P548" s="101">
        <f t="shared" si="169"/>
        <v>290.90975749249031</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3">
      <c r="E549" s="342"/>
      <c r="F549" s="2" t="s">
        <v>985</v>
      </c>
      <c r="G549" t="s">
        <v>211</v>
      </c>
      <c r="J549" s="101">
        <f>J97</f>
        <v>0</v>
      </c>
      <c r="K549" s="101">
        <f t="shared" ref="K549:Y549" si="170">K97</f>
        <v>0</v>
      </c>
      <c r="L549" s="101">
        <f t="shared" si="170"/>
        <v>25494.536468374245</v>
      </c>
      <c r="M549" s="101">
        <f t="shared" si="170"/>
        <v>0</v>
      </c>
      <c r="N549" s="101">
        <f t="shared" si="170"/>
        <v>1786.803738854125</v>
      </c>
      <c r="O549" s="101">
        <f t="shared" si="170"/>
        <v>291.10331418595791</v>
      </c>
      <c r="P549" s="101">
        <f t="shared" si="170"/>
        <v>236.74035437319895</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3">
      <c r="E550" s="72" t="s">
        <v>249</v>
      </c>
      <c r="F550" s="2"/>
      <c r="J550" s="26"/>
      <c r="K550" s="26"/>
      <c r="L550" s="26"/>
      <c r="M550" s="26"/>
      <c r="N550" s="26"/>
      <c r="O550" s="26"/>
      <c r="P550" s="26"/>
      <c r="Q550" s="26"/>
      <c r="R550" s="26"/>
      <c r="S550" s="26"/>
      <c r="T550" s="26"/>
      <c r="U550" s="26"/>
      <c r="V550" s="26"/>
      <c r="W550" s="26"/>
      <c r="X550" s="26"/>
      <c r="Y550" s="26"/>
      <c r="AQ550" s="3"/>
    </row>
    <row r="551" spans="5:43" x14ac:dyDescent="0.3">
      <c r="E551" s="342"/>
      <c r="F551" s="2" t="s">
        <v>982</v>
      </c>
      <c r="G551" t="s">
        <v>250</v>
      </c>
      <c r="J551" s="131">
        <f>J62</f>
        <v>0</v>
      </c>
      <c r="K551" s="131">
        <f t="shared" ref="K551:Y551" si="171">K62</f>
        <v>0</v>
      </c>
      <c r="L551" s="131">
        <f t="shared" si="171"/>
        <v>0</v>
      </c>
      <c r="M551" s="131">
        <f t="shared" si="171"/>
        <v>0</v>
      </c>
      <c r="N551" s="131">
        <f t="shared" si="171"/>
        <v>37.850155191376949</v>
      </c>
      <c r="O551" s="131">
        <f t="shared" si="171"/>
        <v>107.18588337781929</v>
      </c>
      <c r="P551" s="131">
        <f t="shared" si="171"/>
        <v>204.67557859586987</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3">
      <c r="E552" s="342"/>
      <c r="F552" s="2" t="s">
        <v>983</v>
      </c>
      <c r="G552" t="s">
        <v>250</v>
      </c>
      <c r="J552" s="354">
        <f>J71</f>
        <v>0</v>
      </c>
      <c r="K552" s="354">
        <f t="shared" ref="K552:Y552" si="172">K71</f>
        <v>0</v>
      </c>
      <c r="L552" s="354">
        <f t="shared" si="172"/>
        <v>0</v>
      </c>
      <c r="M552" s="354">
        <f t="shared" si="172"/>
        <v>0</v>
      </c>
      <c r="N552" s="354">
        <f t="shared" si="172"/>
        <v>197523.76601531202</v>
      </c>
      <c r="O552" s="354">
        <f t="shared" si="172"/>
        <v>91129.62469367469</v>
      </c>
      <c r="P552" s="354">
        <f t="shared" si="172"/>
        <v>179447.63946303696</v>
      </c>
      <c r="Q552" s="354">
        <f t="shared" si="172"/>
        <v>0</v>
      </c>
      <c r="R552" s="354">
        <f t="shared" si="172"/>
        <v>0</v>
      </c>
      <c r="S552" s="354">
        <f t="shared" si="172"/>
        <v>0</v>
      </c>
      <c r="T552" s="354">
        <f t="shared" si="172"/>
        <v>0</v>
      </c>
      <c r="U552" s="354">
        <f t="shared" si="172"/>
        <v>0</v>
      </c>
      <c r="V552" s="354">
        <f t="shared" si="172"/>
        <v>0</v>
      </c>
      <c r="W552" s="354">
        <f t="shared" si="172"/>
        <v>0</v>
      </c>
      <c r="X552" s="354">
        <f t="shared" si="172"/>
        <v>0</v>
      </c>
      <c r="Y552" s="354">
        <f t="shared" si="172"/>
        <v>0</v>
      </c>
      <c r="AQ552" s="3"/>
    </row>
    <row r="553" spans="5:43" x14ac:dyDescent="0.3">
      <c r="E553" s="342"/>
      <c r="F553" s="2" t="s">
        <v>984</v>
      </c>
      <c r="G553" t="s">
        <v>250</v>
      </c>
      <c r="J553" s="354">
        <f>J80</f>
        <v>0</v>
      </c>
      <c r="K553" s="354">
        <f t="shared" ref="K553:Y553" si="173">K80</f>
        <v>0</v>
      </c>
      <c r="L553" s="354">
        <f t="shared" si="173"/>
        <v>0</v>
      </c>
      <c r="M553" s="354">
        <f t="shared" si="173"/>
        <v>0</v>
      </c>
      <c r="N553" s="354">
        <f t="shared" si="173"/>
        <v>452728.40743100789</v>
      </c>
      <c r="O553" s="354">
        <f t="shared" si="173"/>
        <v>208870.91558468237</v>
      </c>
      <c r="P553" s="354">
        <f t="shared" si="173"/>
        <v>474483.9741062643</v>
      </c>
      <c r="Q553" s="354">
        <f t="shared" si="173"/>
        <v>0</v>
      </c>
      <c r="R553" s="354">
        <f t="shared" si="173"/>
        <v>0</v>
      </c>
      <c r="S553" s="354">
        <f t="shared" si="173"/>
        <v>0</v>
      </c>
      <c r="T553" s="354">
        <f t="shared" si="173"/>
        <v>0</v>
      </c>
      <c r="U553" s="354">
        <f t="shared" si="173"/>
        <v>0</v>
      </c>
      <c r="V553" s="354">
        <f t="shared" si="173"/>
        <v>0</v>
      </c>
      <c r="W553" s="354">
        <f t="shared" si="173"/>
        <v>0</v>
      </c>
      <c r="X553" s="354">
        <f t="shared" si="173"/>
        <v>0</v>
      </c>
      <c r="Y553" s="354">
        <f t="shared" si="173"/>
        <v>0</v>
      </c>
      <c r="AQ553" s="3"/>
    </row>
    <row r="554" spans="5:43" x14ac:dyDescent="0.3">
      <c r="E554" s="342"/>
      <c r="F554" s="2" t="s">
        <v>986</v>
      </c>
      <c r="G554" t="s">
        <v>250</v>
      </c>
      <c r="J554" s="101">
        <f>J89</f>
        <v>0</v>
      </c>
      <c r="K554" s="101">
        <f t="shared" ref="K554:Y554" si="174">K89</f>
        <v>0</v>
      </c>
      <c r="L554" s="101">
        <f t="shared" si="174"/>
        <v>0</v>
      </c>
      <c r="M554" s="101">
        <f t="shared" si="174"/>
        <v>0</v>
      </c>
      <c r="N554" s="101">
        <f t="shared" si="174"/>
        <v>261596.41423706242</v>
      </c>
      <c r="O554" s="101">
        <f t="shared" si="174"/>
        <v>120690.20114160109</v>
      </c>
      <c r="P554" s="101">
        <f t="shared" si="174"/>
        <v>407982.88600837253</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3">
      <c r="E555" s="342"/>
      <c r="F555" s="2" t="s">
        <v>985</v>
      </c>
      <c r="G555" t="s">
        <v>250</v>
      </c>
      <c r="J555" s="101">
        <f>J98</f>
        <v>0</v>
      </c>
      <c r="K555" s="101">
        <f t="shared" ref="K555:Y555" si="175">K98</f>
        <v>0</v>
      </c>
      <c r="L555" s="101">
        <f t="shared" si="175"/>
        <v>0</v>
      </c>
      <c r="M555" s="101">
        <f t="shared" si="175"/>
        <v>0</v>
      </c>
      <c r="N555" s="101">
        <f t="shared" si="175"/>
        <v>577497.95911297586</v>
      </c>
      <c r="O555" s="101">
        <f t="shared" si="175"/>
        <v>266434.63385185215</v>
      </c>
      <c r="P555" s="101">
        <f t="shared" si="175"/>
        <v>774263.32386191655</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3">
      <c r="E556" s="72" t="s">
        <v>251</v>
      </c>
      <c r="F556" s="2"/>
      <c r="J556" s="26"/>
      <c r="K556" s="26"/>
      <c r="L556" s="26"/>
      <c r="M556" s="26"/>
      <c r="N556" s="26"/>
      <c r="O556" s="26"/>
      <c r="P556" s="26"/>
      <c r="Q556" s="26"/>
      <c r="R556" s="26"/>
      <c r="S556" s="26"/>
      <c r="T556" s="26"/>
      <c r="U556" s="26"/>
      <c r="V556" s="26"/>
      <c r="W556" s="26"/>
      <c r="X556" s="26"/>
      <c r="Y556" s="26"/>
      <c r="AQ556" s="3"/>
    </row>
    <row r="557" spans="5:43" x14ac:dyDescent="0.3">
      <c r="E557" s="342"/>
      <c r="F557" s="2" t="s">
        <v>982</v>
      </c>
      <c r="G557" t="s">
        <v>250</v>
      </c>
      <c r="J557" s="131">
        <f>J63</f>
        <v>0</v>
      </c>
      <c r="K557" s="131">
        <f t="shared" ref="K557:Y557" si="176">K63</f>
        <v>0</v>
      </c>
      <c r="L557" s="131">
        <f t="shared" si="176"/>
        <v>0</v>
      </c>
      <c r="M557" s="131">
        <f t="shared" si="176"/>
        <v>0</v>
      </c>
      <c r="N557" s="131">
        <f t="shared" si="176"/>
        <v>0.80898981879554421</v>
      </c>
      <c r="O557" s="131">
        <f t="shared" si="176"/>
        <v>0.99296401579984772</v>
      </c>
      <c r="P557" s="131">
        <f t="shared" si="176"/>
        <v>1.810298734092207</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3">
      <c r="E558" s="342"/>
      <c r="F558" s="2" t="s">
        <v>983</v>
      </c>
      <c r="G558" t="s">
        <v>250</v>
      </c>
      <c r="J558" s="354">
        <f>J72</f>
        <v>0</v>
      </c>
      <c r="K558" s="354">
        <f t="shared" ref="K558:Y558" si="177">K72</f>
        <v>0</v>
      </c>
      <c r="L558" s="354">
        <f t="shared" si="177"/>
        <v>0</v>
      </c>
      <c r="M558" s="354">
        <f t="shared" si="177"/>
        <v>0</v>
      </c>
      <c r="N558" s="354">
        <f t="shared" si="177"/>
        <v>4221.771743565937</v>
      </c>
      <c r="O558" s="354">
        <f t="shared" si="177"/>
        <v>844.21973530974867</v>
      </c>
      <c r="P558" s="354">
        <f t="shared" si="177"/>
        <v>1587.1646084225399</v>
      </c>
      <c r="Q558" s="354">
        <f t="shared" si="177"/>
        <v>0</v>
      </c>
      <c r="R558" s="354">
        <f t="shared" si="177"/>
        <v>0</v>
      </c>
      <c r="S558" s="354">
        <f t="shared" si="177"/>
        <v>0</v>
      </c>
      <c r="T558" s="354">
        <f t="shared" si="177"/>
        <v>0</v>
      </c>
      <c r="U558" s="354">
        <f t="shared" si="177"/>
        <v>0</v>
      </c>
      <c r="V558" s="354">
        <f t="shared" si="177"/>
        <v>0</v>
      </c>
      <c r="W558" s="354">
        <f t="shared" si="177"/>
        <v>0</v>
      </c>
      <c r="X558" s="354">
        <f t="shared" si="177"/>
        <v>0</v>
      </c>
      <c r="Y558" s="354">
        <f t="shared" si="177"/>
        <v>0</v>
      </c>
      <c r="AQ558" s="3"/>
    </row>
    <row r="559" spans="5:43" x14ac:dyDescent="0.3">
      <c r="E559" s="342"/>
      <c r="F559" s="2" t="s">
        <v>984</v>
      </c>
      <c r="G559" t="s">
        <v>250</v>
      </c>
      <c r="J559" s="354">
        <f>J81</f>
        <v>0</v>
      </c>
      <c r="K559" s="354">
        <f t="shared" ref="K559:Y559" si="178">K81</f>
        <v>0</v>
      </c>
      <c r="L559" s="354">
        <f t="shared" si="178"/>
        <v>0</v>
      </c>
      <c r="M559" s="354">
        <f t="shared" si="178"/>
        <v>0</v>
      </c>
      <c r="N559" s="354">
        <f t="shared" si="178"/>
        <v>9676.3849563989716</v>
      </c>
      <c r="O559" s="354">
        <f t="shared" si="178"/>
        <v>1934.9684546768979</v>
      </c>
      <c r="P559" s="354">
        <f t="shared" si="178"/>
        <v>4196.6791718107916</v>
      </c>
      <c r="Q559" s="354">
        <f t="shared" si="178"/>
        <v>0</v>
      </c>
      <c r="R559" s="354">
        <f t="shared" si="178"/>
        <v>0</v>
      </c>
      <c r="S559" s="354">
        <f t="shared" si="178"/>
        <v>0</v>
      </c>
      <c r="T559" s="354">
        <f t="shared" si="178"/>
        <v>0</v>
      </c>
      <c r="U559" s="354">
        <f t="shared" si="178"/>
        <v>0</v>
      </c>
      <c r="V559" s="354">
        <f t="shared" si="178"/>
        <v>0</v>
      </c>
      <c r="W559" s="354">
        <f t="shared" si="178"/>
        <v>0</v>
      </c>
      <c r="X559" s="354">
        <f t="shared" si="178"/>
        <v>0</v>
      </c>
      <c r="Y559" s="354">
        <f t="shared" si="178"/>
        <v>0</v>
      </c>
      <c r="AQ559" s="3"/>
    </row>
    <row r="560" spans="5:43" x14ac:dyDescent="0.3">
      <c r="E560" s="342"/>
      <c r="F560" s="2" t="s">
        <v>986</v>
      </c>
      <c r="G560" t="s">
        <v>250</v>
      </c>
      <c r="J560" s="101">
        <f>J90</f>
        <v>0</v>
      </c>
      <c r="K560" s="101">
        <f t="shared" ref="K560:Y560" si="179">K90</f>
        <v>0</v>
      </c>
      <c r="L560" s="101">
        <f t="shared" si="179"/>
        <v>0</v>
      </c>
      <c r="M560" s="101">
        <f t="shared" si="179"/>
        <v>0</v>
      </c>
      <c r="N560" s="101">
        <f t="shared" si="179"/>
        <v>5591.2276893231519</v>
      </c>
      <c r="O560" s="101">
        <f t="shared" si="179"/>
        <v>1118.0672586410301</v>
      </c>
      <c r="P560" s="101">
        <f t="shared" si="179"/>
        <v>3608.4954890028371</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3">
      <c r="E561" s="342"/>
      <c r="F561" s="2" t="s">
        <v>985</v>
      </c>
      <c r="G561" t="s">
        <v>250</v>
      </c>
      <c r="J561" s="101">
        <f>J99</f>
        <v>0</v>
      </c>
      <c r="K561" s="101">
        <f t="shared" ref="K561:Y561" si="180">K99</f>
        <v>0</v>
      </c>
      <c r="L561" s="101">
        <f t="shared" si="180"/>
        <v>0</v>
      </c>
      <c r="M561" s="101">
        <f t="shared" si="180"/>
        <v>0</v>
      </c>
      <c r="N561" s="101">
        <f t="shared" si="180"/>
        <v>12343.145409454977</v>
      </c>
      <c r="O561" s="101">
        <f t="shared" si="180"/>
        <v>2468.2355142341848</v>
      </c>
      <c r="P561" s="101">
        <f t="shared" si="180"/>
        <v>6848.1443885828394</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3">
      <c r="E562" s="342" t="s">
        <v>252</v>
      </c>
      <c r="F562" s="343"/>
      <c r="J562" s="26"/>
      <c r="K562" s="26"/>
      <c r="L562" s="26"/>
      <c r="M562" s="26"/>
      <c r="N562" s="26"/>
      <c r="O562" s="26"/>
      <c r="P562" s="26"/>
      <c r="Q562" s="26"/>
      <c r="R562" s="26"/>
      <c r="S562" s="26"/>
      <c r="T562" s="26"/>
      <c r="U562" s="26"/>
      <c r="V562" s="26"/>
      <c r="W562" s="26"/>
      <c r="X562" s="26"/>
      <c r="Y562" s="26"/>
      <c r="AQ562" s="3"/>
    </row>
    <row r="563" spans="4:43" x14ac:dyDescent="0.3">
      <c r="E563" s="342"/>
      <c r="F563" s="343" t="s">
        <v>982</v>
      </c>
      <c r="G563" t="s">
        <v>253</v>
      </c>
      <c r="J563" s="131">
        <f>J64</f>
        <v>0</v>
      </c>
      <c r="K563" s="131">
        <f t="shared" ref="K563:Y563" si="181">K64</f>
        <v>0</v>
      </c>
      <c r="L563" s="131">
        <f t="shared" si="181"/>
        <v>0</v>
      </c>
      <c r="M563" s="131">
        <f t="shared" si="181"/>
        <v>0</v>
      </c>
      <c r="N563" s="131">
        <f t="shared" si="181"/>
        <v>4.7489974887219137</v>
      </c>
      <c r="O563" s="131">
        <f t="shared" si="181"/>
        <v>14.167994601186939</v>
      </c>
      <c r="P563" s="131">
        <f t="shared" si="181"/>
        <v>37.447582959517128</v>
      </c>
      <c r="Q563" s="131">
        <f t="shared" si="181"/>
        <v>0</v>
      </c>
      <c r="R563" s="131">
        <f t="shared" si="181"/>
        <v>0</v>
      </c>
      <c r="S563" s="131">
        <f t="shared" si="181"/>
        <v>0</v>
      </c>
      <c r="T563" s="131">
        <f t="shared" si="181"/>
        <v>2939.5815003992957</v>
      </c>
      <c r="U563" s="131">
        <f t="shared" si="181"/>
        <v>0</v>
      </c>
      <c r="V563" s="131">
        <f t="shared" si="181"/>
        <v>658.09713031219098</v>
      </c>
      <c r="W563" s="131">
        <f t="shared" si="181"/>
        <v>0</v>
      </c>
      <c r="X563" s="131">
        <f t="shared" si="181"/>
        <v>12290.739308282646</v>
      </c>
      <c r="Y563" s="131">
        <f t="shared" si="181"/>
        <v>0</v>
      </c>
      <c r="AQ563" s="3"/>
    </row>
    <row r="564" spans="4:43" x14ac:dyDescent="0.3">
      <c r="E564" s="342"/>
      <c r="F564" s="343" t="s">
        <v>983</v>
      </c>
      <c r="G564" t="s">
        <v>253</v>
      </c>
      <c r="J564" s="354">
        <f>J73</f>
        <v>0</v>
      </c>
      <c r="K564" s="354">
        <f t="shared" ref="K564:Y564" si="182">K73</f>
        <v>0</v>
      </c>
      <c r="L564" s="354">
        <f t="shared" si="182"/>
        <v>0</v>
      </c>
      <c r="M564" s="354">
        <f t="shared" si="182"/>
        <v>0</v>
      </c>
      <c r="N564" s="354">
        <f t="shared" si="182"/>
        <v>24782.986067737886</v>
      </c>
      <c r="O564" s="354">
        <f t="shared" si="182"/>
        <v>12045.653681064461</v>
      </c>
      <c r="P564" s="354">
        <f t="shared" si="182"/>
        <v>32831.862070608535</v>
      </c>
      <c r="Q564" s="354">
        <f t="shared" si="182"/>
        <v>0</v>
      </c>
      <c r="R564" s="354">
        <f t="shared" si="182"/>
        <v>0</v>
      </c>
      <c r="S564" s="354">
        <f t="shared" si="182"/>
        <v>0</v>
      </c>
      <c r="T564" s="354">
        <f t="shared" si="182"/>
        <v>0</v>
      </c>
      <c r="U564" s="354">
        <f t="shared" si="182"/>
        <v>0</v>
      </c>
      <c r="V564" s="354">
        <f t="shared" si="182"/>
        <v>0</v>
      </c>
      <c r="W564" s="354">
        <f t="shared" si="182"/>
        <v>0</v>
      </c>
      <c r="X564" s="354">
        <f t="shared" si="182"/>
        <v>0</v>
      </c>
      <c r="Y564" s="354">
        <f t="shared" si="182"/>
        <v>0</v>
      </c>
      <c r="AQ564" s="3"/>
    </row>
    <row r="565" spans="4:43" x14ac:dyDescent="0.3">
      <c r="E565" s="342"/>
      <c r="F565" s="343" t="s">
        <v>984</v>
      </c>
      <c r="G565" t="s">
        <v>253</v>
      </c>
      <c r="J565" s="354">
        <f>J82</f>
        <v>0</v>
      </c>
      <c r="K565" s="354">
        <f t="shared" ref="K565:Y565" si="183">K82</f>
        <v>0</v>
      </c>
      <c r="L565" s="354">
        <f t="shared" si="183"/>
        <v>0</v>
      </c>
      <c r="M565" s="354">
        <f t="shared" si="183"/>
        <v>0</v>
      </c>
      <c r="N565" s="354">
        <f t="shared" si="183"/>
        <v>56803.097876141437</v>
      </c>
      <c r="O565" s="354">
        <f t="shared" si="183"/>
        <v>27608.878250483653</v>
      </c>
      <c r="P565" s="354">
        <f t="shared" si="183"/>
        <v>86811.910366644253</v>
      </c>
      <c r="Q565" s="354">
        <f t="shared" si="183"/>
        <v>0</v>
      </c>
      <c r="R565" s="354">
        <f t="shared" si="183"/>
        <v>0</v>
      </c>
      <c r="S565" s="354">
        <f t="shared" si="183"/>
        <v>0</v>
      </c>
      <c r="T565" s="354">
        <f t="shared" si="183"/>
        <v>0</v>
      </c>
      <c r="U565" s="354">
        <f t="shared" si="183"/>
        <v>0</v>
      </c>
      <c r="V565" s="354">
        <f t="shared" si="183"/>
        <v>0</v>
      </c>
      <c r="W565" s="354">
        <f t="shared" si="183"/>
        <v>0</v>
      </c>
      <c r="X565" s="354">
        <f t="shared" si="183"/>
        <v>0</v>
      </c>
      <c r="Y565" s="354">
        <f t="shared" si="183"/>
        <v>0</v>
      </c>
      <c r="AQ565" s="3"/>
    </row>
    <row r="566" spans="4:43" x14ac:dyDescent="0.3">
      <c r="E566" s="342"/>
      <c r="F566" s="343" t="s">
        <v>986</v>
      </c>
      <c r="G566" t="s">
        <v>253</v>
      </c>
      <c r="J566" s="101">
        <f>J91</f>
        <v>0</v>
      </c>
      <c r="K566" s="101">
        <f t="shared" ref="K566:Y566" si="184">K91</f>
        <v>0</v>
      </c>
      <c r="L566" s="101">
        <f t="shared" si="184"/>
        <v>0</v>
      </c>
      <c r="M566" s="101">
        <f t="shared" si="184"/>
        <v>0</v>
      </c>
      <c r="N566" s="101">
        <f t="shared" si="184"/>
        <v>32822.077161614739</v>
      </c>
      <c r="O566" s="101">
        <f t="shared" si="184"/>
        <v>15953.016053084271</v>
      </c>
      <c r="P566" s="101">
        <f t="shared" si="184"/>
        <v>74644.826093434298</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3">
      <c r="E567" s="80"/>
      <c r="F567" s="344" t="s">
        <v>985</v>
      </c>
      <c r="G567" s="37" t="s">
        <v>253</v>
      </c>
      <c r="H567" s="37"/>
      <c r="I567" s="37"/>
      <c r="J567" s="354">
        <f>J100</f>
        <v>0</v>
      </c>
      <c r="K567" s="354">
        <f t="shared" ref="K567:Y567" si="185">K100</f>
        <v>0</v>
      </c>
      <c r="L567" s="354">
        <f t="shared" si="185"/>
        <v>0</v>
      </c>
      <c r="M567" s="354">
        <f t="shared" si="185"/>
        <v>0</v>
      </c>
      <c r="N567" s="354">
        <f t="shared" si="185"/>
        <v>72457.730852167268</v>
      </c>
      <c r="O567" s="354">
        <f t="shared" si="185"/>
        <v>35217.738894554976</v>
      </c>
      <c r="P567" s="354">
        <f t="shared" si="185"/>
        <v>141659.74393105085</v>
      </c>
      <c r="Q567" s="354">
        <f t="shared" si="185"/>
        <v>0</v>
      </c>
      <c r="R567" s="354">
        <f t="shared" si="185"/>
        <v>0</v>
      </c>
      <c r="S567" s="354">
        <f t="shared" si="185"/>
        <v>0</v>
      </c>
      <c r="T567" s="354">
        <f t="shared" si="185"/>
        <v>0</v>
      </c>
      <c r="U567" s="354">
        <f t="shared" si="185"/>
        <v>0</v>
      </c>
      <c r="V567" s="354">
        <f t="shared" si="185"/>
        <v>0</v>
      </c>
      <c r="W567" s="354">
        <f t="shared" si="185"/>
        <v>0</v>
      </c>
      <c r="X567" s="354">
        <f t="shared" si="185"/>
        <v>0</v>
      </c>
      <c r="Y567" s="354">
        <f t="shared" si="185"/>
        <v>0</v>
      </c>
      <c r="AQ567" s="3"/>
    </row>
    <row r="568" spans="4:43" x14ac:dyDescent="0.3">
      <c r="AQ568" s="3"/>
    </row>
    <row r="569" spans="4:43" x14ac:dyDescent="0.3">
      <c r="D569" s="32" t="s">
        <v>1135</v>
      </c>
      <c r="AQ569" s="3"/>
    </row>
    <row r="570" spans="4:43" x14ac:dyDescent="0.3">
      <c r="E570" s="78" t="s">
        <v>246</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3">
      <c r="E571" s="342"/>
      <c r="F571" s="2" t="s">
        <v>982</v>
      </c>
      <c r="G571" t="s">
        <v>206</v>
      </c>
      <c r="J571" s="131">
        <f>J105</f>
        <v>0</v>
      </c>
      <c r="K571" s="131">
        <f t="shared" ref="K571:Y571" si="186">K105</f>
        <v>0</v>
      </c>
      <c r="L571" s="131">
        <f t="shared" si="186"/>
        <v>0</v>
      </c>
      <c r="M571" s="131">
        <f t="shared" si="186"/>
        <v>0</v>
      </c>
      <c r="N571" s="131">
        <f t="shared" si="186"/>
        <v>0</v>
      </c>
      <c r="O571" s="131">
        <f t="shared" si="186"/>
        <v>0</v>
      </c>
      <c r="P571" s="131">
        <f t="shared" si="186"/>
        <v>0</v>
      </c>
      <c r="Q571" s="131">
        <f t="shared" si="186"/>
        <v>0</v>
      </c>
      <c r="R571" s="131">
        <f t="shared" si="186"/>
        <v>0</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3">
      <c r="E572" s="342"/>
      <c r="F572" s="2" t="s">
        <v>983</v>
      </c>
      <c r="G572" t="s">
        <v>206</v>
      </c>
      <c r="J572" s="354">
        <f>J114</f>
        <v>17617.880855232706</v>
      </c>
      <c r="K572" s="354">
        <f t="shared" ref="K572:Y572" si="187">K114</f>
        <v>0</v>
      </c>
      <c r="L572" s="354">
        <f t="shared" si="187"/>
        <v>29.734926765165721</v>
      </c>
      <c r="M572" s="354">
        <f t="shared" si="187"/>
        <v>0</v>
      </c>
      <c r="N572" s="354">
        <f t="shared" si="187"/>
        <v>67.654939959149416</v>
      </c>
      <c r="O572" s="354">
        <f t="shared" si="187"/>
        <v>0</v>
      </c>
      <c r="P572" s="354">
        <f t="shared" si="187"/>
        <v>0</v>
      </c>
      <c r="Q572" s="354">
        <f t="shared" si="187"/>
        <v>11.706974816638677</v>
      </c>
      <c r="R572" s="354">
        <f t="shared" si="187"/>
        <v>0</v>
      </c>
      <c r="S572" s="354">
        <f t="shared" si="187"/>
        <v>0</v>
      </c>
      <c r="T572" s="354">
        <f t="shared" si="187"/>
        <v>0</v>
      </c>
      <c r="U572" s="354">
        <f t="shared" si="187"/>
        <v>0</v>
      </c>
      <c r="V572" s="354">
        <f t="shared" si="187"/>
        <v>0</v>
      </c>
      <c r="W572" s="354">
        <f t="shared" si="187"/>
        <v>0</v>
      </c>
      <c r="X572" s="354">
        <f t="shared" si="187"/>
        <v>0</v>
      </c>
      <c r="Y572" s="354">
        <f t="shared" si="187"/>
        <v>0</v>
      </c>
      <c r="AQ572" s="3"/>
    </row>
    <row r="573" spans="4:43" x14ac:dyDescent="0.3">
      <c r="E573" s="342"/>
      <c r="F573" s="2" t="s">
        <v>984</v>
      </c>
      <c r="G573" t="s">
        <v>206</v>
      </c>
      <c r="J573" s="354">
        <f>J123</f>
        <v>0</v>
      </c>
      <c r="K573" s="354">
        <f t="shared" ref="K573:Y573" si="188">K123</f>
        <v>0</v>
      </c>
      <c r="L573" s="354">
        <f t="shared" si="188"/>
        <v>130.62801563109156</v>
      </c>
      <c r="M573" s="354">
        <f t="shared" si="188"/>
        <v>0</v>
      </c>
      <c r="N573" s="354">
        <f t="shared" si="188"/>
        <v>155.06647043258474</v>
      </c>
      <c r="O573" s="354">
        <f t="shared" si="188"/>
        <v>0</v>
      </c>
      <c r="P573" s="354">
        <f t="shared" si="188"/>
        <v>0</v>
      </c>
      <c r="Q573" s="354">
        <f t="shared" si="188"/>
        <v>0</v>
      </c>
      <c r="R573" s="354">
        <f t="shared" si="188"/>
        <v>0</v>
      </c>
      <c r="S573" s="354">
        <f t="shared" si="188"/>
        <v>0</v>
      </c>
      <c r="T573" s="354">
        <f t="shared" si="188"/>
        <v>0</v>
      </c>
      <c r="U573" s="354">
        <f t="shared" si="188"/>
        <v>0</v>
      </c>
      <c r="V573" s="354">
        <f t="shared" si="188"/>
        <v>0</v>
      </c>
      <c r="W573" s="354">
        <f t="shared" si="188"/>
        <v>0</v>
      </c>
      <c r="X573" s="354">
        <f t="shared" si="188"/>
        <v>0</v>
      </c>
      <c r="Y573" s="354">
        <f t="shared" si="188"/>
        <v>0</v>
      </c>
      <c r="AQ573" s="3"/>
    </row>
    <row r="574" spans="4:43" x14ac:dyDescent="0.3">
      <c r="E574" s="342"/>
      <c r="F574" s="2" t="s">
        <v>986</v>
      </c>
      <c r="G574" t="s">
        <v>206</v>
      </c>
      <c r="J574" s="101">
        <f>J132</f>
        <v>0</v>
      </c>
      <c r="K574" s="101">
        <f t="shared" ref="K574:Y574" si="189">K132</f>
        <v>0</v>
      </c>
      <c r="L574" s="101">
        <f t="shared" si="189"/>
        <v>166.7794811156875</v>
      </c>
      <c r="M574" s="101">
        <f t="shared" si="189"/>
        <v>0</v>
      </c>
      <c r="N574" s="101">
        <f t="shared" si="189"/>
        <v>89.600811364467745</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3">
      <c r="E575" s="342"/>
      <c r="F575" s="2" t="s">
        <v>985</v>
      </c>
      <c r="G575" t="s">
        <v>206</v>
      </c>
      <c r="J575" s="101">
        <f>J141</f>
        <v>0</v>
      </c>
      <c r="K575" s="101">
        <f t="shared" ref="K575:Y575" si="190">K141</f>
        <v>0</v>
      </c>
      <c r="L575" s="101">
        <f t="shared" si="190"/>
        <v>498.00520788658537</v>
      </c>
      <c r="M575" s="101">
        <f t="shared" si="190"/>
        <v>0</v>
      </c>
      <c r="N575" s="101">
        <f t="shared" si="190"/>
        <v>197.80196853522401</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3">
      <c r="E576" s="72" t="s">
        <v>247</v>
      </c>
      <c r="F576" s="2"/>
      <c r="J576" s="26"/>
      <c r="K576" s="26"/>
      <c r="L576" s="26"/>
      <c r="M576" s="26"/>
      <c r="N576" s="26"/>
      <c r="O576" s="26"/>
      <c r="P576" s="26"/>
      <c r="Q576" s="26"/>
      <c r="R576" s="26"/>
      <c r="S576" s="26"/>
      <c r="T576" s="26"/>
      <c r="U576" s="26"/>
      <c r="V576" s="26"/>
      <c r="W576" s="26"/>
      <c r="X576" s="26"/>
      <c r="Y576" s="26"/>
      <c r="AQ576" s="3"/>
    </row>
    <row r="577" spans="5:43" x14ac:dyDescent="0.3">
      <c r="E577" s="342"/>
      <c r="F577" s="2" t="s">
        <v>982</v>
      </c>
      <c r="G577" t="s">
        <v>206</v>
      </c>
      <c r="J577" s="131">
        <f>J106</f>
        <v>0</v>
      </c>
      <c r="K577" s="131">
        <f t="shared" ref="K577:Y577" si="191">K106</f>
        <v>0</v>
      </c>
      <c r="L577" s="131">
        <f t="shared" si="191"/>
        <v>0</v>
      </c>
      <c r="M577" s="131">
        <f t="shared" si="191"/>
        <v>0</v>
      </c>
      <c r="N577" s="131">
        <f t="shared" si="191"/>
        <v>0</v>
      </c>
      <c r="O577" s="131">
        <f t="shared" si="191"/>
        <v>0</v>
      </c>
      <c r="P577" s="131">
        <f t="shared" si="191"/>
        <v>0</v>
      </c>
      <c r="Q577" s="131">
        <f t="shared" si="191"/>
        <v>0</v>
      </c>
      <c r="R577" s="131">
        <f t="shared" si="191"/>
        <v>0</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3">
      <c r="E578" s="342"/>
      <c r="F578" s="2" t="s">
        <v>983</v>
      </c>
      <c r="G578" t="s">
        <v>206</v>
      </c>
      <c r="J578" s="354">
        <f>J115</f>
        <v>44385.700516611476</v>
      </c>
      <c r="K578" s="354">
        <f t="shared" ref="K578:Y578" si="192">K115</f>
        <v>0</v>
      </c>
      <c r="L578" s="354">
        <f t="shared" si="192"/>
        <v>106.80279337662498</v>
      </c>
      <c r="M578" s="354">
        <f t="shared" si="192"/>
        <v>0</v>
      </c>
      <c r="N578" s="354">
        <f t="shared" si="192"/>
        <v>232.43787515006068</v>
      </c>
      <c r="O578" s="354">
        <f t="shared" si="192"/>
        <v>0</v>
      </c>
      <c r="P578" s="354">
        <f t="shared" si="192"/>
        <v>0</v>
      </c>
      <c r="Q578" s="354">
        <f t="shared" si="192"/>
        <v>38.856606082022459</v>
      </c>
      <c r="R578" s="354">
        <f t="shared" si="192"/>
        <v>0</v>
      </c>
      <c r="S578" s="354">
        <f t="shared" si="192"/>
        <v>0</v>
      </c>
      <c r="T578" s="354">
        <f t="shared" si="192"/>
        <v>0</v>
      </c>
      <c r="U578" s="354">
        <f t="shared" si="192"/>
        <v>0</v>
      </c>
      <c r="V578" s="354">
        <f t="shared" si="192"/>
        <v>0</v>
      </c>
      <c r="W578" s="354">
        <f t="shared" si="192"/>
        <v>0</v>
      </c>
      <c r="X578" s="354">
        <f t="shared" si="192"/>
        <v>0</v>
      </c>
      <c r="Y578" s="354">
        <f t="shared" si="192"/>
        <v>0</v>
      </c>
      <c r="AQ578" s="3"/>
    </row>
    <row r="579" spans="5:43" x14ac:dyDescent="0.3">
      <c r="E579" s="342"/>
      <c r="F579" s="2" t="s">
        <v>984</v>
      </c>
      <c r="G579" t="s">
        <v>206</v>
      </c>
      <c r="J579" s="354">
        <f>J124</f>
        <v>0</v>
      </c>
      <c r="K579" s="354">
        <f t="shared" ref="K579:Y579" si="193">K124</f>
        <v>0</v>
      </c>
      <c r="L579" s="354">
        <f t="shared" si="193"/>
        <v>469.19358748816654</v>
      </c>
      <c r="M579" s="354">
        <f t="shared" si="193"/>
        <v>0</v>
      </c>
      <c r="N579" s="354">
        <f t="shared" si="193"/>
        <v>532.75224124259</v>
      </c>
      <c r="O579" s="354">
        <f t="shared" si="193"/>
        <v>0</v>
      </c>
      <c r="P579" s="354">
        <f t="shared" si="193"/>
        <v>0</v>
      </c>
      <c r="Q579" s="354">
        <f t="shared" si="193"/>
        <v>0</v>
      </c>
      <c r="R579" s="354">
        <f t="shared" si="193"/>
        <v>0</v>
      </c>
      <c r="S579" s="354">
        <f t="shared" si="193"/>
        <v>0</v>
      </c>
      <c r="T579" s="354">
        <f t="shared" si="193"/>
        <v>0</v>
      </c>
      <c r="U579" s="354">
        <f t="shared" si="193"/>
        <v>0</v>
      </c>
      <c r="V579" s="354">
        <f t="shared" si="193"/>
        <v>0</v>
      </c>
      <c r="W579" s="354">
        <f t="shared" si="193"/>
        <v>0</v>
      </c>
      <c r="X579" s="354">
        <f t="shared" si="193"/>
        <v>0</v>
      </c>
      <c r="Y579" s="354">
        <f t="shared" si="193"/>
        <v>0</v>
      </c>
      <c r="AQ579" s="3"/>
    </row>
    <row r="580" spans="5:43" x14ac:dyDescent="0.3">
      <c r="E580" s="342"/>
      <c r="F580" s="2" t="s">
        <v>986</v>
      </c>
      <c r="G580" t="s">
        <v>206</v>
      </c>
      <c r="J580" s="101">
        <f>J133</f>
        <v>0</v>
      </c>
      <c r="K580" s="101">
        <f t="shared" ref="K580:Y580" si="194">K133</f>
        <v>0</v>
      </c>
      <c r="L580" s="101">
        <f t="shared" si="194"/>
        <v>599.04349527192198</v>
      </c>
      <c r="M580" s="101">
        <f t="shared" si="194"/>
        <v>0</v>
      </c>
      <c r="N580" s="101">
        <f t="shared" si="194"/>
        <v>307.8359424729897</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3">
      <c r="E581" s="342"/>
      <c r="F581" s="2" t="s">
        <v>985</v>
      </c>
      <c r="G581" t="s">
        <v>206</v>
      </c>
      <c r="J581" s="101">
        <f>J142</f>
        <v>0</v>
      </c>
      <c r="K581" s="101">
        <f t="shared" ref="K581:Y581" si="195">K142</f>
        <v>0</v>
      </c>
      <c r="L581" s="101">
        <f t="shared" si="195"/>
        <v>1788.7499013686474</v>
      </c>
      <c r="M581" s="101">
        <f t="shared" si="195"/>
        <v>0</v>
      </c>
      <c r="N581" s="101">
        <f t="shared" si="195"/>
        <v>679.57593775986948</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3">
      <c r="E582" s="72" t="s">
        <v>248</v>
      </c>
      <c r="F582" s="2"/>
      <c r="J582" s="26"/>
      <c r="K582" s="26"/>
      <c r="L582" s="26"/>
      <c r="M582" s="26"/>
      <c r="N582" s="26"/>
      <c r="O582" s="26"/>
      <c r="P582" s="26"/>
      <c r="Q582" s="26"/>
      <c r="R582" s="26"/>
      <c r="S582" s="26"/>
      <c r="T582" s="26"/>
      <c r="U582" s="26"/>
      <c r="V582" s="26"/>
      <c r="W582" s="26"/>
      <c r="X582" s="26"/>
      <c r="Y582" s="26"/>
      <c r="AQ582" s="3"/>
    </row>
    <row r="583" spans="5:43" x14ac:dyDescent="0.3">
      <c r="E583" s="342"/>
      <c r="F583" s="2" t="s">
        <v>982</v>
      </c>
      <c r="G583" t="s">
        <v>206</v>
      </c>
      <c r="J583" s="131">
        <f>J107</f>
        <v>0</v>
      </c>
      <c r="K583" s="131">
        <f t="shared" ref="K583:Y583" si="196">K107</f>
        <v>0</v>
      </c>
      <c r="L583" s="131">
        <f t="shared" si="196"/>
        <v>0</v>
      </c>
      <c r="M583" s="131">
        <f t="shared" si="196"/>
        <v>0</v>
      </c>
      <c r="N583" s="131">
        <f t="shared" si="196"/>
        <v>0</v>
      </c>
      <c r="O583" s="131">
        <f t="shared" si="196"/>
        <v>0</v>
      </c>
      <c r="P583" s="131">
        <f t="shared" si="196"/>
        <v>0</v>
      </c>
      <c r="Q583" s="131">
        <f t="shared" si="196"/>
        <v>0</v>
      </c>
      <c r="R583" s="131">
        <f t="shared" si="196"/>
        <v>0</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3">
      <c r="E584" s="342"/>
      <c r="F584" s="2" t="s">
        <v>983</v>
      </c>
      <c r="G584" t="s">
        <v>206</v>
      </c>
      <c r="J584" s="354">
        <f>J116</f>
        <v>81534.262508646862</v>
      </c>
      <c r="K584" s="354">
        <f t="shared" ref="K584:Y584" si="197">K116</f>
        <v>0</v>
      </c>
      <c r="L584" s="354">
        <f t="shared" si="197"/>
        <v>136.24695940319302</v>
      </c>
      <c r="M584" s="354">
        <f t="shared" si="197"/>
        <v>0</v>
      </c>
      <c r="N584" s="354">
        <f t="shared" si="197"/>
        <v>344.15677431693729</v>
      </c>
      <c r="O584" s="354">
        <f t="shared" si="197"/>
        <v>0</v>
      </c>
      <c r="P584" s="354">
        <f t="shared" si="197"/>
        <v>0</v>
      </c>
      <c r="Q584" s="354">
        <f t="shared" si="197"/>
        <v>200.79134011510283</v>
      </c>
      <c r="R584" s="354">
        <f t="shared" si="197"/>
        <v>0</v>
      </c>
      <c r="S584" s="354">
        <f t="shared" si="197"/>
        <v>0</v>
      </c>
      <c r="T584" s="354">
        <f t="shared" si="197"/>
        <v>0</v>
      </c>
      <c r="U584" s="354">
        <f t="shared" si="197"/>
        <v>0</v>
      </c>
      <c r="V584" s="354">
        <f t="shared" si="197"/>
        <v>0</v>
      </c>
      <c r="W584" s="354">
        <f t="shared" si="197"/>
        <v>0</v>
      </c>
      <c r="X584" s="354">
        <f t="shared" si="197"/>
        <v>0</v>
      </c>
      <c r="Y584" s="354">
        <f t="shared" si="197"/>
        <v>0</v>
      </c>
      <c r="AQ584" s="3"/>
    </row>
    <row r="585" spans="5:43" x14ac:dyDescent="0.3">
      <c r="E585" s="342"/>
      <c r="F585" s="2" t="s">
        <v>984</v>
      </c>
      <c r="G585" t="s">
        <v>206</v>
      </c>
      <c r="J585" s="354">
        <f>J125</f>
        <v>0</v>
      </c>
      <c r="K585" s="354">
        <f t="shared" ref="K585:Y585" si="198">K125</f>
        <v>0</v>
      </c>
      <c r="L585" s="354">
        <f t="shared" si="198"/>
        <v>598.5442669211094</v>
      </c>
      <c r="M585" s="354">
        <f t="shared" si="198"/>
        <v>0</v>
      </c>
      <c r="N585" s="354">
        <f t="shared" si="198"/>
        <v>788.81418416769884</v>
      </c>
      <c r="O585" s="354">
        <f t="shared" si="198"/>
        <v>0</v>
      </c>
      <c r="P585" s="354">
        <f t="shared" si="198"/>
        <v>0</v>
      </c>
      <c r="Q585" s="354">
        <f t="shared" si="198"/>
        <v>0</v>
      </c>
      <c r="R585" s="354">
        <f t="shared" si="198"/>
        <v>0</v>
      </c>
      <c r="S585" s="354">
        <f t="shared" si="198"/>
        <v>0</v>
      </c>
      <c r="T585" s="354">
        <f t="shared" si="198"/>
        <v>0</v>
      </c>
      <c r="U585" s="354">
        <f t="shared" si="198"/>
        <v>0</v>
      </c>
      <c r="V585" s="354">
        <f t="shared" si="198"/>
        <v>0</v>
      </c>
      <c r="W585" s="354">
        <f t="shared" si="198"/>
        <v>0</v>
      </c>
      <c r="X585" s="354">
        <f t="shared" si="198"/>
        <v>0</v>
      </c>
      <c r="Y585" s="354">
        <f t="shared" si="198"/>
        <v>0</v>
      </c>
      <c r="AQ585" s="3"/>
    </row>
    <row r="586" spans="5:43" x14ac:dyDescent="0.3">
      <c r="E586" s="342"/>
      <c r="F586" s="2" t="s">
        <v>986</v>
      </c>
      <c r="G586" t="s">
        <v>206</v>
      </c>
      <c r="J586" s="101">
        <f>J134</f>
        <v>0</v>
      </c>
      <c r="K586" s="101">
        <f t="shared" ref="K586:Y586" si="199">K134</f>
        <v>0</v>
      </c>
      <c r="L586" s="101">
        <f t="shared" si="199"/>
        <v>764.19213581096665</v>
      </c>
      <c r="M586" s="101">
        <f t="shared" si="199"/>
        <v>0</v>
      </c>
      <c r="N586" s="101">
        <f t="shared" si="199"/>
        <v>455.79415537128625</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3">
      <c r="E587" s="342"/>
      <c r="F587" s="2" t="s">
        <v>985</v>
      </c>
      <c r="G587" t="s">
        <v>206</v>
      </c>
      <c r="J587" s="101">
        <f>J143</f>
        <v>0</v>
      </c>
      <c r="K587" s="101">
        <f t="shared" ref="K587:Y587" si="200">K143</f>
        <v>0</v>
      </c>
      <c r="L587" s="101">
        <f t="shared" si="200"/>
        <v>2281.8854028922688</v>
      </c>
      <c r="M587" s="101">
        <f t="shared" si="200"/>
        <v>0</v>
      </c>
      <c r="N587" s="101">
        <f t="shared" si="200"/>
        <v>1006.2071961888839</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3">
      <c r="E588" s="72" t="s">
        <v>211</v>
      </c>
      <c r="F588" s="2"/>
      <c r="J588" s="26"/>
      <c r="K588" s="26"/>
      <c r="L588" s="26"/>
      <c r="M588" s="26"/>
      <c r="N588" s="26"/>
      <c r="O588" s="26"/>
      <c r="P588" s="26"/>
      <c r="Q588" s="26"/>
      <c r="R588" s="26"/>
      <c r="S588" s="26"/>
      <c r="T588" s="26"/>
      <c r="U588" s="26"/>
      <c r="V588" s="26"/>
      <c r="W588" s="26"/>
      <c r="X588" s="26"/>
      <c r="Y588" s="26"/>
      <c r="AQ588" s="3"/>
    </row>
    <row r="589" spans="5:43" x14ac:dyDescent="0.3">
      <c r="E589" s="342"/>
      <c r="F589" s="2" t="s">
        <v>982</v>
      </c>
      <c r="G589" t="s">
        <v>211</v>
      </c>
      <c r="J589" s="131">
        <f>J108</f>
        <v>0</v>
      </c>
      <c r="K589" s="131">
        <f t="shared" ref="K589:Y589" si="201">K108</f>
        <v>0</v>
      </c>
      <c r="L589" s="131">
        <f t="shared" si="201"/>
        <v>0</v>
      </c>
      <c r="M589" s="131">
        <f t="shared" si="201"/>
        <v>0</v>
      </c>
      <c r="N589" s="131">
        <f t="shared" si="201"/>
        <v>0</v>
      </c>
      <c r="O589" s="131">
        <f t="shared" si="201"/>
        <v>0</v>
      </c>
      <c r="P589" s="131">
        <f t="shared" si="201"/>
        <v>0</v>
      </c>
      <c r="Q589" s="131">
        <f t="shared" si="201"/>
        <v>0</v>
      </c>
      <c r="R589" s="131">
        <f t="shared" si="201"/>
        <v>0</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3">
      <c r="E590" s="342"/>
      <c r="F590" s="2" t="s">
        <v>983</v>
      </c>
      <c r="G590" t="s">
        <v>211</v>
      </c>
      <c r="J590" s="354">
        <f>J117</f>
        <v>52808.841615088189</v>
      </c>
      <c r="K590" s="354">
        <f t="shared" ref="K590:Y590" si="202">K117</f>
        <v>0</v>
      </c>
      <c r="L590" s="354">
        <f t="shared" si="202"/>
        <v>362.13214272409368</v>
      </c>
      <c r="M590" s="354">
        <f t="shared" si="202"/>
        <v>0</v>
      </c>
      <c r="N590" s="354">
        <f t="shared" si="202"/>
        <v>16.620369738727064</v>
      </c>
      <c r="O590" s="354">
        <f t="shared" si="202"/>
        <v>0</v>
      </c>
      <c r="P590" s="354">
        <f t="shared" si="202"/>
        <v>0</v>
      </c>
      <c r="Q590" s="354">
        <f t="shared" si="202"/>
        <v>74</v>
      </c>
      <c r="R590" s="354">
        <f t="shared" si="202"/>
        <v>0</v>
      </c>
      <c r="S590" s="354">
        <f t="shared" si="202"/>
        <v>0</v>
      </c>
      <c r="T590" s="354">
        <f t="shared" si="202"/>
        <v>0</v>
      </c>
      <c r="U590" s="354">
        <f t="shared" si="202"/>
        <v>0</v>
      </c>
      <c r="V590" s="354">
        <f t="shared" si="202"/>
        <v>0</v>
      </c>
      <c r="W590" s="354">
        <f t="shared" si="202"/>
        <v>0</v>
      </c>
      <c r="X590" s="354">
        <f t="shared" si="202"/>
        <v>0</v>
      </c>
      <c r="Y590" s="354">
        <f t="shared" si="202"/>
        <v>0</v>
      </c>
      <c r="AQ590" s="3"/>
    </row>
    <row r="591" spans="5:43" x14ac:dyDescent="0.3">
      <c r="E591" s="342"/>
      <c r="F591" s="2" t="s">
        <v>984</v>
      </c>
      <c r="G591" t="s">
        <v>211</v>
      </c>
      <c r="J591" s="354">
        <f>J126</f>
        <v>0</v>
      </c>
      <c r="K591" s="354">
        <f t="shared" ref="K591:Y591" si="203">K126</f>
        <v>0</v>
      </c>
      <c r="L591" s="354">
        <f t="shared" si="203"/>
        <v>322.45540923447231</v>
      </c>
      <c r="M591" s="354">
        <f t="shared" si="203"/>
        <v>0</v>
      </c>
      <c r="N591" s="354">
        <f t="shared" si="203"/>
        <v>15.276894740432498</v>
      </c>
      <c r="O591" s="354">
        <f t="shared" si="203"/>
        <v>0</v>
      </c>
      <c r="P591" s="354">
        <f t="shared" si="203"/>
        <v>0</v>
      </c>
      <c r="Q591" s="354">
        <f t="shared" si="203"/>
        <v>0</v>
      </c>
      <c r="R591" s="354">
        <f t="shared" si="203"/>
        <v>0</v>
      </c>
      <c r="S591" s="354">
        <f t="shared" si="203"/>
        <v>0</v>
      </c>
      <c r="T591" s="354">
        <f t="shared" si="203"/>
        <v>0</v>
      </c>
      <c r="U591" s="354">
        <f t="shared" si="203"/>
        <v>0</v>
      </c>
      <c r="V591" s="354">
        <f t="shared" si="203"/>
        <v>0</v>
      </c>
      <c r="W591" s="354">
        <f t="shared" si="203"/>
        <v>0</v>
      </c>
      <c r="X591" s="354">
        <f t="shared" si="203"/>
        <v>0</v>
      </c>
      <c r="Y591" s="354">
        <f t="shared" si="203"/>
        <v>0</v>
      </c>
      <c r="AQ591" s="3"/>
    </row>
    <row r="592" spans="5:43" x14ac:dyDescent="0.3">
      <c r="E592" s="342"/>
      <c r="F592" s="2" t="s">
        <v>986</v>
      </c>
      <c r="G592" t="s">
        <v>211</v>
      </c>
      <c r="J592" s="101">
        <f>J135</f>
        <v>0</v>
      </c>
      <c r="K592" s="101">
        <f t="shared" ref="K592:Y592" si="204">K135</f>
        <v>0</v>
      </c>
      <c r="L592" s="101">
        <f t="shared" si="204"/>
        <v>166.16762839192711</v>
      </c>
      <c r="M592" s="101">
        <f t="shared" si="204"/>
        <v>0</v>
      </c>
      <c r="N592" s="101">
        <f t="shared" si="204"/>
        <v>5.4120335629988405</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3">
      <c r="E593" s="342"/>
      <c r="F593" s="2" t="s">
        <v>985</v>
      </c>
      <c r="G593" t="s">
        <v>211</v>
      </c>
      <c r="J593" s="101">
        <f>J144</f>
        <v>0</v>
      </c>
      <c r="K593" s="101">
        <f t="shared" ref="K593:Y593" si="205">K144</f>
        <v>0</v>
      </c>
      <c r="L593" s="101">
        <f t="shared" si="205"/>
        <v>159.32975115635622</v>
      </c>
      <c r="M593" s="101">
        <f t="shared" si="205"/>
        <v>0</v>
      </c>
      <c r="N593" s="101">
        <f t="shared" si="205"/>
        <v>5.6907019578415996</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3">
      <c r="E594" s="72" t="s">
        <v>249</v>
      </c>
      <c r="F594" s="2"/>
      <c r="J594" s="26"/>
      <c r="K594" s="26"/>
      <c r="L594" s="26"/>
      <c r="M594" s="26"/>
      <c r="N594" s="26"/>
      <c r="O594" s="26"/>
      <c r="P594" s="26"/>
      <c r="Q594" s="26"/>
      <c r="R594" s="26"/>
      <c r="S594" s="26"/>
      <c r="T594" s="26"/>
      <c r="U594" s="26"/>
      <c r="V594" s="26"/>
      <c r="W594" s="26"/>
      <c r="X594" s="26"/>
      <c r="Y594" s="26"/>
      <c r="AQ594" s="3"/>
    </row>
    <row r="595" spans="5:43" x14ac:dyDescent="0.3">
      <c r="E595" s="342"/>
      <c r="F595" s="2" t="s">
        <v>982</v>
      </c>
      <c r="G595" t="s">
        <v>250</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3">
      <c r="E596" s="342"/>
      <c r="F596" s="2" t="s">
        <v>983</v>
      </c>
      <c r="G596" t="s">
        <v>250</v>
      </c>
      <c r="J596" s="354">
        <f>J118</f>
        <v>0</v>
      </c>
      <c r="K596" s="354">
        <f t="shared" ref="K596:Y596" si="207">K118</f>
        <v>0</v>
      </c>
      <c r="L596" s="354">
        <f t="shared" si="207"/>
        <v>0</v>
      </c>
      <c r="M596" s="354">
        <f t="shared" si="207"/>
        <v>0</v>
      </c>
      <c r="N596" s="354">
        <f t="shared" si="207"/>
        <v>726.76374638232608</v>
      </c>
      <c r="O596" s="354">
        <f t="shared" si="207"/>
        <v>0</v>
      </c>
      <c r="P596" s="354">
        <f t="shared" si="207"/>
        <v>0</v>
      </c>
      <c r="Q596" s="354">
        <f t="shared" si="207"/>
        <v>0</v>
      </c>
      <c r="R596" s="354">
        <f t="shared" si="207"/>
        <v>0</v>
      </c>
      <c r="S596" s="354">
        <f t="shared" si="207"/>
        <v>0</v>
      </c>
      <c r="T596" s="354">
        <f t="shared" si="207"/>
        <v>0</v>
      </c>
      <c r="U596" s="354">
        <f t="shared" si="207"/>
        <v>0</v>
      </c>
      <c r="V596" s="354">
        <f t="shared" si="207"/>
        <v>0</v>
      </c>
      <c r="W596" s="354">
        <f t="shared" si="207"/>
        <v>0</v>
      </c>
      <c r="X596" s="354">
        <f t="shared" si="207"/>
        <v>0</v>
      </c>
      <c r="Y596" s="354">
        <f t="shared" si="207"/>
        <v>0</v>
      </c>
      <c r="AQ596" s="3"/>
    </row>
    <row r="597" spans="5:43" x14ac:dyDescent="0.3">
      <c r="E597" s="342"/>
      <c r="F597" s="2" t="s">
        <v>984</v>
      </c>
      <c r="G597" t="s">
        <v>250</v>
      </c>
      <c r="J597" s="354">
        <f>J127</f>
        <v>0</v>
      </c>
      <c r="K597" s="354">
        <f t="shared" ref="K597:Y597" si="208">K127</f>
        <v>0</v>
      </c>
      <c r="L597" s="354">
        <f t="shared" si="208"/>
        <v>0</v>
      </c>
      <c r="M597" s="354">
        <f t="shared" si="208"/>
        <v>0</v>
      </c>
      <c r="N597" s="354">
        <f t="shared" si="208"/>
        <v>1665.7569877072781</v>
      </c>
      <c r="O597" s="354">
        <f t="shared" si="208"/>
        <v>0</v>
      </c>
      <c r="P597" s="354">
        <f t="shared" si="208"/>
        <v>0</v>
      </c>
      <c r="Q597" s="354">
        <f t="shared" si="208"/>
        <v>0</v>
      </c>
      <c r="R597" s="354">
        <f t="shared" si="208"/>
        <v>0</v>
      </c>
      <c r="S597" s="354">
        <f t="shared" si="208"/>
        <v>0</v>
      </c>
      <c r="T597" s="354">
        <f t="shared" si="208"/>
        <v>0</v>
      </c>
      <c r="U597" s="354">
        <f t="shared" si="208"/>
        <v>0</v>
      </c>
      <c r="V597" s="354">
        <f t="shared" si="208"/>
        <v>0</v>
      </c>
      <c r="W597" s="354">
        <f t="shared" si="208"/>
        <v>0</v>
      </c>
      <c r="X597" s="354">
        <f t="shared" si="208"/>
        <v>0</v>
      </c>
      <c r="Y597" s="354">
        <f t="shared" si="208"/>
        <v>0</v>
      </c>
      <c r="AQ597" s="3"/>
    </row>
    <row r="598" spans="5:43" x14ac:dyDescent="0.3">
      <c r="E598" s="342"/>
      <c r="F598" s="2" t="s">
        <v>986</v>
      </c>
      <c r="G598" t="s">
        <v>250</v>
      </c>
      <c r="J598" s="101">
        <f>J136</f>
        <v>0</v>
      </c>
      <c r="K598" s="101">
        <f t="shared" ref="K598:Y598" si="209">K136</f>
        <v>0</v>
      </c>
      <c r="L598" s="101">
        <f t="shared" si="209"/>
        <v>0</v>
      </c>
      <c r="M598" s="101">
        <f t="shared" si="209"/>
        <v>0</v>
      </c>
      <c r="N598" s="101">
        <f t="shared" si="209"/>
        <v>962.51096202961401</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3">
      <c r="E599" s="342"/>
      <c r="F599" s="2" t="s">
        <v>985</v>
      </c>
      <c r="G599" t="s">
        <v>250</v>
      </c>
      <c r="J599" s="101">
        <f>J145</f>
        <v>0</v>
      </c>
      <c r="K599" s="101">
        <f t="shared" ref="K599:Y599" si="210">K145</f>
        <v>0</v>
      </c>
      <c r="L599" s="101">
        <f t="shared" si="210"/>
        <v>0</v>
      </c>
      <c r="M599" s="101">
        <f t="shared" si="210"/>
        <v>0</v>
      </c>
      <c r="N599" s="101">
        <f t="shared" si="210"/>
        <v>2124.830792566795</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3">
      <c r="E600" s="72" t="s">
        <v>251</v>
      </c>
      <c r="F600" s="2"/>
      <c r="J600" s="26"/>
      <c r="K600" s="26"/>
      <c r="L600" s="26"/>
      <c r="M600" s="26"/>
      <c r="N600" s="26"/>
      <c r="O600" s="26"/>
      <c r="P600" s="26"/>
      <c r="Q600" s="26"/>
      <c r="R600" s="26"/>
      <c r="S600" s="26"/>
      <c r="T600" s="26"/>
      <c r="U600" s="26"/>
      <c r="V600" s="26"/>
      <c r="W600" s="26"/>
      <c r="X600" s="26"/>
      <c r="Y600" s="26"/>
      <c r="AQ600" s="3"/>
    </row>
    <row r="601" spans="5:43" x14ac:dyDescent="0.3">
      <c r="E601" s="342"/>
      <c r="F601" s="2" t="s">
        <v>982</v>
      </c>
      <c r="G601" t="s">
        <v>250</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3">
      <c r="E602" s="342"/>
      <c r="F602" s="2" t="s">
        <v>983</v>
      </c>
      <c r="G602" t="s">
        <v>250</v>
      </c>
      <c r="J602" s="354">
        <f>J119</f>
        <v>0</v>
      </c>
      <c r="K602" s="354">
        <f t="shared" ref="K602:Y602" si="212">K119</f>
        <v>0</v>
      </c>
      <c r="L602" s="354">
        <f t="shared" si="212"/>
        <v>0</v>
      </c>
      <c r="M602" s="354">
        <f t="shared" si="212"/>
        <v>0</v>
      </c>
      <c r="N602" s="354">
        <f t="shared" si="212"/>
        <v>7.4961176122136077</v>
      </c>
      <c r="O602" s="354">
        <f t="shared" si="212"/>
        <v>0</v>
      </c>
      <c r="P602" s="354">
        <f t="shared" si="212"/>
        <v>0</v>
      </c>
      <c r="Q602" s="354">
        <f t="shared" si="212"/>
        <v>0</v>
      </c>
      <c r="R602" s="354">
        <f t="shared" si="212"/>
        <v>0</v>
      </c>
      <c r="S602" s="354">
        <f t="shared" si="212"/>
        <v>0</v>
      </c>
      <c r="T602" s="354">
        <f t="shared" si="212"/>
        <v>0</v>
      </c>
      <c r="U602" s="354">
        <f t="shared" si="212"/>
        <v>0</v>
      </c>
      <c r="V602" s="354">
        <f t="shared" si="212"/>
        <v>0</v>
      </c>
      <c r="W602" s="354">
        <f t="shared" si="212"/>
        <v>0</v>
      </c>
      <c r="X602" s="354">
        <f t="shared" si="212"/>
        <v>0</v>
      </c>
      <c r="Y602" s="354">
        <f t="shared" si="212"/>
        <v>0</v>
      </c>
      <c r="AQ602" s="3"/>
    </row>
    <row r="603" spans="5:43" x14ac:dyDescent="0.3">
      <c r="E603" s="342"/>
      <c r="F603" s="2" t="s">
        <v>984</v>
      </c>
      <c r="G603" t="s">
        <v>250</v>
      </c>
      <c r="J603" s="354">
        <f>J128</f>
        <v>0</v>
      </c>
      <c r="K603" s="354">
        <f t="shared" ref="K603:Y603" si="213">K128</f>
        <v>0</v>
      </c>
      <c r="L603" s="354">
        <f t="shared" si="213"/>
        <v>0</v>
      </c>
      <c r="M603" s="354">
        <f t="shared" si="213"/>
        <v>0</v>
      </c>
      <c r="N603" s="354">
        <f t="shared" si="213"/>
        <v>17.181250929723141</v>
      </c>
      <c r="O603" s="354">
        <f t="shared" si="213"/>
        <v>0</v>
      </c>
      <c r="P603" s="354">
        <f t="shared" si="213"/>
        <v>0</v>
      </c>
      <c r="Q603" s="354">
        <f t="shared" si="213"/>
        <v>0</v>
      </c>
      <c r="R603" s="354">
        <f t="shared" si="213"/>
        <v>0</v>
      </c>
      <c r="S603" s="354">
        <f t="shared" si="213"/>
        <v>0</v>
      </c>
      <c r="T603" s="354">
        <f t="shared" si="213"/>
        <v>0</v>
      </c>
      <c r="U603" s="354">
        <f t="shared" si="213"/>
        <v>0</v>
      </c>
      <c r="V603" s="354">
        <f t="shared" si="213"/>
        <v>0</v>
      </c>
      <c r="W603" s="354">
        <f t="shared" si="213"/>
        <v>0</v>
      </c>
      <c r="X603" s="354">
        <f t="shared" si="213"/>
        <v>0</v>
      </c>
      <c r="Y603" s="354">
        <f t="shared" si="213"/>
        <v>0</v>
      </c>
      <c r="AQ603" s="3"/>
    </row>
    <row r="604" spans="5:43" x14ac:dyDescent="0.3">
      <c r="E604" s="342"/>
      <c r="F604" s="2" t="s">
        <v>986</v>
      </c>
      <c r="G604" t="s">
        <v>250</v>
      </c>
      <c r="J604" s="101">
        <f>J137</f>
        <v>0</v>
      </c>
      <c r="K604" s="101">
        <f t="shared" ref="K604:Y604" si="214">K137</f>
        <v>0</v>
      </c>
      <c r="L604" s="101">
        <f t="shared" si="214"/>
        <v>0</v>
      </c>
      <c r="M604" s="101">
        <f t="shared" si="214"/>
        <v>0</v>
      </c>
      <c r="N604" s="101">
        <f t="shared" si="214"/>
        <v>9.9277040308271403</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3">
      <c r="E605" s="342"/>
      <c r="F605" s="2" t="s">
        <v>985</v>
      </c>
      <c r="G605" t="s">
        <v>250</v>
      </c>
      <c r="J605" s="101">
        <f>J146</f>
        <v>0</v>
      </c>
      <c r="K605" s="101">
        <f t="shared" ref="K605:Y605" si="215">K146</f>
        <v>0</v>
      </c>
      <c r="L605" s="101">
        <f t="shared" si="215"/>
        <v>0</v>
      </c>
      <c r="M605" s="101">
        <f t="shared" si="215"/>
        <v>0</v>
      </c>
      <c r="N605" s="101">
        <f t="shared" si="215"/>
        <v>21.916312703295706</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3">
      <c r="E606" s="342" t="s">
        <v>252</v>
      </c>
      <c r="F606" s="343"/>
      <c r="J606" s="26"/>
      <c r="K606" s="26"/>
      <c r="L606" s="26"/>
      <c r="M606" s="26"/>
      <c r="N606" s="26"/>
      <c r="O606" s="26"/>
      <c r="P606" s="26"/>
      <c r="Q606" s="26"/>
      <c r="R606" s="26"/>
      <c r="S606" s="26"/>
      <c r="T606" s="26"/>
      <c r="U606" s="26"/>
      <c r="V606" s="26"/>
      <c r="W606" s="26"/>
      <c r="X606" s="26"/>
      <c r="Y606" s="26"/>
      <c r="AQ606" s="3"/>
    </row>
    <row r="607" spans="5:43" x14ac:dyDescent="0.3">
      <c r="E607" s="342"/>
      <c r="F607" s="343" t="s">
        <v>982</v>
      </c>
      <c r="G607" t="s">
        <v>253</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3">
      <c r="E608" s="342"/>
      <c r="F608" s="343" t="s">
        <v>983</v>
      </c>
      <c r="G608" t="s">
        <v>253</v>
      </c>
      <c r="J608" s="354">
        <f>J120</f>
        <v>0</v>
      </c>
      <c r="K608" s="354">
        <f t="shared" ref="K608:Y608" si="217">K120</f>
        <v>0</v>
      </c>
      <c r="L608" s="354">
        <f t="shared" si="217"/>
        <v>0</v>
      </c>
      <c r="M608" s="354">
        <f t="shared" si="217"/>
        <v>0</v>
      </c>
      <c r="N608" s="354">
        <f t="shared" si="217"/>
        <v>65.399025966558455</v>
      </c>
      <c r="O608" s="354">
        <f t="shared" si="217"/>
        <v>0</v>
      </c>
      <c r="P608" s="354">
        <f t="shared" si="217"/>
        <v>0</v>
      </c>
      <c r="Q608" s="354">
        <f t="shared" si="217"/>
        <v>0</v>
      </c>
      <c r="R608" s="354">
        <f t="shared" si="217"/>
        <v>0</v>
      </c>
      <c r="S608" s="354">
        <f t="shared" si="217"/>
        <v>0</v>
      </c>
      <c r="T608" s="354">
        <f t="shared" si="217"/>
        <v>0</v>
      </c>
      <c r="U608" s="354">
        <f t="shared" si="217"/>
        <v>0</v>
      </c>
      <c r="V608" s="354">
        <f t="shared" si="217"/>
        <v>0</v>
      </c>
      <c r="W608" s="354">
        <f t="shared" si="217"/>
        <v>0</v>
      </c>
      <c r="X608" s="354">
        <f t="shared" si="217"/>
        <v>0</v>
      </c>
      <c r="Y608" s="354">
        <f t="shared" si="217"/>
        <v>0</v>
      </c>
      <c r="AQ608" s="3"/>
    </row>
    <row r="609" spans="4:43" x14ac:dyDescent="0.3">
      <c r="E609" s="342"/>
      <c r="F609" s="343" t="s">
        <v>984</v>
      </c>
      <c r="G609" t="s">
        <v>253</v>
      </c>
      <c r="J609" s="354">
        <f>J129</f>
        <v>0</v>
      </c>
      <c r="K609" s="354">
        <f t="shared" ref="K609:Y609" si="218">K129</f>
        <v>0</v>
      </c>
      <c r="L609" s="354">
        <f t="shared" si="218"/>
        <v>0</v>
      </c>
      <c r="M609" s="354">
        <f t="shared" si="218"/>
        <v>0</v>
      </c>
      <c r="N609" s="354">
        <f t="shared" si="218"/>
        <v>149.89587061176186</v>
      </c>
      <c r="O609" s="354">
        <f t="shared" si="218"/>
        <v>0</v>
      </c>
      <c r="P609" s="354">
        <f t="shared" si="218"/>
        <v>0</v>
      </c>
      <c r="Q609" s="354">
        <f t="shared" si="218"/>
        <v>0</v>
      </c>
      <c r="R609" s="354">
        <f t="shared" si="218"/>
        <v>0</v>
      </c>
      <c r="S609" s="354">
        <f t="shared" si="218"/>
        <v>0</v>
      </c>
      <c r="T609" s="354">
        <f t="shared" si="218"/>
        <v>0</v>
      </c>
      <c r="U609" s="354">
        <f t="shared" si="218"/>
        <v>0</v>
      </c>
      <c r="V609" s="354">
        <f t="shared" si="218"/>
        <v>0</v>
      </c>
      <c r="W609" s="354">
        <f t="shared" si="218"/>
        <v>0</v>
      </c>
      <c r="X609" s="354">
        <f t="shared" si="218"/>
        <v>0</v>
      </c>
      <c r="Y609" s="354">
        <f t="shared" si="218"/>
        <v>0</v>
      </c>
      <c r="AQ609" s="3"/>
    </row>
    <row r="610" spans="4:43" x14ac:dyDescent="0.3">
      <c r="E610" s="342"/>
      <c r="F610" s="343" t="s">
        <v>986</v>
      </c>
      <c r="G610" t="s">
        <v>253</v>
      </c>
      <c r="J610" s="101">
        <f>J138</f>
        <v>0</v>
      </c>
      <c r="K610" s="101">
        <f t="shared" ref="K610:Y610" si="219">K138</f>
        <v>0</v>
      </c>
      <c r="L610" s="101">
        <f t="shared" si="219"/>
        <v>0</v>
      </c>
      <c r="M610" s="101">
        <f t="shared" si="219"/>
        <v>0</v>
      </c>
      <c r="N610" s="101">
        <f t="shared" si="219"/>
        <v>86.613125258668887</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3">
      <c r="E611" s="80"/>
      <c r="F611" s="344" t="s">
        <v>985</v>
      </c>
      <c r="G611" s="37" t="s">
        <v>253</v>
      </c>
      <c r="H611" s="37"/>
      <c r="I611" s="37"/>
      <c r="J611" s="354">
        <f>J147</f>
        <v>0</v>
      </c>
      <c r="K611" s="354">
        <f t="shared" ref="K611:Y611" si="220">K147</f>
        <v>0</v>
      </c>
      <c r="L611" s="354">
        <f t="shared" si="220"/>
        <v>0</v>
      </c>
      <c r="M611" s="354">
        <f t="shared" si="220"/>
        <v>0</v>
      </c>
      <c r="N611" s="354">
        <f t="shared" si="220"/>
        <v>191.20637878449654</v>
      </c>
      <c r="O611" s="354">
        <f t="shared" si="220"/>
        <v>0</v>
      </c>
      <c r="P611" s="354">
        <f t="shared" si="220"/>
        <v>0</v>
      </c>
      <c r="Q611" s="354">
        <f t="shared" si="220"/>
        <v>0</v>
      </c>
      <c r="R611" s="354">
        <f t="shared" si="220"/>
        <v>0</v>
      </c>
      <c r="S611" s="354">
        <f t="shared" si="220"/>
        <v>0</v>
      </c>
      <c r="T611" s="354">
        <f t="shared" si="220"/>
        <v>0</v>
      </c>
      <c r="U611" s="354">
        <f t="shared" si="220"/>
        <v>0</v>
      </c>
      <c r="V611" s="354">
        <f t="shared" si="220"/>
        <v>0</v>
      </c>
      <c r="W611" s="354">
        <f t="shared" si="220"/>
        <v>0</v>
      </c>
      <c r="X611" s="354">
        <f t="shared" si="220"/>
        <v>0</v>
      </c>
      <c r="Y611" s="354">
        <f t="shared" si="220"/>
        <v>0</v>
      </c>
      <c r="AQ611" s="3"/>
    </row>
    <row r="612" spans="4:43" x14ac:dyDescent="0.3">
      <c r="AQ612" s="3"/>
    </row>
    <row r="613" spans="4:43" x14ac:dyDescent="0.3">
      <c r="D613" s="32" t="s">
        <v>1136</v>
      </c>
      <c r="AQ613" s="3"/>
    </row>
    <row r="614" spans="4:43" x14ac:dyDescent="0.3">
      <c r="E614" s="78" t="s">
        <v>246</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3">
      <c r="E615" s="342"/>
      <c r="F615" s="2" t="s">
        <v>982</v>
      </c>
      <c r="G615" t="s">
        <v>206</v>
      </c>
      <c r="J615" s="131">
        <f>J152</f>
        <v>0</v>
      </c>
      <c r="K615" s="131">
        <f t="shared" ref="K615:Y615" si="221">K152</f>
        <v>0</v>
      </c>
      <c r="L615" s="131">
        <f t="shared" si="221"/>
        <v>0</v>
      </c>
      <c r="M615" s="131">
        <f t="shared" si="221"/>
        <v>0</v>
      </c>
      <c r="N615" s="131">
        <f t="shared" si="221"/>
        <v>0</v>
      </c>
      <c r="O615" s="131">
        <f t="shared" si="221"/>
        <v>0</v>
      </c>
      <c r="P615" s="131">
        <f t="shared" si="221"/>
        <v>0</v>
      </c>
      <c r="Q615" s="131">
        <f t="shared" si="221"/>
        <v>0</v>
      </c>
      <c r="R615" s="131">
        <f t="shared" si="221"/>
        <v>0</v>
      </c>
      <c r="S615" s="131">
        <f t="shared" si="221"/>
        <v>0</v>
      </c>
      <c r="T615" s="131">
        <f t="shared" si="221"/>
        <v>0</v>
      </c>
      <c r="U615" s="131">
        <f t="shared" si="221"/>
        <v>0</v>
      </c>
      <c r="V615" s="131">
        <f t="shared" si="221"/>
        <v>0</v>
      </c>
      <c r="W615" s="131">
        <f t="shared" si="221"/>
        <v>0</v>
      </c>
      <c r="X615" s="131">
        <f t="shared" si="221"/>
        <v>0</v>
      </c>
      <c r="Y615" s="131">
        <f t="shared" si="221"/>
        <v>0</v>
      </c>
      <c r="AQ615" s="3"/>
    </row>
    <row r="616" spans="4:43" x14ac:dyDescent="0.3">
      <c r="E616" s="342"/>
      <c r="F616" s="2" t="s">
        <v>983</v>
      </c>
      <c r="G616" t="s">
        <v>206</v>
      </c>
      <c r="J616" s="354">
        <f>J161</f>
        <v>20406.995946034098</v>
      </c>
      <c r="K616" s="354">
        <f t="shared" ref="K616:Y616" si="222">K161</f>
        <v>0</v>
      </c>
      <c r="L616" s="354">
        <f t="shared" si="222"/>
        <v>53.032577897376015</v>
      </c>
      <c r="M616" s="354">
        <f t="shared" si="222"/>
        <v>0</v>
      </c>
      <c r="N616" s="354">
        <f t="shared" si="222"/>
        <v>2005.8837928996877</v>
      </c>
      <c r="O616" s="354">
        <f t="shared" si="222"/>
        <v>225.17186397576623</v>
      </c>
      <c r="P616" s="354">
        <f t="shared" si="222"/>
        <v>339.68738876924675</v>
      </c>
      <c r="Q616" s="354">
        <f t="shared" si="222"/>
        <v>0.80750664611319134</v>
      </c>
      <c r="R616" s="354">
        <f t="shared" si="222"/>
        <v>0</v>
      </c>
      <c r="S616" s="354">
        <f t="shared" si="222"/>
        <v>0</v>
      </c>
      <c r="T616" s="354">
        <f t="shared" si="222"/>
        <v>0</v>
      </c>
      <c r="U616" s="354">
        <f t="shared" si="222"/>
        <v>0</v>
      </c>
      <c r="V616" s="354">
        <f t="shared" si="222"/>
        <v>0</v>
      </c>
      <c r="W616" s="354">
        <f t="shared" si="222"/>
        <v>0</v>
      </c>
      <c r="X616" s="354">
        <f t="shared" si="222"/>
        <v>0</v>
      </c>
      <c r="Y616" s="354">
        <f t="shared" si="222"/>
        <v>0</v>
      </c>
      <c r="AQ616" s="3"/>
    </row>
    <row r="617" spans="4:43" x14ac:dyDescent="0.3">
      <c r="E617" s="342"/>
      <c r="F617" s="2" t="s">
        <v>984</v>
      </c>
      <c r="G617" t="s">
        <v>206</v>
      </c>
      <c r="J617" s="354">
        <f>J170</f>
        <v>0</v>
      </c>
      <c r="K617" s="354">
        <f t="shared" ref="K617:Y617" si="223">K170</f>
        <v>0</v>
      </c>
      <c r="L617" s="354">
        <f t="shared" si="223"/>
        <v>232.97654200551398</v>
      </c>
      <c r="M617" s="354">
        <f t="shared" si="223"/>
        <v>0</v>
      </c>
      <c r="N617" s="354">
        <f t="shared" si="223"/>
        <v>4597.5256211991609</v>
      </c>
      <c r="O617" s="354">
        <f t="shared" si="223"/>
        <v>516.09839885352153</v>
      </c>
      <c r="P617" s="354">
        <f t="shared" si="223"/>
        <v>898.17967324229562</v>
      </c>
      <c r="Q617" s="354">
        <f t="shared" si="223"/>
        <v>0</v>
      </c>
      <c r="R617" s="354">
        <f t="shared" si="223"/>
        <v>0</v>
      </c>
      <c r="S617" s="354">
        <f t="shared" si="223"/>
        <v>0</v>
      </c>
      <c r="T617" s="354">
        <f t="shared" si="223"/>
        <v>0</v>
      </c>
      <c r="U617" s="354">
        <f t="shared" si="223"/>
        <v>0</v>
      </c>
      <c r="V617" s="354">
        <f t="shared" si="223"/>
        <v>0</v>
      </c>
      <c r="W617" s="354">
        <f t="shared" si="223"/>
        <v>0</v>
      </c>
      <c r="X617" s="354">
        <f t="shared" si="223"/>
        <v>0</v>
      </c>
      <c r="Y617" s="354">
        <f t="shared" si="223"/>
        <v>0</v>
      </c>
      <c r="AQ617" s="3"/>
    </row>
    <row r="618" spans="4:43" x14ac:dyDescent="0.3">
      <c r="E618" s="342"/>
      <c r="F618" s="2" t="s">
        <v>986</v>
      </c>
      <c r="G618" t="s">
        <v>206</v>
      </c>
      <c r="J618" s="101">
        <f>J179</f>
        <v>0</v>
      </c>
      <c r="K618" s="101">
        <f t="shared" ref="K618:Y618" si="224">K179</f>
        <v>0</v>
      </c>
      <c r="L618" s="101">
        <f t="shared" si="224"/>
        <v>297.45308921739843</v>
      </c>
      <c r="M618" s="101">
        <f t="shared" si="224"/>
        <v>0</v>
      </c>
      <c r="N618" s="101">
        <f t="shared" si="224"/>
        <v>2656.5512504359572</v>
      </c>
      <c r="O618" s="101">
        <f t="shared" si="224"/>
        <v>298.21298667710585</v>
      </c>
      <c r="P618" s="101">
        <f t="shared" si="224"/>
        <v>772.29570489430557</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3">
      <c r="E619" s="342"/>
      <c r="F619" s="2" t="s">
        <v>985</v>
      </c>
      <c r="G619" t="s">
        <v>206</v>
      </c>
      <c r="J619" s="101">
        <f>J188</f>
        <v>0</v>
      </c>
      <c r="K619" s="101">
        <f t="shared" ref="K619:Y619" si="225">K188</f>
        <v>0</v>
      </c>
      <c r="L619" s="101">
        <f t="shared" si="225"/>
        <v>888.197915842322</v>
      </c>
      <c r="M619" s="101">
        <f t="shared" si="225"/>
        <v>0</v>
      </c>
      <c r="N619" s="101">
        <f t="shared" si="225"/>
        <v>5864.5793363800385</v>
      </c>
      <c r="O619" s="101">
        <f t="shared" si="225"/>
        <v>658.33238459816118</v>
      </c>
      <c r="P619" s="101">
        <f t="shared" si="225"/>
        <v>1465.6503004968586</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3">
      <c r="E620" s="72" t="s">
        <v>247</v>
      </c>
      <c r="F620" s="2"/>
      <c r="J620" s="26"/>
      <c r="K620" s="26"/>
      <c r="L620" s="26"/>
      <c r="M620" s="26"/>
      <c r="N620" s="26"/>
      <c r="O620" s="26"/>
      <c r="P620" s="26"/>
      <c r="Q620" s="26"/>
      <c r="R620" s="26"/>
      <c r="S620" s="26"/>
      <c r="T620" s="26"/>
      <c r="U620" s="26"/>
      <c r="V620" s="26"/>
      <c r="W620" s="26"/>
      <c r="X620" s="26"/>
      <c r="Y620" s="26"/>
      <c r="AQ620" s="3"/>
    </row>
    <row r="621" spans="4:43" x14ac:dyDescent="0.3">
      <c r="E621" s="342"/>
      <c r="F621" s="2" t="s">
        <v>982</v>
      </c>
      <c r="G621" t="s">
        <v>206</v>
      </c>
      <c r="J621" s="131">
        <f>J153</f>
        <v>0</v>
      </c>
      <c r="K621" s="131">
        <f t="shared" ref="K621:Y621" si="226">K153</f>
        <v>0</v>
      </c>
      <c r="L621" s="131">
        <f t="shared" si="226"/>
        <v>0</v>
      </c>
      <c r="M621" s="131">
        <f t="shared" si="226"/>
        <v>0</v>
      </c>
      <c r="N621" s="131">
        <f t="shared" si="226"/>
        <v>0</v>
      </c>
      <c r="O621" s="131">
        <f t="shared" si="226"/>
        <v>0</v>
      </c>
      <c r="P621" s="131">
        <f t="shared" si="226"/>
        <v>0</v>
      </c>
      <c r="Q621" s="131">
        <f t="shared" si="226"/>
        <v>0</v>
      </c>
      <c r="R621" s="131">
        <f t="shared" si="226"/>
        <v>0</v>
      </c>
      <c r="S621" s="131">
        <f t="shared" si="226"/>
        <v>0</v>
      </c>
      <c r="T621" s="131">
        <f t="shared" si="226"/>
        <v>0</v>
      </c>
      <c r="U621" s="131">
        <f t="shared" si="226"/>
        <v>0</v>
      </c>
      <c r="V621" s="131">
        <f t="shared" si="226"/>
        <v>0</v>
      </c>
      <c r="W621" s="131">
        <f t="shared" si="226"/>
        <v>0</v>
      </c>
      <c r="X621" s="131">
        <f t="shared" si="226"/>
        <v>0</v>
      </c>
      <c r="Y621" s="131">
        <f t="shared" si="226"/>
        <v>0</v>
      </c>
      <c r="AQ621" s="3"/>
    </row>
    <row r="622" spans="4:43" x14ac:dyDescent="0.3">
      <c r="E622" s="342"/>
      <c r="F622" s="2" t="s">
        <v>983</v>
      </c>
      <c r="G622" t="s">
        <v>206</v>
      </c>
      <c r="J622" s="354">
        <f>J162</f>
        <v>51412.47224607876</v>
      </c>
      <c r="K622" s="354">
        <f t="shared" ref="K622:Y622" si="227">K162</f>
        <v>0</v>
      </c>
      <c r="L622" s="354">
        <f t="shared" si="227"/>
        <v>190.48398888402818</v>
      </c>
      <c r="M622" s="354">
        <f t="shared" si="227"/>
        <v>0</v>
      </c>
      <c r="N622" s="354">
        <f t="shared" si="227"/>
        <v>6871.0443364567927</v>
      </c>
      <c r="O622" s="354">
        <f t="shared" si="227"/>
        <v>762.73814117400013</v>
      </c>
      <c r="P622" s="354">
        <f t="shared" si="227"/>
        <v>1114.3185927442644</v>
      </c>
      <c r="Q622" s="354">
        <f t="shared" si="227"/>
        <v>2.6801943412435212</v>
      </c>
      <c r="R622" s="354">
        <f t="shared" si="227"/>
        <v>0</v>
      </c>
      <c r="S622" s="354">
        <f t="shared" si="227"/>
        <v>0</v>
      </c>
      <c r="T622" s="354">
        <f t="shared" si="227"/>
        <v>0</v>
      </c>
      <c r="U622" s="354">
        <f t="shared" si="227"/>
        <v>0</v>
      </c>
      <c r="V622" s="354">
        <f t="shared" si="227"/>
        <v>0</v>
      </c>
      <c r="W622" s="354">
        <f t="shared" si="227"/>
        <v>0</v>
      </c>
      <c r="X622" s="354">
        <f t="shared" si="227"/>
        <v>0</v>
      </c>
      <c r="Y622" s="354">
        <f t="shared" si="227"/>
        <v>0</v>
      </c>
      <c r="AQ622" s="3"/>
    </row>
    <row r="623" spans="4:43" x14ac:dyDescent="0.3">
      <c r="E623" s="342"/>
      <c r="F623" s="2" t="s">
        <v>984</v>
      </c>
      <c r="G623" t="s">
        <v>206</v>
      </c>
      <c r="J623" s="354">
        <f>J171</f>
        <v>0</v>
      </c>
      <c r="K623" s="354">
        <f t="shared" ref="K623:Y623" si="228">K171</f>
        <v>0</v>
      </c>
      <c r="L623" s="354">
        <f t="shared" si="228"/>
        <v>836.8120652836194</v>
      </c>
      <c r="M623" s="354">
        <f t="shared" si="228"/>
        <v>0</v>
      </c>
      <c r="N623" s="354">
        <f t="shared" si="228"/>
        <v>15748.570526904532</v>
      </c>
      <c r="O623" s="354">
        <f t="shared" si="228"/>
        <v>1748.2110173710623</v>
      </c>
      <c r="P623" s="354">
        <f t="shared" si="228"/>
        <v>2946.4099716658943</v>
      </c>
      <c r="Q623" s="354">
        <f t="shared" si="228"/>
        <v>0</v>
      </c>
      <c r="R623" s="354">
        <f t="shared" si="228"/>
        <v>0</v>
      </c>
      <c r="S623" s="354">
        <f t="shared" si="228"/>
        <v>0</v>
      </c>
      <c r="T623" s="354">
        <f t="shared" si="228"/>
        <v>0</v>
      </c>
      <c r="U623" s="354">
        <f t="shared" si="228"/>
        <v>0</v>
      </c>
      <c r="V623" s="354">
        <f t="shared" si="228"/>
        <v>0</v>
      </c>
      <c r="W623" s="354">
        <f t="shared" si="228"/>
        <v>0</v>
      </c>
      <c r="X623" s="354">
        <f t="shared" si="228"/>
        <v>0</v>
      </c>
      <c r="Y623" s="354">
        <f t="shared" si="228"/>
        <v>0</v>
      </c>
      <c r="AQ623" s="3"/>
    </row>
    <row r="624" spans="4:43" x14ac:dyDescent="0.3">
      <c r="E624" s="342"/>
      <c r="F624" s="2" t="s">
        <v>986</v>
      </c>
      <c r="G624" t="s">
        <v>206</v>
      </c>
      <c r="J624" s="101">
        <f>J180</f>
        <v>0</v>
      </c>
      <c r="K624" s="101">
        <f t="shared" ref="K624:Y624" si="229">K180</f>
        <v>0</v>
      </c>
      <c r="L624" s="101">
        <f t="shared" si="229"/>
        <v>1068.4008431506068</v>
      </c>
      <c r="M624" s="101">
        <f t="shared" si="229"/>
        <v>0</v>
      </c>
      <c r="N624" s="101">
        <f t="shared" si="229"/>
        <v>9099.8698371396767</v>
      </c>
      <c r="O624" s="101">
        <f t="shared" si="229"/>
        <v>1010.1547107880335</v>
      </c>
      <c r="P624" s="101">
        <f t="shared" si="229"/>
        <v>2533.457206575501</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3">
      <c r="E625" s="342"/>
      <c r="F625" s="2" t="s">
        <v>985</v>
      </c>
      <c r="G625" t="s">
        <v>206</v>
      </c>
      <c r="J625" s="101">
        <f>J189</f>
        <v>0</v>
      </c>
      <c r="K625" s="101">
        <f t="shared" ref="K625:Y625" si="230">K189</f>
        <v>0</v>
      </c>
      <c r="L625" s="101">
        <f t="shared" si="230"/>
        <v>3190.255662387799</v>
      </c>
      <c r="M625" s="101">
        <f t="shared" si="230"/>
        <v>0</v>
      </c>
      <c r="N625" s="101">
        <f t="shared" si="230"/>
        <v>20088.793168164731</v>
      </c>
      <c r="O625" s="101">
        <f t="shared" si="230"/>
        <v>2230.0087161737488</v>
      </c>
      <c r="P625" s="101">
        <f t="shared" si="230"/>
        <v>4807.9541198814377</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3">
      <c r="E626" s="72" t="s">
        <v>248</v>
      </c>
      <c r="F626" s="2"/>
      <c r="J626" s="26"/>
      <c r="K626" s="26"/>
      <c r="L626" s="26"/>
      <c r="M626" s="26"/>
      <c r="N626" s="26"/>
      <c r="O626" s="26"/>
      <c r="P626" s="26"/>
      <c r="Q626" s="26"/>
      <c r="R626" s="26"/>
      <c r="S626" s="26"/>
      <c r="T626" s="26"/>
      <c r="U626" s="26"/>
      <c r="V626" s="26"/>
      <c r="W626" s="26"/>
      <c r="X626" s="26"/>
      <c r="Y626" s="26"/>
      <c r="AQ626" s="3"/>
    </row>
    <row r="627" spans="5:43" x14ac:dyDescent="0.3">
      <c r="E627" s="342"/>
      <c r="F627" s="2" t="s">
        <v>982</v>
      </c>
      <c r="G627" t="s">
        <v>206</v>
      </c>
      <c r="J627" s="131">
        <f>J154</f>
        <v>0</v>
      </c>
      <c r="K627" s="131">
        <f t="shared" ref="K627:Y627" si="231">K154</f>
        <v>0</v>
      </c>
      <c r="L627" s="131">
        <f t="shared" si="231"/>
        <v>0</v>
      </c>
      <c r="M627" s="131">
        <f t="shared" si="231"/>
        <v>0</v>
      </c>
      <c r="N627" s="131">
        <f t="shared" si="231"/>
        <v>0</v>
      </c>
      <c r="O627" s="131">
        <f t="shared" si="231"/>
        <v>0</v>
      </c>
      <c r="P627" s="131">
        <f t="shared" si="231"/>
        <v>0</v>
      </c>
      <c r="Q627" s="131">
        <f t="shared" si="231"/>
        <v>0</v>
      </c>
      <c r="R627" s="131">
        <f t="shared" si="231"/>
        <v>0</v>
      </c>
      <c r="S627" s="131">
        <f t="shared" si="231"/>
        <v>0</v>
      </c>
      <c r="T627" s="131">
        <f t="shared" si="231"/>
        <v>0</v>
      </c>
      <c r="U627" s="131">
        <f t="shared" si="231"/>
        <v>0</v>
      </c>
      <c r="V627" s="131">
        <f t="shared" si="231"/>
        <v>0</v>
      </c>
      <c r="W627" s="131">
        <f t="shared" si="231"/>
        <v>0</v>
      </c>
      <c r="X627" s="131">
        <f t="shared" si="231"/>
        <v>0</v>
      </c>
      <c r="Y627" s="131">
        <f t="shared" si="231"/>
        <v>0</v>
      </c>
      <c r="AQ627" s="3"/>
    </row>
    <row r="628" spans="5:43" x14ac:dyDescent="0.3">
      <c r="E628" s="342"/>
      <c r="F628" s="2" t="s">
        <v>983</v>
      </c>
      <c r="G628" t="s">
        <v>206</v>
      </c>
      <c r="J628" s="354">
        <f>J163</f>
        <v>94442.082912749902</v>
      </c>
      <c r="K628" s="354">
        <f t="shared" ref="K628:Y628" si="232">K163</f>
        <v>0</v>
      </c>
      <c r="L628" s="354">
        <f t="shared" si="232"/>
        <v>242.99799171845012</v>
      </c>
      <c r="M628" s="354">
        <f t="shared" si="232"/>
        <v>0</v>
      </c>
      <c r="N628" s="354">
        <f t="shared" si="232"/>
        <v>9839.6340631348776</v>
      </c>
      <c r="O628" s="354">
        <f t="shared" si="232"/>
        <v>1348.6582903048354</v>
      </c>
      <c r="P628" s="354">
        <f t="shared" si="232"/>
        <v>2079.3104615419602</v>
      </c>
      <c r="Q628" s="354">
        <f t="shared" si="232"/>
        <v>13.849892407257586</v>
      </c>
      <c r="R628" s="354">
        <f t="shared" si="232"/>
        <v>0</v>
      </c>
      <c r="S628" s="354">
        <f t="shared" si="232"/>
        <v>0</v>
      </c>
      <c r="T628" s="354">
        <f t="shared" si="232"/>
        <v>0</v>
      </c>
      <c r="U628" s="354">
        <f t="shared" si="232"/>
        <v>0</v>
      </c>
      <c r="V628" s="354">
        <f t="shared" si="232"/>
        <v>0</v>
      </c>
      <c r="W628" s="354">
        <f t="shared" si="232"/>
        <v>0</v>
      </c>
      <c r="X628" s="354">
        <f t="shared" si="232"/>
        <v>0</v>
      </c>
      <c r="Y628" s="354">
        <f t="shared" si="232"/>
        <v>0</v>
      </c>
      <c r="AQ628" s="3"/>
    </row>
    <row r="629" spans="5:43" x14ac:dyDescent="0.3">
      <c r="E629" s="342"/>
      <c r="F629" s="2" t="s">
        <v>984</v>
      </c>
      <c r="G629" t="s">
        <v>206</v>
      </c>
      <c r="J629" s="354">
        <f>J172</f>
        <v>0</v>
      </c>
      <c r="K629" s="354">
        <f t="shared" ref="K629:Y629" si="233">K172</f>
        <v>0</v>
      </c>
      <c r="L629" s="354">
        <f t="shared" si="233"/>
        <v>1067.5104637455343</v>
      </c>
      <c r="M629" s="354">
        <f t="shared" si="233"/>
        <v>0</v>
      </c>
      <c r="N629" s="354">
        <f t="shared" si="233"/>
        <v>22552.637330545949</v>
      </c>
      <c r="O629" s="354">
        <f t="shared" si="233"/>
        <v>3091.1516738244159</v>
      </c>
      <c r="P629" s="354">
        <f t="shared" si="233"/>
        <v>5497.9797680558622</v>
      </c>
      <c r="Q629" s="354">
        <f t="shared" si="233"/>
        <v>0</v>
      </c>
      <c r="R629" s="354">
        <f t="shared" si="233"/>
        <v>0</v>
      </c>
      <c r="S629" s="354">
        <f t="shared" si="233"/>
        <v>0</v>
      </c>
      <c r="T629" s="354">
        <f t="shared" si="233"/>
        <v>0</v>
      </c>
      <c r="U629" s="354">
        <f t="shared" si="233"/>
        <v>0</v>
      </c>
      <c r="V629" s="354">
        <f t="shared" si="233"/>
        <v>0</v>
      </c>
      <c r="W629" s="354">
        <f t="shared" si="233"/>
        <v>0</v>
      </c>
      <c r="X629" s="354">
        <f t="shared" si="233"/>
        <v>0</v>
      </c>
      <c r="Y629" s="354">
        <f t="shared" si="233"/>
        <v>0</v>
      </c>
      <c r="AQ629" s="3"/>
    </row>
    <row r="630" spans="5:43" x14ac:dyDescent="0.3">
      <c r="E630" s="342"/>
      <c r="F630" s="2" t="s">
        <v>986</v>
      </c>
      <c r="G630" t="s">
        <v>206</v>
      </c>
      <c r="J630" s="101">
        <f>J181</f>
        <v>0</v>
      </c>
      <c r="K630" s="101">
        <f t="shared" ref="K630:Y630" si="234">K181</f>
        <v>0</v>
      </c>
      <c r="L630" s="101">
        <f t="shared" si="234"/>
        <v>1362.9453097706787</v>
      </c>
      <c r="M630" s="101">
        <f t="shared" si="234"/>
        <v>0</v>
      </c>
      <c r="N630" s="101">
        <f t="shared" si="234"/>
        <v>13031.409031161362</v>
      </c>
      <c r="O630" s="101">
        <f t="shared" si="234"/>
        <v>1786.1353086366466</v>
      </c>
      <c r="P630" s="101">
        <f t="shared" si="234"/>
        <v>4727.4128851498745</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3">
      <c r="E631" s="342"/>
      <c r="F631" s="2" t="s">
        <v>985</v>
      </c>
      <c r="G631" t="s">
        <v>206</v>
      </c>
      <c r="J631" s="101">
        <f>J190</f>
        <v>0</v>
      </c>
      <c r="K631" s="101">
        <f t="shared" ref="K631:Y631" si="235">K190</f>
        <v>0</v>
      </c>
      <c r="L631" s="101">
        <f t="shared" si="235"/>
        <v>4069.7684019029416</v>
      </c>
      <c r="M631" s="101">
        <f t="shared" si="235"/>
        <v>0</v>
      </c>
      <c r="N631" s="101">
        <f t="shared" si="235"/>
        <v>28768.024752213423</v>
      </c>
      <c r="O631" s="101">
        <f t="shared" si="235"/>
        <v>3943.05670605461</v>
      </c>
      <c r="P631" s="101">
        <f t="shared" si="235"/>
        <v>8971.6077297631546</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3">
      <c r="E632" s="72" t="s">
        <v>211</v>
      </c>
      <c r="F632" s="2"/>
      <c r="J632" s="26"/>
      <c r="K632" s="26"/>
      <c r="L632" s="26"/>
      <c r="M632" s="26"/>
      <c r="N632" s="26"/>
      <c r="O632" s="26"/>
      <c r="P632" s="26"/>
      <c r="Q632" s="26"/>
      <c r="R632" s="26"/>
      <c r="S632" s="26"/>
      <c r="T632" s="26"/>
      <c r="U632" s="26"/>
      <c r="V632" s="26"/>
      <c r="W632" s="26"/>
      <c r="X632" s="26"/>
      <c r="Y632" s="26"/>
      <c r="AQ632" s="3"/>
    </row>
    <row r="633" spans="5:43" x14ac:dyDescent="0.3">
      <c r="E633" s="342"/>
      <c r="F633" s="2" t="s">
        <v>982</v>
      </c>
      <c r="G633" t="s">
        <v>211</v>
      </c>
      <c r="J633" s="131">
        <f>J155</f>
        <v>0</v>
      </c>
      <c r="K633" s="131">
        <f t="shared" ref="K633:Y633" si="236">K155</f>
        <v>0</v>
      </c>
      <c r="L633" s="131">
        <f t="shared" si="236"/>
        <v>0</v>
      </c>
      <c r="M633" s="131">
        <f t="shared" si="236"/>
        <v>0</v>
      </c>
      <c r="N633" s="131">
        <f t="shared" si="236"/>
        <v>0</v>
      </c>
      <c r="O633" s="131">
        <f t="shared" si="236"/>
        <v>0</v>
      </c>
      <c r="P633" s="131">
        <f t="shared" si="236"/>
        <v>0</v>
      </c>
      <c r="Q633" s="131">
        <f t="shared" si="236"/>
        <v>0</v>
      </c>
      <c r="R633" s="131">
        <f t="shared" si="236"/>
        <v>0</v>
      </c>
      <c r="S633" s="131">
        <f t="shared" si="236"/>
        <v>0</v>
      </c>
      <c r="T633" s="131">
        <f t="shared" si="236"/>
        <v>0</v>
      </c>
      <c r="U633" s="131">
        <f t="shared" si="236"/>
        <v>0</v>
      </c>
      <c r="V633" s="131">
        <f t="shared" si="236"/>
        <v>0</v>
      </c>
      <c r="W633" s="131">
        <f t="shared" si="236"/>
        <v>0</v>
      </c>
      <c r="X633" s="131">
        <f t="shared" si="236"/>
        <v>0</v>
      </c>
      <c r="Y633" s="131">
        <f t="shared" si="236"/>
        <v>0</v>
      </c>
      <c r="AQ633" s="3"/>
    </row>
    <row r="634" spans="5:43" x14ac:dyDescent="0.3">
      <c r="E634" s="342"/>
      <c r="F634" s="2" t="s">
        <v>983</v>
      </c>
      <c r="G634" t="s">
        <v>211</v>
      </c>
      <c r="J634" s="354">
        <f>J164</f>
        <v>58864.02895910322</v>
      </c>
      <c r="K634" s="354">
        <f t="shared" ref="K634:Y634" si="237">K164</f>
        <v>0</v>
      </c>
      <c r="L634" s="354">
        <f t="shared" si="237"/>
        <v>328.36872591119032</v>
      </c>
      <c r="M634" s="354">
        <f t="shared" si="237"/>
        <v>0</v>
      </c>
      <c r="N634" s="354">
        <f t="shared" si="237"/>
        <v>226.66499144478075</v>
      </c>
      <c r="O634" s="354">
        <f t="shared" si="237"/>
        <v>10.436046115014667</v>
      </c>
      <c r="P634" s="354">
        <f t="shared" si="237"/>
        <v>8.2961556715709541</v>
      </c>
      <c r="Q634" s="354">
        <f t="shared" si="237"/>
        <v>7</v>
      </c>
      <c r="R634" s="354">
        <f t="shared" si="237"/>
        <v>0</v>
      </c>
      <c r="S634" s="354">
        <f t="shared" si="237"/>
        <v>0</v>
      </c>
      <c r="T634" s="354">
        <f t="shared" si="237"/>
        <v>0</v>
      </c>
      <c r="U634" s="354">
        <f t="shared" si="237"/>
        <v>0</v>
      </c>
      <c r="V634" s="354">
        <f t="shared" si="237"/>
        <v>0</v>
      </c>
      <c r="W634" s="354">
        <f t="shared" si="237"/>
        <v>0</v>
      </c>
      <c r="X634" s="354">
        <f t="shared" si="237"/>
        <v>0</v>
      </c>
      <c r="Y634" s="354">
        <f t="shared" si="237"/>
        <v>0</v>
      </c>
      <c r="AQ634" s="3"/>
    </row>
    <row r="635" spans="5:43" x14ac:dyDescent="0.3">
      <c r="E635" s="342"/>
      <c r="F635" s="2" t="s">
        <v>984</v>
      </c>
      <c r="G635" t="s">
        <v>211</v>
      </c>
      <c r="J635" s="354">
        <f>J173</f>
        <v>0</v>
      </c>
      <c r="K635" s="354">
        <f t="shared" ref="K635:Y635" si="238">K173</f>
        <v>0</v>
      </c>
      <c r="L635" s="354">
        <f t="shared" si="238"/>
        <v>292.39125557039483</v>
      </c>
      <c r="M635" s="354">
        <f t="shared" si="238"/>
        <v>0</v>
      </c>
      <c r="N635" s="354">
        <f t="shared" si="238"/>
        <v>208.34297131034558</v>
      </c>
      <c r="O635" s="354">
        <f t="shared" si="238"/>
        <v>9.5924687905041264</v>
      </c>
      <c r="P635" s="354">
        <f t="shared" si="238"/>
        <v>6.7109634551495017</v>
      </c>
      <c r="Q635" s="354">
        <f t="shared" si="238"/>
        <v>0</v>
      </c>
      <c r="R635" s="354">
        <f t="shared" si="238"/>
        <v>0</v>
      </c>
      <c r="S635" s="354">
        <f t="shared" si="238"/>
        <v>0</v>
      </c>
      <c r="T635" s="354">
        <f t="shared" si="238"/>
        <v>0</v>
      </c>
      <c r="U635" s="354">
        <f t="shared" si="238"/>
        <v>0</v>
      </c>
      <c r="V635" s="354">
        <f t="shared" si="238"/>
        <v>0</v>
      </c>
      <c r="W635" s="354">
        <f t="shared" si="238"/>
        <v>0</v>
      </c>
      <c r="X635" s="354">
        <f t="shared" si="238"/>
        <v>0</v>
      </c>
      <c r="Y635" s="354">
        <f t="shared" si="238"/>
        <v>0</v>
      </c>
      <c r="AQ635" s="3"/>
    </row>
    <row r="636" spans="5:43" x14ac:dyDescent="0.3">
      <c r="E636" s="342"/>
      <c r="F636" s="2" t="s">
        <v>986</v>
      </c>
      <c r="G636" t="s">
        <v>211</v>
      </c>
      <c r="J636" s="101">
        <f>J182</f>
        <v>0</v>
      </c>
      <c r="K636" s="101">
        <f t="shared" ref="K636:Y636" si="239">K182</f>
        <v>0</v>
      </c>
      <c r="L636" s="101">
        <f t="shared" si="239"/>
        <v>150.6749774054534</v>
      </c>
      <c r="M636" s="101">
        <f t="shared" si="239"/>
        <v>0</v>
      </c>
      <c r="N636" s="101">
        <f t="shared" si="239"/>
        <v>73.808137877801002</v>
      </c>
      <c r="O636" s="101">
        <f t="shared" si="239"/>
        <v>3.3982536325806674</v>
      </c>
      <c r="P636" s="101">
        <f t="shared" si="239"/>
        <v>2.7527289985761749</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3">
      <c r="E637" s="342"/>
      <c r="F637" s="2" t="s">
        <v>985</v>
      </c>
      <c r="G637" t="s">
        <v>211</v>
      </c>
      <c r="J637" s="101">
        <f>J191</f>
        <v>0</v>
      </c>
      <c r="K637" s="101">
        <f t="shared" ref="K637:Y637" si="240">K191</f>
        <v>0</v>
      </c>
      <c r="L637" s="101">
        <f t="shared" si="240"/>
        <v>144.47463015405725</v>
      </c>
      <c r="M637" s="101">
        <f t="shared" si="240"/>
        <v>0</v>
      </c>
      <c r="N637" s="101">
        <f t="shared" si="240"/>
        <v>77.608556901319218</v>
      </c>
      <c r="O637" s="101">
        <f t="shared" si="240"/>
        <v>3.573231461900539</v>
      </c>
      <c r="P637" s="101">
        <f t="shared" si="240"/>
        <v>2.2401518747033697</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3">
      <c r="E638" s="72" t="s">
        <v>249</v>
      </c>
      <c r="F638" s="2"/>
      <c r="J638" s="26"/>
      <c r="K638" s="26"/>
      <c r="L638" s="26"/>
      <c r="M638" s="26"/>
      <c r="N638" s="26"/>
      <c r="O638" s="26"/>
      <c r="P638" s="26"/>
      <c r="Q638" s="26"/>
      <c r="R638" s="26"/>
      <c r="S638" s="26"/>
      <c r="T638" s="26"/>
      <c r="U638" s="26"/>
      <c r="V638" s="26"/>
      <c r="W638" s="26"/>
      <c r="X638" s="26"/>
      <c r="Y638" s="26"/>
      <c r="AQ638" s="3"/>
    </row>
    <row r="639" spans="5:43" x14ac:dyDescent="0.3">
      <c r="E639" s="342"/>
      <c r="F639" s="2" t="s">
        <v>982</v>
      </c>
      <c r="G639" t="s">
        <v>250</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3">
      <c r="E640" s="342"/>
      <c r="F640" s="2" t="s">
        <v>983</v>
      </c>
      <c r="G640" t="s">
        <v>250</v>
      </c>
      <c r="J640" s="354">
        <f>J165</f>
        <v>0</v>
      </c>
      <c r="K640" s="354">
        <f t="shared" ref="K640:Y640" si="242">K165</f>
        <v>0</v>
      </c>
      <c r="L640" s="354">
        <f t="shared" si="242"/>
        <v>0</v>
      </c>
      <c r="M640" s="354">
        <f t="shared" si="242"/>
        <v>0</v>
      </c>
      <c r="N640" s="354">
        <f t="shared" si="242"/>
        <v>17018.460305805136</v>
      </c>
      <c r="O640" s="354">
        <f t="shared" si="242"/>
        <v>1839.728974436614</v>
      </c>
      <c r="P640" s="354">
        <f t="shared" si="242"/>
        <v>2487.4867868715646</v>
      </c>
      <c r="Q640" s="354">
        <f t="shared" si="242"/>
        <v>0</v>
      </c>
      <c r="R640" s="354">
        <f t="shared" si="242"/>
        <v>0</v>
      </c>
      <c r="S640" s="354">
        <f t="shared" si="242"/>
        <v>0</v>
      </c>
      <c r="T640" s="354">
        <f t="shared" si="242"/>
        <v>0</v>
      </c>
      <c r="U640" s="354">
        <f t="shared" si="242"/>
        <v>0</v>
      </c>
      <c r="V640" s="354">
        <f t="shared" si="242"/>
        <v>0</v>
      </c>
      <c r="W640" s="354">
        <f t="shared" si="242"/>
        <v>0</v>
      </c>
      <c r="X640" s="354">
        <f t="shared" si="242"/>
        <v>0</v>
      </c>
      <c r="Y640" s="354">
        <f t="shared" si="242"/>
        <v>0</v>
      </c>
      <c r="AQ640" s="3"/>
    </row>
    <row r="641" spans="5:43" x14ac:dyDescent="0.3">
      <c r="E641" s="342"/>
      <c r="F641" s="2" t="s">
        <v>984</v>
      </c>
      <c r="G641" t="s">
        <v>250</v>
      </c>
      <c r="J641" s="354">
        <f>J174</f>
        <v>0</v>
      </c>
      <c r="K641" s="354">
        <f t="shared" ref="K641:Y641" si="243">K174</f>
        <v>0</v>
      </c>
      <c r="L641" s="354">
        <f t="shared" si="243"/>
        <v>0</v>
      </c>
      <c r="M641" s="354">
        <f t="shared" si="243"/>
        <v>0</v>
      </c>
      <c r="N641" s="354">
        <f t="shared" si="243"/>
        <v>39006.6501191442</v>
      </c>
      <c r="O641" s="354">
        <f t="shared" si="243"/>
        <v>4216.6954665941485</v>
      </c>
      <c r="P641" s="354">
        <f t="shared" si="243"/>
        <v>6577.2535080616499</v>
      </c>
      <c r="Q641" s="354">
        <f t="shared" si="243"/>
        <v>0</v>
      </c>
      <c r="R641" s="354">
        <f t="shared" si="243"/>
        <v>0</v>
      </c>
      <c r="S641" s="354">
        <f t="shared" si="243"/>
        <v>0</v>
      </c>
      <c r="T641" s="354">
        <f t="shared" si="243"/>
        <v>0</v>
      </c>
      <c r="U641" s="354">
        <f t="shared" si="243"/>
        <v>0</v>
      </c>
      <c r="V641" s="354">
        <f t="shared" si="243"/>
        <v>0</v>
      </c>
      <c r="W641" s="354">
        <f t="shared" si="243"/>
        <v>0</v>
      </c>
      <c r="X641" s="354">
        <f t="shared" si="243"/>
        <v>0</v>
      </c>
      <c r="Y641" s="354">
        <f t="shared" si="243"/>
        <v>0</v>
      </c>
      <c r="AQ641" s="3"/>
    </row>
    <row r="642" spans="5:43" x14ac:dyDescent="0.3">
      <c r="E642" s="342"/>
      <c r="F642" s="2" t="s">
        <v>986</v>
      </c>
      <c r="G642" t="s">
        <v>250</v>
      </c>
      <c r="J642" s="101">
        <f>J183</f>
        <v>0</v>
      </c>
      <c r="K642" s="101">
        <f t="shared" ref="K642:Y642" si="244">K183</f>
        <v>0</v>
      </c>
      <c r="L642" s="101">
        <f t="shared" si="244"/>
        <v>0</v>
      </c>
      <c r="M642" s="101">
        <f t="shared" si="244"/>
        <v>0</v>
      </c>
      <c r="N642" s="101">
        <f t="shared" si="244"/>
        <v>22538.898896294271</v>
      </c>
      <c r="O642" s="101">
        <f t="shared" si="244"/>
        <v>2436.4992253303772</v>
      </c>
      <c r="P642" s="101">
        <f t="shared" si="244"/>
        <v>5655.4214992869602</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3">
      <c r="E643" s="342"/>
      <c r="F643" s="2" t="s">
        <v>985</v>
      </c>
      <c r="G643" t="s">
        <v>250</v>
      </c>
      <c r="J643" s="101">
        <f>J192</f>
        <v>0</v>
      </c>
      <c r="K643" s="101">
        <f t="shared" ref="K643:Y643" si="245">K192</f>
        <v>0</v>
      </c>
      <c r="L643" s="101">
        <f t="shared" si="245"/>
        <v>0</v>
      </c>
      <c r="M643" s="101">
        <f t="shared" si="245"/>
        <v>0</v>
      </c>
      <c r="N643" s="101">
        <f t="shared" si="245"/>
        <v>49756.676333752061</v>
      </c>
      <c r="O643" s="101">
        <f t="shared" si="245"/>
        <v>5378.7944078374467</v>
      </c>
      <c r="P643" s="101">
        <f t="shared" si="245"/>
        <v>10732.767471496843</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3">
      <c r="E644" s="72" t="s">
        <v>251</v>
      </c>
      <c r="F644" s="2"/>
      <c r="J644" s="26"/>
      <c r="K644" s="26"/>
      <c r="L644" s="26"/>
      <c r="M644" s="26"/>
      <c r="N644" s="26"/>
      <c r="O644" s="26"/>
      <c r="P644" s="26"/>
      <c r="Q644" s="26"/>
      <c r="R644" s="26"/>
      <c r="S644" s="26"/>
      <c r="T644" s="26"/>
      <c r="U644" s="26"/>
      <c r="V644" s="26"/>
      <c r="W644" s="26"/>
      <c r="X644" s="26"/>
      <c r="Y644" s="26"/>
      <c r="AQ644" s="3"/>
    </row>
    <row r="645" spans="5:43" x14ac:dyDescent="0.3">
      <c r="E645" s="342"/>
      <c r="F645" s="2" t="s">
        <v>982</v>
      </c>
      <c r="G645" t="s">
        <v>250</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3">
      <c r="E646" s="342"/>
      <c r="F646" s="2" t="s">
        <v>983</v>
      </c>
      <c r="G646" t="s">
        <v>250</v>
      </c>
      <c r="J646" s="354">
        <f>J166</f>
        <v>0</v>
      </c>
      <c r="K646" s="354">
        <f t="shared" ref="K646:Y646" si="247">K166</f>
        <v>0</v>
      </c>
      <c r="L646" s="354">
        <f t="shared" si="247"/>
        <v>0</v>
      </c>
      <c r="M646" s="354">
        <f t="shared" si="247"/>
        <v>0</v>
      </c>
      <c r="N646" s="354">
        <f t="shared" si="247"/>
        <v>26.384236197306283</v>
      </c>
      <c r="O646" s="354">
        <f t="shared" si="247"/>
        <v>1.9735225106147678</v>
      </c>
      <c r="P646" s="354">
        <f t="shared" si="247"/>
        <v>6.1253145410581782</v>
      </c>
      <c r="Q646" s="354">
        <f t="shared" si="247"/>
        <v>0</v>
      </c>
      <c r="R646" s="354">
        <f t="shared" si="247"/>
        <v>0</v>
      </c>
      <c r="S646" s="354">
        <f t="shared" si="247"/>
        <v>0</v>
      </c>
      <c r="T646" s="354">
        <f t="shared" si="247"/>
        <v>0</v>
      </c>
      <c r="U646" s="354">
        <f t="shared" si="247"/>
        <v>0</v>
      </c>
      <c r="V646" s="354">
        <f t="shared" si="247"/>
        <v>0</v>
      </c>
      <c r="W646" s="354">
        <f t="shared" si="247"/>
        <v>0</v>
      </c>
      <c r="X646" s="354">
        <f t="shared" si="247"/>
        <v>0</v>
      </c>
      <c r="Y646" s="354">
        <f t="shared" si="247"/>
        <v>0</v>
      </c>
      <c r="AQ646" s="3"/>
    </row>
    <row r="647" spans="5:43" x14ac:dyDescent="0.3">
      <c r="E647" s="342"/>
      <c r="F647" s="2" t="s">
        <v>984</v>
      </c>
      <c r="G647" t="s">
        <v>250</v>
      </c>
      <c r="J647" s="354">
        <f>J175</f>
        <v>0</v>
      </c>
      <c r="K647" s="354">
        <f t="shared" ref="K647:Y647" si="248">K175</f>
        <v>0</v>
      </c>
      <c r="L647" s="354">
        <f t="shared" si="248"/>
        <v>0</v>
      </c>
      <c r="M647" s="354">
        <f t="shared" si="248"/>
        <v>0</v>
      </c>
      <c r="N647" s="354">
        <f t="shared" si="248"/>
        <v>60.473195078530736</v>
      </c>
      <c r="O647" s="354">
        <f t="shared" si="248"/>
        <v>4.5233529173932743</v>
      </c>
      <c r="P647" s="354">
        <f t="shared" si="248"/>
        <v>16.196165047302458</v>
      </c>
      <c r="Q647" s="354">
        <f t="shared" si="248"/>
        <v>0</v>
      </c>
      <c r="R647" s="354">
        <f t="shared" si="248"/>
        <v>0</v>
      </c>
      <c r="S647" s="354">
        <f t="shared" si="248"/>
        <v>0</v>
      </c>
      <c r="T647" s="354">
        <f t="shared" si="248"/>
        <v>0</v>
      </c>
      <c r="U647" s="354">
        <f t="shared" si="248"/>
        <v>0</v>
      </c>
      <c r="V647" s="354">
        <f t="shared" si="248"/>
        <v>0</v>
      </c>
      <c r="W647" s="354">
        <f t="shared" si="248"/>
        <v>0</v>
      </c>
      <c r="X647" s="354">
        <f t="shared" si="248"/>
        <v>0</v>
      </c>
      <c r="Y647" s="354">
        <f t="shared" si="248"/>
        <v>0</v>
      </c>
      <c r="AQ647" s="3"/>
    </row>
    <row r="648" spans="5:43" x14ac:dyDescent="0.3">
      <c r="E648" s="342"/>
      <c r="F648" s="2" t="s">
        <v>986</v>
      </c>
      <c r="G648" t="s">
        <v>250</v>
      </c>
      <c r="J648" s="101">
        <f>J184</f>
        <v>0</v>
      </c>
      <c r="K648" s="101">
        <f t="shared" ref="K648:Y648" si="249">K184</f>
        <v>0</v>
      </c>
      <c r="L648" s="101">
        <f t="shared" si="249"/>
        <v>0</v>
      </c>
      <c r="M648" s="101">
        <f t="shared" si="249"/>
        <v>0</v>
      </c>
      <c r="N648" s="101">
        <f t="shared" si="249"/>
        <v>34.942739908391509</v>
      </c>
      <c r="O648" s="101">
        <f t="shared" si="249"/>
        <v>2.6136926335888475</v>
      </c>
      <c r="P648" s="101">
        <f t="shared" si="249"/>
        <v>13.926198815698102</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3">
      <c r="E649" s="342"/>
      <c r="F649" s="2" t="s">
        <v>985</v>
      </c>
      <c r="G649" t="s">
        <v>250</v>
      </c>
      <c r="J649" s="101">
        <f>J193</f>
        <v>0</v>
      </c>
      <c r="K649" s="101">
        <f t="shared" ref="K649:Y649" si="250">K193</f>
        <v>0</v>
      </c>
      <c r="L649" s="101">
        <f t="shared" si="250"/>
        <v>0</v>
      </c>
      <c r="M649" s="101">
        <f t="shared" si="250"/>
        <v>0</v>
      </c>
      <c r="N649" s="101">
        <f t="shared" si="250"/>
        <v>77.139287408675273</v>
      </c>
      <c r="O649" s="101">
        <f t="shared" si="250"/>
        <v>5.7699650281839734</v>
      </c>
      <c r="P649" s="101">
        <f t="shared" si="250"/>
        <v>26.428914921649486</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3">
      <c r="E650" s="342" t="s">
        <v>252</v>
      </c>
      <c r="F650" s="343"/>
      <c r="J650" s="26"/>
      <c r="K650" s="26"/>
      <c r="L650" s="26"/>
      <c r="M650" s="26"/>
      <c r="N650" s="26"/>
      <c r="O650" s="26"/>
      <c r="P650" s="26"/>
      <c r="Q650" s="26"/>
      <c r="R650" s="26"/>
      <c r="S650" s="26"/>
      <c r="T650" s="26"/>
      <c r="U650" s="26"/>
      <c r="V650" s="26"/>
      <c r="W650" s="26"/>
      <c r="X650" s="26"/>
      <c r="Y650" s="26"/>
      <c r="AQ650" s="3"/>
    </row>
    <row r="651" spans="5:43" x14ac:dyDescent="0.3">
      <c r="E651" s="342"/>
      <c r="F651" s="343" t="s">
        <v>982</v>
      </c>
      <c r="G651" t="s">
        <v>253</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0</v>
      </c>
      <c r="U651" s="131">
        <f t="shared" si="251"/>
        <v>0</v>
      </c>
      <c r="V651" s="131">
        <f t="shared" si="251"/>
        <v>0</v>
      </c>
      <c r="W651" s="131">
        <f t="shared" si="251"/>
        <v>0</v>
      </c>
      <c r="X651" s="131">
        <f t="shared" si="251"/>
        <v>0</v>
      </c>
      <c r="Y651" s="131">
        <f t="shared" si="251"/>
        <v>0</v>
      </c>
      <c r="AQ651" s="3"/>
    </row>
    <row r="652" spans="5:43" x14ac:dyDescent="0.3">
      <c r="E652" s="342"/>
      <c r="F652" s="343" t="s">
        <v>983</v>
      </c>
      <c r="G652" t="s">
        <v>253</v>
      </c>
      <c r="J652" s="354">
        <f>J167</f>
        <v>0</v>
      </c>
      <c r="K652" s="354">
        <f t="shared" ref="K652:Y652" si="252">K167</f>
        <v>0</v>
      </c>
      <c r="L652" s="354">
        <f t="shared" si="252"/>
        <v>0</v>
      </c>
      <c r="M652" s="354">
        <f t="shared" si="252"/>
        <v>0</v>
      </c>
      <c r="N652" s="354">
        <f t="shared" si="252"/>
        <v>1075.5292877710742</v>
      </c>
      <c r="O652" s="354">
        <f t="shared" si="252"/>
        <v>192.61389199590087</v>
      </c>
      <c r="P652" s="354">
        <f t="shared" si="252"/>
        <v>304.33853779489351</v>
      </c>
      <c r="Q652" s="354">
        <f t="shared" si="252"/>
        <v>0</v>
      </c>
      <c r="R652" s="354">
        <f t="shared" si="252"/>
        <v>0</v>
      </c>
      <c r="S652" s="354">
        <f t="shared" si="252"/>
        <v>0</v>
      </c>
      <c r="T652" s="354">
        <f t="shared" si="252"/>
        <v>0</v>
      </c>
      <c r="U652" s="354">
        <f t="shared" si="252"/>
        <v>0</v>
      </c>
      <c r="V652" s="354">
        <f t="shared" si="252"/>
        <v>0</v>
      </c>
      <c r="W652" s="354">
        <f t="shared" si="252"/>
        <v>0</v>
      </c>
      <c r="X652" s="354">
        <f t="shared" si="252"/>
        <v>0</v>
      </c>
      <c r="Y652" s="354">
        <f t="shared" si="252"/>
        <v>0</v>
      </c>
      <c r="AQ652" s="3"/>
    </row>
    <row r="653" spans="5:43" x14ac:dyDescent="0.3">
      <c r="E653" s="342"/>
      <c r="F653" s="343" t="s">
        <v>984</v>
      </c>
      <c r="G653" t="s">
        <v>253</v>
      </c>
      <c r="J653" s="354">
        <f>J176</f>
        <v>0</v>
      </c>
      <c r="K653" s="354">
        <f t="shared" ref="K653:Y653" si="253">K176</f>
        <v>0</v>
      </c>
      <c r="L653" s="354">
        <f t="shared" si="253"/>
        <v>0</v>
      </c>
      <c r="M653" s="354">
        <f t="shared" si="253"/>
        <v>0</v>
      </c>
      <c r="N653" s="354">
        <f t="shared" si="253"/>
        <v>2465.1345578347182</v>
      </c>
      <c r="O653" s="354">
        <f t="shared" si="253"/>
        <v>441.47487834771471</v>
      </c>
      <c r="P653" s="354">
        <f t="shared" si="253"/>
        <v>804.71250175656508</v>
      </c>
      <c r="Q653" s="354">
        <f t="shared" si="253"/>
        <v>0</v>
      </c>
      <c r="R653" s="354">
        <f t="shared" si="253"/>
        <v>0</v>
      </c>
      <c r="S653" s="354">
        <f t="shared" si="253"/>
        <v>0</v>
      </c>
      <c r="T653" s="354">
        <f t="shared" si="253"/>
        <v>0</v>
      </c>
      <c r="U653" s="354">
        <f t="shared" si="253"/>
        <v>0</v>
      </c>
      <c r="V653" s="354">
        <f t="shared" si="253"/>
        <v>0</v>
      </c>
      <c r="W653" s="354">
        <f t="shared" si="253"/>
        <v>0</v>
      </c>
      <c r="X653" s="354">
        <f t="shared" si="253"/>
        <v>0</v>
      </c>
      <c r="Y653" s="354">
        <f t="shared" si="253"/>
        <v>0</v>
      </c>
      <c r="AQ653" s="3"/>
    </row>
    <row r="654" spans="5:43" x14ac:dyDescent="0.3">
      <c r="E654" s="342"/>
      <c r="F654" s="343" t="s">
        <v>986</v>
      </c>
      <c r="G654" t="s">
        <v>253</v>
      </c>
      <c r="J654" s="101">
        <f>J185</f>
        <v>0</v>
      </c>
      <c r="K654" s="101">
        <f t="shared" ref="K654:Y654" si="254">K185</f>
        <v>0</v>
      </c>
      <c r="L654" s="101">
        <f t="shared" si="254"/>
        <v>0</v>
      </c>
      <c r="M654" s="101">
        <f t="shared" si="254"/>
        <v>0</v>
      </c>
      <c r="N654" s="101">
        <f t="shared" si="254"/>
        <v>1424.4088737455727</v>
      </c>
      <c r="O654" s="101">
        <f t="shared" si="254"/>
        <v>255.09387804233378</v>
      </c>
      <c r="P654" s="101">
        <f t="shared" si="254"/>
        <v>691.92838281221634</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3">
      <c r="E655" s="80"/>
      <c r="F655" s="344" t="s">
        <v>985</v>
      </c>
      <c r="G655" s="37" t="s">
        <v>253</v>
      </c>
      <c r="H655" s="37"/>
      <c r="I655" s="37"/>
      <c r="J655" s="354">
        <f>J194</f>
        <v>0</v>
      </c>
      <c r="K655" s="354">
        <f t="shared" ref="K655:Y655" si="255">K194</f>
        <v>0</v>
      </c>
      <c r="L655" s="354">
        <f t="shared" si="255"/>
        <v>0</v>
      </c>
      <c r="M655" s="354">
        <f t="shared" si="255"/>
        <v>0</v>
      </c>
      <c r="N655" s="354">
        <f t="shared" si="255"/>
        <v>3144.5125879479178</v>
      </c>
      <c r="O655" s="354">
        <f t="shared" si="255"/>
        <v>563.14301700696126</v>
      </c>
      <c r="P655" s="354">
        <f t="shared" si="255"/>
        <v>1313.130496213003</v>
      </c>
      <c r="Q655" s="354">
        <f t="shared" si="255"/>
        <v>0</v>
      </c>
      <c r="R655" s="354">
        <f t="shared" si="255"/>
        <v>0</v>
      </c>
      <c r="S655" s="354">
        <f t="shared" si="255"/>
        <v>0</v>
      </c>
      <c r="T655" s="354">
        <f t="shared" si="255"/>
        <v>0</v>
      </c>
      <c r="U655" s="354">
        <f t="shared" si="255"/>
        <v>0</v>
      </c>
      <c r="V655" s="354">
        <f t="shared" si="255"/>
        <v>0</v>
      </c>
      <c r="W655" s="354">
        <f t="shared" si="255"/>
        <v>0</v>
      </c>
      <c r="X655" s="354">
        <f t="shared" si="255"/>
        <v>0</v>
      </c>
      <c r="Y655" s="354">
        <f t="shared" si="255"/>
        <v>0</v>
      </c>
      <c r="AQ655" s="3"/>
    </row>
    <row r="656" spans="5:43" x14ac:dyDescent="0.3">
      <c r="AQ656" s="3"/>
    </row>
    <row r="657" spans="3:43" x14ac:dyDescent="0.3">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3">
      <c r="AQ658" s="3"/>
    </row>
    <row r="659" spans="3:43" x14ac:dyDescent="0.3">
      <c r="D659" s="29" t="s">
        <v>1113</v>
      </c>
      <c r="I659" t="s">
        <v>153</v>
      </c>
      <c r="AA659" t="s">
        <v>1144</v>
      </c>
      <c r="AQ659" s="3"/>
    </row>
    <row r="660" spans="3:43" x14ac:dyDescent="0.3">
      <c r="D660" s="29" t="s">
        <v>1114</v>
      </c>
      <c r="AQ660" s="3"/>
    </row>
    <row r="661" spans="3:43" x14ac:dyDescent="0.3">
      <c r="D661" s="29" t="s">
        <v>1115</v>
      </c>
      <c r="AQ661" s="3"/>
    </row>
    <row r="662" spans="3:43" x14ac:dyDescent="0.3">
      <c r="D662" s="29" t="s">
        <v>1116</v>
      </c>
      <c r="AQ662" s="3"/>
    </row>
    <row r="663" spans="3:43" x14ac:dyDescent="0.3">
      <c r="AQ663" s="3"/>
    </row>
    <row r="664" spans="3:43" x14ac:dyDescent="0.3">
      <c r="E664" s="32" t="s">
        <v>991</v>
      </c>
      <c r="J664" s="375" t="s">
        <v>982</v>
      </c>
      <c r="K664" s="375" t="s">
        <v>987</v>
      </c>
      <c r="L664" s="375" t="s">
        <v>988</v>
      </c>
      <c r="M664" s="375" t="s">
        <v>989</v>
      </c>
      <c r="N664" s="375" t="s">
        <v>990</v>
      </c>
      <c r="AQ664" s="3"/>
    </row>
    <row r="665" spans="3:43" x14ac:dyDescent="0.3">
      <c r="E665" s="32"/>
      <c r="F665" s="23" t="s">
        <v>246</v>
      </c>
      <c r="G665" s="23" t="s">
        <v>166</v>
      </c>
      <c r="H665" s="23"/>
      <c r="I665" s="23"/>
      <c r="J665" s="333">
        <f>'Inputs by customer type'!J169</f>
        <v>6.2189580752375685E-7</v>
      </c>
      <c r="K665" s="333">
        <f>'Inputs by customer type'!K169</f>
        <v>3.6035864543102654E-2</v>
      </c>
      <c r="L665" s="333">
        <f>'Inputs by customer type'!L169</f>
        <v>0.15830856130881329</v>
      </c>
      <c r="M665" s="333">
        <f>'Inputs by customer type'!M169</f>
        <v>0.20212065217172787</v>
      </c>
      <c r="N665" s="333">
        <f>'Inputs by customer type'!N169</f>
        <v>0.60353430008054865</v>
      </c>
      <c r="AQ665" s="3"/>
    </row>
    <row r="666" spans="3:43" x14ac:dyDescent="0.3">
      <c r="E666" s="32"/>
      <c r="F666" s="303" t="s">
        <v>247</v>
      </c>
      <c r="G666" s="303" t="s">
        <v>166</v>
      </c>
      <c r="H666" s="303"/>
      <c r="I666" s="303"/>
      <c r="J666" s="334">
        <f>'Inputs by customer type'!J170</f>
        <v>6.2189580752375685E-7</v>
      </c>
      <c r="K666" s="334">
        <f>'Inputs by customer type'!K170</f>
        <v>3.6035864543102654E-2</v>
      </c>
      <c r="L666" s="334">
        <f>'Inputs by customer type'!L170</f>
        <v>0.15830856130881329</v>
      </c>
      <c r="M666" s="334">
        <f>'Inputs by customer type'!M170</f>
        <v>0.20212065217172787</v>
      </c>
      <c r="N666" s="334">
        <f>'Inputs by customer type'!N170</f>
        <v>0.60353430008054876</v>
      </c>
      <c r="AQ666" s="3"/>
    </row>
    <row r="667" spans="3:43" x14ac:dyDescent="0.3">
      <c r="E667" s="32"/>
      <c r="F667" s="37" t="s">
        <v>248</v>
      </c>
      <c r="G667" s="37" t="s">
        <v>166</v>
      </c>
      <c r="H667" s="37"/>
      <c r="I667" s="37"/>
      <c r="J667" s="335">
        <f>'Inputs by customer type'!J171</f>
        <v>6.2189580752375675E-7</v>
      </c>
      <c r="K667" s="335">
        <f>'Inputs by customer type'!K171</f>
        <v>3.6035864543102654E-2</v>
      </c>
      <c r="L667" s="335">
        <f>'Inputs by customer type'!L171</f>
        <v>0.15830856130881329</v>
      </c>
      <c r="M667" s="335">
        <f>'Inputs by customer type'!M171</f>
        <v>0.20212065217172784</v>
      </c>
      <c r="N667" s="335">
        <f>'Inputs by customer type'!N171</f>
        <v>0.60353430008054865</v>
      </c>
      <c r="AQ667" s="3"/>
    </row>
    <row r="668" spans="3:43" x14ac:dyDescent="0.3">
      <c r="E668" s="32"/>
      <c r="AQ668" s="3"/>
    </row>
    <row r="669" spans="3:43" x14ac:dyDescent="0.3">
      <c r="E669" s="32" t="s">
        <v>992</v>
      </c>
      <c r="J669" s="375" t="s">
        <v>982</v>
      </c>
      <c r="K669" s="375" t="s">
        <v>987</v>
      </c>
      <c r="L669" s="375" t="s">
        <v>988</v>
      </c>
      <c r="M669" s="375" t="s">
        <v>989</v>
      </c>
      <c r="N669" s="375" t="s">
        <v>990</v>
      </c>
      <c r="AQ669" s="3"/>
    </row>
    <row r="670" spans="3:43" x14ac:dyDescent="0.3">
      <c r="E670" s="32"/>
      <c r="F670" s="23" t="s">
        <v>246</v>
      </c>
      <c r="G670" s="23" t="s">
        <v>166</v>
      </c>
      <c r="H670" s="23"/>
      <c r="I670" s="23"/>
      <c r="J670" s="333">
        <f>'Inputs by customer type'!J174</f>
        <v>6.2189580752375685E-7</v>
      </c>
      <c r="K670" s="333">
        <f>'Inputs by customer type'!K174</f>
        <v>3.6035864543102654E-2</v>
      </c>
      <c r="L670" s="333">
        <f>'Inputs by customer type'!L174</f>
        <v>0.15830856130881329</v>
      </c>
      <c r="M670" s="333">
        <f>'Inputs by customer type'!M174</f>
        <v>0.20212065217172787</v>
      </c>
      <c r="N670" s="333">
        <f>'Inputs by customer type'!N174</f>
        <v>0.60353430008054865</v>
      </c>
      <c r="AQ670" s="3"/>
    </row>
    <row r="671" spans="3:43" x14ac:dyDescent="0.3">
      <c r="E671" s="32"/>
      <c r="F671" s="303" t="s">
        <v>247</v>
      </c>
      <c r="G671" s="303" t="s">
        <v>166</v>
      </c>
      <c r="H671" s="303"/>
      <c r="I671" s="303"/>
      <c r="J671" s="334">
        <f>'Inputs by customer type'!J175</f>
        <v>6.2189580752375685E-7</v>
      </c>
      <c r="K671" s="334">
        <f>'Inputs by customer type'!K175</f>
        <v>3.6035864543102654E-2</v>
      </c>
      <c r="L671" s="334">
        <f>'Inputs by customer type'!L175</f>
        <v>0.15830856130881329</v>
      </c>
      <c r="M671" s="334">
        <f>'Inputs by customer type'!M175</f>
        <v>0.20212065217172787</v>
      </c>
      <c r="N671" s="334">
        <f>'Inputs by customer type'!N175</f>
        <v>0.60353430008054876</v>
      </c>
      <c r="AQ671" s="3"/>
    </row>
    <row r="672" spans="3:43" x14ac:dyDescent="0.3">
      <c r="E672" s="32"/>
      <c r="F672" s="37" t="s">
        <v>248</v>
      </c>
      <c r="G672" s="37" t="s">
        <v>166</v>
      </c>
      <c r="H672" s="37"/>
      <c r="I672" s="37"/>
      <c r="J672" s="335">
        <f>'Inputs by customer type'!J176</f>
        <v>6.2189580752375675E-7</v>
      </c>
      <c r="K672" s="335">
        <f>'Inputs by customer type'!K176</f>
        <v>3.6035864543102654E-2</v>
      </c>
      <c r="L672" s="335">
        <f>'Inputs by customer type'!L176</f>
        <v>0.15830856130881329</v>
      </c>
      <c r="M672" s="335">
        <f>'Inputs by customer type'!M176</f>
        <v>0.20212065217172784</v>
      </c>
      <c r="N672" s="335">
        <f>'Inputs by customer type'!N176</f>
        <v>0.60353430008054865</v>
      </c>
      <c r="AQ672" s="3"/>
    </row>
    <row r="673" spans="5:43" x14ac:dyDescent="0.3">
      <c r="E673" s="32"/>
      <c r="AQ673" s="3"/>
    </row>
    <row r="674" spans="5:43" x14ac:dyDescent="0.3">
      <c r="E674" s="32" t="s">
        <v>993</v>
      </c>
      <c r="J674" s="375" t="s">
        <v>982</v>
      </c>
      <c r="K674" s="375" t="s">
        <v>987</v>
      </c>
      <c r="L674" s="375" t="s">
        <v>988</v>
      </c>
      <c r="M674" s="375" t="s">
        <v>989</v>
      </c>
      <c r="N674" s="375" t="s">
        <v>990</v>
      </c>
      <c r="AQ674" s="3"/>
    </row>
    <row r="675" spans="5:43" x14ac:dyDescent="0.3">
      <c r="F675" s="23" t="s">
        <v>246</v>
      </c>
      <c r="G675" s="23" t="s">
        <v>166</v>
      </c>
      <c r="H675" s="23"/>
      <c r="I675" s="23"/>
      <c r="J675" s="333">
        <f>'Inputs by customer type'!J179</f>
        <v>6.2189580752375685E-7</v>
      </c>
      <c r="K675" s="333">
        <f>'Inputs by customer type'!K179</f>
        <v>3.6035864543102654E-2</v>
      </c>
      <c r="L675" s="333">
        <f>'Inputs by customer type'!L179</f>
        <v>0.15830856130881329</v>
      </c>
      <c r="M675" s="333">
        <f>'Inputs by customer type'!M179</f>
        <v>0.20212065217172787</v>
      </c>
      <c r="N675" s="333">
        <f>'Inputs by customer type'!N179</f>
        <v>0.60353430008054865</v>
      </c>
      <c r="AQ675" s="3"/>
    </row>
    <row r="676" spans="5:43" x14ac:dyDescent="0.3">
      <c r="F676" s="303" t="s">
        <v>247</v>
      </c>
      <c r="G676" s="303" t="s">
        <v>166</v>
      </c>
      <c r="H676" s="303"/>
      <c r="I676" s="303"/>
      <c r="J676" s="334">
        <f>'Inputs by customer type'!J180</f>
        <v>6.2189580752375685E-7</v>
      </c>
      <c r="K676" s="334">
        <f>'Inputs by customer type'!K180</f>
        <v>3.6035864543102654E-2</v>
      </c>
      <c r="L676" s="334">
        <f>'Inputs by customer type'!L180</f>
        <v>0.15830856130881329</v>
      </c>
      <c r="M676" s="334">
        <f>'Inputs by customer type'!M180</f>
        <v>0.20212065217172787</v>
      </c>
      <c r="N676" s="334">
        <f>'Inputs by customer type'!N180</f>
        <v>0.60353430008054876</v>
      </c>
      <c r="AQ676" s="3"/>
    </row>
    <row r="677" spans="5:43" x14ac:dyDescent="0.3">
      <c r="F677" s="37" t="s">
        <v>248</v>
      </c>
      <c r="G677" s="37" t="s">
        <v>166</v>
      </c>
      <c r="H677" s="37"/>
      <c r="I677" s="37"/>
      <c r="J677" s="335">
        <f>'Inputs by customer type'!J181</f>
        <v>6.2189580752375675E-7</v>
      </c>
      <c r="K677" s="335">
        <f>'Inputs by customer type'!K181</f>
        <v>3.6035864543102654E-2</v>
      </c>
      <c r="L677" s="335">
        <f>'Inputs by customer type'!L181</f>
        <v>0.15830856130881329</v>
      </c>
      <c r="M677" s="335">
        <f>'Inputs by customer type'!M181</f>
        <v>0.20212065217172784</v>
      </c>
      <c r="N677" s="335">
        <f>'Inputs by customer type'!N181</f>
        <v>0.60353430008054865</v>
      </c>
      <c r="AQ677" s="3"/>
    </row>
    <row r="678" spans="5:43" x14ac:dyDescent="0.3">
      <c r="AQ678" s="3"/>
    </row>
    <row r="679" spans="5:43" x14ac:dyDescent="0.3">
      <c r="E679" s="32" t="s">
        <v>995</v>
      </c>
      <c r="J679" s="375" t="s">
        <v>982</v>
      </c>
      <c r="K679" s="375" t="s">
        <v>987</v>
      </c>
      <c r="L679" s="375" t="s">
        <v>988</v>
      </c>
      <c r="M679" s="375" t="s">
        <v>989</v>
      </c>
      <c r="N679" s="375" t="s">
        <v>990</v>
      </c>
      <c r="AQ679" s="3"/>
    </row>
    <row r="680" spans="5:43" x14ac:dyDescent="0.3">
      <c r="F680" s="23" t="s">
        <v>246</v>
      </c>
      <c r="G680" s="23" t="s">
        <v>206</v>
      </c>
      <c r="H680" s="23"/>
      <c r="I680" s="23"/>
      <c r="J680" s="357">
        <f t="shared" ref="J680:N682" si="256" xml:space="preserve"> $M58 * J665  + $M105 * J670 + $M152 * J675</f>
        <v>1.925887499835383E-5</v>
      </c>
      <c r="K680" s="357">
        <f t="shared" si="256"/>
        <v>1.1159589794576856</v>
      </c>
      <c r="L680" s="357">
        <f t="shared" si="256"/>
        <v>4.9025009600168445</v>
      </c>
      <c r="M680" s="357">
        <f t="shared" si="256"/>
        <v>6.2592741865563388</v>
      </c>
      <c r="N680" s="357">
        <f t="shared" si="256"/>
        <v>18.690255669598216</v>
      </c>
      <c r="AQ680" s="3"/>
    </row>
    <row r="681" spans="5:43" x14ac:dyDescent="0.3">
      <c r="F681" s="303" t="s">
        <v>247</v>
      </c>
      <c r="G681" s="303" t="s">
        <v>206</v>
      </c>
      <c r="H681" s="303"/>
      <c r="I681" s="303"/>
      <c r="J681" s="356">
        <f t="shared" si="256"/>
        <v>5.7477118955241821E-4</v>
      </c>
      <c r="K681" s="356">
        <f t="shared" si="256"/>
        <v>33.305220069678143</v>
      </c>
      <c r="L681" s="356">
        <f t="shared" si="256"/>
        <v>146.31261217550917</v>
      </c>
      <c r="M681" s="356">
        <f t="shared" si="256"/>
        <v>186.80480922427941</v>
      </c>
      <c r="N681" s="356">
        <f t="shared" si="256"/>
        <v>557.80103901043185</v>
      </c>
      <c r="AQ681" s="3"/>
    </row>
    <row r="682" spans="5:43" x14ac:dyDescent="0.3">
      <c r="F682" s="37" t="s">
        <v>248</v>
      </c>
      <c r="G682" s="37" t="s">
        <v>206</v>
      </c>
      <c r="H682" s="37"/>
      <c r="I682" s="37"/>
      <c r="J682" s="358">
        <f t="shared" si="256"/>
        <v>9.0820382146612443E-3</v>
      </c>
      <c r="K682" s="358">
        <f t="shared" si="256"/>
        <v>526.26033962499775</v>
      </c>
      <c r="L682" s="358">
        <f t="shared" si="256"/>
        <v>2311.9056056022077</v>
      </c>
      <c r="M682" s="358">
        <f t="shared" si="256"/>
        <v>2951.72835190043</v>
      </c>
      <c r="N682" s="358">
        <f t="shared" si="256"/>
        <v>8813.8905438448073</v>
      </c>
      <c r="AQ682" s="3"/>
    </row>
    <row r="683" spans="5:43" x14ac:dyDescent="0.3">
      <c r="J683" s="89"/>
      <c r="K683" s="89"/>
      <c r="L683" s="89"/>
      <c r="M683" s="89"/>
      <c r="N683" s="89"/>
      <c r="AQ683" s="3"/>
    </row>
    <row r="684" spans="5:43" x14ac:dyDescent="0.3">
      <c r="J684" s="376" t="s">
        <v>982</v>
      </c>
      <c r="K684" s="376" t="s">
        <v>987</v>
      </c>
      <c r="L684" s="376" t="s">
        <v>988</v>
      </c>
      <c r="M684" s="376" t="s">
        <v>989</v>
      </c>
      <c r="N684" s="376" t="s">
        <v>990</v>
      </c>
      <c r="AQ684" s="3"/>
    </row>
    <row r="685" spans="5:43" x14ac:dyDescent="0.3">
      <c r="E685" s="24" t="s">
        <v>996</v>
      </c>
      <c r="G685" t="s">
        <v>206</v>
      </c>
      <c r="J685" s="89">
        <f>SUM(J680:J682)</f>
        <v>9.6760682792120158E-3</v>
      </c>
      <c r="K685" s="89">
        <f>SUM(K680:K682)</f>
        <v>560.6815186741336</v>
      </c>
      <c r="L685" s="89">
        <f t="shared" ref="L685:N685" si="257">SUM(L680:L682)</f>
        <v>2463.1207187377336</v>
      </c>
      <c r="M685" s="89">
        <f t="shared" si="257"/>
        <v>3144.7924353112658</v>
      </c>
      <c r="N685" s="89">
        <f t="shared" si="257"/>
        <v>9390.3818385248378</v>
      </c>
      <c r="AQ685" s="3"/>
    </row>
    <row r="686" spans="5:43" x14ac:dyDescent="0.3">
      <c r="J686" s="89"/>
      <c r="K686" s="89"/>
      <c r="L686" s="89"/>
      <c r="M686" s="89"/>
      <c r="N686" s="89"/>
      <c r="AQ686" s="3"/>
    </row>
    <row r="687" spans="5:43" x14ac:dyDescent="0.3">
      <c r="E687" t="s">
        <v>1040</v>
      </c>
      <c r="G687" t="s">
        <v>206</v>
      </c>
      <c r="H687" s="89">
        <f>SUM(J685:N685)</f>
        <v>15558.98618731625</v>
      </c>
      <c r="AQ687" s="3"/>
    </row>
    <row r="688" spans="5:43" x14ac:dyDescent="0.3">
      <c r="J688" s="376" t="s">
        <v>982</v>
      </c>
      <c r="K688" s="376" t="s">
        <v>987</v>
      </c>
      <c r="L688" s="376" t="s">
        <v>988</v>
      </c>
      <c r="M688" s="376" t="s">
        <v>989</v>
      </c>
      <c r="N688" s="376" t="s">
        <v>990</v>
      </c>
      <c r="AQ688" s="3"/>
    </row>
    <row r="689" spans="2:43" x14ac:dyDescent="0.3">
      <c r="E689" s="24" t="s">
        <v>995</v>
      </c>
      <c r="G689" t="s">
        <v>166</v>
      </c>
      <c r="J689" s="111">
        <f>IF($H687 &lt;&gt; 0, J685/$H687, 0)</f>
        <v>6.2189580752375675E-7</v>
      </c>
      <c r="K689" s="111">
        <f>IF($H687 &lt;&gt; 0, K685/$H687, 0)</f>
        <v>3.6035864543102654E-2</v>
      </c>
      <c r="L689" s="111">
        <f>IF($H687 &lt;&gt; 0, L685/$H687, 0)</f>
        <v>0.15830856130881329</v>
      </c>
      <c r="M689" s="111">
        <f>IF($H687 &lt;&gt; 0, M685/$H687, 0)</f>
        <v>0.20212065217172784</v>
      </c>
      <c r="N689" s="111">
        <f>IF($H687 &lt;&gt; 0, N685/$H687, 0)</f>
        <v>0.60353430008054865</v>
      </c>
      <c r="AQ689" s="3"/>
    </row>
    <row r="690" spans="2:43" x14ac:dyDescent="0.3">
      <c r="AQ690" s="3"/>
    </row>
    <row r="691" spans="2:43" x14ac:dyDescent="0.3">
      <c r="B691" s="30" t="s">
        <v>230</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3">
      <c r="E693" t="s">
        <v>231</v>
      </c>
      <c r="G693" s="6" t="s">
        <v>54</v>
      </c>
      <c r="H693" s="103">
        <f t="array" ref="H693">SUM(IF(ISERROR(H22:Y309), 1))</f>
        <v>0</v>
      </c>
    </row>
    <row r="695" spans="2:43" x14ac:dyDescent="0.3">
      <c r="B695" s="30" t="s">
        <v>105</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6" width="24.5546875" hidden="1" customWidth="1"/>
    <col min="307" max="16384" width="8.6640625" hidden="1"/>
  </cols>
  <sheetData>
    <row r="1" spans="1:27" s="1" customFormat="1" x14ac:dyDescent="0.3">
      <c r="A1" s="1" t="str">
        <f ca="1">MID(CELL("filename",A1),FIND("]",CELL("filename",A1))+1,255)</f>
        <v>Pseudo-load coefficients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H306 &amp; IF(H306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0" t="s">
        <v>142</v>
      </c>
      <c r="H5" s="114" t="s">
        <v>143</v>
      </c>
      <c r="I5" s="14"/>
      <c r="J5" s="114" t="s">
        <v>828</v>
      </c>
      <c r="K5" s="114" t="s">
        <v>830</v>
      </c>
      <c r="L5" s="114" t="s">
        <v>829</v>
      </c>
      <c r="M5" s="114" t="s">
        <v>831</v>
      </c>
      <c r="N5" s="114" t="s">
        <v>837</v>
      </c>
      <c r="O5" s="114" t="s">
        <v>838</v>
      </c>
      <c r="P5" s="114" t="s">
        <v>839</v>
      </c>
      <c r="Q5" s="114" t="s">
        <v>840</v>
      </c>
      <c r="R5" s="114" t="s">
        <v>832</v>
      </c>
      <c r="S5" s="114" t="s">
        <v>833</v>
      </c>
      <c r="T5" s="114" t="s">
        <v>834</v>
      </c>
      <c r="U5" s="114" t="s">
        <v>843</v>
      </c>
      <c r="V5" s="114" t="s">
        <v>835</v>
      </c>
      <c r="W5" s="114" t="s">
        <v>842</v>
      </c>
      <c r="X5" s="114" t="s">
        <v>836</v>
      </c>
      <c r="Y5" s="114" t="s">
        <v>841</v>
      </c>
      <c r="AA5" s="60" t="s">
        <v>144</v>
      </c>
    </row>
    <row r="7" spans="1:27" x14ac:dyDescent="0.3">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
      <c r="C9" s="29" t="s">
        <v>863</v>
      </c>
    </row>
    <row r="10" spans="1:27" x14ac:dyDescent="0.3">
      <c r="C10" s="29" t="s">
        <v>455</v>
      </c>
    </row>
    <row r="11" spans="1:27" x14ac:dyDescent="0.3">
      <c r="C11" s="29" t="s">
        <v>456</v>
      </c>
    </row>
    <row r="13" spans="1:27" x14ac:dyDescent="0.3">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3">
      <c r="C15" s="29" t="s">
        <v>860</v>
      </c>
      <c r="I15" t="s">
        <v>153</v>
      </c>
      <c r="AA15" t="s">
        <v>861</v>
      </c>
    </row>
    <row r="16" spans="1:27" x14ac:dyDescent="0.3">
      <c r="C16" s="29" t="s">
        <v>458</v>
      </c>
    </row>
    <row r="18" spans="3:27" x14ac:dyDescent="0.3">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03" customFormat="1" x14ac:dyDescent="0.3">
      <c r="E20" s="304" t="s">
        <v>459</v>
      </c>
      <c r="F20" s="305"/>
      <c r="G20" s="305" t="s">
        <v>460</v>
      </c>
      <c r="J20" s="306" t="b">
        <f>'Fixed inputs'!J127</f>
        <v>0</v>
      </c>
      <c r="K20" s="306" t="b">
        <f>'Fixed inputs'!K127</f>
        <v>0</v>
      </c>
      <c r="L20" s="306" t="b">
        <f>'Fixed inputs'!L127</f>
        <v>0</v>
      </c>
      <c r="M20" s="306" t="b">
        <f>'Fixed inputs'!M127</f>
        <v>0</v>
      </c>
      <c r="N20" s="306" t="b">
        <f>'Fixed inputs'!N127</f>
        <v>0</v>
      </c>
      <c r="O20" s="306" t="b">
        <f>'Fixed inputs'!O127</f>
        <v>0</v>
      </c>
      <c r="P20" s="306" t="b">
        <f>'Fixed inputs'!P127</f>
        <v>0</v>
      </c>
      <c r="Q20" s="306" t="b">
        <f>'Fixed inputs'!Q127</f>
        <v>1</v>
      </c>
      <c r="R20" s="306" t="b">
        <f>'Fixed inputs'!R127</f>
        <v>0</v>
      </c>
      <c r="S20" s="306" t="b">
        <f>'Fixed inputs'!S127</f>
        <v>0</v>
      </c>
      <c r="T20" s="306" t="b">
        <f>'Fixed inputs'!T127</f>
        <v>0</v>
      </c>
      <c r="U20" s="306" t="b">
        <f>'Fixed inputs'!U127</f>
        <v>0</v>
      </c>
      <c r="V20" s="306" t="b">
        <f>'Fixed inputs'!V127</f>
        <v>0</v>
      </c>
      <c r="W20" s="306" t="b">
        <f>'Fixed inputs'!W127</f>
        <v>0</v>
      </c>
      <c r="X20" s="306" t="b">
        <f>'Fixed inputs'!X127</f>
        <v>0</v>
      </c>
      <c r="Y20" s="306" t="b">
        <f>'Fixed inputs'!Y127</f>
        <v>0</v>
      </c>
    </row>
    <row r="22" spans="3:27" x14ac:dyDescent="0.3">
      <c r="E22" s="32" t="s">
        <v>461</v>
      </c>
      <c r="I22" t="s">
        <v>153</v>
      </c>
      <c r="AA22" t="s">
        <v>462</v>
      </c>
    </row>
    <row r="23" spans="3:27" x14ac:dyDescent="0.3">
      <c r="E23" s="29" t="s">
        <v>463</v>
      </c>
      <c r="F23" s="29"/>
    </row>
    <row r="24" spans="3:27" x14ac:dyDescent="0.3">
      <c r="F24" s="64" t="s">
        <v>464</v>
      </c>
      <c r="G24" s="64" t="s">
        <v>146</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3">
      <c r="F25" s="28" t="s">
        <v>465</v>
      </c>
      <c r="G25" t="s">
        <v>146</v>
      </c>
      <c r="H25" s="150"/>
      <c r="I25" s="150"/>
      <c r="J25" s="120">
        <f>IF(J$20, 'General inputs'!$H17, 'General inputs'!$H22)</f>
        <v>2530.5</v>
      </c>
      <c r="K25" s="120">
        <f>IF(K$20, 'General inputs'!$H17, 'General inputs'!$H22)</f>
        <v>2530.5</v>
      </c>
      <c r="L25" s="120">
        <f>IF(L$20, 'General inputs'!$H17, 'General inputs'!$H22)</f>
        <v>2530.5</v>
      </c>
      <c r="M25" s="120">
        <f>IF(M$20, 'General inputs'!$H17, 'General inputs'!$H22)</f>
        <v>2530.5</v>
      </c>
      <c r="N25" s="120">
        <f>IF(N$20, 'General inputs'!$H17, 'General inputs'!$H22)</f>
        <v>2530.5</v>
      </c>
      <c r="O25" s="120">
        <f>IF(O$20, 'General inputs'!$H17, 'General inputs'!$H22)</f>
        <v>2530.5</v>
      </c>
      <c r="P25" s="120">
        <f>IF(P$20, 'General inputs'!$H17, 'General inputs'!$H22)</f>
        <v>2530.5</v>
      </c>
      <c r="Q25" s="120">
        <f>IF(Q$20, 'General inputs'!$H17, 'General inputs'!$H22)</f>
        <v>3055.5</v>
      </c>
      <c r="R25" s="120">
        <f>IF(R$20, 'General inputs'!$H17, 'General inputs'!$H22)</f>
        <v>2530.5</v>
      </c>
      <c r="S25" s="120">
        <f>IF(S$20, 'General inputs'!$H17, 'General inputs'!$H22)</f>
        <v>2530.5</v>
      </c>
      <c r="T25" s="120">
        <f>IF(T$20, 'General inputs'!$H17, 'General inputs'!$H22)</f>
        <v>2530.5</v>
      </c>
      <c r="U25" s="120">
        <f>IF(U$20, 'General inputs'!$H17, 'General inputs'!$H22)</f>
        <v>2530.5</v>
      </c>
      <c r="V25" s="120">
        <f>IF(V$20, 'General inputs'!$H17, 'General inputs'!$H22)</f>
        <v>2530.5</v>
      </c>
      <c r="W25" s="120">
        <f>IF(W$20, 'General inputs'!$H17, 'General inputs'!$H22)</f>
        <v>2530.5</v>
      </c>
      <c r="X25" s="120">
        <f>IF(X$20, 'General inputs'!$H17, 'General inputs'!$H22)</f>
        <v>2530.5</v>
      </c>
      <c r="Y25" s="120">
        <f>IF(Y$20, 'General inputs'!$H17, 'General inputs'!$H22)</f>
        <v>2530.5</v>
      </c>
    </row>
    <row r="26" spans="3:27" x14ac:dyDescent="0.3">
      <c r="F26" s="67" t="s">
        <v>256</v>
      </c>
      <c r="G26" s="37" t="s">
        <v>146</v>
      </c>
      <c r="H26" s="151"/>
      <c r="I26" s="151"/>
      <c r="J26" s="125">
        <f>IF(J$20, 'General inputs'!$H18, 'General inputs'!$H23)</f>
        <v>5446.5</v>
      </c>
      <c r="K26" s="125">
        <f>IF(K$20, 'General inputs'!$H18, 'General inputs'!$H23)</f>
        <v>5446.5</v>
      </c>
      <c r="L26" s="125">
        <f>IF(L$20, 'General inputs'!$H18, 'General inputs'!$H23)</f>
        <v>5446.5</v>
      </c>
      <c r="M26" s="125">
        <f>IF(M$20, 'General inputs'!$H18, 'General inputs'!$H23)</f>
        <v>5446.5</v>
      </c>
      <c r="N26" s="125">
        <f>IF(N$20, 'General inputs'!$H18, 'General inputs'!$H23)</f>
        <v>5446.5</v>
      </c>
      <c r="O26" s="125">
        <f>IF(O$20, 'General inputs'!$H18, 'General inputs'!$H23)</f>
        <v>5446.5</v>
      </c>
      <c r="P26" s="125">
        <f>IF(P$20, 'General inputs'!$H18, 'General inputs'!$H23)</f>
        <v>5446.5</v>
      </c>
      <c r="Q26" s="125">
        <f>IF(Q$20, 'General inputs'!$H18, 'General inputs'!$H23)</f>
        <v>5446.5</v>
      </c>
      <c r="R26" s="125">
        <f>IF(R$20, 'General inputs'!$H18, 'General inputs'!$H23)</f>
        <v>5446.5</v>
      </c>
      <c r="S26" s="125">
        <f>IF(S$20, 'General inputs'!$H18, 'General inputs'!$H23)</f>
        <v>5446.5</v>
      </c>
      <c r="T26" s="125">
        <f>IF(T$20, 'General inputs'!$H18, 'General inputs'!$H23)</f>
        <v>5446.5</v>
      </c>
      <c r="U26" s="125">
        <f>IF(U$20, 'General inputs'!$H18, 'General inputs'!$H23)</f>
        <v>5446.5</v>
      </c>
      <c r="V26" s="125">
        <f>IF(V$20, 'General inputs'!$H18, 'General inputs'!$H23)</f>
        <v>5446.5</v>
      </c>
      <c r="W26" s="125">
        <f>IF(W$20, 'General inputs'!$H18, 'General inputs'!$H23)</f>
        <v>5446.5</v>
      </c>
      <c r="X26" s="125">
        <f>IF(X$20, 'General inputs'!$H18, 'General inputs'!$H23)</f>
        <v>5446.5</v>
      </c>
      <c r="Y26" s="125">
        <f>IF(Y$20, 'General inputs'!$H18, 'General inputs'!$H23)</f>
        <v>5446.5</v>
      </c>
    </row>
    <row r="27" spans="3:27" x14ac:dyDescent="0.3">
      <c r="J27" s="89"/>
      <c r="K27" s="89"/>
      <c r="L27" s="89"/>
      <c r="M27" s="89"/>
      <c r="N27" s="89"/>
      <c r="O27" s="89"/>
      <c r="P27" s="89"/>
      <c r="Q27" s="89"/>
      <c r="R27" s="89"/>
      <c r="S27" s="89"/>
      <c r="T27" s="89"/>
      <c r="U27" s="89"/>
      <c r="V27" s="89"/>
      <c r="W27" s="89"/>
      <c r="X27" s="89"/>
      <c r="Y27" s="89"/>
    </row>
    <row r="28" spans="3:27" x14ac:dyDescent="0.3">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3">
      <c r="J29" s="89"/>
      <c r="K29" s="89"/>
      <c r="L29" s="89"/>
      <c r="M29" s="89"/>
      <c r="N29" s="89"/>
      <c r="O29" s="89"/>
      <c r="P29" s="89"/>
      <c r="Q29" s="89"/>
      <c r="R29" s="89"/>
      <c r="S29" s="89"/>
      <c r="T29" s="89"/>
      <c r="U29" s="89"/>
      <c r="V29" s="89"/>
      <c r="W29" s="89"/>
      <c r="X29" s="89"/>
      <c r="Y29" s="89"/>
    </row>
    <row r="30" spans="3:27" x14ac:dyDescent="0.3">
      <c r="E30" s="32" t="s">
        <v>466</v>
      </c>
      <c r="J30" s="89"/>
      <c r="K30" s="89"/>
      <c r="L30" s="89"/>
      <c r="M30" s="89"/>
      <c r="N30" s="89"/>
      <c r="O30" s="89"/>
      <c r="P30" s="89"/>
      <c r="Q30" s="89"/>
      <c r="R30" s="89"/>
      <c r="S30" s="89"/>
      <c r="T30" s="89"/>
      <c r="U30" s="89"/>
      <c r="V30" s="89"/>
      <c r="W30" s="89"/>
      <c r="X30" s="89"/>
      <c r="Y30" s="89"/>
    </row>
    <row r="31" spans="3:27" x14ac:dyDescent="0.3">
      <c r="F31" s="64" t="s">
        <v>155</v>
      </c>
      <c r="G31" s="64" t="s">
        <v>206</v>
      </c>
      <c r="H31" s="23"/>
      <c r="I31" s="23"/>
      <c r="J31" s="124">
        <f>'Volume adjustments'!J238</f>
        <v>901691.5877829832</v>
      </c>
      <c r="K31" s="124">
        <f>'Volume adjustments'!K238</f>
        <v>18.350451934590168</v>
      </c>
      <c r="L31" s="124">
        <f>'Volume adjustments'!L238</f>
        <v>268866.10085929261</v>
      </c>
      <c r="M31" s="124">
        <f>'Volume adjustments'!M238</f>
        <v>30.968009054504083</v>
      </c>
      <c r="N31" s="124">
        <f>'Volume adjustments'!N238</f>
        <v>254619.81523460752</v>
      </c>
      <c r="O31" s="124">
        <f>'Volume adjustments'!O238</f>
        <v>124834.60021441797</v>
      </c>
      <c r="P31" s="124">
        <f>'Volume adjustments'!P238</f>
        <v>440634.65498847567</v>
      </c>
      <c r="Q31" s="124">
        <f>'Volume adjustments'!Q238</f>
        <v>9047.8998172492538</v>
      </c>
      <c r="R31" s="124">
        <f>'Volume adjustments'!R238</f>
        <v>162.86490240768723</v>
      </c>
      <c r="S31" s="124">
        <f>'Volume adjustments'!S238</f>
        <v>0</v>
      </c>
      <c r="T31" s="124">
        <f>'Volume adjustments'!T238</f>
        <v>2814.8705870277408</v>
      </c>
      <c r="U31" s="124">
        <f>'Volume adjustments'!U238</f>
        <v>0</v>
      </c>
      <c r="V31" s="124">
        <f>'Volume adjustments'!V238</f>
        <v>359.61906314590294</v>
      </c>
      <c r="W31" s="124">
        <f>'Volume adjustments'!W238</f>
        <v>0</v>
      </c>
      <c r="X31" s="124">
        <f>'Volume adjustments'!X238</f>
        <v>134754.49574344291</v>
      </c>
      <c r="Y31" s="124">
        <f>'Volume adjustments'!Y238</f>
        <v>0</v>
      </c>
    </row>
    <row r="32" spans="3:27" x14ac:dyDescent="0.3">
      <c r="F32" s="28" t="s">
        <v>156</v>
      </c>
      <c r="G32" s="28" t="s">
        <v>206</v>
      </c>
      <c r="J32" s="120">
        <f>'Volume adjustments'!J249</f>
        <v>2271681.4299374898</v>
      </c>
      <c r="K32" s="120">
        <f>'Volume adjustments'!K249</f>
        <v>442.08512771373279</v>
      </c>
      <c r="L32" s="120">
        <f>'Volume adjustments'!L249</f>
        <v>965721.24904958718</v>
      </c>
      <c r="M32" s="120">
        <f>'Volume adjustments'!M249</f>
        <v>924.22425525108804</v>
      </c>
      <c r="N32" s="120">
        <f>'Volume adjustments'!N249</f>
        <v>917060.15811347158</v>
      </c>
      <c r="O32" s="120">
        <f>'Volume adjustments'!O249</f>
        <v>458861.96575105318</v>
      </c>
      <c r="P32" s="120">
        <f>'Volume adjustments'!P249</f>
        <v>1495637.7885753568</v>
      </c>
      <c r="Q32" s="120">
        <f>'Volume adjustments'!Q249</f>
        <v>30030.873438694278</v>
      </c>
      <c r="R32" s="120">
        <f>'Volume adjustments'!R249</f>
        <v>602.4003628152069</v>
      </c>
      <c r="S32" s="120">
        <f>'Volume adjustments'!S249</f>
        <v>0</v>
      </c>
      <c r="T32" s="120">
        <f>'Volume adjustments'!T249</f>
        <v>10411.568347971635</v>
      </c>
      <c r="U32" s="120">
        <f>'Volume adjustments'!U249</f>
        <v>0</v>
      </c>
      <c r="V32" s="120">
        <f>'Volume adjustments'!V249</f>
        <v>1554.6705868586694</v>
      </c>
      <c r="W32" s="120">
        <f>'Volume adjustments'!W249</f>
        <v>0</v>
      </c>
      <c r="X32" s="120">
        <f>'Volume adjustments'!X249</f>
        <v>332893.45294245722</v>
      </c>
      <c r="Y32" s="120">
        <f>'Volume adjustments'!Y249</f>
        <v>0</v>
      </c>
    </row>
    <row r="33" spans="3:27" x14ac:dyDescent="0.3">
      <c r="F33" s="28" t="s">
        <v>157</v>
      </c>
      <c r="G33" s="28" t="s">
        <v>206</v>
      </c>
      <c r="J33" s="120">
        <f>'Volume adjustments'!J260</f>
        <v>4172962.6408672445</v>
      </c>
      <c r="K33" s="120">
        <f>'Volume adjustments'!K260</f>
        <v>4114.2867134426042</v>
      </c>
      <c r="L33" s="120">
        <f>'Volume adjustments'!L260</f>
        <v>1231958.2630210214</v>
      </c>
      <c r="M33" s="120">
        <f>'Volume adjustments'!M260</f>
        <v>14603.793923010659</v>
      </c>
      <c r="N33" s="120">
        <f>'Volume adjustments'!N260</f>
        <v>1194333.5194786394</v>
      </c>
      <c r="O33" s="120">
        <f>'Volume adjustments'!O260</f>
        <v>632769.13390083867</v>
      </c>
      <c r="P33" s="120">
        <f>'Volume adjustments'!P260</f>
        <v>2490677.1501377644</v>
      </c>
      <c r="Q33" s="120">
        <f>'Volume adjustments'!Q260</f>
        <v>155184.40570578561</v>
      </c>
      <c r="R33" s="120">
        <f>'Volume adjustments'!R260</f>
        <v>1012.2920957316472</v>
      </c>
      <c r="S33" s="120">
        <f>'Volume adjustments'!S260</f>
        <v>0</v>
      </c>
      <c r="T33" s="120">
        <f>'Volume adjustments'!T260</f>
        <v>17495.919646473743</v>
      </c>
      <c r="U33" s="120">
        <f>'Volume adjustments'!U260</f>
        <v>0</v>
      </c>
      <c r="V33" s="120">
        <f>'Volume adjustments'!V260</f>
        <v>2113.8817344775266</v>
      </c>
      <c r="W33" s="120">
        <f>'Volume adjustments'!W260</f>
        <v>0</v>
      </c>
      <c r="X33" s="120">
        <f>'Volume adjustments'!X260</f>
        <v>476929.11411067331</v>
      </c>
      <c r="Y33" s="120">
        <f>'Volume adjustments'!Y260</f>
        <v>0</v>
      </c>
    </row>
    <row r="34" spans="3:27" x14ac:dyDescent="0.3">
      <c r="F34" s="152" t="s">
        <v>454</v>
      </c>
      <c r="G34" s="152" t="s">
        <v>206</v>
      </c>
      <c r="H34" s="108"/>
      <c r="I34" s="108"/>
      <c r="J34" s="153">
        <f t="shared" ref="J34:Y34" si="0">SUM(J31:J33)</f>
        <v>7346335.6585877175</v>
      </c>
      <c r="K34" s="153">
        <f t="shared" si="0"/>
        <v>4574.7222930909275</v>
      </c>
      <c r="L34" s="153">
        <f t="shared" si="0"/>
        <v>2466545.6129299011</v>
      </c>
      <c r="M34" s="153">
        <f t="shared" si="0"/>
        <v>15558.98618731625</v>
      </c>
      <c r="N34" s="153">
        <f t="shared" si="0"/>
        <v>2366013.4928267184</v>
      </c>
      <c r="O34" s="153">
        <f t="shared" si="0"/>
        <v>1216465.6998663098</v>
      </c>
      <c r="P34" s="153">
        <f t="shared" si="0"/>
        <v>4426949.5937015973</v>
      </c>
      <c r="Q34" s="153">
        <f t="shared" si="0"/>
        <v>194263.17896172914</v>
      </c>
      <c r="R34" s="153">
        <f t="shared" si="0"/>
        <v>1777.5573609545413</v>
      </c>
      <c r="S34" s="153">
        <f t="shared" si="0"/>
        <v>0</v>
      </c>
      <c r="T34" s="153">
        <f t="shared" si="0"/>
        <v>30722.35858147312</v>
      </c>
      <c r="U34" s="153">
        <f t="shared" si="0"/>
        <v>0</v>
      </c>
      <c r="V34" s="153">
        <f t="shared" si="0"/>
        <v>4028.1713844820988</v>
      </c>
      <c r="W34" s="153">
        <f t="shared" si="0"/>
        <v>0</v>
      </c>
      <c r="X34" s="153">
        <f t="shared" si="0"/>
        <v>944577.06279657339</v>
      </c>
      <c r="Y34" s="153">
        <f t="shared" si="0"/>
        <v>0</v>
      </c>
    </row>
    <row r="35" spans="3:27" x14ac:dyDescent="0.3">
      <c r="F35" s="28"/>
      <c r="G35" s="28"/>
      <c r="J35" s="25"/>
      <c r="K35" s="25"/>
      <c r="L35" s="25"/>
      <c r="M35" s="25"/>
      <c r="N35" s="25"/>
      <c r="O35" s="25"/>
      <c r="P35" s="25"/>
      <c r="Q35" s="25"/>
      <c r="R35" s="25"/>
      <c r="S35" s="25"/>
      <c r="T35" s="25"/>
      <c r="U35" s="25"/>
      <c r="V35" s="25"/>
      <c r="W35" s="25"/>
      <c r="X35" s="25"/>
      <c r="Y35" s="25"/>
      <c r="Z35" s="25"/>
    </row>
    <row r="36" spans="3:27" x14ac:dyDescent="0.3">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3">
      <c r="J37" s="89"/>
      <c r="K37" s="89"/>
      <c r="L37" s="89"/>
      <c r="M37" s="89"/>
      <c r="N37" s="89"/>
      <c r="O37" s="89"/>
      <c r="P37" s="89"/>
      <c r="Q37" s="89"/>
      <c r="R37" s="89"/>
      <c r="S37" s="89"/>
      <c r="T37" s="89"/>
      <c r="U37" s="89"/>
      <c r="V37" s="89"/>
      <c r="W37" s="89"/>
      <c r="X37" s="89"/>
      <c r="Y37" s="89"/>
    </row>
    <row r="38" spans="3:27" x14ac:dyDescent="0.3">
      <c r="E38" s="28" t="s">
        <v>847</v>
      </c>
      <c r="F38" s="28"/>
      <c r="G38" s="28" t="s">
        <v>148</v>
      </c>
      <c r="I38" s="312" t="s">
        <v>153</v>
      </c>
      <c r="J38" s="307">
        <f>'Fixed inputs'!J149</f>
        <v>1</v>
      </c>
      <c r="K38" s="307">
        <f>'Fixed inputs'!K149</f>
        <v>1</v>
      </c>
      <c r="L38" s="307">
        <f>'Fixed inputs'!L149</f>
        <v>2</v>
      </c>
      <c r="M38" s="307">
        <f>'Fixed inputs'!M149</f>
        <v>2</v>
      </c>
      <c r="N38" s="307">
        <f>'Fixed inputs'!N149</f>
        <v>3</v>
      </c>
      <c r="O38" s="307">
        <f>'Fixed inputs'!O149</f>
        <v>4</v>
      </c>
      <c r="P38" s="307">
        <f>'Fixed inputs'!P149</f>
        <v>5</v>
      </c>
      <c r="Q38" s="308"/>
      <c r="R38" s="308"/>
      <c r="S38" s="308"/>
      <c r="T38" s="308"/>
      <c r="U38" s="308"/>
      <c r="V38" s="308"/>
      <c r="W38" s="308"/>
      <c r="X38" s="308"/>
      <c r="Y38" s="308"/>
      <c r="AA38" s="312" t="s">
        <v>859</v>
      </c>
    </row>
    <row r="39" spans="3:27" x14ac:dyDescent="0.3">
      <c r="J39" s="89"/>
      <c r="K39" s="89"/>
      <c r="L39" s="89"/>
      <c r="M39" s="89"/>
      <c r="N39" s="89"/>
      <c r="O39" s="89"/>
      <c r="P39" s="89"/>
      <c r="Q39" s="89"/>
      <c r="R39" s="89"/>
      <c r="S39" s="89"/>
      <c r="T39" s="89"/>
      <c r="U39" s="89"/>
      <c r="V39" s="89"/>
      <c r="W39" s="89"/>
      <c r="X39" s="89"/>
      <c r="Y39" s="89"/>
    </row>
    <row r="40" spans="3:27" x14ac:dyDescent="0.3">
      <c r="E40" s="32" t="s">
        <v>848</v>
      </c>
      <c r="J40" s="89"/>
      <c r="K40" s="89"/>
      <c r="L40" s="89"/>
      <c r="M40" s="89"/>
      <c r="N40" s="89"/>
      <c r="O40" s="89"/>
      <c r="P40" s="89"/>
      <c r="Q40" s="89"/>
      <c r="R40" s="89"/>
      <c r="S40" s="89"/>
      <c r="T40" s="89"/>
      <c r="U40" s="89"/>
      <c r="V40" s="89"/>
      <c r="W40" s="89"/>
      <c r="X40" s="89"/>
      <c r="Y40" s="89"/>
    </row>
    <row r="41" spans="3:27" x14ac:dyDescent="0.3">
      <c r="E41" s="29" t="s">
        <v>463</v>
      </c>
    </row>
    <row r="42" spans="3:27" x14ac:dyDescent="0.3">
      <c r="F42" s="64" t="s">
        <v>464</v>
      </c>
      <c r="G42" s="64" t="s">
        <v>166</v>
      </c>
      <c r="H42" s="23"/>
      <c r="I42" s="23"/>
      <c r="J42" s="154">
        <f t="shared" ref="J42:P44" si="1">SUMIF($J$38:$Y$38, J$38, $J31:$Y31) / SUMIF($J$38:$Y$38, J$38, $J$34:$Y$34)</f>
        <v>0.12266643062064814</v>
      </c>
      <c r="K42" s="154">
        <f t="shared" si="1"/>
        <v>0.12266643062064814</v>
      </c>
      <c r="L42" s="154">
        <f t="shared" si="1"/>
        <v>0.10833430185173611</v>
      </c>
      <c r="M42" s="154">
        <f t="shared" si="1"/>
        <v>0.10833430185173611</v>
      </c>
      <c r="N42" s="154">
        <f t="shared" si="1"/>
        <v>0.10761553812206232</v>
      </c>
      <c r="O42" s="154">
        <f t="shared" si="1"/>
        <v>0.10262073170508412</v>
      </c>
      <c r="P42" s="154">
        <f t="shared" si="1"/>
        <v>9.9534599539010934E-2</v>
      </c>
      <c r="Q42" s="309"/>
      <c r="R42" s="309"/>
      <c r="S42" s="309"/>
      <c r="T42" s="309"/>
      <c r="U42" s="309"/>
      <c r="V42" s="309"/>
      <c r="W42" s="309"/>
      <c r="X42" s="309"/>
      <c r="Y42" s="309"/>
    </row>
    <row r="43" spans="3:27" x14ac:dyDescent="0.3">
      <c r="F43" s="28" t="s">
        <v>465</v>
      </c>
      <c r="G43" s="28" t="s">
        <v>166</v>
      </c>
      <c r="J43" s="145">
        <f t="shared" si="1"/>
        <v>0.3090941662103287</v>
      </c>
      <c r="K43" s="145">
        <f t="shared" si="1"/>
        <v>0.3090941662103287</v>
      </c>
      <c r="L43" s="145">
        <f t="shared" si="1"/>
        <v>0.38944590556281727</v>
      </c>
      <c r="M43" s="145">
        <f t="shared" si="1"/>
        <v>0.38944590556281727</v>
      </c>
      <c r="N43" s="145">
        <f t="shared" si="1"/>
        <v>0.38759718019099015</v>
      </c>
      <c r="O43" s="145">
        <f t="shared" si="1"/>
        <v>0.37720912788702743</v>
      </c>
      <c r="P43" s="145">
        <f t="shared" si="1"/>
        <v>0.33784838903593167</v>
      </c>
      <c r="Q43" s="70"/>
      <c r="R43" s="70"/>
      <c r="S43" s="70"/>
      <c r="T43" s="70"/>
      <c r="U43" s="70"/>
      <c r="V43" s="70"/>
      <c r="W43" s="70"/>
      <c r="X43" s="70"/>
      <c r="Y43" s="70"/>
    </row>
    <row r="44" spans="3:27" x14ac:dyDescent="0.3">
      <c r="F44" s="67" t="s">
        <v>256</v>
      </c>
      <c r="G44" s="67" t="s">
        <v>166</v>
      </c>
      <c r="H44" s="37"/>
      <c r="I44" s="37"/>
      <c r="J44" s="155">
        <f t="shared" si="1"/>
        <v>0.56823940316902311</v>
      </c>
      <c r="K44" s="155">
        <f t="shared" si="1"/>
        <v>0.56823940316902311</v>
      </c>
      <c r="L44" s="155">
        <f t="shared" si="1"/>
        <v>0.50221979258544658</v>
      </c>
      <c r="M44" s="155">
        <f t="shared" si="1"/>
        <v>0.50221979258544658</v>
      </c>
      <c r="N44" s="155">
        <f t="shared" si="1"/>
        <v>0.50478728168694753</v>
      </c>
      <c r="O44" s="155">
        <f t="shared" si="1"/>
        <v>0.52017014040788845</v>
      </c>
      <c r="P44" s="155">
        <f t="shared" si="1"/>
        <v>0.56261701142505727</v>
      </c>
      <c r="Q44" s="71"/>
      <c r="R44" s="71"/>
      <c r="S44" s="71"/>
      <c r="T44" s="71"/>
      <c r="U44" s="71"/>
      <c r="V44" s="71"/>
      <c r="W44" s="71"/>
      <c r="X44" s="71"/>
      <c r="Y44" s="71"/>
    </row>
    <row r="45" spans="3:27" x14ac:dyDescent="0.3">
      <c r="J45" s="89"/>
      <c r="K45" s="89"/>
      <c r="L45" s="89"/>
      <c r="M45" s="89"/>
      <c r="N45" s="89"/>
      <c r="O45" s="89"/>
      <c r="P45" s="89"/>
      <c r="Q45" s="89"/>
      <c r="R45" s="89"/>
      <c r="S45" s="89"/>
      <c r="T45" s="89"/>
      <c r="U45" s="89"/>
      <c r="V45" s="89"/>
      <c r="W45" s="89"/>
      <c r="X45" s="89"/>
      <c r="Y45" s="89"/>
    </row>
    <row r="46" spans="3:27" x14ac:dyDescent="0.3">
      <c r="E46" s="32" t="s">
        <v>849</v>
      </c>
      <c r="F46" s="28"/>
      <c r="G46" s="28"/>
    </row>
    <row r="47" spans="3:27" x14ac:dyDescent="0.3">
      <c r="E47" s="29" t="s">
        <v>463</v>
      </c>
    </row>
    <row r="48" spans="3:27" x14ac:dyDescent="0.3">
      <c r="F48" s="64" t="s">
        <v>464</v>
      </c>
      <c r="G48" s="64" t="s">
        <v>166</v>
      </c>
      <c r="H48" s="23"/>
      <c r="I48" s="23"/>
      <c r="J48" s="154">
        <f>IF(ISNUMBER(J$38), J42, IF(J$34 = 0, 0, J31 / J$34))</f>
        <v>0.12266643062064814</v>
      </c>
      <c r="K48" s="154">
        <f t="shared" ref="K48:Y48" si="2">IF(ISNUMBER(K$38), K42, IF(K$34 = 0, 0, K31 / K$34))</f>
        <v>0.12266643062064814</v>
      </c>
      <c r="L48" s="154">
        <f t="shared" si="2"/>
        <v>0.10833430185173611</v>
      </c>
      <c r="M48" s="154">
        <f t="shared" si="2"/>
        <v>0.10833430185173611</v>
      </c>
      <c r="N48" s="154">
        <f t="shared" si="2"/>
        <v>0.10761553812206232</v>
      </c>
      <c r="O48" s="154">
        <f t="shared" si="2"/>
        <v>0.10262073170508412</v>
      </c>
      <c r="P48" s="154">
        <f t="shared" si="2"/>
        <v>9.9534599539010934E-2</v>
      </c>
      <c r="Q48" s="154">
        <f t="shared" si="2"/>
        <v>4.6575474907840038E-2</v>
      </c>
      <c r="R48" s="154">
        <f t="shared" si="2"/>
        <v>9.1622867416345663E-2</v>
      </c>
      <c r="S48" s="154">
        <f t="shared" si="2"/>
        <v>0</v>
      </c>
      <c r="T48" s="154">
        <f t="shared" si="2"/>
        <v>9.1622867416345663E-2</v>
      </c>
      <c r="U48" s="154">
        <f t="shared" si="2"/>
        <v>0</v>
      </c>
      <c r="V48" s="154">
        <f t="shared" si="2"/>
        <v>8.9276008595681702E-2</v>
      </c>
      <c r="W48" s="154">
        <f t="shared" si="2"/>
        <v>0</v>
      </c>
      <c r="X48" s="154">
        <f t="shared" si="2"/>
        <v>0.14266119838277716</v>
      </c>
      <c r="Y48" s="154">
        <f t="shared" si="2"/>
        <v>0</v>
      </c>
    </row>
    <row r="49" spans="2:27" x14ac:dyDescent="0.3">
      <c r="F49" s="28" t="s">
        <v>465</v>
      </c>
      <c r="G49" s="28" t="s">
        <v>166</v>
      </c>
      <c r="J49" s="145">
        <f t="shared" ref="J49:Y49" si="3">IF(ISNUMBER(J$38), J43, IF(J$34 = 0, 0, J32 / J$34))</f>
        <v>0.3090941662103287</v>
      </c>
      <c r="K49" s="145">
        <f t="shared" si="3"/>
        <v>0.3090941662103287</v>
      </c>
      <c r="L49" s="145">
        <f t="shared" si="3"/>
        <v>0.38944590556281727</v>
      </c>
      <c r="M49" s="145">
        <f t="shared" si="3"/>
        <v>0.38944590556281727</v>
      </c>
      <c r="N49" s="145">
        <f t="shared" si="3"/>
        <v>0.38759718019099015</v>
      </c>
      <c r="O49" s="145">
        <f t="shared" si="3"/>
        <v>0.37720912788702743</v>
      </c>
      <c r="P49" s="145">
        <f t="shared" si="3"/>
        <v>0.33784838903593167</v>
      </c>
      <c r="Q49" s="145">
        <f t="shared" si="3"/>
        <v>0.15458860294163371</v>
      </c>
      <c r="R49" s="145">
        <f t="shared" si="3"/>
        <v>0.3388922214536696</v>
      </c>
      <c r="S49" s="145">
        <f t="shared" si="3"/>
        <v>0</v>
      </c>
      <c r="T49" s="145">
        <f t="shared" si="3"/>
        <v>0.3388922214536696</v>
      </c>
      <c r="U49" s="145">
        <f t="shared" si="3"/>
        <v>0</v>
      </c>
      <c r="V49" s="145">
        <f t="shared" si="3"/>
        <v>0.38594946402921065</v>
      </c>
      <c r="W49" s="145">
        <f t="shared" si="3"/>
        <v>0</v>
      </c>
      <c r="X49" s="145">
        <f t="shared" si="3"/>
        <v>0.35242593331334154</v>
      </c>
      <c r="Y49" s="145">
        <f t="shared" si="3"/>
        <v>0</v>
      </c>
    </row>
    <row r="50" spans="2:27" x14ac:dyDescent="0.3">
      <c r="F50" s="67" t="s">
        <v>256</v>
      </c>
      <c r="G50" s="67" t="s">
        <v>166</v>
      </c>
      <c r="H50" s="37"/>
      <c r="I50" s="37"/>
      <c r="J50" s="155">
        <f t="shared" ref="J50:Y50" si="4">IF(ISNUMBER(J$38), J44, IF(J$34 = 0, 0, J33 / J$34))</f>
        <v>0.56823940316902311</v>
      </c>
      <c r="K50" s="155">
        <f t="shared" si="4"/>
        <v>0.56823940316902311</v>
      </c>
      <c r="L50" s="155">
        <f t="shared" si="4"/>
        <v>0.50221979258544658</v>
      </c>
      <c r="M50" s="155">
        <f t="shared" si="4"/>
        <v>0.50221979258544658</v>
      </c>
      <c r="N50" s="155">
        <f t="shared" si="4"/>
        <v>0.50478728168694753</v>
      </c>
      <c r="O50" s="155">
        <f t="shared" si="4"/>
        <v>0.52017014040788845</v>
      </c>
      <c r="P50" s="155">
        <f t="shared" si="4"/>
        <v>0.56261701142505727</v>
      </c>
      <c r="Q50" s="155">
        <f t="shared" si="4"/>
        <v>0.79883592215052623</v>
      </c>
      <c r="R50" s="155">
        <f t="shared" si="4"/>
        <v>0.56948491112998478</v>
      </c>
      <c r="S50" s="155">
        <f t="shared" si="4"/>
        <v>0</v>
      </c>
      <c r="T50" s="155">
        <f t="shared" si="4"/>
        <v>0.56948491112998478</v>
      </c>
      <c r="U50" s="155">
        <f t="shared" si="4"/>
        <v>0</v>
      </c>
      <c r="V50" s="155">
        <f t="shared" si="4"/>
        <v>0.52477452737510766</v>
      </c>
      <c r="W50" s="155">
        <f t="shared" si="4"/>
        <v>0</v>
      </c>
      <c r="X50" s="155">
        <f t="shared" si="4"/>
        <v>0.50491286830388138</v>
      </c>
      <c r="Y50" s="155">
        <f t="shared" si="4"/>
        <v>0</v>
      </c>
    </row>
    <row r="52" spans="2:27" x14ac:dyDescent="0.3">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3">
      <c r="E54" t="s">
        <v>467</v>
      </c>
      <c r="G54" t="s">
        <v>282</v>
      </c>
      <c r="H54" s="89"/>
      <c r="I54" s="89"/>
      <c r="J54" s="89">
        <f t="shared" ref="J54:Y54" si="5">J48 * hours_in_year / J24</f>
        <v>1.3723600667137645</v>
      </c>
      <c r="K54" s="89">
        <f t="shared" si="5"/>
        <v>1.3723600667137645</v>
      </c>
      <c r="L54" s="89">
        <f t="shared" si="5"/>
        <v>1.2120159440883886</v>
      </c>
      <c r="M54" s="89">
        <f t="shared" si="5"/>
        <v>1.2120159440883886</v>
      </c>
      <c r="N54" s="89">
        <f t="shared" si="5"/>
        <v>1.2039746027449119</v>
      </c>
      <c r="O54" s="89">
        <f t="shared" si="5"/>
        <v>1.1480940098806347</v>
      </c>
      <c r="P54" s="89">
        <f t="shared" si="5"/>
        <v>1.1135671672563674</v>
      </c>
      <c r="Q54" s="89">
        <f t="shared" si="5"/>
        <v>1.5813998457080571</v>
      </c>
      <c r="R54" s="89">
        <f t="shared" si="5"/>
        <v>1.0250527695621814</v>
      </c>
      <c r="S54" s="89">
        <f t="shared" si="5"/>
        <v>0</v>
      </c>
      <c r="T54" s="89">
        <f t="shared" si="5"/>
        <v>1.0250527695621814</v>
      </c>
      <c r="U54" s="89">
        <f t="shared" si="5"/>
        <v>0</v>
      </c>
      <c r="V54" s="89">
        <f t="shared" si="5"/>
        <v>0.99879672451873791</v>
      </c>
      <c r="W54" s="89">
        <f t="shared" si="5"/>
        <v>0</v>
      </c>
      <c r="X54" s="89">
        <f t="shared" si="5"/>
        <v>1.5960563190716832</v>
      </c>
      <c r="Y54" s="89">
        <f t="shared" si="5"/>
        <v>0</v>
      </c>
    </row>
    <row r="55" spans="2:27" x14ac:dyDescent="0.3">
      <c r="J55" s="63"/>
      <c r="K55" s="63"/>
      <c r="L55" s="63"/>
      <c r="M55" s="63"/>
      <c r="N55" s="63"/>
      <c r="O55" s="63"/>
      <c r="P55" s="63"/>
      <c r="Q55" s="63"/>
      <c r="R55" s="63"/>
      <c r="S55" s="63"/>
      <c r="T55" s="63"/>
      <c r="U55" s="63"/>
      <c r="V55" s="63"/>
      <c r="W55" s="63"/>
      <c r="X55" s="63"/>
      <c r="Y55" s="63"/>
    </row>
    <row r="56" spans="2:27" x14ac:dyDescent="0.3">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
      <c r="F57" s="28"/>
      <c r="G57" s="28"/>
    </row>
    <row r="58" spans="2:27" x14ac:dyDescent="0.3">
      <c r="C58" s="29" t="s">
        <v>469</v>
      </c>
      <c r="F58" s="28"/>
      <c r="G58" s="28"/>
    </row>
    <row r="59" spans="2:27" x14ac:dyDescent="0.3">
      <c r="F59" s="28"/>
      <c r="G59" s="28"/>
    </row>
    <row r="60" spans="2:27" x14ac:dyDescent="0.3">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3">
      <c r="D61" s="32"/>
      <c r="J61" s="25"/>
      <c r="K61" s="25"/>
      <c r="L61" s="25"/>
      <c r="M61" s="25"/>
      <c r="N61" s="25"/>
      <c r="O61" s="25"/>
      <c r="P61" s="25"/>
      <c r="Q61" s="25"/>
      <c r="R61" s="25"/>
      <c r="S61" s="25"/>
      <c r="T61" s="25"/>
      <c r="U61" s="25"/>
      <c r="V61" s="25"/>
      <c r="W61" s="25"/>
      <c r="X61" s="25"/>
      <c r="Y61" s="25"/>
    </row>
    <row r="62" spans="2:27" x14ac:dyDescent="0.3">
      <c r="E62" s="28" t="s">
        <v>240</v>
      </c>
      <c r="G62" s="28" t="s">
        <v>166</v>
      </c>
      <c r="J62" s="25">
        <f>'Inputs by customer type'!J15</f>
        <v>0.44102545295601853</v>
      </c>
      <c r="K62" s="25">
        <f>'Inputs by customer type'!K15</f>
        <v>0.19674261533753937</v>
      </c>
      <c r="L62" s="25">
        <f>'Inputs by customer type'!L15</f>
        <v>0.43609182964337306</v>
      </c>
      <c r="M62" s="25">
        <f>'Inputs by customer type'!M15</f>
        <v>0.17481067320328159</v>
      </c>
      <c r="N62" s="25">
        <f>'Inputs by customer type'!N15</f>
        <v>0.53102634151201922</v>
      </c>
      <c r="O62" s="25">
        <f>'Inputs by customer type'!O15</f>
        <v>0.54891551029254804</v>
      </c>
      <c r="P62" s="25">
        <f>'Inputs by customer type'!P15</f>
        <v>0.70868365955903789</v>
      </c>
      <c r="Q62" s="25">
        <f>'Inputs by customer type'!Q15</f>
        <v>0.47413508390304332</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3">
      <c r="E63" s="28" t="s">
        <v>242</v>
      </c>
      <c r="G63" s="28" t="s">
        <v>166</v>
      </c>
      <c r="J63" s="25">
        <f>'Inputs by customer type'!J16</f>
        <v>0.7758275857230309</v>
      </c>
      <c r="K63" s="25">
        <f>'Inputs by customer type'!K16</f>
        <v>0</v>
      </c>
      <c r="L63" s="25">
        <f>'Inputs by customer type'!L16</f>
        <v>0.78581035374337604</v>
      </c>
      <c r="M63" s="25">
        <f>'Inputs by customer type'!M16</f>
        <v>0</v>
      </c>
      <c r="N63" s="25">
        <f>'Inputs by customer type'!N16</f>
        <v>0.83243166821743186</v>
      </c>
      <c r="O63" s="25">
        <f>'Inputs by customer type'!O16</f>
        <v>0.80282564462541028</v>
      </c>
      <c r="P63" s="25">
        <f>'Inputs by customer type'!P16</f>
        <v>0.87559889203876473</v>
      </c>
      <c r="Q63" s="25">
        <f>'Inputs by customer type'!Q16</f>
        <v>0.60639844233547979</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3">
      <c r="F64" s="28"/>
      <c r="G64" s="28"/>
      <c r="J64" s="25"/>
      <c r="K64" s="25"/>
      <c r="L64" s="25"/>
      <c r="M64" s="25"/>
      <c r="N64" s="25"/>
      <c r="O64" s="25"/>
      <c r="P64" s="25"/>
      <c r="Q64" s="25"/>
      <c r="R64" s="25"/>
      <c r="S64" s="25"/>
      <c r="T64" s="25"/>
      <c r="U64" s="25"/>
      <c r="V64" s="25"/>
      <c r="W64" s="25"/>
      <c r="X64" s="25"/>
      <c r="Y64" s="25"/>
    </row>
    <row r="65" spans="3:27" x14ac:dyDescent="0.3">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3">
      <c r="D67" s="32" t="s">
        <v>850</v>
      </c>
      <c r="E67" s="28"/>
      <c r="F67" s="28"/>
      <c r="G67" s="28"/>
    </row>
    <row r="68" spans="3:27" x14ac:dyDescent="0.3">
      <c r="D68" s="32"/>
      <c r="E68" s="28"/>
      <c r="F68" s="28"/>
      <c r="G68" s="28"/>
    </row>
    <row r="69" spans="3:27" x14ac:dyDescent="0.3">
      <c r="D69" s="32"/>
      <c r="E69" s="28" t="s">
        <v>851</v>
      </c>
      <c r="F69" s="28"/>
      <c r="G69" s="28" t="s">
        <v>171</v>
      </c>
      <c r="J69" s="89">
        <f t="shared" ref="J69:P69" si="6">J34 / hours_in_year</f>
        <v>838.6227920762235</v>
      </c>
      <c r="K69" s="89">
        <f t="shared" si="6"/>
        <v>0.52222857227065378</v>
      </c>
      <c r="L69" s="89">
        <f t="shared" si="6"/>
        <v>281.56913389610742</v>
      </c>
      <c r="M69" s="89">
        <f t="shared" si="6"/>
        <v>1.776139975721033</v>
      </c>
      <c r="N69" s="89">
        <f t="shared" si="6"/>
        <v>270.0928644779359</v>
      </c>
      <c r="O69" s="89">
        <f t="shared" si="6"/>
        <v>138.86594747332302</v>
      </c>
      <c r="P69" s="89">
        <f t="shared" si="6"/>
        <v>505.3595426599997</v>
      </c>
      <c r="Q69" s="308"/>
      <c r="R69" s="308"/>
      <c r="S69" s="308"/>
      <c r="T69" s="308"/>
      <c r="U69" s="308"/>
      <c r="V69" s="308"/>
      <c r="W69" s="308"/>
      <c r="X69" s="308"/>
      <c r="Y69" s="308"/>
    </row>
    <row r="70" spans="3:27" x14ac:dyDescent="0.3">
      <c r="D70" s="32"/>
      <c r="E70" s="28"/>
      <c r="F70" s="28"/>
      <c r="G70" s="28"/>
    </row>
    <row r="71" spans="3:27" x14ac:dyDescent="0.3">
      <c r="D71" s="32"/>
      <c r="E71" s="28" t="s">
        <v>470</v>
      </c>
      <c r="F71" s="28"/>
      <c r="G71" s="28" t="s">
        <v>171</v>
      </c>
      <c r="J71" s="89">
        <f t="shared" ref="J71:P71" si="7">IF(J62 = 0, 0, J34 / (J62 * hours_in_year))</f>
        <v>1901.5292347760608</v>
      </c>
      <c r="K71" s="89">
        <f t="shared" si="7"/>
        <v>2.6543744545364407</v>
      </c>
      <c r="L71" s="89">
        <f t="shared" si="7"/>
        <v>645.6647769034538</v>
      </c>
      <c r="M71" s="89">
        <f t="shared" si="7"/>
        <v>10.160363455929366</v>
      </c>
      <c r="N71" s="89">
        <f t="shared" si="7"/>
        <v>508.62423078464667</v>
      </c>
      <c r="O71" s="89">
        <f t="shared" si="7"/>
        <v>252.98237136588386</v>
      </c>
      <c r="P71" s="89">
        <f t="shared" si="7"/>
        <v>713.09608432971072</v>
      </c>
      <c r="Q71" s="308"/>
      <c r="R71" s="308"/>
      <c r="S71" s="308"/>
      <c r="T71" s="308"/>
      <c r="U71" s="308"/>
      <c r="V71" s="308"/>
      <c r="W71" s="308"/>
      <c r="X71" s="308"/>
      <c r="Y71" s="308"/>
    </row>
    <row r="72" spans="3:27" x14ac:dyDescent="0.3">
      <c r="D72" s="32"/>
      <c r="E72" s="28"/>
      <c r="F72" s="28"/>
      <c r="G72" s="28"/>
    </row>
    <row r="73" spans="3:27" x14ac:dyDescent="0.3">
      <c r="D73" s="32"/>
      <c r="E73" s="28" t="s">
        <v>852</v>
      </c>
      <c r="F73" s="28"/>
      <c r="G73" s="28" t="s">
        <v>171</v>
      </c>
      <c r="J73" s="89">
        <f>J71 * J63</f>
        <v>1475.2588353980736</v>
      </c>
      <c r="K73" s="89">
        <f t="shared" ref="K73:M73" si="8">K71 * K63</f>
        <v>0</v>
      </c>
      <c r="L73" s="89">
        <f t="shared" si="8"/>
        <v>507.37006673814102</v>
      </c>
      <c r="M73" s="89">
        <f t="shared" si="8"/>
        <v>0</v>
      </c>
      <c r="N73" s="89">
        <f t="shared" ref="N73:P73" si="9">N71 * N63</f>
        <v>423.39491692787146</v>
      </c>
      <c r="O73" s="89">
        <f t="shared" si="9"/>
        <v>203.10073537068064</v>
      </c>
      <c r="P73" s="89">
        <f t="shared" si="9"/>
        <v>624.3861413562762</v>
      </c>
      <c r="Q73" s="308"/>
      <c r="R73" s="308"/>
      <c r="S73" s="308"/>
      <c r="T73" s="308"/>
      <c r="U73" s="308"/>
      <c r="V73" s="308"/>
      <c r="W73" s="308"/>
      <c r="X73" s="308"/>
      <c r="Y73" s="308"/>
    </row>
    <row r="74" spans="3:27" x14ac:dyDescent="0.3">
      <c r="D74" s="32"/>
      <c r="E74" s="28"/>
      <c r="F74" s="28"/>
      <c r="G74" s="28"/>
    </row>
    <row r="75" spans="3:27" x14ac:dyDescent="0.3">
      <c r="D75" s="32" t="s">
        <v>853</v>
      </c>
      <c r="E75" s="28"/>
      <c r="F75" s="28"/>
      <c r="G75" s="28"/>
    </row>
    <row r="76" spans="3:27" x14ac:dyDescent="0.3">
      <c r="D76" s="32"/>
      <c r="E76" s="28"/>
      <c r="F76" s="28"/>
      <c r="G76" s="28"/>
    </row>
    <row r="77" spans="3:27" x14ac:dyDescent="0.3">
      <c r="D77" s="32"/>
      <c r="E77" s="28" t="s">
        <v>240</v>
      </c>
      <c r="F77" s="28"/>
      <c r="G77" s="28" t="s">
        <v>166</v>
      </c>
      <c r="J77" s="145">
        <f t="shared" ref="J77:P77" si="10">SUMIF($J$38:$Y$38, J$38, $J$69:$Y$69) / SUMIF($J$38:$Y$38, J$38, $J$71:$Y$71)</f>
        <v>0.44068493005648673</v>
      </c>
      <c r="K77" s="145">
        <f t="shared" si="10"/>
        <v>0.44068493005648673</v>
      </c>
      <c r="L77" s="145">
        <f t="shared" si="10"/>
        <v>0.4320439343276154</v>
      </c>
      <c r="M77" s="145">
        <f t="shared" si="10"/>
        <v>0.4320439343276154</v>
      </c>
      <c r="N77" s="145">
        <f t="shared" si="10"/>
        <v>0.53102634151201933</v>
      </c>
      <c r="O77" s="145">
        <f t="shared" si="10"/>
        <v>0.54891551029254793</v>
      </c>
      <c r="P77" s="145">
        <f t="shared" si="10"/>
        <v>0.70868365955903789</v>
      </c>
      <c r="Q77" s="308"/>
      <c r="R77" s="308"/>
      <c r="S77" s="308"/>
      <c r="T77" s="308"/>
      <c r="U77" s="308"/>
      <c r="V77" s="308"/>
      <c r="W77" s="308"/>
      <c r="X77" s="308"/>
      <c r="Y77" s="308"/>
    </row>
    <row r="78" spans="3:27" x14ac:dyDescent="0.3">
      <c r="D78" s="32"/>
      <c r="E78" s="28"/>
      <c r="F78" s="28"/>
      <c r="G78" s="28"/>
    </row>
    <row r="79" spans="3:27" x14ac:dyDescent="0.3">
      <c r="D79" s="32"/>
      <c r="E79" s="28" t="s">
        <v>242</v>
      </c>
      <c r="F79" s="28"/>
      <c r="G79" s="28" t="s">
        <v>166</v>
      </c>
      <c r="J79" s="145">
        <f t="shared" ref="J79:P79" si="11">SUMIF($J$38:$Y$38, J$38, $J$73:$Y$73) / SUMIF($J$38:$Y$38, J$38, $J$71:$Y$71)</f>
        <v>0.77474610549460898</v>
      </c>
      <c r="K79" s="145">
        <f t="shared" si="11"/>
        <v>0.77474610549460898</v>
      </c>
      <c r="L79" s="145">
        <f t="shared" si="11"/>
        <v>0.77363619586176469</v>
      </c>
      <c r="M79" s="145">
        <f t="shared" si="11"/>
        <v>0.77363619586176469</v>
      </c>
      <c r="N79" s="145">
        <f t="shared" si="11"/>
        <v>0.83243166821743186</v>
      </c>
      <c r="O79" s="145">
        <f t="shared" si="11"/>
        <v>0.80282564462541028</v>
      </c>
      <c r="P79" s="145">
        <f t="shared" si="11"/>
        <v>0.87559889203876462</v>
      </c>
      <c r="Q79" s="308"/>
      <c r="R79" s="308"/>
      <c r="S79" s="308"/>
      <c r="T79" s="308"/>
      <c r="U79" s="308"/>
      <c r="V79" s="308"/>
      <c r="W79" s="308"/>
      <c r="X79" s="308"/>
      <c r="Y79" s="308"/>
    </row>
    <row r="80" spans="3:27" x14ac:dyDescent="0.3">
      <c r="D80" s="32"/>
      <c r="E80" s="28"/>
      <c r="F80" s="28"/>
      <c r="G80" s="28"/>
    </row>
    <row r="81" spans="2:27" x14ac:dyDescent="0.3">
      <c r="D81" s="32" t="s">
        <v>854</v>
      </c>
      <c r="E81" s="28"/>
      <c r="F81" s="28"/>
      <c r="G81" s="28"/>
    </row>
    <row r="82" spans="2:27" x14ac:dyDescent="0.3">
      <c r="D82" s="28"/>
      <c r="E82" s="28"/>
      <c r="F82" s="28"/>
      <c r="G82" s="28"/>
    </row>
    <row r="83" spans="2:27" x14ac:dyDescent="0.3">
      <c r="D83" s="28"/>
      <c r="E83" s="28" t="s">
        <v>240</v>
      </c>
      <c r="F83" s="28"/>
      <c r="G83" s="28" t="s">
        <v>166</v>
      </c>
      <c r="J83" s="145">
        <f>IF(J$38 = 0, J62, J77)</f>
        <v>0.44068493005648673</v>
      </c>
      <c r="K83" s="145">
        <f t="shared" ref="K83:Y83" si="12">IF(K$38 = 0, K62, K77)</f>
        <v>0.44068493005648673</v>
      </c>
      <c r="L83" s="145">
        <f t="shared" si="12"/>
        <v>0.4320439343276154</v>
      </c>
      <c r="M83" s="145">
        <f>IF(M$38 = 0, M62, M77)</f>
        <v>0.4320439343276154</v>
      </c>
      <c r="N83" s="145">
        <f t="shared" si="12"/>
        <v>0.53102634151201933</v>
      </c>
      <c r="O83" s="145">
        <f t="shared" si="12"/>
        <v>0.54891551029254793</v>
      </c>
      <c r="P83" s="145">
        <f t="shared" si="12"/>
        <v>0.70868365955903789</v>
      </c>
      <c r="Q83" s="145">
        <f t="shared" si="12"/>
        <v>0.47413508390304332</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3">
      <c r="D84" s="28"/>
      <c r="E84" s="28"/>
      <c r="F84" s="28"/>
      <c r="G84" s="28"/>
    </row>
    <row r="85" spans="2:27" x14ac:dyDescent="0.3">
      <c r="D85" s="28"/>
      <c r="E85" s="28" t="s">
        <v>242</v>
      </c>
      <c r="F85" s="28"/>
      <c r="G85" s="28" t="s">
        <v>166</v>
      </c>
      <c r="J85" s="145">
        <f>IF(J38 = 0, J63, J79)</f>
        <v>0.77474610549460898</v>
      </c>
      <c r="K85" s="145">
        <f t="shared" ref="K85:Y85" si="13">IF(K38 = 0, K63, K79)</f>
        <v>0.77474610549460898</v>
      </c>
      <c r="L85" s="145">
        <f t="shared" si="13"/>
        <v>0.77363619586176469</v>
      </c>
      <c r="M85" s="145">
        <f t="shared" si="13"/>
        <v>0.77363619586176469</v>
      </c>
      <c r="N85" s="145">
        <f t="shared" si="13"/>
        <v>0.83243166821743186</v>
      </c>
      <c r="O85" s="145">
        <f t="shared" si="13"/>
        <v>0.80282564462541028</v>
      </c>
      <c r="P85" s="145">
        <f t="shared" si="13"/>
        <v>0.87559889203876462</v>
      </c>
      <c r="Q85" s="145">
        <f t="shared" si="13"/>
        <v>0.60639844233547979</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3">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3">
      <c r="E89" s="28" t="s">
        <v>471</v>
      </c>
      <c r="G89" s="28" t="s">
        <v>282</v>
      </c>
      <c r="J89" s="89">
        <f t="shared" ref="J89:Y89" si="14">IF(AND(J62 = 0, J63 = 0), 1, J63 / J62)</f>
        <v>1.7591446945362599</v>
      </c>
      <c r="K89" s="89">
        <f t="shared" si="14"/>
        <v>0</v>
      </c>
      <c r="L89" s="89">
        <f t="shared" si="14"/>
        <v>1.8019378037556806</v>
      </c>
      <c r="M89" s="89">
        <f t="shared" si="14"/>
        <v>0</v>
      </c>
      <c r="N89" s="89">
        <f t="shared" si="14"/>
        <v>1.5675901610590643</v>
      </c>
      <c r="O89" s="89">
        <f t="shared" si="14"/>
        <v>1.4625668788217321</v>
      </c>
      <c r="P89" s="89">
        <f t="shared" si="14"/>
        <v>1.2355285468040649</v>
      </c>
      <c r="Q89" s="89">
        <f t="shared" si="14"/>
        <v>1.2789571219738787</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3">
      <c r="D90" s="32"/>
      <c r="J90" s="120"/>
      <c r="K90" s="120"/>
      <c r="L90" s="120"/>
      <c r="M90" s="120"/>
      <c r="N90" s="120"/>
      <c r="O90" s="120"/>
      <c r="P90" s="120"/>
      <c r="Q90" s="120"/>
      <c r="R90" s="120"/>
      <c r="S90" s="120"/>
      <c r="T90" s="120"/>
      <c r="U90" s="120"/>
      <c r="V90" s="120"/>
      <c r="W90" s="120"/>
      <c r="X90" s="120"/>
      <c r="Y90" s="120"/>
    </row>
    <row r="91" spans="2:27" x14ac:dyDescent="0.3">
      <c r="E91" s="28" t="s">
        <v>855</v>
      </c>
      <c r="G91" s="28" t="s">
        <v>282</v>
      </c>
      <c r="I91" s="312" t="s">
        <v>153</v>
      </c>
      <c r="J91" s="89">
        <f>IF(AND(J83 = 0, J85 = 0), 1, J85 / J83)</f>
        <v>1.7580499187827967</v>
      </c>
      <c r="K91" s="89">
        <f t="shared" ref="K91:Y91" si="15">IF(AND(K83 = 0, K85 = 0), 1, K85 / K83)</f>
        <v>1.7580499187827967</v>
      </c>
      <c r="L91" s="89">
        <f t="shared" si="15"/>
        <v>1.7906424194237678</v>
      </c>
      <c r="M91" s="89">
        <f t="shared" si="15"/>
        <v>1.7906424194237678</v>
      </c>
      <c r="N91" s="89">
        <f>IF(AND(N83 = 0, N85 = 0), 1, N85 / N83)</f>
        <v>1.5675901610590639</v>
      </c>
      <c r="O91" s="89">
        <f t="shared" si="15"/>
        <v>1.4625668788217323</v>
      </c>
      <c r="P91" s="89">
        <f t="shared" si="15"/>
        <v>1.2355285468040647</v>
      </c>
      <c r="Q91" s="89">
        <f t="shared" si="15"/>
        <v>1.2789571219738787</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12" t="s">
        <v>859</v>
      </c>
    </row>
    <row r="92" spans="2:27" x14ac:dyDescent="0.3">
      <c r="D92" s="32"/>
      <c r="J92" s="120"/>
      <c r="K92" s="120"/>
      <c r="L92" s="120"/>
      <c r="M92" s="120"/>
      <c r="N92" s="120"/>
      <c r="O92" s="120"/>
      <c r="P92" s="120"/>
      <c r="Q92" s="120"/>
      <c r="R92" s="120"/>
      <c r="S92" s="120"/>
      <c r="T92" s="120"/>
      <c r="U92" s="120"/>
      <c r="V92" s="120"/>
      <c r="W92" s="120"/>
      <c r="X92" s="120"/>
      <c r="Y92" s="120"/>
    </row>
    <row r="93" spans="2:27" x14ac:dyDescent="0.3">
      <c r="E93" s="28" t="s">
        <v>472</v>
      </c>
      <c r="G93" s="28" t="s">
        <v>282</v>
      </c>
      <c r="I93" t="s">
        <v>153</v>
      </c>
      <c r="J93" s="89">
        <f>IF(OR(J54 = 0, J85 = 0), 1, J91 / J54)</f>
        <v>1.281041296248586</v>
      </c>
      <c r="K93" s="89">
        <f t="shared" ref="K93:Y93" si="16">IF(OR(K54 = 0, K85 = 0), 1, K91 / K54)</f>
        <v>1.281041296248586</v>
      </c>
      <c r="L93" s="89">
        <f t="shared" si="16"/>
        <v>1.4774083032138574</v>
      </c>
      <c r="M93" s="89">
        <f t="shared" si="16"/>
        <v>1.4774083032138574</v>
      </c>
      <c r="N93" s="89">
        <f>IF(OR(N54 = 0, N85 = 0), 1, N91 / N54)</f>
        <v>1.3020126483442043</v>
      </c>
      <c r="O93" s="89">
        <f t="shared" si="16"/>
        <v>1.2739086400893187</v>
      </c>
      <c r="P93" s="89">
        <f t="shared" si="16"/>
        <v>1.1095231460965111</v>
      </c>
      <c r="Q93" s="89">
        <f t="shared" si="16"/>
        <v>0.80874999794959346</v>
      </c>
      <c r="R93" s="89">
        <f t="shared" si="16"/>
        <v>1</v>
      </c>
      <c r="S93" s="89">
        <f t="shared" si="16"/>
        <v>1</v>
      </c>
      <c r="T93" s="89">
        <f t="shared" si="16"/>
        <v>1</v>
      </c>
      <c r="U93" s="89">
        <f t="shared" si="16"/>
        <v>1</v>
      </c>
      <c r="V93" s="89">
        <f t="shared" si="16"/>
        <v>1</v>
      </c>
      <c r="W93" s="89">
        <f t="shared" si="16"/>
        <v>1</v>
      </c>
      <c r="X93" s="89">
        <f t="shared" si="16"/>
        <v>1</v>
      </c>
      <c r="Y93" s="89">
        <f t="shared" si="16"/>
        <v>1</v>
      </c>
      <c r="AA93" t="s">
        <v>473</v>
      </c>
    </row>
    <row r="94" spans="2:27" x14ac:dyDescent="0.3">
      <c r="F94" s="28"/>
      <c r="G94" s="28"/>
    </row>
    <row r="95" spans="2:27" x14ac:dyDescent="0.3">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3">
      <c r="C97" s="29" t="s">
        <v>476</v>
      </c>
      <c r="I97" t="s">
        <v>153</v>
      </c>
      <c r="AA97" t="s">
        <v>475</v>
      </c>
    </row>
    <row r="98" spans="3:27" x14ac:dyDescent="0.3">
      <c r="C98" s="29" t="s">
        <v>477</v>
      </c>
    </row>
    <row r="100" spans="3:27" x14ac:dyDescent="0.3">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3">
      <c r="E102" s="32" t="s">
        <v>478</v>
      </c>
      <c r="G102" s="28"/>
    </row>
    <row r="103" spans="3:27" x14ac:dyDescent="0.3">
      <c r="F103" s="78" t="s">
        <v>293</v>
      </c>
      <c r="G103" s="64" t="s">
        <v>166</v>
      </c>
      <c r="H103" s="107">
        <f>'Inputs by network level'!K40</f>
        <v>0.88888888888888895</v>
      </c>
    </row>
    <row r="104" spans="3:27" x14ac:dyDescent="0.3">
      <c r="F104" s="72" t="s">
        <v>294</v>
      </c>
      <c r="G104" s="28" t="s">
        <v>166</v>
      </c>
      <c r="H104" s="25">
        <f>'Inputs by network level'!K41</f>
        <v>0.1111111111111111</v>
      </c>
    </row>
    <row r="105" spans="3:27" x14ac:dyDescent="0.3">
      <c r="F105" s="80" t="s">
        <v>256</v>
      </c>
      <c r="G105" s="67" t="s">
        <v>166</v>
      </c>
      <c r="H105" s="141">
        <f>'Inputs by network level'!K42</f>
        <v>0</v>
      </c>
    </row>
    <row r="106" spans="3:27" x14ac:dyDescent="0.3">
      <c r="F106" s="78" t="s">
        <v>295</v>
      </c>
      <c r="G106" s="64" t="s">
        <v>166</v>
      </c>
      <c r="H106" s="107">
        <f>'Inputs by network level'!K43</f>
        <v>0.77777777777777768</v>
      </c>
    </row>
    <row r="107" spans="3:27" x14ac:dyDescent="0.3">
      <c r="F107" s="72" t="s">
        <v>304</v>
      </c>
      <c r="G107" s="28" t="s">
        <v>166</v>
      </c>
      <c r="H107" s="156">
        <f>SUM(H103:H104) - H106</f>
        <v>0.22222222222222232</v>
      </c>
    </row>
    <row r="108" spans="3:27" x14ac:dyDescent="0.3">
      <c r="F108" s="80" t="s">
        <v>256</v>
      </c>
      <c r="G108" s="67" t="s">
        <v>166</v>
      </c>
      <c r="H108" s="157">
        <f>H105</f>
        <v>0</v>
      </c>
    </row>
    <row r="109" spans="3:27" x14ac:dyDescent="0.3">
      <c r="F109" s="29"/>
      <c r="G109" s="28"/>
    </row>
    <row r="110" spans="3:27" x14ac:dyDescent="0.3">
      <c r="E110" s="32" t="s">
        <v>479</v>
      </c>
      <c r="G110" s="28"/>
    </row>
    <row r="111" spans="3:27" x14ac:dyDescent="0.3">
      <c r="F111" s="78" t="s">
        <v>464</v>
      </c>
      <c r="G111" s="64" t="s">
        <v>166</v>
      </c>
      <c r="H111" s="107">
        <f>'Inputs by network level'!L40</f>
        <v>0.67470760233918126</v>
      </c>
    </row>
    <row r="112" spans="3:27" x14ac:dyDescent="0.3">
      <c r="F112" s="72" t="s">
        <v>465</v>
      </c>
      <c r="G112" s="28" t="s">
        <v>166</v>
      </c>
      <c r="H112" s="25">
        <f>'Inputs by network level'!L41</f>
        <v>0.22249634502923976</v>
      </c>
    </row>
    <row r="113" spans="5:8" x14ac:dyDescent="0.3">
      <c r="F113" s="80" t="s">
        <v>256</v>
      </c>
      <c r="G113" s="67" t="s">
        <v>166</v>
      </c>
      <c r="H113" s="141">
        <f>'Inputs by network level'!L42</f>
        <v>0.10279605263157894</v>
      </c>
    </row>
    <row r="114" spans="5:8" x14ac:dyDescent="0.3">
      <c r="F114" s="78" t="s">
        <v>295</v>
      </c>
      <c r="G114" s="64" t="s">
        <v>166</v>
      </c>
      <c r="H114" s="107">
        <f>'Inputs by network level'!L43</f>
        <v>0.515625</v>
      </c>
    </row>
    <row r="115" spans="5:8" x14ac:dyDescent="0.3">
      <c r="F115" s="72" t="s">
        <v>304</v>
      </c>
      <c r="G115" s="28" t="s">
        <v>166</v>
      </c>
      <c r="H115" s="156">
        <f>SUM(H111:H112) - H114</f>
        <v>0.38157894736842102</v>
      </c>
    </row>
    <row r="116" spans="5:8" x14ac:dyDescent="0.3">
      <c r="F116" s="80" t="s">
        <v>256</v>
      </c>
      <c r="G116" s="67" t="s">
        <v>166</v>
      </c>
      <c r="H116" s="157">
        <f>H113</f>
        <v>0.10279605263157894</v>
      </c>
    </row>
    <row r="117" spans="5:8" x14ac:dyDescent="0.3">
      <c r="F117" s="29"/>
      <c r="G117" s="28"/>
    </row>
    <row r="118" spans="5:8" x14ac:dyDescent="0.3">
      <c r="E118" s="32" t="s">
        <v>480</v>
      </c>
      <c r="G118" s="28"/>
    </row>
    <row r="119" spans="5:8" x14ac:dyDescent="0.3">
      <c r="F119" s="78" t="s">
        <v>464</v>
      </c>
      <c r="G119" s="64" t="s">
        <v>166</v>
      </c>
      <c r="H119" s="107">
        <f>'Inputs by network level'!M40</f>
        <v>0.67470760233918126</v>
      </c>
    </row>
    <row r="120" spans="5:8" x14ac:dyDescent="0.3">
      <c r="F120" s="72" t="s">
        <v>465</v>
      </c>
      <c r="G120" s="28" t="s">
        <v>166</v>
      </c>
      <c r="H120" s="25">
        <f>'Inputs by network level'!M41</f>
        <v>0.22249634502923976</v>
      </c>
    </row>
    <row r="121" spans="5:8" x14ac:dyDescent="0.3">
      <c r="F121" s="80" t="s">
        <v>256</v>
      </c>
      <c r="G121" s="67" t="s">
        <v>166</v>
      </c>
      <c r="H121" s="141">
        <f>'Inputs by network level'!M42</f>
        <v>0.10279605263157894</v>
      </c>
    </row>
    <row r="122" spans="5:8" x14ac:dyDescent="0.3">
      <c r="F122" s="78" t="s">
        <v>295</v>
      </c>
      <c r="G122" s="64" t="s">
        <v>166</v>
      </c>
      <c r="H122" s="107">
        <f>'Inputs by network level'!M43</f>
        <v>0.515625</v>
      </c>
    </row>
    <row r="123" spans="5:8" x14ac:dyDescent="0.3">
      <c r="F123" s="72" t="s">
        <v>304</v>
      </c>
      <c r="G123" s="28" t="s">
        <v>166</v>
      </c>
      <c r="H123" s="156">
        <f>SUM(H119:H120) - H122</f>
        <v>0.38157894736842102</v>
      </c>
    </row>
    <row r="124" spans="5:8" x14ac:dyDescent="0.3">
      <c r="F124" s="80" t="s">
        <v>256</v>
      </c>
      <c r="G124" s="67" t="s">
        <v>166</v>
      </c>
      <c r="H124" s="157">
        <f>H121</f>
        <v>0.10279605263157894</v>
      </c>
    </row>
    <row r="125" spans="5:8" x14ac:dyDescent="0.3">
      <c r="F125" s="29"/>
      <c r="G125" s="28"/>
    </row>
    <row r="126" spans="5:8" x14ac:dyDescent="0.3">
      <c r="E126" s="32" t="s">
        <v>481</v>
      </c>
      <c r="G126" s="28"/>
    </row>
    <row r="127" spans="5:8" x14ac:dyDescent="0.3">
      <c r="F127" s="78" t="s">
        <v>464</v>
      </c>
      <c r="G127" s="64" t="s">
        <v>166</v>
      </c>
      <c r="H127" s="107">
        <f>'Inputs by network level'!N40</f>
        <v>0.48791570271673684</v>
      </c>
    </row>
    <row r="128" spans="5:8" x14ac:dyDescent="0.3">
      <c r="F128" s="72" t="s">
        <v>465</v>
      </c>
      <c r="G128" s="28" t="s">
        <v>166</v>
      </c>
      <c r="H128" s="25">
        <f>'Inputs by network level'!N41</f>
        <v>0.40138727033685773</v>
      </c>
    </row>
    <row r="129" spans="5:8" x14ac:dyDescent="0.3">
      <c r="F129" s="80" t="s">
        <v>256</v>
      </c>
      <c r="G129" s="67" t="s">
        <v>166</v>
      </c>
      <c r="H129" s="141">
        <f>'Inputs by network level'!N42</f>
        <v>0.11069702694640549</v>
      </c>
    </row>
    <row r="130" spans="5:8" x14ac:dyDescent="0.3">
      <c r="F130" s="78" t="s">
        <v>295</v>
      </c>
      <c r="G130" s="64" t="s">
        <v>166</v>
      </c>
      <c r="H130" s="107">
        <f>'Inputs by network level'!N43</f>
        <v>0.42438652317235964</v>
      </c>
    </row>
    <row r="131" spans="5:8" x14ac:dyDescent="0.3">
      <c r="F131" s="72" t="s">
        <v>304</v>
      </c>
      <c r="G131" s="28" t="s">
        <v>166</v>
      </c>
      <c r="H131" s="156">
        <f>SUM(H127:H128) - H130</f>
        <v>0.46491644988123498</v>
      </c>
    </row>
    <row r="132" spans="5:8" x14ac:dyDescent="0.3">
      <c r="F132" s="80" t="s">
        <v>256</v>
      </c>
      <c r="G132" s="67" t="s">
        <v>166</v>
      </c>
      <c r="H132" s="157">
        <f>H129</f>
        <v>0.11069702694640549</v>
      </c>
    </row>
    <row r="133" spans="5:8" x14ac:dyDescent="0.3">
      <c r="F133" s="29"/>
      <c r="G133" s="28"/>
    </row>
    <row r="134" spans="5:8" x14ac:dyDescent="0.3">
      <c r="E134" s="32" t="s">
        <v>482</v>
      </c>
      <c r="G134" s="28"/>
    </row>
    <row r="135" spans="5:8" x14ac:dyDescent="0.3">
      <c r="F135" s="78" t="s">
        <v>464</v>
      </c>
      <c r="G135" s="64" t="s">
        <v>166</v>
      </c>
      <c r="H135" s="107">
        <f>'Inputs by network level'!O40</f>
        <v>0.48791570271673684</v>
      </c>
    </row>
    <row r="136" spans="5:8" x14ac:dyDescent="0.3">
      <c r="F136" s="72" t="s">
        <v>465</v>
      </c>
      <c r="G136" s="28" t="s">
        <v>166</v>
      </c>
      <c r="H136" s="25">
        <f>'Inputs by network level'!O41</f>
        <v>0.40138727033685773</v>
      </c>
    </row>
    <row r="137" spans="5:8" x14ac:dyDescent="0.3">
      <c r="F137" s="80" t="s">
        <v>256</v>
      </c>
      <c r="G137" s="67" t="s">
        <v>166</v>
      </c>
      <c r="H137" s="141">
        <f>'Inputs by network level'!O42</f>
        <v>0.11069702694640549</v>
      </c>
    </row>
    <row r="138" spans="5:8" x14ac:dyDescent="0.3">
      <c r="F138" s="78" t="s">
        <v>295</v>
      </c>
      <c r="G138" s="64" t="s">
        <v>166</v>
      </c>
      <c r="H138" s="107">
        <f>'Inputs by network level'!O43</f>
        <v>0.42438652317235964</v>
      </c>
    </row>
    <row r="139" spans="5:8" x14ac:dyDescent="0.3">
      <c r="F139" s="72" t="s">
        <v>304</v>
      </c>
      <c r="G139" s="28" t="s">
        <v>166</v>
      </c>
      <c r="H139" s="156">
        <f>SUM(H135:H136) - H138</f>
        <v>0.46491644988123498</v>
      </c>
    </row>
    <row r="140" spans="5:8" x14ac:dyDescent="0.3">
      <c r="F140" s="80" t="s">
        <v>256</v>
      </c>
      <c r="G140" s="67" t="s">
        <v>166</v>
      </c>
      <c r="H140" s="157">
        <f>H137</f>
        <v>0.11069702694640549</v>
      </c>
    </row>
    <row r="141" spans="5:8" x14ac:dyDescent="0.3">
      <c r="F141" s="29"/>
      <c r="G141" s="28"/>
    </row>
    <row r="142" spans="5:8" x14ac:dyDescent="0.3">
      <c r="E142" s="32" t="s">
        <v>483</v>
      </c>
      <c r="G142" s="28"/>
    </row>
    <row r="143" spans="5:8" x14ac:dyDescent="0.3">
      <c r="F143" s="78" t="s">
        <v>464</v>
      </c>
      <c r="G143" s="64" t="s">
        <v>166</v>
      </c>
      <c r="H143" s="107">
        <f>'Inputs by network level'!P40</f>
        <v>0</v>
      </c>
    </row>
    <row r="144" spans="5:8" x14ac:dyDescent="0.3">
      <c r="F144" s="72" t="s">
        <v>465</v>
      </c>
      <c r="G144" s="28" t="s">
        <v>166</v>
      </c>
      <c r="H144" s="25">
        <f>'Inputs by network level'!P41</f>
        <v>0</v>
      </c>
    </row>
    <row r="145" spans="5:8" x14ac:dyDescent="0.3">
      <c r="F145" s="80" t="s">
        <v>256</v>
      </c>
      <c r="G145" s="67" t="s">
        <v>166</v>
      </c>
      <c r="H145" s="141">
        <f>'Inputs by network level'!P42</f>
        <v>0</v>
      </c>
    </row>
    <row r="146" spans="5:8" x14ac:dyDescent="0.3">
      <c r="F146" s="78" t="s">
        <v>295</v>
      </c>
      <c r="G146" s="64" t="s">
        <v>166</v>
      </c>
      <c r="H146" s="107">
        <f>'Inputs by network level'!P43</f>
        <v>0</v>
      </c>
    </row>
    <row r="147" spans="5:8" x14ac:dyDescent="0.3">
      <c r="F147" s="72" t="s">
        <v>304</v>
      </c>
      <c r="G147" s="28" t="s">
        <v>166</v>
      </c>
      <c r="H147" s="156">
        <f>SUM(H143:H144) - H146</f>
        <v>0</v>
      </c>
    </row>
    <row r="148" spans="5:8" x14ac:dyDescent="0.3">
      <c r="F148" s="80" t="s">
        <v>256</v>
      </c>
      <c r="G148" s="67" t="s">
        <v>166</v>
      </c>
      <c r="H148" s="157">
        <f>H145</f>
        <v>0</v>
      </c>
    </row>
    <row r="149" spans="5:8" x14ac:dyDescent="0.3">
      <c r="F149" s="29"/>
      <c r="G149" s="28"/>
    </row>
    <row r="150" spans="5:8" x14ac:dyDescent="0.3">
      <c r="E150" s="32" t="s">
        <v>484</v>
      </c>
      <c r="G150" s="28"/>
    </row>
    <row r="151" spans="5:8" x14ac:dyDescent="0.3">
      <c r="F151" s="78" t="s">
        <v>464</v>
      </c>
      <c r="G151" s="64" t="s">
        <v>166</v>
      </c>
      <c r="H151" s="107">
        <f>'Inputs by network level'!Q40</f>
        <v>0.48791570271673684</v>
      </c>
    </row>
    <row r="152" spans="5:8" x14ac:dyDescent="0.3">
      <c r="F152" s="72" t="s">
        <v>465</v>
      </c>
      <c r="G152" s="28" t="s">
        <v>166</v>
      </c>
      <c r="H152" s="25">
        <f>'Inputs by network level'!Q41</f>
        <v>0.40138727033685773</v>
      </c>
    </row>
    <row r="153" spans="5:8" x14ac:dyDescent="0.3">
      <c r="F153" s="80" t="s">
        <v>256</v>
      </c>
      <c r="G153" s="67" t="s">
        <v>166</v>
      </c>
      <c r="H153" s="141">
        <f>'Inputs by network level'!Q42</f>
        <v>0.11069702694640549</v>
      </c>
    </row>
    <row r="154" spans="5:8" x14ac:dyDescent="0.3">
      <c r="F154" s="78" t="s">
        <v>295</v>
      </c>
      <c r="G154" s="64" t="s">
        <v>166</v>
      </c>
      <c r="H154" s="107">
        <f>'Inputs by network level'!Q43</f>
        <v>0.42438652317235964</v>
      </c>
    </row>
    <row r="155" spans="5:8" x14ac:dyDescent="0.3">
      <c r="F155" s="72" t="s">
        <v>304</v>
      </c>
      <c r="G155" s="28" t="s">
        <v>166</v>
      </c>
      <c r="H155" s="156">
        <f>SUM(H151:H152) - H154</f>
        <v>0.46491644988123498</v>
      </c>
    </row>
    <row r="156" spans="5:8" x14ac:dyDescent="0.3">
      <c r="F156" s="80" t="s">
        <v>256</v>
      </c>
      <c r="G156" s="67" t="s">
        <v>166</v>
      </c>
      <c r="H156" s="157">
        <f>H153</f>
        <v>0.11069702694640549</v>
      </c>
    </row>
    <row r="157" spans="5:8" x14ac:dyDescent="0.3">
      <c r="F157" s="29"/>
      <c r="G157" s="28"/>
    </row>
    <row r="158" spans="5:8" x14ac:dyDescent="0.3">
      <c r="E158" s="32" t="s">
        <v>485</v>
      </c>
      <c r="G158" s="28"/>
    </row>
    <row r="159" spans="5:8" x14ac:dyDescent="0.3">
      <c r="F159" s="78" t="s">
        <v>464</v>
      </c>
      <c r="G159" s="64" t="s">
        <v>166</v>
      </c>
      <c r="H159" s="107">
        <f>'Inputs by network level'!R40</f>
        <v>0.48791570271673684</v>
      </c>
    </row>
    <row r="160" spans="5:8" x14ac:dyDescent="0.3">
      <c r="F160" s="72" t="s">
        <v>465</v>
      </c>
      <c r="G160" s="28" t="s">
        <v>166</v>
      </c>
      <c r="H160" s="25">
        <f>'Inputs by network level'!R41</f>
        <v>0.40138727033685773</v>
      </c>
    </row>
    <row r="161" spans="3:27" x14ac:dyDescent="0.3">
      <c r="F161" s="80" t="s">
        <v>256</v>
      </c>
      <c r="G161" s="67" t="s">
        <v>166</v>
      </c>
      <c r="H161" s="141">
        <f>'Inputs by network level'!R42</f>
        <v>0.11069702694640549</v>
      </c>
    </row>
    <row r="162" spans="3:27" x14ac:dyDescent="0.3">
      <c r="F162" s="78" t="s">
        <v>295</v>
      </c>
      <c r="G162" s="64" t="s">
        <v>166</v>
      </c>
      <c r="H162" s="107">
        <f>'Inputs by network level'!R43</f>
        <v>0.42438652317235964</v>
      </c>
    </row>
    <row r="163" spans="3:27" x14ac:dyDescent="0.3">
      <c r="F163" s="72" t="s">
        <v>304</v>
      </c>
      <c r="G163" s="28" t="s">
        <v>166</v>
      </c>
      <c r="H163" s="156">
        <f>SUM(H159:H160) - H162</f>
        <v>0.46491644988123498</v>
      </c>
    </row>
    <row r="164" spans="3:27" x14ac:dyDescent="0.3">
      <c r="F164" s="80" t="s">
        <v>256</v>
      </c>
      <c r="G164" s="67" t="s">
        <v>166</v>
      </c>
      <c r="H164" s="157">
        <f>H161</f>
        <v>0.11069702694640549</v>
      </c>
    </row>
    <row r="165" spans="3:27" x14ac:dyDescent="0.3">
      <c r="F165" s="29"/>
      <c r="G165" s="28"/>
    </row>
    <row r="166" spans="3:27" x14ac:dyDescent="0.3">
      <c r="E166" s="32" t="s">
        <v>486</v>
      </c>
      <c r="G166" s="28"/>
    </row>
    <row r="167" spans="3:27" x14ac:dyDescent="0.3">
      <c r="F167" s="78" t="s">
        <v>464</v>
      </c>
      <c r="G167" s="64" t="s">
        <v>166</v>
      </c>
      <c r="H167" s="107">
        <f>'Inputs by network level'!S40</f>
        <v>0.48791570271673684</v>
      </c>
    </row>
    <row r="168" spans="3:27" x14ac:dyDescent="0.3">
      <c r="F168" s="72" t="s">
        <v>465</v>
      </c>
      <c r="G168" s="28" t="s">
        <v>166</v>
      </c>
      <c r="H168" s="25">
        <f>'Inputs by network level'!S41</f>
        <v>0.40138727033685773</v>
      </c>
    </row>
    <row r="169" spans="3:27" x14ac:dyDescent="0.3">
      <c r="F169" s="80" t="s">
        <v>256</v>
      </c>
      <c r="G169" s="67" t="s">
        <v>166</v>
      </c>
      <c r="H169" s="141">
        <f>'Inputs by network level'!S42</f>
        <v>0.11069702694640549</v>
      </c>
    </row>
    <row r="170" spans="3:27" x14ac:dyDescent="0.3">
      <c r="F170" s="78" t="s">
        <v>295</v>
      </c>
      <c r="G170" s="64" t="s">
        <v>166</v>
      </c>
      <c r="H170" s="107">
        <f>'Inputs by network level'!S43</f>
        <v>0.42438652317235964</v>
      </c>
    </row>
    <row r="171" spans="3:27" x14ac:dyDescent="0.3">
      <c r="F171" s="72" t="s">
        <v>304</v>
      </c>
      <c r="G171" s="28" t="s">
        <v>166</v>
      </c>
      <c r="H171" s="156">
        <f>SUM(H167:H168) - H170</f>
        <v>0.46491644988123498</v>
      </c>
    </row>
    <row r="172" spans="3:27" x14ac:dyDescent="0.3">
      <c r="F172" s="80" t="s">
        <v>256</v>
      </c>
      <c r="G172" s="67" t="s">
        <v>166</v>
      </c>
      <c r="H172" s="157">
        <f>H169</f>
        <v>0.11069702694640549</v>
      </c>
    </row>
    <row r="173" spans="3:27" x14ac:dyDescent="0.3">
      <c r="E173" s="29"/>
      <c r="F173" s="28"/>
      <c r="G173" s="28"/>
    </row>
    <row r="174" spans="3:27" x14ac:dyDescent="0.3">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3">
      <c r="E176" s="32" t="s">
        <v>478</v>
      </c>
      <c r="G176" s="28"/>
    </row>
    <row r="177" spans="5:25" x14ac:dyDescent="0.3">
      <c r="E177" s="29"/>
      <c r="F177" s="78" t="s">
        <v>464</v>
      </c>
      <c r="G177" s="64" t="s">
        <v>166</v>
      </c>
      <c r="H177" s="107"/>
      <c r="I177" s="23"/>
      <c r="J177" s="154">
        <f t="shared" ref="J177:K177" si="17">IF(J$20, $H106, $H103)</f>
        <v>0.88888888888888895</v>
      </c>
      <c r="K177" s="154">
        <f t="shared" si="17"/>
        <v>0.88888888888888895</v>
      </c>
      <c r="L177" s="154">
        <f t="shared" ref="L177:M177" si="18">IF(L$20, $H106, $H103)</f>
        <v>0.88888888888888895</v>
      </c>
      <c r="M177" s="154">
        <f t="shared" si="18"/>
        <v>0.88888888888888895</v>
      </c>
      <c r="N177" s="154">
        <f t="shared" ref="N177:P177" si="19">IF(N$20, $H106, $H103)</f>
        <v>0.88888888888888895</v>
      </c>
      <c r="O177" s="154">
        <f t="shared" si="19"/>
        <v>0.88888888888888895</v>
      </c>
      <c r="P177" s="154">
        <f t="shared" si="19"/>
        <v>0.88888888888888895</v>
      </c>
      <c r="Q177" s="154">
        <f t="shared" ref="Q177:S177" si="20">IF(Q$20, $H106, $H103)</f>
        <v>0.77777777777777768</v>
      </c>
      <c r="R177" s="154">
        <f t="shared" si="20"/>
        <v>0.88888888888888895</v>
      </c>
      <c r="S177" s="154">
        <f t="shared" si="20"/>
        <v>0.88888888888888895</v>
      </c>
      <c r="T177" s="154">
        <f t="shared" ref="T177:U177" si="21">IF(T$20, $H106, $H103)</f>
        <v>0.88888888888888895</v>
      </c>
      <c r="U177" s="154">
        <f t="shared" si="21"/>
        <v>0.88888888888888895</v>
      </c>
      <c r="V177" s="154">
        <f t="shared" ref="V177:W177" si="22">IF(V$20, $H106, $H103)</f>
        <v>0.88888888888888895</v>
      </c>
      <c r="W177" s="154">
        <f t="shared" si="22"/>
        <v>0.88888888888888895</v>
      </c>
      <c r="X177" s="154">
        <f t="shared" ref="X177:Y177" si="23">IF(X$20, $H106, $H103)</f>
        <v>0.88888888888888895</v>
      </c>
      <c r="Y177" s="154">
        <f t="shared" si="23"/>
        <v>0.88888888888888895</v>
      </c>
    </row>
    <row r="178" spans="5:25" x14ac:dyDescent="0.3">
      <c r="E178" s="29"/>
      <c r="F178" s="72" t="s">
        <v>465</v>
      </c>
      <c r="G178" s="28" t="s">
        <v>166</v>
      </c>
      <c r="H178" s="25"/>
      <c r="J178" s="145">
        <f t="shared" ref="J178:K178" si="24">IF(J$20, $H107, $H104)</f>
        <v>0.1111111111111111</v>
      </c>
      <c r="K178" s="145">
        <f t="shared" si="24"/>
        <v>0.1111111111111111</v>
      </c>
      <c r="L178" s="145">
        <f t="shared" ref="L178:M178" si="25">IF(L$20, $H107, $H104)</f>
        <v>0.1111111111111111</v>
      </c>
      <c r="M178" s="145">
        <f t="shared" si="25"/>
        <v>0.1111111111111111</v>
      </c>
      <c r="N178" s="145">
        <f t="shared" ref="N178:P178" si="26">IF(N$20, $H107, $H104)</f>
        <v>0.1111111111111111</v>
      </c>
      <c r="O178" s="145">
        <f t="shared" si="26"/>
        <v>0.1111111111111111</v>
      </c>
      <c r="P178" s="145">
        <f t="shared" si="26"/>
        <v>0.1111111111111111</v>
      </c>
      <c r="Q178" s="145">
        <f t="shared" ref="Q178:S178" si="27">IF(Q$20, $H107, $H104)</f>
        <v>0.22222222222222232</v>
      </c>
      <c r="R178" s="145">
        <f t="shared" si="27"/>
        <v>0.1111111111111111</v>
      </c>
      <c r="S178" s="145">
        <f t="shared" si="27"/>
        <v>0.1111111111111111</v>
      </c>
      <c r="T178" s="145">
        <f t="shared" ref="T178:U178" si="28">IF(T$20, $H107, $H104)</f>
        <v>0.1111111111111111</v>
      </c>
      <c r="U178" s="145">
        <f t="shared" si="28"/>
        <v>0.1111111111111111</v>
      </c>
      <c r="V178" s="145">
        <f t="shared" ref="V178:W178" si="29">IF(V$20, $H107, $H104)</f>
        <v>0.1111111111111111</v>
      </c>
      <c r="W178" s="145">
        <f t="shared" si="29"/>
        <v>0.1111111111111111</v>
      </c>
      <c r="X178" s="145">
        <f t="shared" ref="X178:Y178" si="30">IF(X$20, $H107, $H104)</f>
        <v>0.1111111111111111</v>
      </c>
      <c r="Y178" s="145">
        <f t="shared" si="30"/>
        <v>0.1111111111111111</v>
      </c>
    </row>
    <row r="179" spans="5:25" x14ac:dyDescent="0.3">
      <c r="E179" s="29"/>
      <c r="F179" s="80" t="s">
        <v>256</v>
      </c>
      <c r="G179" s="67" t="s">
        <v>166</v>
      </c>
      <c r="H179" s="141"/>
      <c r="I179" s="37"/>
      <c r="J179" s="155">
        <f t="shared" ref="J179:K179" si="31">IF(J$20, $H108, $H105)</f>
        <v>0</v>
      </c>
      <c r="K179" s="155">
        <f t="shared" si="31"/>
        <v>0</v>
      </c>
      <c r="L179" s="155">
        <f t="shared" ref="L179:M179" si="32">IF(L$20, $H108, $H105)</f>
        <v>0</v>
      </c>
      <c r="M179" s="155">
        <f t="shared" si="32"/>
        <v>0</v>
      </c>
      <c r="N179" s="155">
        <f t="shared" ref="N179:P179" si="33">IF(N$20, $H108, $H105)</f>
        <v>0</v>
      </c>
      <c r="O179" s="155">
        <f t="shared" si="33"/>
        <v>0</v>
      </c>
      <c r="P179" s="155">
        <f t="shared" si="33"/>
        <v>0</v>
      </c>
      <c r="Q179" s="155">
        <f t="shared" ref="Q179:S179" si="34">IF(Q$20, $H108, $H105)</f>
        <v>0</v>
      </c>
      <c r="R179" s="155">
        <f t="shared" si="34"/>
        <v>0</v>
      </c>
      <c r="S179" s="155">
        <f t="shared" si="34"/>
        <v>0</v>
      </c>
      <c r="T179" s="155">
        <f t="shared" ref="T179:U179" si="35">IF(T$20, $H108, $H105)</f>
        <v>0</v>
      </c>
      <c r="U179" s="155">
        <f t="shared" si="35"/>
        <v>0</v>
      </c>
      <c r="V179" s="155">
        <f t="shared" ref="V179:W179" si="36">IF(V$20, $H108, $H105)</f>
        <v>0</v>
      </c>
      <c r="W179" s="155">
        <f t="shared" si="36"/>
        <v>0</v>
      </c>
      <c r="X179" s="155">
        <f t="shared" ref="X179:Y179" si="37">IF(X$20, $H108, $H105)</f>
        <v>0</v>
      </c>
      <c r="Y179" s="155">
        <f t="shared" si="37"/>
        <v>0</v>
      </c>
    </row>
    <row r="180" spans="5:25" x14ac:dyDescent="0.3">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3">
      <c r="E181" s="32" t="s">
        <v>479</v>
      </c>
      <c r="G181" s="28"/>
    </row>
    <row r="182" spans="5:25" x14ac:dyDescent="0.3">
      <c r="E182" s="29"/>
      <c r="F182" s="78" t="s">
        <v>464</v>
      </c>
      <c r="G182" s="64" t="s">
        <v>166</v>
      </c>
      <c r="H182" s="107"/>
      <c r="I182" s="23"/>
      <c r="J182" s="154">
        <f t="shared" ref="J182:K182" si="38">IF(J$20, $H114, $H111)</f>
        <v>0.67470760233918126</v>
      </c>
      <c r="K182" s="154">
        <f t="shared" si="38"/>
        <v>0.67470760233918126</v>
      </c>
      <c r="L182" s="154">
        <f t="shared" ref="L182:M182" si="39">IF(L$20, $H114, $H111)</f>
        <v>0.67470760233918126</v>
      </c>
      <c r="M182" s="154">
        <f t="shared" si="39"/>
        <v>0.67470760233918126</v>
      </c>
      <c r="N182" s="154">
        <f t="shared" ref="N182:P182" si="40">IF(N$20, $H114, $H111)</f>
        <v>0.67470760233918126</v>
      </c>
      <c r="O182" s="154">
        <f t="shared" si="40"/>
        <v>0.67470760233918126</v>
      </c>
      <c r="P182" s="154">
        <f t="shared" si="40"/>
        <v>0.67470760233918126</v>
      </c>
      <c r="Q182" s="154">
        <f t="shared" ref="Q182:S182" si="41">IF(Q$20, $H114, $H111)</f>
        <v>0.515625</v>
      </c>
      <c r="R182" s="154">
        <f t="shared" si="41"/>
        <v>0.67470760233918126</v>
      </c>
      <c r="S182" s="154">
        <f t="shared" si="41"/>
        <v>0.67470760233918126</v>
      </c>
      <c r="T182" s="154">
        <f t="shared" ref="T182:U182" si="42">IF(T$20, $H114, $H111)</f>
        <v>0.67470760233918126</v>
      </c>
      <c r="U182" s="154">
        <f t="shared" si="42"/>
        <v>0.67470760233918126</v>
      </c>
      <c r="V182" s="154">
        <f t="shared" ref="V182:W182" si="43">IF(V$20, $H114, $H111)</f>
        <v>0.67470760233918126</v>
      </c>
      <c r="W182" s="154">
        <f t="shared" si="43"/>
        <v>0.67470760233918126</v>
      </c>
      <c r="X182" s="154">
        <f t="shared" ref="X182:Y182" si="44">IF(X$20, $H114, $H111)</f>
        <v>0.67470760233918126</v>
      </c>
      <c r="Y182" s="154">
        <f t="shared" si="44"/>
        <v>0.67470760233918126</v>
      </c>
    </row>
    <row r="183" spans="5:25" x14ac:dyDescent="0.3">
      <c r="E183" s="29"/>
      <c r="F183" s="72" t="s">
        <v>465</v>
      </c>
      <c r="G183" s="28" t="s">
        <v>166</v>
      </c>
      <c r="H183" s="25"/>
      <c r="J183" s="145">
        <f t="shared" ref="J183:K183" si="45">IF(J$20, $H115, $H112)</f>
        <v>0.22249634502923976</v>
      </c>
      <c r="K183" s="145">
        <f t="shared" si="45"/>
        <v>0.22249634502923976</v>
      </c>
      <c r="L183" s="145">
        <f t="shared" ref="L183:M183" si="46">IF(L$20, $H115, $H112)</f>
        <v>0.22249634502923976</v>
      </c>
      <c r="M183" s="145">
        <f t="shared" si="46"/>
        <v>0.22249634502923976</v>
      </c>
      <c r="N183" s="145">
        <f t="shared" ref="N183:P183" si="47">IF(N$20, $H115, $H112)</f>
        <v>0.22249634502923976</v>
      </c>
      <c r="O183" s="145">
        <f t="shared" si="47"/>
        <v>0.22249634502923976</v>
      </c>
      <c r="P183" s="145">
        <f t="shared" si="47"/>
        <v>0.22249634502923976</v>
      </c>
      <c r="Q183" s="145">
        <f t="shared" ref="Q183:S183" si="48">IF(Q$20, $H115, $H112)</f>
        <v>0.38157894736842102</v>
      </c>
      <c r="R183" s="145">
        <f t="shared" si="48"/>
        <v>0.22249634502923976</v>
      </c>
      <c r="S183" s="145">
        <f t="shared" si="48"/>
        <v>0.22249634502923976</v>
      </c>
      <c r="T183" s="145">
        <f t="shared" ref="T183:U183" si="49">IF(T$20, $H115, $H112)</f>
        <v>0.22249634502923976</v>
      </c>
      <c r="U183" s="145">
        <f t="shared" si="49"/>
        <v>0.22249634502923976</v>
      </c>
      <c r="V183" s="145">
        <f t="shared" ref="V183:W183" si="50">IF(V$20, $H115, $H112)</f>
        <v>0.22249634502923976</v>
      </c>
      <c r="W183" s="145">
        <f t="shared" si="50"/>
        <v>0.22249634502923976</v>
      </c>
      <c r="X183" s="145">
        <f t="shared" ref="X183:Y183" si="51">IF(X$20, $H115, $H112)</f>
        <v>0.22249634502923976</v>
      </c>
      <c r="Y183" s="145">
        <f t="shared" si="51"/>
        <v>0.22249634502923976</v>
      </c>
    </row>
    <row r="184" spans="5:25" x14ac:dyDescent="0.3">
      <c r="E184" s="29"/>
      <c r="F184" s="80" t="s">
        <v>256</v>
      </c>
      <c r="G184" s="67" t="s">
        <v>166</v>
      </c>
      <c r="H184" s="141"/>
      <c r="I184" s="37"/>
      <c r="J184" s="155">
        <f t="shared" ref="J184:K184" si="52">IF(J$20, $H116, $H113)</f>
        <v>0.10279605263157894</v>
      </c>
      <c r="K184" s="155">
        <f t="shared" si="52"/>
        <v>0.10279605263157894</v>
      </c>
      <c r="L184" s="155">
        <f t="shared" ref="L184:M184" si="53">IF(L$20, $H116, $H113)</f>
        <v>0.10279605263157894</v>
      </c>
      <c r="M184" s="155">
        <f t="shared" si="53"/>
        <v>0.10279605263157894</v>
      </c>
      <c r="N184" s="155">
        <f t="shared" ref="N184:P184" si="54">IF(N$20, $H116, $H113)</f>
        <v>0.10279605263157894</v>
      </c>
      <c r="O184" s="155">
        <f t="shared" si="54"/>
        <v>0.10279605263157894</v>
      </c>
      <c r="P184" s="155">
        <f t="shared" si="54"/>
        <v>0.10279605263157894</v>
      </c>
      <c r="Q184" s="155">
        <f t="shared" ref="Q184:S184" si="55">IF(Q$20, $H116, $H113)</f>
        <v>0.10279605263157894</v>
      </c>
      <c r="R184" s="155">
        <f t="shared" si="55"/>
        <v>0.10279605263157894</v>
      </c>
      <c r="S184" s="155">
        <f t="shared" si="55"/>
        <v>0.10279605263157894</v>
      </c>
      <c r="T184" s="155">
        <f t="shared" ref="T184:U184" si="56">IF(T$20, $H116, $H113)</f>
        <v>0.10279605263157894</v>
      </c>
      <c r="U184" s="155">
        <f t="shared" si="56"/>
        <v>0.10279605263157894</v>
      </c>
      <c r="V184" s="155">
        <f t="shared" ref="V184:W184" si="57">IF(V$20, $H116, $H113)</f>
        <v>0.10279605263157894</v>
      </c>
      <c r="W184" s="155">
        <f t="shared" si="57"/>
        <v>0.10279605263157894</v>
      </c>
      <c r="X184" s="155">
        <f t="shared" ref="X184:Y184" si="58">IF(X$20, $H116, $H113)</f>
        <v>0.10279605263157894</v>
      </c>
      <c r="Y184" s="155">
        <f t="shared" si="58"/>
        <v>0.10279605263157894</v>
      </c>
    </row>
    <row r="185" spans="5:25" x14ac:dyDescent="0.3">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3">
      <c r="E186" s="32" t="s">
        <v>480</v>
      </c>
      <c r="G186" s="28"/>
    </row>
    <row r="187" spans="5:25" x14ac:dyDescent="0.3">
      <c r="E187" s="29"/>
      <c r="F187" s="78" t="s">
        <v>464</v>
      </c>
      <c r="G187" s="64" t="s">
        <v>166</v>
      </c>
      <c r="H187" s="107"/>
      <c r="I187" s="23"/>
      <c r="J187" s="154">
        <f t="shared" ref="J187:K187" si="59">IF(J$20, $H122, $H119)</f>
        <v>0.67470760233918126</v>
      </c>
      <c r="K187" s="154">
        <f t="shared" si="59"/>
        <v>0.67470760233918126</v>
      </c>
      <c r="L187" s="154">
        <f t="shared" ref="L187:M187" si="60">IF(L$20, $H122, $H119)</f>
        <v>0.67470760233918126</v>
      </c>
      <c r="M187" s="154">
        <f t="shared" si="60"/>
        <v>0.67470760233918126</v>
      </c>
      <c r="N187" s="154">
        <f t="shared" ref="N187:P187" si="61">IF(N$20, $H122, $H119)</f>
        <v>0.67470760233918126</v>
      </c>
      <c r="O187" s="154">
        <f t="shared" si="61"/>
        <v>0.67470760233918126</v>
      </c>
      <c r="P187" s="154">
        <f t="shared" si="61"/>
        <v>0.67470760233918126</v>
      </c>
      <c r="Q187" s="154">
        <f t="shared" ref="Q187:S187" si="62">IF(Q$20, $H122, $H119)</f>
        <v>0.515625</v>
      </c>
      <c r="R187" s="154">
        <f t="shared" si="62"/>
        <v>0.67470760233918126</v>
      </c>
      <c r="S187" s="154">
        <f t="shared" si="62"/>
        <v>0.67470760233918126</v>
      </c>
      <c r="T187" s="154">
        <f t="shared" ref="T187:U187" si="63">IF(T$20, $H122, $H119)</f>
        <v>0.67470760233918126</v>
      </c>
      <c r="U187" s="154">
        <f t="shared" si="63"/>
        <v>0.67470760233918126</v>
      </c>
      <c r="V187" s="154">
        <f t="shared" ref="V187:W187" si="64">IF(V$20, $H122, $H119)</f>
        <v>0.67470760233918126</v>
      </c>
      <c r="W187" s="154">
        <f t="shared" si="64"/>
        <v>0.67470760233918126</v>
      </c>
      <c r="X187" s="154">
        <f t="shared" ref="X187:Y187" si="65">IF(X$20, $H122, $H119)</f>
        <v>0.67470760233918126</v>
      </c>
      <c r="Y187" s="154">
        <f t="shared" si="65"/>
        <v>0.67470760233918126</v>
      </c>
    </row>
    <row r="188" spans="5:25" x14ac:dyDescent="0.3">
      <c r="E188" s="29"/>
      <c r="F188" s="72" t="s">
        <v>465</v>
      </c>
      <c r="G188" s="28" t="s">
        <v>166</v>
      </c>
      <c r="H188" s="25"/>
      <c r="J188" s="145">
        <f t="shared" ref="J188:K188" si="66">IF(J$20, $H123, $H120)</f>
        <v>0.22249634502923976</v>
      </c>
      <c r="K188" s="145">
        <f t="shared" si="66"/>
        <v>0.22249634502923976</v>
      </c>
      <c r="L188" s="145">
        <f t="shared" ref="L188:M188" si="67">IF(L$20, $H123, $H120)</f>
        <v>0.22249634502923976</v>
      </c>
      <c r="M188" s="145">
        <f t="shared" si="67"/>
        <v>0.22249634502923976</v>
      </c>
      <c r="N188" s="145">
        <f t="shared" ref="N188:P188" si="68">IF(N$20, $H123, $H120)</f>
        <v>0.22249634502923976</v>
      </c>
      <c r="O188" s="145">
        <f t="shared" si="68"/>
        <v>0.22249634502923976</v>
      </c>
      <c r="P188" s="145">
        <f t="shared" si="68"/>
        <v>0.22249634502923976</v>
      </c>
      <c r="Q188" s="145">
        <f t="shared" ref="Q188:S188" si="69">IF(Q$20, $H123, $H120)</f>
        <v>0.38157894736842102</v>
      </c>
      <c r="R188" s="145">
        <f t="shared" si="69"/>
        <v>0.22249634502923976</v>
      </c>
      <c r="S188" s="145">
        <f t="shared" si="69"/>
        <v>0.22249634502923976</v>
      </c>
      <c r="T188" s="145">
        <f t="shared" ref="T188:U188" si="70">IF(T$20, $H123, $H120)</f>
        <v>0.22249634502923976</v>
      </c>
      <c r="U188" s="145">
        <f t="shared" si="70"/>
        <v>0.22249634502923976</v>
      </c>
      <c r="V188" s="145">
        <f t="shared" ref="V188:W188" si="71">IF(V$20, $H123, $H120)</f>
        <v>0.22249634502923976</v>
      </c>
      <c r="W188" s="145">
        <f t="shared" si="71"/>
        <v>0.22249634502923976</v>
      </c>
      <c r="X188" s="145">
        <f t="shared" ref="X188:Y188" si="72">IF(X$20, $H123, $H120)</f>
        <v>0.22249634502923976</v>
      </c>
      <c r="Y188" s="145">
        <f t="shared" si="72"/>
        <v>0.22249634502923976</v>
      </c>
    </row>
    <row r="189" spans="5:25" x14ac:dyDescent="0.3">
      <c r="E189" s="29"/>
      <c r="F189" s="80" t="s">
        <v>256</v>
      </c>
      <c r="G189" s="67" t="s">
        <v>166</v>
      </c>
      <c r="H189" s="141"/>
      <c r="I189" s="37"/>
      <c r="J189" s="155">
        <f t="shared" ref="J189:K189" si="73">IF(J$20, $H124, $H121)</f>
        <v>0.10279605263157894</v>
      </c>
      <c r="K189" s="155">
        <f t="shared" si="73"/>
        <v>0.10279605263157894</v>
      </c>
      <c r="L189" s="155">
        <f t="shared" ref="L189:M189" si="74">IF(L$20, $H124, $H121)</f>
        <v>0.10279605263157894</v>
      </c>
      <c r="M189" s="155">
        <f t="shared" si="74"/>
        <v>0.10279605263157894</v>
      </c>
      <c r="N189" s="155">
        <f t="shared" ref="N189:P189" si="75">IF(N$20, $H124, $H121)</f>
        <v>0.10279605263157894</v>
      </c>
      <c r="O189" s="155">
        <f t="shared" si="75"/>
        <v>0.10279605263157894</v>
      </c>
      <c r="P189" s="155">
        <f t="shared" si="75"/>
        <v>0.10279605263157894</v>
      </c>
      <c r="Q189" s="155">
        <f t="shared" ref="Q189:S189" si="76">IF(Q$20, $H124, $H121)</f>
        <v>0.10279605263157894</v>
      </c>
      <c r="R189" s="155">
        <f t="shared" si="76"/>
        <v>0.10279605263157894</v>
      </c>
      <c r="S189" s="155">
        <f t="shared" si="76"/>
        <v>0.10279605263157894</v>
      </c>
      <c r="T189" s="155">
        <f t="shared" ref="T189:U189" si="77">IF(T$20, $H124, $H121)</f>
        <v>0.10279605263157894</v>
      </c>
      <c r="U189" s="155">
        <f t="shared" si="77"/>
        <v>0.10279605263157894</v>
      </c>
      <c r="V189" s="155">
        <f t="shared" ref="V189:W189" si="78">IF(V$20, $H124, $H121)</f>
        <v>0.10279605263157894</v>
      </c>
      <c r="W189" s="155">
        <f t="shared" si="78"/>
        <v>0.10279605263157894</v>
      </c>
      <c r="X189" s="155">
        <f t="shared" ref="X189:Y189" si="79">IF(X$20, $H124, $H121)</f>
        <v>0.10279605263157894</v>
      </c>
      <c r="Y189" s="155">
        <f t="shared" si="79"/>
        <v>0.10279605263157894</v>
      </c>
    </row>
    <row r="190" spans="5:25" x14ac:dyDescent="0.3">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3">
      <c r="E191" s="32" t="s">
        <v>481</v>
      </c>
      <c r="G191" s="28"/>
    </row>
    <row r="192" spans="5:25" x14ac:dyDescent="0.3">
      <c r="E192" s="29"/>
      <c r="F192" s="78" t="s">
        <v>464</v>
      </c>
      <c r="G192" s="64" t="s">
        <v>166</v>
      </c>
      <c r="H192" s="107"/>
      <c r="I192" s="23"/>
      <c r="J192" s="154">
        <f t="shared" ref="J192:K192" si="80">IF(J$20, $H130, $H127)</f>
        <v>0.48791570271673684</v>
      </c>
      <c r="K192" s="154">
        <f t="shared" si="80"/>
        <v>0.48791570271673684</v>
      </c>
      <c r="L192" s="154">
        <f t="shared" ref="L192:M192" si="81">IF(L$20, $H130, $H127)</f>
        <v>0.48791570271673684</v>
      </c>
      <c r="M192" s="154">
        <f t="shared" si="81"/>
        <v>0.48791570271673684</v>
      </c>
      <c r="N192" s="154">
        <f t="shared" ref="N192:P192" si="82">IF(N$20, $H130, $H127)</f>
        <v>0.48791570271673684</v>
      </c>
      <c r="O192" s="154">
        <f t="shared" si="82"/>
        <v>0.48791570271673684</v>
      </c>
      <c r="P192" s="154">
        <f t="shared" si="82"/>
        <v>0.48791570271673684</v>
      </c>
      <c r="Q192" s="154">
        <f t="shared" ref="Q192:S192" si="83">IF(Q$20, $H130, $H127)</f>
        <v>0.42438652317235964</v>
      </c>
      <c r="R192" s="154">
        <f t="shared" si="83"/>
        <v>0.48791570271673684</v>
      </c>
      <c r="S192" s="154">
        <f t="shared" si="83"/>
        <v>0.48791570271673684</v>
      </c>
      <c r="T192" s="154">
        <f t="shared" ref="T192:U192" si="84">IF(T$20, $H130, $H127)</f>
        <v>0.48791570271673684</v>
      </c>
      <c r="U192" s="154">
        <f t="shared" si="84"/>
        <v>0.48791570271673684</v>
      </c>
      <c r="V192" s="154">
        <f t="shared" ref="V192:W192" si="85">IF(V$20, $H130, $H127)</f>
        <v>0.48791570271673684</v>
      </c>
      <c r="W192" s="154">
        <f t="shared" si="85"/>
        <v>0.48791570271673684</v>
      </c>
      <c r="X192" s="154">
        <f t="shared" ref="X192:Y192" si="86">IF(X$20, $H130, $H127)</f>
        <v>0.48791570271673684</v>
      </c>
      <c r="Y192" s="154">
        <f t="shared" si="86"/>
        <v>0.48791570271673684</v>
      </c>
    </row>
    <row r="193" spans="5:25" x14ac:dyDescent="0.3">
      <c r="E193" s="29"/>
      <c r="F193" s="72" t="s">
        <v>465</v>
      </c>
      <c r="G193" s="28" t="s">
        <v>166</v>
      </c>
      <c r="H193" s="25"/>
      <c r="J193" s="145">
        <f t="shared" ref="J193:K193" si="87">IF(J$20, $H131, $H128)</f>
        <v>0.40138727033685773</v>
      </c>
      <c r="K193" s="145">
        <f t="shared" si="87"/>
        <v>0.40138727033685773</v>
      </c>
      <c r="L193" s="145">
        <f t="shared" ref="L193:M193" si="88">IF(L$20, $H131, $H128)</f>
        <v>0.40138727033685773</v>
      </c>
      <c r="M193" s="145">
        <f t="shared" si="88"/>
        <v>0.40138727033685773</v>
      </c>
      <c r="N193" s="145">
        <f t="shared" ref="N193:P193" si="89">IF(N$20, $H131, $H128)</f>
        <v>0.40138727033685773</v>
      </c>
      <c r="O193" s="145">
        <f t="shared" si="89"/>
        <v>0.40138727033685773</v>
      </c>
      <c r="P193" s="145">
        <f t="shared" si="89"/>
        <v>0.40138727033685773</v>
      </c>
      <c r="Q193" s="145">
        <f t="shared" ref="Q193:S193" si="90">IF(Q$20, $H131, $H128)</f>
        <v>0.46491644988123498</v>
      </c>
      <c r="R193" s="145">
        <f t="shared" si="90"/>
        <v>0.40138727033685773</v>
      </c>
      <c r="S193" s="145">
        <f t="shared" si="90"/>
        <v>0.40138727033685773</v>
      </c>
      <c r="T193" s="145">
        <f t="shared" ref="T193:U193" si="91">IF(T$20, $H131, $H128)</f>
        <v>0.40138727033685773</v>
      </c>
      <c r="U193" s="145">
        <f t="shared" si="91"/>
        <v>0.40138727033685773</v>
      </c>
      <c r="V193" s="145">
        <f t="shared" ref="V193:W193" si="92">IF(V$20, $H131, $H128)</f>
        <v>0.40138727033685773</v>
      </c>
      <c r="W193" s="145">
        <f t="shared" si="92"/>
        <v>0.40138727033685773</v>
      </c>
      <c r="X193" s="145">
        <f t="shared" ref="X193:Y193" si="93">IF(X$20, $H131, $H128)</f>
        <v>0.40138727033685773</v>
      </c>
      <c r="Y193" s="145">
        <f t="shared" si="93"/>
        <v>0.40138727033685773</v>
      </c>
    </row>
    <row r="194" spans="5:25" x14ac:dyDescent="0.3">
      <c r="E194" s="29"/>
      <c r="F194" s="80" t="s">
        <v>256</v>
      </c>
      <c r="G194" s="67" t="s">
        <v>166</v>
      </c>
      <c r="H194" s="141"/>
      <c r="I194" s="37"/>
      <c r="J194" s="155">
        <f t="shared" ref="J194:K194" si="94">IF(J$20, $H132, $H129)</f>
        <v>0.11069702694640549</v>
      </c>
      <c r="K194" s="155">
        <f t="shared" si="94"/>
        <v>0.11069702694640549</v>
      </c>
      <c r="L194" s="155">
        <f t="shared" ref="L194:M194" si="95">IF(L$20, $H132, $H129)</f>
        <v>0.11069702694640549</v>
      </c>
      <c r="M194" s="155">
        <f t="shared" si="95"/>
        <v>0.11069702694640549</v>
      </c>
      <c r="N194" s="155">
        <f t="shared" ref="N194:P194" si="96">IF(N$20, $H132, $H129)</f>
        <v>0.11069702694640549</v>
      </c>
      <c r="O194" s="155">
        <f t="shared" si="96"/>
        <v>0.11069702694640549</v>
      </c>
      <c r="P194" s="155">
        <f t="shared" si="96"/>
        <v>0.11069702694640549</v>
      </c>
      <c r="Q194" s="155">
        <f t="shared" ref="Q194:S194" si="97">IF(Q$20, $H132, $H129)</f>
        <v>0.11069702694640549</v>
      </c>
      <c r="R194" s="155">
        <f t="shared" si="97"/>
        <v>0.11069702694640549</v>
      </c>
      <c r="S194" s="155">
        <f t="shared" si="97"/>
        <v>0.11069702694640549</v>
      </c>
      <c r="T194" s="155">
        <f t="shared" ref="T194:U194" si="98">IF(T$20, $H132, $H129)</f>
        <v>0.11069702694640549</v>
      </c>
      <c r="U194" s="155">
        <f t="shared" si="98"/>
        <v>0.11069702694640549</v>
      </c>
      <c r="V194" s="155">
        <f t="shared" ref="V194:W194" si="99">IF(V$20, $H132, $H129)</f>
        <v>0.11069702694640549</v>
      </c>
      <c r="W194" s="155">
        <f t="shared" si="99"/>
        <v>0.11069702694640549</v>
      </c>
      <c r="X194" s="155">
        <f t="shared" ref="X194:Y194" si="100">IF(X$20, $H132, $H129)</f>
        <v>0.11069702694640549</v>
      </c>
      <c r="Y194" s="155">
        <f t="shared" si="100"/>
        <v>0.11069702694640549</v>
      </c>
    </row>
    <row r="195" spans="5:25" x14ac:dyDescent="0.3">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3">
      <c r="E196" s="32" t="s">
        <v>482</v>
      </c>
      <c r="G196" s="28"/>
    </row>
    <row r="197" spans="5:25" x14ac:dyDescent="0.3">
      <c r="E197" s="29"/>
      <c r="F197" s="78" t="s">
        <v>464</v>
      </c>
      <c r="G197" s="64" t="s">
        <v>166</v>
      </c>
      <c r="H197" s="107"/>
      <c r="I197" s="23"/>
      <c r="J197" s="154">
        <f t="shared" ref="J197:K197" si="101">IF(J$20, $H138, $H135)</f>
        <v>0.48791570271673684</v>
      </c>
      <c r="K197" s="154">
        <f t="shared" si="101"/>
        <v>0.48791570271673684</v>
      </c>
      <c r="L197" s="154">
        <f t="shared" ref="L197:M197" si="102">IF(L$20, $H138, $H135)</f>
        <v>0.48791570271673684</v>
      </c>
      <c r="M197" s="154">
        <f t="shared" si="102"/>
        <v>0.48791570271673684</v>
      </c>
      <c r="N197" s="154">
        <f t="shared" ref="N197:P197" si="103">IF(N$20, $H138, $H135)</f>
        <v>0.48791570271673684</v>
      </c>
      <c r="O197" s="154">
        <f t="shared" si="103"/>
        <v>0.48791570271673684</v>
      </c>
      <c r="P197" s="154">
        <f t="shared" si="103"/>
        <v>0.48791570271673684</v>
      </c>
      <c r="Q197" s="154">
        <f t="shared" ref="Q197:S197" si="104">IF(Q$20, $H138, $H135)</f>
        <v>0.42438652317235964</v>
      </c>
      <c r="R197" s="154">
        <f t="shared" si="104"/>
        <v>0.48791570271673684</v>
      </c>
      <c r="S197" s="154">
        <f t="shared" si="104"/>
        <v>0.48791570271673684</v>
      </c>
      <c r="T197" s="154">
        <f t="shared" ref="T197:U197" si="105">IF(T$20, $H138, $H135)</f>
        <v>0.48791570271673684</v>
      </c>
      <c r="U197" s="154">
        <f t="shared" si="105"/>
        <v>0.48791570271673684</v>
      </c>
      <c r="V197" s="154">
        <f t="shared" ref="V197:W197" si="106">IF(V$20, $H138, $H135)</f>
        <v>0.48791570271673684</v>
      </c>
      <c r="W197" s="154">
        <f t="shared" si="106"/>
        <v>0.48791570271673684</v>
      </c>
      <c r="X197" s="154">
        <f t="shared" ref="X197:Y197" si="107">IF(X$20, $H138, $H135)</f>
        <v>0.48791570271673684</v>
      </c>
      <c r="Y197" s="154">
        <f t="shared" si="107"/>
        <v>0.48791570271673684</v>
      </c>
    </row>
    <row r="198" spans="5:25" x14ac:dyDescent="0.3">
      <c r="E198" s="29"/>
      <c r="F198" s="72" t="s">
        <v>465</v>
      </c>
      <c r="G198" s="28" t="s">
        <v>166</v>
      </c>
      <c r="H198" s="25"/>
      <c r="J198" s="145">
        <f t="shared" ref="J198:K198" si="108">IF(J$20, $H139, $H136)</f>
        <v>0.40138727033685773</v>
      </c>
      <c r="K198" s="145">
        <f t="shared" si="108"/>
        <v>0.40138727033685773</v>
      </c>
      <c r="L198" s="145">
        <f t="shared" ref="L198:M198" si="109">IF(L$20, $H139, $H136)</f>
        <v>0.40138727033685773</v>
      </c>
      <c r="M198" s="145">
        <f t="shared" si="109"/>
        <v>0.40138727033685773</v>
      </c>
      <c r="N198" s="145">
        <f t="shared" ref="N198:P198" si="110">IF(N$20, $H139, $H136)</f>
        <v>0.40138727033685773</v>
      </c>
      <c r="O198" s="145">
        <f t="shared" si="110"/>
        <v>0.40138727033685773</v>
      </c>
      <c r="P198" s="145">
        <f t="shared" si="110"/>
        <v>0.40138727033685773</v>
      </c>
      <c r="Q198" s="145">
        <f t="shared" ref="Q198:S198" si="111">IF(Q$20, $H139, $H136)</f>
        <v>0.46491644988123498</v>
      </c>
      <c r="R198" s="145">
        <f t="shared" si="111"/>
        <v>0.40138727033685773</v>
      </c>
      <c r="S198" s="145">
        <f t="shared" si="111"/>
        <v>0.40138727033685773</v>
      </c>
      <c r="T198" s="145">
        <f t="shared" ref="T198:U198" si="112">IF(T$20, $H139, $H136)</f>
        <v>0.40138727033685773</v>
      </c>
      <c r="U198" s="145">
        <f t="shared" si="112"/>
        <v>0.40138727033685773</v>
      </c>
      <c r="V198" s="145">
        <f t="shared" ref="V198:W198" si="113">IF(V$20, $H139, $H136)</f>
        <v>0.40138727033685773</v>
      </c>
      <c r="W198" s="145">
        <f t="shared" si="113"/>
        <v>0.40138727033685773</v>
      </c>
      <c r="X198" s="145">
        <f t="shared" ref="X198:Y198" si="114">IF(X$20, $H139, $H136)</f>
        <v>0.40138727033685773</v>
      </c>
      <c r="Y198" s="145">
        <f t="shared" si="114"/>
        <v>0.40138727033685773</v>
      </c>
    </row>
    <row r="199" spans="5:25" x14ac:dyDescent="0.3">
      <c r="E199" s="29"/>
      <c r="F199" s="80" t="s">
        <v>256</v>
      </c>
      <c r="G199" s="67" t="s">
        <v>166</v>
      </c>
      <c r="H199" s="141"/>
      <c r="I199" s="37"/>
      <c r="J199" s="155">
        <f t="shared" ref="J199:K199" si="115">IF(J$20, $H140, $H137)</f>
        <v>0.11069702694640549</v>
      </c>
      <c r="K199" s="155">
        <f t="shared" si="115"/>
        <v>0.11069702694640549</v>
      </c>
      <c r="L199" s="155">
        <f t="shared" ref="L199:M199" si="116">IF(L$20, $H140, $H137)</f>
        <v>0.11069702694640549</v>
      </c>
      <c r="M199" s="155">
        <f t="shared" si="116"/>
        <v>0.11069702694640549</v>
      </c>
      <c r="N199" s="155">
        <f t="shared" ref="N199:P199" si="117">IF(N$20, $H140, $H137)</f>
        <v>0.11069702694640549</v>
      </c>
      <c r="O199" s="155">
        <f t="shared" si="117"/>
        <v>0.11069702694640549</v>
      </c>
      <c r="P199" s="155">
        <f t="shared" si="117"/>
        <v>0.11069702694640549</v>
      </c>
      <c r="Q199" s="155">
        <f t="shared" ref="Q199:S199" si="118">IF(Q$20, $H140, $H137)</f>
        <v>0.11069702694640549</v>
      </c>
      <c r="R199" s="155">
        <f t="shared" si="118"/>
        <v>0.11069702694640549</v>
      </c>
      <c r="S199" s="155">
        <f t="shared" si="118"/>
        <v>0.11069702694640549</v>
      </c>
      <c r="T199" s="155">
        <f t="shared" ref="T199:U199" si="119">IF(T$20, $H140, $H137)</f>
        <v>0.11069702694640549</v>
      </c>
      <c r="U199" s="155">
        <f t="shared" si="119"/>
        <v>0.11069702694640549</v>
      </c>
      <c r="V199" s="155">
        <f t="shared" ref="V199:W199" si="120">IF(V$20, $H140, $H137)</f>
        <v>0.11069702694640549</v>
      </c>
      <c r="W199" s="155">
        <f t="shared" si="120"/>
        <v>0.11069702694640549</v>
      </c>
      <c r="X199" s="155">
        <f t="shared" ref="X199:Y199" si="121">IF(X$20, $H140, $H137)</f>
        <v>0.11069702694640549</v>
      </c>
      <c r="Y199" s="155">
        <f t="shared" si="121"/>
        <v>0.11069702694640549</v>
      </c>
    </row>
    <row r="200" spans="5:25" x14ac:dyDescent="0.3">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3">
      <c r="E201" s="32" t="s">
        <v>483</v>
      </c>
      <c r="G201" s="28"/>
    </row>
    <row r="202" spans="5:25" x14ac:dyDescent="0.3">
      <c r="E202" s="29"/>
      <c r="F202" s="78" t="s">
        <v>464</v>
      </c>
      <c r="G202" s="64" t="s">
        <v>166</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x14ac:dyDescent="0.3">
      <c r="E203" s="29"/>
      <c r="F203" s="72" t="s">
        <v>465</v>
      </c>
      <c r="G203" s="28" t="s">
        <v>166</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x14ac:dyDescent="0.3">
      <c r="E204" s="29"/>
      <c r="F204" s="80" t="s">
        <v>256</v>
      </c>
      <c r="G204" s="67" t="s">
        <v>166</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x14ac:dyDescent="0.3">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3">
      <c r="E206" s="32" t="s">
        <v>484</v>
      </c>
      <c r="G206" s="28"/>
    </row>
    <row r="207" spans="5:25" x14ac:dyDescent="0.3">
      <c r="E207" s="29"/>
      <c r="F207" s="78" t="s">
        <v>464</v>
      </c>
      <c r="G207" s="64" t="s">
        <v>166</v>
      </c>
      <c r="H207" s="107"/>
      <c r="I207" s="23"/>
      <c r="J207" s="154">
        <f t="shared" ref="J207:K207" si="143">IF(J$20, $H154, $H151)</f>
        <v>0.48791570271673684</v>
      </c>
      <c r="K207" s="154">
        <f t="shared" si="143"/>
        <v>0.48791570271673684</v>
      </c>
      <c r="L207" s="154">
        <f t="shared" ref="L207:M207" si="144">IF(L$20, $H154, $H151)</f>
        <v>0.48791570271673684</v>
      </c>
      <c r="M207" s="154">
        <f t="shared" si="144"/>
        <v>0.48791570271673684</v>
      </c>
      <c r="N207" s="154">
        <f t="shared" ref="N207:P207" si="145">IF(N$20, $H154, $H151)</f>
        <v>0.48791570271673684</v>
      </c>
      <c r="O207" s="154">
        <f t="shared" si="145"/>
        <v>0.48791570271673684</v>
      </c>
      <c r="P207" s="154">
        <f t="shared" si="145"/>
        <v>0.48791570271673684</v>
      </c>
      <c r="Q207" s="154">
        <f t="shared" ref="Q207:S207" si="146">IF(Q$20, $H154, $H151)</f>
        <v>0.42438652317235964</v>
      </c>
      <c r="R207" s="154">
        <f t="shared" si="146"/>
        <v>0.48791570271673684</v>
      </c>
      <c r="S207" s="154">
        <f t="shared" si="146"/>
        <v>0.48791570271673684</v>
      </c>
      <c r="T207" s="154">
        <f t="shared" ref="T207:U207" si="147">IF(T$20, $H154, $H151)</f>
        <v>0.48791570271673684</v>
      </c>
      <c r="U207" s="154">
        <f t="shared" si="147"/>
        <v>0.48791570271673684</v>
      </c>
      <c r="V207" s="154">
        <f t="shared" ref="V207:W207" si="148">IF(V$20, $H154, $H151)</f>
        <v>0.48791570271673684</v>
      </c>
      <c r="W207" s="154">
        <f t="shared" si="148"/>
        <v>0.48791570271673684</v>
      </c>
      <c r="X207" s="154">
        <f t="shared" ref="X207:Y207" si="149">IF(X$20, $H154, $H151)</f>
        <v>0.48791570271673684</v>
      </c>
      <c r="Y207" s="154">
        <f t="shared" si="149"/>
        <v>0.48791570271673684</v>
      </c>
    </row>
    <row r="208" spans="5:25" x14ac:dyDescent="0.3">
      <c r="E208" s="29"/>
      <c r="F208" s="72" t="s">
        <v>465</v>
      </c>
      <c r="G208" s="28" t="s">
        <v>166</v>
      </c>
      <c r="H208" s="25"/>
      <c r="J208" s="145">
        <f t="shared" ref="J208:K208" si="150">IF(J$20, $H155, $H152)</f>
        <v>0.40138727033685773</v>
      </c>
      <c r="K208" s="145">
        <f t="shared" si="150"/>
        <v>0.40138727033685773</v>
      </c>
      <c r="L208" s="145">
        <f t="shared" ref="L208:M208" si="151">IF(L$20, $H155, $H152)</f>
        <v>0.40138727033685773</v>
      </c>
      <c r="M208" s="145">
        <f t="shared" si="151"/>
        <v>0.40138727033685773</v>
      </c>
      <c r="N208" s="145">
        <f t="shared" ref="N208:P208" si="152">IF(N$20, $H155, $H152)</f>
        <v>0.40138727033685773</v>
      </c>
      <c r="O208" s="145">
        <f t="shared" si="152"/>
        <v>0.40138727033685773</v>
      </c>
      <c r="P208" s="145">
        <f t="shared" si="152"/>
        <v>0.40138727033685773</v>
      </c>
      <c r="Q208" s="145">
        <f t="shared" ref="Q208:S208" si="153">IF(Q$20, $H155, $H152)</f>
        <v>0.46491644988123498</v>
      </c>
      <c r="R208" s="145">
        <f t="shared" si="153"/>
        <v>0.40138727033685773</v>
      </c>
      <c r="S208" s="145">
        <f t="shared" si="153"/>
        <v>0.40138727033685773</v>
      </c>
      <c r="T208" s="145">
        <f t="shared" ref="T208:U208" si="154">IF(T$20, $H155, $H152)</f>
        <v>0.40138727033685773</v>
      </c>
      <c r="U208" s="145">
        <f t="shared" si="154"/>
        <v>0.40138727033685773</v>
      </c>
      <c r="V208" s="145">
        <f t="shared" ref="V208:W208" si="155">IF(V$20, $H155, $H152)</f>
        <v>0.40138727033685773</v>
      </c>
      <c r="W208" s="145">
        <f t="shared" si="155"/>
        <v>0.40138727033685773</v>
      </c>
      <c r="X208" s="145">
        <f t="shared" ref="X208:Y208" si="156">IF(X$20, $H155, $H152)</f>
        <v>0.40138727033685773</v>
      </c>
      <c r="Y208" s="145">
        <f t="shared" si="156"/>
        <v>0.40138727033685773</v>
      </c>
    </row>
    <row r="209" spans="3:27" x14ac:dyDescent="0.3">
      <c r="E209" s="29"/>
      <c r="F209" s="80" t="s">
        <v>256</v>
      </c>
      <c r="G209" s="67" t="s">
        <v>166</v>
      </c>
      <c r="H209" s="141"/>
      <c r="I209" s="37"/>
      <c r="J209" s="155">
        <f t="shared" ref="J209:K209" si="157">IF(J$20, $H156, $H153)</f>
        <v>0.11069702694640549</v>
      </c>
      <c r="K209" s="155">
        <f t="shared" si="157"/>
        <v>0.11069702694640549</v>
      </c>
      <c r="L209" s="155">
        <f t="shared" ref="L209:M209" si="158">IF(L$20, $H156, $H153)</f>
        <v>0.11069702694640549</v>
      </c>
      <c r="M209" s="155">
        <f t="shared" si="158"/>
        <v>0.11069702694640549</v>
      </c>
      <c r="N209" s="155">
        <f t="shared" ref="N209:P209" si="159">IF(N$20, $H156, $H153)</f>
        <v>0.11069702694640549</v>
      </c>
      <c r="O209" s="155">
        <f t="shared" si="159"/>
        <v>0.11069702694640549</v>
      </c>
      <c r="P209" s="155">
        <f t="shared" si="159"/>
        <v>0.11069702694640549</v>
      </c>
      <c r="Q209" s="155">
        <f t="shared" ref="Q209:S209" si="160">IF(Q$20, $H156, $H153)</f>
        <v>0.11069702694640549</v>
      </c>
      <c r="R209" s="155">
        <f t="shared" si="160"/>
        <v>0.11069702694640549</v>
      </c>
      <c r="S209" s="155">
        <f t="shared" si="160"/>
        <v>0.11069702694640549</v>
      </c>
      <c r="T209" s="155">
        <f t="shared" ref="T209:U209" si="161">IF(T$20, $H156, $H153)</f>
        <v>0.11069702694640549</v>
      </c>
      <c r="U209" s="155">
        <f t="shared" si="161"/>
        <v>0.11069702694640549</v>
      </c>
      <c r="V209" s="155">
        <f t="shared" ref="V209:W209" si="162">IF(V$20, $H156, $H153)</f>
        <v>0.11069702694640549</v>
      </c>
      <c r="W209" s="155">
        <f t="shared" si="162"/>
        <v>0.11069702694640549</v>
      </c>
      <c r="X209" s="155">
        <f t="shared" ref="X209:Y209" si="163">IF(X$20, $H156, $H153)</f>
        <v>0.11069702694640549</v>
      </c>
      <c r="Y209" s="155">
        <f t="shared" si="163"/>
        <v>0.11069702694640549</v>
      </c>
    </row>
    <row r="210" spans="3:27" x14ac:dyDescent="0.3">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3">
      <c r="E211" s="32" t="s">
        <v>485</v>
      </c>
      <c r="G211" s="28"/>
    </row>
    <row r="212" spans="3:27" x14ac:dyDescent="0.3">
      <c r="E212" s="29"/>
      <c r="F212" s="78" t="s">
        <v>464</v>
      </c>
      <c r="G212" s="64" t="s">
        <v>166</v>
      </c>
      <c r="H212" s="107"/>
      <c r="I212" s="23"/>
      <c r="J212" s="154">
        <f t="shared" ref="J212:K212" si="164">IF(J$20, $H162, $H159)</f>
        <v>0.48791570271673684</v>
      </c>
      <c r="K212" s="154">
        <f t="shared" si="164"/>
        <v>0.48791570271673684</v>
      </c>
      <c r="L212" s="154">
        <f t="shared" ref="L212:M212" si="165">IF(L$20, $H162, $H159)</f>
        <v>0.48791570271673684</v>
      </c>
      <c r="M212" s="154">
        <f t="shared" si="165"/>
        <v>0.48791570271673684</v>
      </c>
      <c r="N212" s="154">
        <f t="shared" ref="N212:P212" si="166">IF(N$20, $H162, $H159)</f>
        <v>0.48791570271673684</v>
      </c>
      <c r="O212" s="154">
        <f t="shared" si="166"/>
        <v>0.48791570271673684</v>
      </c>
      <c r="P212" s="154">
        <f t="shared" si="166"/>
        <v>0.48791570271673684</v>
      </c>
      <c r="Q212" s="154">
        <f t="shared" ref="Q212:S212" si="167">IF(Q$20, $H162, $H159)</f>
        <v>0.42438652317235964</v>
      </c>
      <c r="R212" s="154">
        <f t="shared" si="167"/>
        <v>0.48791570271673684</v>
      </c>
      <c r="S212" s="154">
        <f t="shared" si="167"/>
        <v>0.48791570271673684</v>
      </c>
      <c r="T212" s="154">
        <f t="shared" ref="T212:U212" si="168">IF(T$20, $H162, $H159)</f>
        <v>0.48791570271673684</v>
      </c>
      <c r="U212" s="154">
        <f t="shared" si="168"/>
        <v>0.48791570271673684</v>
      </c>
      <c r="V212" s="154">
        <f t="shared" ref="V212:W212" si="169">IF(V$20, $H162, $H159)</f>
        <v>0.48791570271673684</v>
      </c>
      <c r="W212" s="154">
        <f t="shared" si="169"/>
        <v>0.48791570271673684</v>
      </c>
      <c r="X212" s="154">
        <f t="shared" ref="X212:Y212" si="170">IF(X$20, $H162, $H159)</f>
        <v>0.48791570271673684</v>
      </c>
      <c r="Y212" s="154">
        <f t="shared" si="170"/>
        <v>0.48791570271673684</v>
      </c>
    </row>
    <row r="213" spans="3:27" x14ac:dyDescent="0.3">
      <c r="E213" s="29"/>
      <c r="F213" s="72" t="s">
        <v>465</v>
      </c>
      <c r="G213" s="28" t="s">
        <v>166</v>
      </c>
      <c r="H213" s="25"/>
      <c r="J213" s="145">
        <f t="shared" ref="J213:K213" si="171">IF(J$20, $H163, $H160)</f>
        <v>0.40138727033685773</v>
      </c>
      <c r="K213" s="145">
        <f t="shared" si="171"/>
        <v>0.40138727033685773</v>
      </c>
      <c r="L213" s="145">
        <f t="shared" ref="L213:M213" si="172">IF(L$20, $H163, $H160)</f>
        <v>0.40138727033685773</v>
      </c>
      <c r="M213" s="145">
        <f t="shared" si="172"/>
        <v>0.40138727033685773</v>
      </c>
      <c r="N213" s="145">
        <f t="shared" ref="N213:P213" si="173">IF(N$20, $H163, $H160)</f>
        <v>0.40138727033685773</v>
      </c>
      <c r="O213" s="145">
        <f t="shared" si="173"/>
        <v>0.40138727033685773</v>
      </c>
      <c r="P213" s="145">
        <f t="shared" si="173"/>
        <v>0.40138727033685773</v>
      </c>
      <c r="Q213" s="145">
        <f t="shared" ref="Q213:S213" si="174">IF(Q$20, $H163, $H160)</f>
        <v>0.46491644988123498</v>
      </c>
      <c r="R213" s="145">
        <f t="shared" si="174"/>
        <v>0.40138727033685773</v>
      </c>
      <c r="S213" s="145">
        <f t="shared" si="174"/>
        <v>0.40138727033685773</v>
      </c>
      <c r="T213" s="145">
        <f t="shared" ref="T213:U213" si="175">IF(T$20, $H163, $H160)</f>
        <v>0.40138727033685773</v>
      </c>
      <c r="U213" s="145">
        <f t="shared" si="175"/>
        <v>0.40138727033685773</v>
      </c>
      <c r="V213" s="145">
        <f t="shared" ref="V213:W213" si="176">IF(V$20, $H163, $H160)</f>
        <v>0.40138727033685773</v>
      </c>
      <c r="W213" s="145">
        <f t="shared" si="176"/>
        <v>0.40138727033685773</v>
      </c>
      <c r="X213" s="145">
        <f t="shared" ref="X213:Y213" si="177">IF(X$20, $H163, $H160)</f>
        <v>0.40138727033685773</v>
      </c>
      <c r="Y213" s="145">
        <f t="shared" si="177"/>
        <v>0.40138727033685773</v>
      </c>
    </row>
    <row r="214" spans="3:27" x14ac:dyDescent="0.3">
      <c r="E214" s="29"/>
      <c r="F214" s="80" t="s">
        <v>256</v>
      </c>
      <c r="G214" s="67" t="s">
        <v>166</v>
      </c>
      <c r="H214" s="141"/>
      <c r="I214" s="37"/>
      <c r="J214" s="155">
        <f t="shared" ref="J214:K214" si="178">IF(J$20, $H164, $H161)</f>
        <v>0.11069702694640549</v>
      </c>
      <c r="K214" s="155">
        <f t="shared" si="178"/>
        <v>0.11069702694640549</v>
      </c>
      <c r="L214" s="155">
        <f t="shared" ref="L214:M214" si="179">IF(L$20, $H164, $H161)</f>
        <v>0.11069702694640549</v>
      </c>
      <c r="M214" s="155">
        <f t="shared" si="179"/>
        <v>0.11069702694640549</v>
      </c>
      <c r="N214" s="155">
        <f t="shared" ref="N214:P214" si="180">IF(N$20, $H164, $H161)</f>
        <v>0.11069702694640549</v>
      </c>
      <c r="O214" s="155">
        <f t="shared" si="180"/>
        <v>0.11069702694640549</v>
      </c>
      <c r="P214" s="155">
        <f t="shared" si="180"/>
        <v>0.11069702694640549</v>
      </c>
      <c r="Q214" s="155">
        <f t="shared" ref="Q214:S214" si="181">IF(Q$20, $H164, $H161)</f>
        <v>0.11069702694640549</v>
      </c>
      <c r="R214" s="155">
        <f t="shared" si="181"/>
        <v>0.11069702694640549</v>
      </c>
      <c r="S214" s="155">
        <f t="shared" si="181"/>
        <v>0.11069702694640549</v>
      </c>
      <c r="T214" s="155">
        <f t="shared" ref="T214:U214" si="182">IF(T$20, $H164, $H161)</f>
        <v>0.11069702694640549</v>
      </c>
      <c r="U214" s="155">
        <f t="shared" si="182"/>
        <v>0.11069702694640549</v>
      </c>
      <c r="V214" s="155">
        <f t="shared" ref="V214:W214" si="183">IF(V$20, $H164, $H161)</f>
        <v>0.11069702694640549</v>
      </c>
      <c r="W214" s="155">
        <f t="shared" si="183"/>
        <v>0.11069702694640549</v>
      </c>
      <c r="X214" s="155">
        <f t="shared" ref="X214:Y214" si="184">IF(X$20, $H164, $H161)</f>
        <v>0.11069702694640549</v>
      </c>
      <c r="Y214" s="155">
        <f t="shared" si="184"/>
        <v>0.11069702694640549</v>
      </c>
    </row>
    <row r="215" spans="3:27" x14ac:dyDescent="0.3">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3">
      <c r="E216" s="32" t="s">
        <v>486</v>
      </c>
      <c r="G216" s="28"/>
    </row>
    <row r="217" spans="3:27" x14ac:dyDescent="0.3">
      <c r="E217" s="29"/>
      <c r="F217" s="78" t="s">
        <v>464</v>
      </c>
      <c r="G217" s="64" t="s">
        <v>166</v>
      </c>
      <c r="H217" s="107"/>
      <c r="I217" s="23"/>
      <c r="J217" s="154">
        <f t="shared" ref="J217:K217" si="185">IF(J$20, $H170, $H167)</f>
        <v>0.48791570271673684</v>
      </c>
      <c r="K217" s="154">
        <f t="shared" si="185"/>
        <v>0.48791570271673684</v>
      </c>
      <c r="L217" s="154">
        <f t="shared" ref="L217:M217" si="186">IF(L$20, $H170, $H167)</f>
        <v>0.48791570271673684</v>
      </c>
      <c r="M217" s="154">
        <f t="shared" si="186"/>
        <v>0.48791570271673684</v>
      </c>
      <c r="N217" s="154">
        <f t="shared" ref="N217:P217" si="187">IF(N$20, $H170, $H167)</f>
        <v>0.48791570271673684</v>
      </c>
      <c r="O217" s="154">
        <f t="shared" si="187"/>
        <v>0.48791570271673684</v>
      </c>
      <c r="P217" s="154">
        <f t="shared" si="187"/>
        <v>0.48791570271673684</v>
      </c>
      <c r="Q217" s="154">
        <f t="shared" ref="Q217:S217" si="188">IF(Q$20, $H170, $H167)</f>
        <v>0.42438652317235964</v>
      </c>
      <c r="R217" s="154">
        <f t="shared" si="188"/>
        <v>0.48791570271673684</v>
      </c>
      <c r="S217" s="154">
        <f t="shared" si="188"/>
        <v>0.48791570271673684</v>
      </c>
      <c r="T217" s="154">
        <f t="shared" ref="T217:U217" si="189">IF(T$20, $H170, $H167)</f>
        <v>0.48791570271673684</v>
      </c>
      <c r="U217" s="154">
        <f t="shared" si="189"/>
        <v>0.48791570271673684</v>
      </c>
      <c r="V217" s="154">
        <f t="shared" ref="V217:W217" si="190">IF(V$20, $H170, $H167)</f>
        <v>0.48791570271673684</v>
      </c>
      <c r="W217" s="154">
        <f t="shared" si="190"/>
        <v>0.48791570271673684</v>
      </c>
      <c r="X217" s="154">
        <f t="shared" ref="X217:Y217" si="191">IF(X$20, $H170, $H167)</f>
        <v>0.48791570271673684</v>
      </c>
      <c r="Y217" s="154">
        <f t="shared" si="191"/>
        <v>0.48791570271673684</v>
      </c>
    </row>
    <row r="218" spans="3:27" x14ac:dyDescent="0.3">
      <c r="E218" s="29"/>
      <c r="F218" s="72" t="s">
        <v>465</v>
      </c>
      <c r="G218" s="28" t="s">
        <v>166</v>
      </c>
      <c r="H218" s="25"/>
      <c r="J218" s="145">
        <f t="shared" ref="J218:K218" si="192">IF(J$20, $H171, $H168)</f>
        <v>0.40138727033685773</v>
      </c>
      <c r="K218" s="145">
        <f t="shared" si="192"/>
        <v>0.40138727033685773</v>
      </c>
      <c r="L218" s="145">
        <f t="shared" ref="L218:M218" si="193">IF(L$20, $H171, $H168)</f>
        <v>0.40138727033685773</v>
      </c>
      <c r="M218" s="145">
        <f t="shared" si="193"/>
        <v>0.40138727033685773</v>
      </c>
      <c r="N218" s="145">
        <f t="shared" ref="N218:P218" si="194">IF(N$20, $H171, $H168)</f>
        <v>0.40138727033685773</v>
      </c>
      <c r="O218" s="145">
        <f t="shared" si="194"/>
        <v>0.40138727033685773</v>
      </c>
      <c r="P218" s="145">
        <f t="shared" si="194"/>
        <v>0.40138727033685773</v>
      </c>
      <c r="Q218" s="145">
        <f t="shared" ref="Q218:S218" si="195">IF(Q$20, $H171, $H168)</f>
        <v>0.46491644988123498</v>
      </c>
      <c r="R218" s="145">
        <f t="shared" si="195"/>
        <v>0.40138727033685773</v>
      </c>
      <c r="S218" s="145">
        <f t="shared" si="195"/>
        <v>0.40138727033685773</v>
      </c>
      <c r="T218" s="145">
        <f t="shared" ref="T218:U218" si="196">IF(T$20, $H171, $H168)</f>
        <v>0.40138727033685773</v>
      </c>
      <c r="U218" s="145">
        <f t="shared" si="196"/>
        <v>0.40138727033685773</v>
      </c>
      <c r="V218" s="145">
        <f t="shared" ref="V218:W218" si="197">IF(V$20, $H171, $H168)</f>
        <v>0.40138727033685773</v>
      </c>
      <c r="W218" s="145">
        <f t="shared" si="197"/>
        <v>0.40138727033685773</v>
      </c>
      <c r="X218" s="145">
        <f t="shared" ref="X218:Y218" si="198">IF(X$20, $H171, $H168)</f>
        <v>0.40138727033685773</v>
      </c>
      <c r="Y218" s="145">
        <f t="shared" si="198"/>
        <v>0.40138727033685773</v>
      </c>
    </row>
    <row r="219" spans="3:27" x14ac:dyDescent="0.3">
      <c r="E219" s="29"/>
      <c r="F219" s="80" t="s">
        <v>256</v>
      </c>
      <c r="G219" s="67" t="s">
        <v>166</v>
      </c>
      <c r="H219" s="141"/>
      <c r="I219" s="37"/>
      <c r="J219" s="155">
        <f t="shared" ref="J219:K219" si="199">IF(J$20, $H172, $H169)</f>
        <v>0.11069702694640549</v>
      </c>
      <c r="K219" s="155">
        <f t="shared" si="199"/>
        <v>0.11069702694640549</v>
      </c>
      <c r="L219" s="155">
        <f t="shared" ref="L219:M219" si="200">IF(L$20, $H172, $H169)</f>
        <v>0.11069702694640549</v>
      </c>
      <c r="M219" s="155">
        <f t="shared" si="200"/>
        <v>0.11069702694640549</v>
      </c>
      <c r="N219" s="155">
        <f t="shared" ref="N219:P219" si="201">IF(N$20, $H172, $H169)</f>
        <v>0.11069702694640549</v>
      </c>
      <c r="O219" s="155">
        <f t="shared" si="201"/>
        <v>0.11069702694640549</v>
      </c>
      <c r="P219" s="155">
        <f t="shared" si="201"/>
        <v>0.11069702694640549</v>
      </c>
      <c r="Q219" s="155">
        <f t="shared" ref="Q219:S219" si="202">IF(Q$20, $H172, $H169)</f>
        <v>0.11069702694640549</v>
      </c>
      <c r="R219" s="155">
        <f t="shared" si="202"/>
        <v>0.11069702694640549</v>
      </c>
      <c r="S219" s="155">
        <f t="shared" si="202"/>
        <v>0.11069702694640549</v>
      </c>
      <c r="T219" s="155">
        <f t="shared" ref="T219:U219" si="203">IF(T$20, $H172, $H169)</f>
        <v>0.11069702694640549</v>
      </c>
      <c r="U219" s="155">
        <f t="shared" si="203"/>
        <v>0.11069702694640549</v>
      </c>
      <c r="V219" s="155">
        <f t="shared" ref="V219:W219" si="204">IF(V$20, $H172, $H169)</f>
        <v>0.11069702694640549</v>
      </c>
      <c r="W219" s="155">
        <f t="shared" si="204"/>
        <v>0.11069702694640549</v>
      </c>
      <c r="X219" s="155">
        <f t="shared" ref="X219:Y219" si="205">IF(X$20, $H172, $H169)</f>
        <v>0.11069702694640549</v>
      </c>
      <c r="Y219" s="155">
        <f t="shared" si="205"/>
        <v>0.11069702694640549</v>
      </c>
    </row>
    <row r="220" spans="3:27" x14ac:dyDescent="0.3">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3">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3">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3">
      <c r="E223" s="32" t="s">
        <v>487</v>
      </c>
      <c r="G223" s="28"/>
    </row>
    <row r="224" spans="3:27" x14ac:dyDescent="0.3">
      <c r="F224" s="64" t="s">
        <v>464</v>
      </c>
      <c r="G224" s="64" t="s">
        <v>488</v>
      </c>
      <c r="H224" s="23"/>
      <c r="I224" s="23"/>
      <c r="J224" s="158">
        <f t="shared" ref="J224:Y224" si="206">1 / J24</f>
        <v>1.277139208173691E-3</v>
      </c>
      <c r="K224" s="158">
        <f t="shared" si="206"/>
        <v>1.277139208173691E-3</v>
      </c>
      <c r="L224" s="158">
        <f t="shared" si="206"/>
        <v>1.277139208173691E-3</v>
      </c>
      <c r="M224" s="158">
        <f t="shared" si="206"/>
        <v>1.277139208173691E-3</v>
      </c>
      <c r="N224" s="158">
        <f t="shared" si="206"/>
        <v>1.277139208173691E-3</v>
      </c>
      <c r="O224" s="158">
        <f t="shared" si="206"/>
        <v>1.277139208173691E-3</v>
      </c>
      <c r="P224" s="158">
        <f t="shared" si="206"/>
        <v>1.277139208173691E-3</v>
      </c>
      <c r="Q224" s="158">
        <f t="shared" si="206"/>
        <v>3.875968992248062E-3</v>
      </c>
      <c r="R224" s="158">
        <f t="shared" si="206"/>
        <v>1.277139208173691E-3</v>
      </c>
      <c r="S224" s="158">
        <f t="shared" si="206"/>
        <v>1.277139208173691E-3</v>
      </c>
      <c r="T224" s="158">
        <f t="shared" si="206"/>
        <v>1.277139208173691E-3</v>
      </c>
      <c r="U224" s="158">
        <f t="shared" si="206"/>
        <v>1.277139208173691E-3</v>
      </c>
      <c r="V224" s="158">
        <f t="shared" si="206"/>
        <v>1.277139208173691E-3</v>
      </c>
      <c r="W224" s="158">
        <f t="shared" si="206"/>
        <v>1.277139208173691E-3</v>
      </c>
      <c r="X224" s="158">
        <f t="shared" si="206"/>
        <v>1.277139208173691E-3</v>
      </c>
      <c r="Y224" s="158">
        <f t="shared" si="206"/>
        <v>1.277139208173691E-3</v>
      </c>
    </row>
    <row r="225" spans="5:25" x14ac:dyDescent="0.3">
      <c r="F225" s="28" t="s">
        <v>465</v>
      </c>
      <c r="G225" s="28" t="s">
        <v>488</v>
      </c>
      <c r="J225" s="89">
        <f t="shared" ref="J225:Y225" si="207">1 / J25</f>
        <v>3.9517881841533294E-4</v>
      </c>
      <c r="K225" s="89">
        <f t="shared" si="207"/>
        <v>3.9517881841533294E-4</v>
      </c>
      <c r="L225" s="89">
        <f t="shared" si="207"/>
        <v>3.9517881841533294E-4</v>
      </c>
      <c r="M225" s="89">
        <f t="shared" si="207"/>
        <v>3.9517881841533294E-4</v>
      </c>
      <c r="N225" s="89">
        <f t="shared" si="207"/>
        <v>3.9517881841533294E-4</v>
      </c>
      <c r="O225" s="89">
        <f t="shared" si="207"/>
        <v>3.9517881841533294E-4</v>
      </c>
      <c r="P225" s="89">
        <f t="shared" si="207"/>
        <v>3.9517881841533294E-4</v>
      </c>
      <c r="Q225" s="89">
        <f t="shared" si="207"/>
        <v>3.2727867779414169E-4</v>
      </c>
      <c r="R225" s="89">
        <f t="shared" si="207"/>
        <v>3.9517881841533294E-4</v>
      </c>
      <c r="S225" s="89">
        <f t="shared" si="207"/>
        <v>3.9517881841533294E-4</v>
      </c>
      <c r="T225" s="89">
        <f t="shared" si="207"/>
        <v>3.9517881841533294E-4</v>
      </c>
      <c r="U225" s="89">
        <f t="shared" si="207"/>
        <v>3.9517881841533294E-4</v>
      </c>
      <c r="V225" s="89">
        <f t="shared" si="207"/>
        <v>3.9517881841533294E-4</v>
      </c>
      <c r="W225" s="89">
        <f t="shared" si="207"/>
        <v>3.9517881841533294E-4</v>
      </c>
      <c r="X225" s="89">
        <f t="shared" si="207"/>
        <v>3.9517881841533294E-4</v>
      </c>
      <c r="Y225" s="89">
        <f t="shared" si="207"/>
        <v>3.9517881841533294E-4</v>
      </c>
    </row>
    <row r="226" spans="5:25" x14ac:dyDescent="0.3">
      <c r="F226" s="67" t="s">
        <v>256</v>
      </c>
      <c r="G226" s="67" t="s">
        <v>488</v>
      </c>
      <c r="H226" s="37"/>
      <c r="I226" s="37"/>
      <c r="J226" s="82">
        <f t="shared" ref="J226:Y226" si="208">1 / J26</f>
        <v>1.8360414945377767E-4</v>
      </c>
      <c r="K226" s="82">
        <f t="shared" si="208"/>
        <v>1.8360414945377767E-4</v>
      </c>
      <c r="L226" s="82">
        <f t="shared" si="208"/>
        <v>1.8360414945377767E-4</v>
      </c>
      <c r="M226" s="82">
        <f t="shared" si="208"/>
        <v>1.8360414945377767E-4</v>
      </c>
      <c r="N226" s="82">
        <f t="shared" si="208"/>
        <v>1.8360414945377767E-4</v>
      </c>
      <c r="O226" s="82">
        <f t="shared" si="208"/>
        <v>1.8360414945377767E-4</v>
      </c>
      <c r="P226" s="82">
        <f t="shared" si="208"/>
        <v>1.8360414945377767E-4</v>
      </c>
      <c r="Q226" s="82">
        <f t="shared" si="208"/>
        <v>1.8360414945377767E-4</v>
      </c>
      <c r="R226" s="82">
        <f t="shared" si="208"/>
        <v>1.8360414945377767E-4</v>
      </c>
      <c r="S226" s="82">
        <f t="shared" si="208"/>
        <v>1.8360414945377767E-4</v>
      </c>
      <c r="T226" s="82">
        <f t="shared" si="208"/>
        <v>1.8360414945377767E-4</v>
      </c>
      <c r="U226" s="82">
        <f t="shared" si="208"/>
        <v>1.8360414945377767E-4</v>
      </c>
      <c r="V226" s="82">
        <f t="shared" si="208"/>
        <v>1.8360414945377767E-4</v>
      </c>
      <c r="W226" s="82">
        <f t="shared" si="208"/>
        <v>1.8360414945377767E-4</v>
      </c>
      <c r="X226" s="82">
        <f t="shared" si="208"/>
        <v>1.8360414945377767E-4</v>
      </c>
      <c r="Y226" s="82">
        <f t="shared" si="208"/>
        <v>1.8360414945377767E-4</v>
      </c>
    </row>
    <row r="227" spans="5:25" x14ac:dyDescent="0.3">
      <c r="G227" s="28"/>
      <c r="J227" s="89"/>
      <c r="K227" s="89"/>
      <c r="L227" s="89"/>
      <c r="M227" s="89"/>
      <c r="N227" s="89"/>
      <c r="O227" s="89"/>
      <c r="P227" s="89"/>
      <c r="Q227" s="89"/>
      <c r="R227" s="89"/>
      <c r="S227" s="89"/>
      <c r="T227" s="89"/>
      <c r="U227" s="89"/>
      <c r="V227" s="89"/>
      <c r="W227" s="89"/>
      <c r="X227" s="89"/>
      <c r="Y227" s="89"/>
    </row>
    <row r="228" spans="5:25" x14ac:dyDescent="0.3">
      <c r="E228" s="32" t="s">
        <v>155</v>
      </c>
      <c r="G228" s="28"/>
      <c r="J228" s="89"/>
      <c r="K228" s="89"/>
      <c r="L228" s="89"/>
      <c r="M228" s="89"/>
      <c r="N228" s="89"/>
      <c r="O228" s="89"/>
      <c r="P228" s="89"/>
      <c r="Q228" s="89"/>
      <c r="R228" s="89"/>
      <c r="S228" s="89"/>
      <c r="T228" s="89"/>
      <c r="U228" s="89"/>
      <c r="V228" s="89"/>
      <c r="W228" s="89"/>
      <c r="X228" s="89"/>
      <c r="Y228" s="89"/>
    </row>
    <row r="229" spans="5:25" x14ac:dyDescent="0.3">
      <c r="F229" s="159" t="s">
        <v>190</v>
      </c>
      <c r="G229" s="64" t="s">
        <v>282</v>
      </c>
      <c r="H229" s="23"/>
      <c r="I229" s="23"/>
      <c r="J229" s="153">
        <f>J177 * J$224 * hours_in_year</f>
        <v>9.9446573009791415</v>
      </c>
      <c r="K229" s="153">
        <f t="shared" ref="K229:Y229" si="209">K177 * K$224 * hours_in_year</f>
        <v>9.9446573009791415</v>
      </c>
      <c r="L229" s="153">
        <f t="shared" si="209"/>
        <v>9.9446573009791415</v>
      </c>
      <c r="M229" s="153">
        <f t="shared" si="209"/>
        <v>9.9446573009791415</v>
      </c>
      <c r="N229" s="153">
        <f t="shared" si="209"/>
        <v>9.9446573009791415</v>
      </c>
      <c r="O229" s="153">
        <f t="shared" si="209"/>
        <v>9.9446573009791415</v>
      </c>
      <c r="P229" s="153">
        <f t="shared" si="209"/>
        <v>9.9446573009791415</v>
      </c>
      <c r="Q229" s="153">
        <f t="shared" si="209"/>
        <v>26.408268733850125</v>
      </c>
      <c r="R229" s="153">
        <f t="shared" si="209"/>
        <v>9.9446573009791415</v>
      </c>
      <c r="S229" s="153">
        <f t="shared" si="209"/>
        <v>9.9446573009791415</v>
      </c>
      <c r="T229" s="153">
        <f t="shared" si="209"/>
        <v>9.9446573009791415</v>
      </c>
      <c r="U229" s="153">
        <f t="shared" si="209"/>
        <v>9.9446573009791415</v>
      </c>
      <c r="V229" s="153">
        <f t="shared" si="209"/>
        <v>9.9446573009791415</v>
      </c>
      <c r="W229" s="153">
        <f t="shared" si="209"/>
        <v>9.9446573009791415</v>
      </c>
      <c r="X229" s="153">
        <f t="shared" si="209"/>
        <v>9.9446573009791415</v>
      </c>
      <c r="Y229" s="153">
        <f t="shared" si="209"/>
        <v>9.9446573009791415</v>
      </c>
    </row>
    <row r="230" spans="5:25" x14ac:dyDescent="0.3">
      <c r="F230" s="160" t="s">
        <v>191</v>
      </c>
      <c r="G230" s="28" t="s">
        <v>282</v>
      </c>
      <c r="J230" s="153">
        <f t="shared" ref="J230:Y230" si="210">J182 * J224 * hours_in_year</f>
        <v>7.5484528690820278</v>
      </c>
      <c r="K230" s="153">
        <f t="shared" si="210"/>
        <v>7.5484528690820278</v>
      </c>
      <c r="L230" s="153">
        <f t="shared" si="210"/>
        <v>7.5484528690820278</v>
      </c>
      <c r="M230" s="153">
        <f t="shared" si="210"/>
        <v>7.5484528690820278</v>
      </c>
      <c r="N230" s="153">
        <f t="shared" si="210"/>
        <v>7.5484528690820278</v>
      </c>
      <c r="O230" s="153">
        <f t="shared" si="210"/>
        <v>7.5484528690820278</v>
      </c>
      <c r="P230" s="153">
        <f t="shared" si="210"/>
        <v>7.5484528690820278</v>
      </c>
      <c r="Q230" s="153">
        <f t="shared" si="210"/>
        <v>17.507267441860467</v>
      </c>
      <c r="R230" s="153">
        <f t="shared" si="210"/>
        <v>7.5484528690820278</v>
      </c>
      <c r="S230" s="153">
        <f t="shared" si="210"/>
        <v>7.5484528690820278</v>
      </c>
      <c r="T230" s="153">
        <f t="shared" si="210"/>
        <v>7.5484528690820278</v>
      </c>
      <c r="U230" s="153">
        <f t="shared" si="210"/>
        <v>7.5484528690820278</v>
      </c>
      <c r="V230" s="153">
        <f t="shared" si="210"/>
        <v>7.5484528690820278</v>
      </c>
      <c r="W230" s="153">
        <f t="shared" si="210"/>
        <v>7.5484528690820278</v>
      </c>
      <c r="X230" s="153">
        <f t="shared" si="210"/>
        <v>7.5484528690820278</v>
      </c>
      <c r="Y230" s="153">
        <f t="shared" si="210"/>
        <v>7.5484528690820278</v>
      </c>
    </row>
    <row r="231" spans="5:25" x14ac:dyDescent="0.3">
      <c r="F231" s="160" t="s">
        <v>192</v>
      </c>
      <c r="G231" s="28" t="s">
        <v>282</v>
      </c>
      <c r="J231" s="153">
        <f t="shared" ref="J231:Y231" si="211">J187 * J224 * hours_in_year</f>
        <v>7.5484528690820278</v>
      </c>
      <c r="K231" s="153">
        <f t="shared" si="211"/>
        <v>7.5484528690820278</v>
      </c>
      <c r="L231" s="153">
        <f t="shared" si="211"/>
        <v>7.5484528690820278</v>
      </c>
      <c r="M231" s="153">
        <f t="shared" si="211"/>
        <v>7.5484528690820278</v>
      </c>
      <c r="N231" s="153">
        <f t="shared" si="211"/>
        <v>7.5484528690820278</v>
      </c>
      <c r="O231" s="153">
        <f t="shared" si="211"/>
        <v>7.5484528690820278</v>
      </c>
      <c r="P231" s="153">
        <f t="shared" si="211"/>
        <v>7.5484528690820278</v>
      </c>
      <c r="Q231" s="153">
        <f t="shared" si="211"/>
        <v>17.507267441860467</v>
      </c>
      <c r="R231" s="153">
        <f t="shared" si="211"/>
        <v>7.5484528690820278</v>
      </c>
      <c r="S231" s="153">
        <f t="shared" si="211"/>
        <v>7.5484528690820278</v>
      </c>
      <c r="T231" s="153">
        <f t="shared" si="211"/>
        <v>7.5484528690820278</v>
      </c>
      <c r="U231" s="153">
        <f t="shared" si="211"/>
        <v>7.5484528690820278</v>
      </c>
      <c r="V231" s="153">
        <f t="shared" si="211"/>
        <v>7.5484528690820278</v>
      </c>
      <c r="W231" s="153">
        <f t="shared" si="211"/>
        <v>7.5484528690820278</v>
      </c>
      <c r="X231" s="153">
        <f t="shared" si="211"/>
        <v>7.5484528690820278</v>
      </c>
      <c r="Y231" s="153">
        <f t="shared" si="211"/>
        <v>7.5484528690820278</v>
      </c>
    </row>
    <row r="232" spans="5:25" x14ac:dyDescent="0.3">
      <c r="F232" s="160" t="s">
        <v>193</v>
      </c>
      <c r="G232" s="28" t="s">
        <v>282</v>
      </c>
      <c r="J232" s="153">
        <f t="shared" ref="J232:Y232" si="212">J192 * J224 * hours_in_year</f>
        <v>5.4586737621949109</v>
      </c>
      <c r="K232" s="153">
        <f t="shared" si="212"/>
        <v>5.4586737621949109</v>
      </c>
      <c r="L232" s="153">
        <f t="shared" si="212"/>
        <v>5.4586737621949109</v>
      </c>
      <c r="M232" s="153">
        <f t="shared" si="212"/>
        <v>5.4586737621949109</v>
      </c>
      <c r="N232" s="153">
        <f t="shared" si="212"/>
        <v>5.4586737621949109</v>
      </c>
      <c r="O232" s="153">
        <f t="shared" si="212"/>
        <v>5.4586737621949109</v>
      </c>
      <c r="P232" s="153">
        <f t="shared" si="212"/>
        <v>5.4586737621949109</v>
      </c>
      <c r="Q232" s="153">
        <f t="shared" si="212"/>
        <v>14.409402879805699</v>
      </c>
      <c r="R232" s="153">
        <f t="shared" si="212"/>
        <v>5.4586737621949109</v>
      </c>
      <c r="S232" s="153">
        <f t="shared" si="212"/>
        <v>5.4586737621949109</v>
      </c>
      <c r="T232" s="153">
        <f t="shared" si="212"/>
        <v>5.4586737621949109</v>
      </c>
      <c r="U232" s="153">
        <f t="shared" si="212"/>
        <v>5.4586737621949109</v>
      </c>
      <c r="V232" s="153">
        <f t="shared" si="212"/>
        <v>5.4586737621949109</v>
      </c>
      <c r="W232" s="153">
        <f t="shared" si="212"/>
        <v>5.4586737621949109</v>
      </c>
      <c r="X232" s="153">
        <f t="shared" si="212"/>
        <v>5.4586737621949109</v>
      </c>
      <c r="Y232" s="153">
        <f t="shared" si="212"/>
        <v>5.4586737621949109</v>
      </c>
    </row>
    <row r="233" spans="5:25" x14ac:dyDescent="0.3">
      <c r="F233" s="160" t="s">
        <v>194</v>
      </c>
      <c r="G233" s="28" t="s">
        <v>282</v>
      </c>
      <c r="J233" s="153">
        <f t="shared" ref="J233:Y233" si="213">J197 * J224 * hours_in_year</f>
        <v>5.4586737621949109</v>
      </c>
      <c r="K233" s="153">
        <f t="shared" si="213"/>
        <v>5.4586737621949109</v>
      </c>
      <c r="L233" s="153">
        <f t="shared" si="213"/>
        <v>5.4586737621949109</v>
      </c>
      <c r="M233" s="153">
        <f t="shared" si="213"/>
        <v>5.4586737621949109</v>
      </c>
      <c r="N233" s="153">
        <f t="shared" si="213"/>
        <v>5.4586737621949109</v>
      </c>
      <c r="O233" s="153">
        <f t="shared" si="213"/>
        <v>5.4586737621949109</v>
      </c>
      <c r="P233" s="153">
        <f t="shared" si="213"/>
        <v>5.4586737621949109</v>
      </c>
      <c r="Q233" s="153">
        <f t="shared" si="213"/>
        <v>14.409402879805699</v>
      </c>
      <c r="R233" s="153">
        <f t="shared" si="213"/>
        <v>5.4586737621949109</v>
      </c>
      <c r="S233" s="153">
        <f t="shared" si="213"/>
        <v>5.4586737621949109</v>
      </c>
      <c r="T233" s="153">
        <f t="shared" si="213"/>
        <v>5.4586737621949109</v>
      </c>
      <c r="U233" s="153">
        <f t="shared" si="213"/>
        <v>5.4586737621949109</v>
      </c>
      <c r="V233" s="153">
        <f t="shared" si="213"/>
        <v>5.4586737621949109</v>
      </c>
      <c r="W233" s="153">
        <f t="shared" si="213"/>
        <v>5.4586737621949109</v>
      </c>
      <c r="X233" s="153">
        <f t="shared" si="213"/>
        <v>5.4586737621949109</v>
      </c>
      <c r="Y233" s="153">
        <f t="shared" si="213"/>
        <v>5.4586737621949109</v>
      </c>
    </row>
    <row r="234" spans="5:25" x14ac:dyDescent="0.3">
      <c r="F234" s="160" t="s">
        <v>195</v>
      </c>
      <c r="G234" s="28" t="s">
        <v>282</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x14ac:dyDescent="0.3">
      <c r="F235" s="160" t="s">
        <v>196</v>
      </c>
      <c r="G235" s="28" t="s">
        <v>282</v>
      </c>
      <c r="J235" s="153">
        <f t="shared" ref="J235:Y235" si="215">J207 * J224 * hours_in_year</f>
        <v>5.4586737621949109</v>
      </c>
      <c r="K235" s="153">
        <f t="shared" si="215"/>
        <v>5.4586737621949109</v>
      </c>
      <c r="L235" s="153">
        <f t="shared" si="215"/>
        <v>5.4586737621949109</v>
      </c>
      <c r="M235" s="153">
        <f t="shared" si="215"/>
        <v>5.4586737621949109</v>
      </c>
      <c r="N235" s="153">
        <f t="shared" si="215"/>
        <v>5.4586737621949109</v>
      </c>
      <c r="O235" s="153">
        <f t="shared" si="215"/>
        <v>5.4586737621949109</v>
      </c>
      <c r="P235" s="153">
        <f t="shared" si="215"/>
        <v>5.4586737621949109</v>
      </c>
      <c r="Q235" s="153">
        <f t="shared" si="215"/>
        <v>14.409402879805699</v>
      </c>
      <c r="R235" s="153">
        <f t="shared" si="215"/>
        <v>5.4586737621949109</v>
      </c>
      <c r="S235" s="153">
        <f t="shared" si="215"/>
        <v>5.4586737621949109</v>
      </c>
      <c r="T235" s="153">
        <f t="shared" si="215"/>
        <v>5.4586737621949109</v>
      </c>
      <c r="U235" s="153">
        <f t="shared" si="215"/>
        <v>5.4586737621949109</v>
      </c>
      <c r="V235" s="153">
        <f t="shared" si="215"/>
        <v>5.4586737621949109</v>
      </c>
      <c r="W235" s="153">
        <f t="shared" si="215"/>
        <v>5.4586737621949109</v>
      </c>
      <c r="X235" s="153">
        <f t="shared" si="215"/>
        <v>5.4586737621949109</v>
      </c>
      <c r="Y235" s="153">
        <f t="shared" si="215"/>
        <v>5.4586737621949109</v>
      </c>
    </row>
    <row r="236" spans="5:25" x14ac:dyDescent="0.3">
      <c r="F236" s="160" t="s">
        <v>197</v>
      </c>
      <c r="G236" s="28" t="s">
        <v>282</v>
      </c>
      <c r="J236" s="153">
        <f t="shared" ref="J236:Y236" si="216">J212 * J224 * hours_in_year</f>
        <v>5.4586737621949109</v>
      </c>
      <c r="K236" s="153">
        <f t="shared" si="216"/>
        <v>5.4586737621949109</v>
      </c>
      <c r="L236" s="153">
        <f t="shared" si="216"/>
        <v>5.4586737621949109</v>
      </c>
      <c r="M236" s="153">
        <f t="shared" si="216"/>
        <v>5.4586737621949109</v>
      </c>
      <c r="N236" s="153">
        <f t="shared" si="216"/>
        <v>5.4586737621949109</v>
      </c>
      <c r="O236" s="153">
        <f t="shared" si="216"/>
        <v>5.4586737621949109</v>
      </c>
      <c r="P236" s="153">
        <f t="shared" si="216"/>
        <v>5.4586737621949109</v>
      </c>
      <c r="Q236" s="153">
        <f t="shared" si="216"/>
        <v>14.409402879805699</v>
      </c>
      <c r="R236" s="153">
        <f t="shared" si="216"/>
        <v>5.4586737621949109</v>
      </c>
      <c r="S236" s="153">
        <f t="shared" si="216"/>
        <v>5.4586737621949109</v>
      </c>
      <c r="T236" s="153">
        <f t="shared" si="216"/>
        <v>5.4586737621949109</v>
      </c>
      <c r="U236" s="153">
        <f t="shared" si="216"/>
        <v>5.4586737621949109</v>
      </c>
      <c r="V236" s="153">
        <f t="shared" si="216"/>
        <v>5.4586737621949109</v>
      </c>
      <c r="W236" s="153">
        <f t="shared" si="216"/>
        <v>5.4586737621949109</v>
      </c>
      <c r="X236" s="153">
        <f t="shared" si="216"/>
        <v>5.4586737621949109</v>
      </c>
      <c r="Y236" s="153">
        <f t="shared" si="216"/>
        <v>5.4586737621949109</v>
      </c>
    </row>
    <row r="237" spans="5:25" x14ac:dyDescent="0.3">
      <c r="F237" s="161" t="s">
        <v>198</v>
      </c>
      <c r="G237" s="67" t="s">
        <v>282</v>
      </c>
      <c r="H237" s="37"/>
      <c r="I237" s="37"/>
      <c r="J237" s="153">
        <f t="shared" ref="J237:Y237" si="217">J217 * J224 * hours_in_year</f>
        <v>5.4586737621949109</v>
      </c>
      <c r="K237" s="153">
        <f t="shared" si="217"/>
        <v>5.4586737621949109</v>
      </c>
      <c r="L237" s="153">
        <f t="shared" si="217"/>
        <v>5.4586737621949109</v>
      </c>
      <c r="M237" s="153">
        <f t="shared" si="217"/>
        <v>5.4586737621949109</v>
      </c>
      <c r="N237" s="153">
        <f t="shared" si="217"/>
        <v>5.4586737621949109</v>
      </c>
      <c r="O237" s="153">
        <f t="shared" si="217"/>
        <v>5.4586737621949109</v>
      </c>
      <c r="P237" s="153">
        <f t="shared" si="217"/>
        <v>5.4586737621949109</v>
      </c>
      <c r="Q237" s="153">
        <f t="shared" si="217"/>
        <v>14.409402879805699</v>
      </c>
      <c r="R237" s="153">
        <f t="shared" si="217"/>
        <v>5.4586737621949109</v>
      </c>
      <c r="S237" s="153">
        <f t="shared" si="217"/>
        <v>5.4586737621949109</v>
      </c>
      <c r="T237" s="153">
        <f t="shared" si="217"/>
        <v>5.4586737621949109</v>
      </c>
      <c r="U237" s="153">
        <f t="shared" si="217"/>
        <v>5.4586737621949109</v>
      </c>
      <c r="V237" s="153">
        <f t="shared" si="217"/>
        <v>5.4586737621949109</v>
      </c>
      <c r="W237" s="153">
        <f t="shared" si="217"/>
        <v>5.4586737621949109</v>
      </c>
      <c r="X237" s="153">
        <f t="shared" si="217"/>
        <v>5.4586737621949109</v>
      </c>
      <c r="Y237" s="153">
        <f t="shared" si="217"/>
        <v>5.4586737621949109</v>
      </c>
    </row>
    <row r="238" spans="5:25" x14ac:dyDescent="0.3">
      <c r="G238" s="28"/>
      <c r="J238" s="98"/>
      <c r="K238" s="98"/>
      <c r="L238" s="98"/>
      <c r="M238" s="98"/>
      <c r="N238" s="98"/>
      <c r="O238" s="98"/>
      <c r="P238" s="98"/>
      <c r="Q238" s="98"/>
      <c r="R238" s="98"/>
      <c r="S238" s="98"/>
      <c r="T238" s="98"/>
      <c r="U238" s="98"/>
      <c r="V238" s="98"/>
      <c r="W238" s="98"/>
      <c r="X238" s="98"/>
      <c r="Y238" s="98"/>
    </row>
    <row r="239" spans="5:25" x14ac:dyDescent="0.3">
      <c r="E239" s="32" t="s">
        <v>156</v>
      </c>
      <c r="G239" s="28"/>
      <c r="J239" s="89"/>
      <c r="K239" s="89"/>
      <c r="L239" s="89"/>
      <c r="M239" s="89"/>
      <c r="N239" s="89"/>
      <c r="O239" s="89"/>
      <c r="P239" s="89"/>
      <c r="Q239" s="89"/>
      <c r="R239" s="89"/>
      <c r="S239" s="89"/>
      <c r="T239" s="89"/>
      <c r="U239" s="89"/>
      <c r="V239" s="89"/>
      <c r="W239" s="89"/>
      <c r="X239" s="89"/>
      <c r="Y239" s="89"/>
    </row>
    <row r="240" spans="5:25" x14ac:dyDescent="0.3">
      <c r="F240" s="64" t="s">
        <v>190</v>
      </c>
      <c r="G240" s="64" t="s">
        <v>282</v>
      </c>
      <c r="H240" s="23"/>
      <c r="I240" s="23"/>
      <c r="J240" s="153">
        <f t="shared" ref="J240:Y240" si="218">J178 * J225 * hours_in_year</f>
        <v>0.38464071659092403</v>
      </c>
      <c r="K240" s="153">
        <f t="shared" si="218"/>
        <v>0.38464071659092403</v>
      </c>
      <c r="L240" s="153">
        <f t="shared" si="218"/>
        <v>0.38464071659092403</v>
      </c>
      <c r="M240" s="153">
        <f t="shared" si="218"/>
        <v>0.38464071659092403</v>
      </c>
      <c r="N240" s="153">
        <f t="shared" si="218"/>
        <v>0.38464071659092403</v>
      </c>
      <c r="O240" s="153">
        <f t="shared" si="218"/>
        <v>0.38464071659092403</v>
      </c>
      <c r="P240" s="153">
        <f t="shared" si="218"/>
        <v>0.38464071659092403</v>
      </c>
      <c r="Q240" s="153">
        <f t="shared" si="218"/>
        <v>0.63710249277259612</v>
      </c>
      <c r="R240" s="153">
        <f t="shared" si="218"/>
        <v>0.38464071659092403</v>
      </c>
      <c r="S240" s="153">
        <f t="shared" si="218"/>
        <v>0.38464071659092403</v>
      </c>
      <c r="T240" s="153">
        <f t="shared" si="218"/>
        <v>0.38464071659092403</v>
      </c>
      <c r="U240" s="153">
        <f t="shared" si="218"/>
        <v>0.38464071659092403</v>
      </c>
      <c r="V240" s="153">
        <f t="shared" si="218"/>
        <v>0.38464071659092403</v>
      </c>
      <c r="W240" s="153">
        <f t="shared" si="218"/>
        <v>0.38464071659092403</v>
      </c>
      <c r="X240" s="153">
        <f t="shared" si="218"/>
        <v>0.38464071659092403</v>
      </c>
      <c r="Y240" s="153">
        <f t="shared" si="218"/>
        <v>0.38464071659092403</v>
      </c>
    </row>
    <row r="241" spans="5:25" x14ac:dyDescent="0.3">
      <c r="F241" s="28" t="s">
        <v>191</v>
      </c>
      <c r="G241" s="28" t="s">
        <v>282</v>
      </c>
      <c r="J241" s="153">
        <f t="shared" ref="J241:Y241" si="219">J183 * J225 * hours_in_year</f>
        <v>0.77023038231817431</v>
      </c>
      <c r="K241" s="153">
        <f t="shared" si="219"/>
        <v>0.77023038231817431</v>
      </c>
      <c r="L241" s="153">
        <f t="shared" si="219"/>
        <v>0.77023038231817431</v>
      </c>
      <c r="M241" s="153">
        <f t="shared" si="219"/>
        <v>0.77023038231817431</v>
      </c>
      <c r="N241" s="153">
        <f t="shared" si="219"/>
        <v>0.77023038231817431</v>
      </c>
      <c r="O241" s="153">
        <f t="shared" si="219"/>
        <v>0.77023038231817431</v>
      </c>
      <c r="P241" s="153">
        <f t="shared" si="219"/>
        <v>0.77023038231817431</v>
      </c>
      <c r="Q241" s="153">
        <f t="shared" si="219"/>
        <v>1.0939720435108387</v>
      </c>
      <c r="R241" s="153">
        <f t="shared" si="219"/>
        <v>0.77023038231817431</v>
      </c>
      <c r="S241" s="153">
        <f t="shared" si="219"/>
        <v>0.77023038231817431</v>
      </c>
      <c r="T241" s="153">
        <f t="shared" si="219"/>
        <v>0.77023038231817431</v>
      </c>
      <c r="U241" s="153">
        <f t="shared" si="219"/>
        <v>0.77023038231817431</v>
      </c>
      <c r="V241" s="153">
        <f t="shared" si="219"/>
        <v>0.77023038231817431</v>
      </c>
      <c r="W241" s="153">
        <f t="shared" si="219"/>
        <v>0.77023038231817431</v>
      </c>
      <c r="X241" s="153">
        <f t="shared" si="219"/>
        <v>0.77023038231817431</v>
      </c>
      <c r="Y241" s="153">
        <f t="shared" si="219"/>
        <v>0.77023038231817431</v>
      </c>
    </row>
    <row r="242" spans="5:25" x14ac:dyDescent="0.3">
      <c r="F242" s="28" t="s">
        <v>192</v>
      </c>
      <c r="G242" s="28" t="s">
        <v>282</v>
      </c>
      <c r="J242" s="153">
        <f t="shared" ref="J242:Y242" si="220">J188 * J225 * hours_in_year</f>
        <v>0.77023038231817431</v>
      </c>
      <c r="K242" s="153">
        <f t="shared" si="220"/>
        <v>0.77023038231817431</v>
      </c>
      <c r="L242" s="153">
        <f t="shared" si="220"/>
        <v>0.77023038231817431</v>
      </c>
      <c r="M242" s="153">
        <f t="shared" si="220"/>
        <v>0.77023038231817431</v>
      </c>
      <c r="N242" s="153">
        <f t="shared" si="220"/>
        <v>0.77023038231817431</v>
      </c>
      <c r="O242" s="153">
        <f t="shared" si="220"/>
        <v>0.77023038231817431</v>
      </c>
      <c r="P242" s="153">
        <f t="shared" si="220"/>
        <v>0.77023038231817431</v>
      </c>
      <c r="Q242" s="153">
        <f t="shared" si="220"/>
        <v>1.0939720435108387</v>
      </c>
      <c r="R242" s="153">
        <f t="shared" si="220"/>
        <v>0.77023038231817431</v>
      </c>
      <c r="S242" s="153">
        <f t="shared" si="220"/>
        <v>0.77023038231817431</v>
      </c>
      <c r="T242" s="153">
        <f t="shared" si="220"/>
        <v>0.77023038231817431</v>
      </c>
      <c r="U242" s="153">
        <f t="shared" si="220"/>
        <v>0.77023038231817431</v>
      </c>
      <c r="V242" s="153">
        <f t="shared" si="220"/>
        <v>0.77023038231817431</v>
      </c>
      <c r="W242" s="153">
        <f t="shared" si="220"/>
        <v>0.77023038231817431</v>
      </c>
      <c r="X242" s="153">
        <f t="shared" si="220"/>
        <v>0.77023038231817431</v>
      </c>
      <c r="Y242" s="153">
        <f t="shared" si="220"/>
        <v>0.77023038231817431</v>
      </c>
    </row>
    <row r="243" spans="5:25" x14ac:dyDescent="0.3">
      <c r="F243" s="28" t="s">
        <v>193</v>
      </c>
      <c r="G243" s="28" t="s">
        <v>282</v>
      </c>
      <c r="J243" s="153">
        <f t="shared" ref="J243:Y243" si="221">J193 * J225 * hours_in_year</f>
        <v>1.3895089856355953</v>
      </c>
      <c r="K243" s="153">
        <f t="shared" si="221"/>
        <v>1.3895089856355953</v>
      </c>
      <c r="L243" s="153">
        <f t="shared" si="221"/>
        <v>1.3895089856355953</v>
      </c>
      <c r="M243" s="153">
        <f t="shared" si="221"/>
        <v>1.3895089856355953</v>
      </c>
      <c r="N243" s="153">
        <f t="shared" si="221"/>
        <v>1.3895089856355953</v>
      </c>
      <c r="O243" s="153">
        <f t="shared" si="221"/>
        <v>1.3895089856355953</v>
      </c>
      <c r="P243" s="153">
        <f t="shared" si="221"/>
        <v>1.3895089856355953</v>
      </c>
      <c r="Q243" s="153">
        <f t="shared" si="221"/>
        <v>1.3328974311764419</v>
      </c>
      <c r="R243" s="153">
        <f t="shared" si="221"/>
        <v>1.3895089856355953</v>
      </c>
      <c r="S243" s="153">
        <f t="shared" si="221"/>
        <v>1.3895089856355953</v>
      </c>
      <c r="T243" s="153">
        <f t="shared" si="221"/>
        <v>1.3895089856355953</v>
      </c>
      <c r="U243" s="153">
        <f t="shared" si="221"/>
        <v>1.3895089856355953</v>
      </c>
      <c r="V243" s="153">
        <f t="shared" si="221"/>
        <v>1.3895089856355953</v>
      </c>
      <c r="W243" s="153">
        <f t="shared" si="221"/>
        <v>1.3895089856355953</v>
      </c>
      <c r="X243" s="153">
        <f t="shared" si="221"/>
        <v>1.3895089856355953</v>
      </c>
      <c r="Y243" s="153">
        <f t="shared" si="221"/>
        <v>1.3895089856355953</v>
      </c>
    </row>
    <row r="244" spans="5:25" x14ac:dyDescent="0.3">
      <c r="F244" s="28" t="s">
        <v>194</v>
      </c>
      <c r="G244" s="28" t="s">
        <v>282</v>
      </c>
      <c r="J244" s="153">
        <f t="shared" ref="J244:Y244" si="222">J198 * J225 * hours_in_year</f>
        <v>1.3895089856355953</v>
      </c>
      <c r="K244" s="153">
        <f t="shared" si="222"/>
        <v>1.3895089856355953</v>
      </c>
      <c r="L244" s="153">
        <f t="shared" si="222"/>
        <v>1.3895089856355953</v>
      </c>
      <c r="M244" s="153">
        <f t="shared" si="222"/>
        <v>1.3895089856355953</v>
      </c>
      <c r="N244" s="153">
        <f t="shared" si="222"/>
        <v>1.3895089856355953</v>
      </c>
      <c r="O244" s="153">
        <f t="shared" si="222"/>
        <v>1.3895089856355953</v>
      </c>
      <c r="P244" s="153">
        <f t="shared" si="222"/>
        <v>1.3895089856355953</v>
      </c>
      <c r="Q244" s="153">
        <f t="shared" si="222"/>
        <v>1.3328974311764419</v>
      </c>
      <c r="R244" s="153">
        <f t="shared" si="222"/>
        <v>1.3895089856355953</v>
      </c>
      <c r="S244" s="153">
        <f t="shared" si="222"/>
        <v>1.3895089856355953</v>
      </c>
      <c r="T244" s="153">
        <f t="shared" si="222"/>
        <v>1.3895089856355953</v>
      </c>
      <c r="U244" s="153">
        <f t="shared" si="222"/>
        <v>1.3895089856355953</v>
      </c>
      <c r="V244" s="153">
        <f t="shared" si="222"/>
        <v>1.3895089856355953</v>
      </c>
      <c r="W244" s="153">
        <f t="shared" si="222"/>
        <v>1.3895089856355953</v>
      </c>
      <c r="X244" s="153">
        <f t="shared" si="222"/>
        <v>1.3895089856355953</v>
      </c>
      <c r="Y244" s="153">
        <f t="shared" si="222"/>
        <v>1.3895089856355953</v>
      </c>
    </row>
    <row r="245" spans="5:25" x14ac:dyDescent="0.3">
      <c r="F245" s="28" t="s">
        <v>195</v>
      </c>
      <c r="G245" s="28" t="s">
        <v>282</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x14ac:dyDescent="0.3">
      <c r="F246" s="28" t="s">
        <v>196</v>
      </c>
      <c r="G246" s="28" t="s">
        <v>282</v>
      </c>
      <c r="J246" s="153">
        <f t="shared" ref="J246:Y246" si="224">J208 * J225 * hours_in_year</f>
        <v>1.3895089856355953</v>
      </c>
      <c r="K246" s="153">
        <f t="shared" si="224"/>
        <v>1.3895089856355953</v>
      </c>
      <c r="L246" s="153">
        <f t="shared" si="224"/>
        <v>1.3895089856355953</v>
      </c>
      <c r="M246" s="153">
        <f t="shared" si="224"/>
        <v>1.3895089856355953</v>
      </c>
      <c r="N246" s="153">
        <f t="shared" si="224"/>
        <v>1.3895089856355953</v>
      </c>
      <c r="O246" s="153">
        <f t="shared" si="224"/>
        <v>1.3895089856355953</v>
      </c>
      <c r="P246" s="153">
        <f t="shared" si="224"/>
        <v>1.3895089856355953</v>
      </c>
      <c r="Q246" s="153">
        <f t="shared" si="224"/>
        <v>1.3328974311764419</v>
      </c>
      <c r="R246" s="153">
        <f t="shared" si="224"/>
        <v>1.3895089856355953</v>
      </c>
      <c r="S246" s="153">
        <f t="shared" si="224"/>
        <v>1.3895089856355953</v>
      </c>
      <c r="T246" s="153">
        <f t="shared" si="224"/>
        <v>1.3895089856355953</v>
      </c>
      <c r="U246" s="153">
        <f t="shared" si="224"/>
        <v>1.3895089856355953</v>
      </c>
      <c r="V246" s="153">
        <f t="shared" si="224"/>
        <v>1.3895089856355953</v>
      </c>
      <c r="W246" s="153">
        <f t="shared" si="224"/>
        <v>1.3895089856355953</v>
      </c>
      <c r="X246" s="153">
        <f t="shared" si="224"/>
        <v>1.3895089856355953</v>
      </c>
      <c r="Y246" s="153">
        <f t="shared" si="224"/>
        <v>1.3895089856355953</v>
      </c>
    </row>
    <row r="247" spans="5:25" x14ac:dyDescent="0.3">
      <c r="F247" s="28" t="s">
        <v>197</v>
      </c>
      <c r="G247" s="28" t="s">
        <v>282</v>
      </c>
      <c r="J247" s="153">
        <f t="shared" ref="J247:Y247" si="225">J213 * J225 * hours_in_year</f>
        <v>1.3895089856355953</v>
      </c>
      <c r="K247" s="153">
        <f t="shared" si="225"/>
        <v>1.3895089856355953</v>
      </c>
      <c r="L247" s="153">
        <f t="shared" si="225"/>
        <v>1.3895089856355953</v>
      </c>
      <c r="M247" s="153">
        <f t="shared" si="225"/>
        <v>1.3895089856355953</v>
      </c>
      <c r="N247" s="153">
        <f t="shared" si="225"/>
        <v>1.3895089856355953</v>
      </c>
      <c r="O247" s="153">
        <f t="shared" si="225"/>
        <v>1.3895089856355953</v>
      </c>
      <c r="P247" s="153">
        <f t="shared" si="225"/>
        <v>1.3895089856355953</v>
      </c>
      <c r="Q247" s="153">
        <f t="shared" si="225"/>
        <v>1.3328974311764419</v>
      </c>
      <c r="R247" s="153">
        <f t="shared" si="225"/>
        <v>1.3895089856355953</v>
      </c>
      <c r="S247" s="153">
        <f t="shared" si="225"/>
        <v>1.3895089856355953</v>
      </c>
      <c r="T247" s="153">
        <f t="shared" si="225"/>
        <v>1.3895089856355953</v>
      </c>
      <c r="U247" s="153">
        <f t="shared" si="225"/>
        <v>1.3895089856355953</v>
      </c>
      <c r="V247" s="153">
        <f t="shared" si="225"/>
        <v>1.3895089856355953</v>
      </c>
      <c r="W247" s="153">
        <f t="shared" si="225"/>
        <v>1.3895089856355953</v>
      </c>
      <c r="X247" s="153">
        <f t="shared" si="225"/>
        <v>1.3895089856355953</v>
      </c>
      <c r="Y247" s="153">
        <f t="shared" si="225"/>
        <v>1.3895089856355953</v>
      </c>
    </row>
    <row r="248" spans="5:25" x14ac:dyDescent="0.3">
      <c r="F248" s="67" t="s">
        <v>198</v>
      </c>
      <c r="G248" s="67" t="s">
        <v>282</v>
      </c>
      <c r="H248" s="37"/>
      <c r="I248" s="37"/>
      <c r="J248" s="153">
        <f t="shared" ref="J248:Y248" si="226">J218 * J225 * hours_in_year</f>
        <v>1.3895089856355953</v>
      </c>
      <c r="K248" s="153">
        <f t="shared" si="226"/>
        <v>1.3895089856355953</v>
      </c>
      <c r="L248" s="153">
        <f t="shared" si="226"/>
        <v>1.3895089856355953</v>
      </c>
      <c r="M248" s="153">
        <f t="shared" si="226"/>
        <v>1.3895089856355953</v>
      </c>
      <c r="N248" s="153">
        <f t="shared" si="226"/>
        <v>1.3895089856355953</v>
      </c>
      <c r="O248" s="153">
        <f t="shared" si="226"/>
        <v>1.3895089856355953</v>
      </c>
      <c r="P248" s="153">
        <f t="shared" si="226"/>
        <v>1.3895089856355953</v>
      </c>
      <c r="Q248" s="153">
        <f t="shared" si="226"/>
        <v>1.3328974311764419</v>
      </c>
      <c r="R248" s="153">
        <f t="shared" si="226"/>
        <v>1.3895089856355953</v>
      </c>
      <c r="S248" s="153">
        <f t="shared" si="226"/>
        <v>1.3895089856355953</v>
      </c>
      <c r="T248" s="153">
        <f t="shared" si="226"/>
        <v>1.3895089856355953</v>
      </c>
      <c r="U248" s="153">
        <f t="shared" si="226"/>
        <v>1.3895089856355953</v>
      </c>
      <c r="V248" s="153">
        <f t="shared" si="226"/>
        <v>1.3895089856355953</v>
      </c>
      <c r="W248" s="153">
        <f t="shared" si="226"/>
        <v>1.3895089856355953</v>
      </c>
      <c r="X248" s="153">
        <f t="shared" si="226"/>
        <v>1.3895089856355953</v>
      </c>
      <c r="Y248" s="153">
        <f t="shared" si="226"/>
        <v>1.3895089856355953</v>
      </c>
    </row>
    <row r="249" spans="5:25" x14ac:dyDescent="0.3">
      <c r="J249" s="89"/>
      <c r="K249" s="89"/>
      <c r="L249" s="89"/>
      <c r="M249" s="89"/>
      <c r="N249" s="89"/>
      <c r="O249" s="89"/>
      <c r="P249" s="89"/>
      <c r="Q249" s="89"/>
      <c r="R249" s="89"/>
      <c r="S249" s="89"/>
      <c r="T249" s="89"/>
      <c r="U249" s="89"/>
      <c r="V249" s="89"/>
      <c r="W249" s="89"/>
      <c r="X249" s="89"/>
      <c r="Y249" s="89"/>
    </row>
    <row r="250" spans="5:25" x14ac:dyDescent="0.3">
      <c r="E250" s="32" t="s">
        <v>157</v>
      </c>
      <c r="G250" s="28"/>
      <c r="J250" s="89"/>
      <c r="K250" s="89"/>
      <c r="L250" s="89"/>
      <c r="M250" s="89"/>
      <c r="N250" s="89"/>
      <c r="O250" s="89"/>
      <c r="P250" s="89"/>
      <c r="Q250" s="89"/>
      <c r="R250" s="89"/>
      <c r="S250" s="89"/>
      <c r="T250" s="89"/>
      <c r="U250" s="89"/>
      <c r="V250" s="89"/>
      <c r="W250" s="89"/>
      <c r="X250" s="89"/>
      <c r="Y250" s="89"/>
    </row>
    <row r="251" spans="5:25" x14ac:dyDescent="0.3">
      <c r="F251" s="64" t="s">
        <v>190</v>
      </c>
      <c r="G251" s="64" t="s">
        <v>282</v>
      </c>
      <c r="H251" s="23"/>
      <c r="I251" s="23"/>
      <c r="J251" s="153">
        <f t="shared" ref="J251:Y251" si="227">J179 * J226 * hours_in_year</f>
        <v>0</v>
      </c>
      <c r="K251" s="153">
        <f t="shared" si="227"/>
        <v>0</v>
      </c>
      <c r="L251" s="153">
        <f t="shared" si="227"/>
        <v>0</v>
      </c>
      <c r="M251" s="153">
        <f t="shared" si="227"/>
        <v>0</v>
      </c>
      <c r="N251" s="153">
        <f t="shared" si="227"/>
        <v>0</v>
      </c>
      <c r="O251" s="153">
        <f t="shared" si="227"/>
        <v>0</v>
      </c>
      <c r="P251" s="153">
        <f t="shared" si="227"/>
        <v>0</v>
      </c>
      <c r="Q251" s="153">
        <f t="shared" si="227"/>
        <v>0</v>
      </c>
      <c r="R251" s="153">
        <f t="shared" si="227"/>
        <v>0</v>
      </c>
      <c r="S251" s="153">
        <f t="shared" si="227"/>
        <v>0</v>
      </c>
      <c r="T251" s="153">
        <f t="shared" si="227"/>
        <v>0</v>
      </c>
      <c r="U251" s="153">
        <f t="shared" si="227"/>
        <v>0</v>
      </c>
      <c r="V251" s="153">
        <f t="shared" si="227"/>
        <v>0</v>
      </c>
      <c r="W251" s="153">
        <f t="shared" si="227"/>
        <v>0</v>
      </c>
      <c r="X251" s="153">
        <f t="shared" si="227"/>
        <v>0</v>
      </c>
      <c r="Y251" s="153">
        <f t="shared" si="227"/>
        <v>0</v>
      </c>
    </row>
    <row r="252" spans="5:25" x14ac:dyDescent="0.3">
      <c r="F252" s="28" t="s">
        <v>191</v>
      </c>
      <c r="G252" s="28" t="s">
        <v>282</v>
      </c>
      <c r="J252" s="153">
        <f t="shared" ref="J252:Y252" si="228">J184 * J226 * hours_in_year</f>
        <v>0.16533432866109088</v>
      </c>
      <c r="K252" s="153">
        <f t="shared" si="228"/>
        <v>0.16533432866109088</v>
      </c>
      <c r="L252" s="153">
        <f t="shared" si="228"/>
        <v>0.16533432866109088</v>
      </c>
      <c r="M252" s="153">
        <f t="shared" si="228"/>
        <v>0.16533432866109088</v>
      </c>
      <c r="N252" s="153">
        <f t="shared" si="228"/>
        <v>0.16533432866109088</v>
      </c>
      <c r="O252" s="153">
        <f t="shared" si="228"/>
        <v>0.16533432866109088</v>
      </c>
      <c r="P252" s="153">
        <f t="shared" si="228"/>
        <v>0.16533432866109088</v>
      </c>
      <c r="Q252" s="153">
        <f t="shared" si="228"/>
        <v>0.16533432866109088</v>
      </c>
      <c r="R252" s="153">
        <f t="shared" si="228"/>
        <v>0.16533432866109088</v>
      </c>
      <c r="S252" s="153">
        <f t="shared" si="228"/>
        <v>0.16533432866109088</v>
      </c>
      <c r="T252" s="153">
        <f t="shared" si="228"/>
        <v>0.16533432866109088</v>
      </c>
      <c r="U252" s="153">
        <f t="shared" si="228"/>
        <v>0.16533432866109088</v>
      </c>
      <c r="V252" s="153">
        <f t="shared" si="228"/>
        <v>0.16533432866109088</v>
      </c>
      <c r="W252" s="153">
        <f t="shared" si="228"/>
        <v>0.16533432866109088</v>
      </c>
      <c r="X252" s="153">
        <f t="shared" si="228"/>
        <v>0.16533432866109088</v>
      </c>
      <c r="Y252" s="153">
        <f t="shared" si="228"/>
        <v>0.16533432866109088</v>
      </c>
    </row>
    <row r="253" spans="5:25" x14ac:dyDescent="0.3">
      <c r="F253" s="28" t="s">
        <v>192</v>
      </c>
      <c r="G253" s="28" t="s">
        <v>282</v>
      </c>
      <c r="J253" s="153">
        <f t="shared" ref="J253:Y253" si="229">J189 * J226 * hours_in_year</f>
        <v>0.16533432866109088</v>
      </c>
      <c r="K253" s="153">
        <f t="shared" si="229"/>
        <v>0.16533432866109088</v>
      </c>
      <c r="L253" s="153">
        <f t="shared" si="229"/>
        <v>0.16533432866109088</v>
      </c>
      <c r="M253" s="153">
        <f t="shared" si="229"/>
        <v>0.16533432866109088</v>
      </c>
      <c r="N253" s="153">
        <f t="shared" si="229"/>
        <v>0.16533432866109088</v>
      </c>
      <c r="O253" s="153">
        <f t="shared" si="229"/>
        <v>0.16533432866109088</v>
      </c>
      <c r="P253" s="153">
        <f t="shared" si="229"/>
        <v>0.16533432866109088</v>
      </c>
      <c r="Q253" s="153">
        <f t="shared" si="229"/>
        <v>0.16533432866109088</v>
      </c>
      <c r="R253" s="153">
        <f t="shared" si="229"/>
        <v>0.16533432866109088</v>
      </c>
      <c r="S253" s="153">
        <f t="shared" si="229"/>
        <v>0.16533432866109088</v>
      </c>
      <c r="T253" s="153">
        <f t="shared" si="229"/>
        <v>0.16533432866109088</v>
      </c>
      <c r="U253" s="153">
        <f t="shared" si="229"/>
        <v>0.16533432866109088</v>
      </c>
      <c r="V253" s="153">
        <f t="shared" si="229"/>
        <v>0.16533432866109088</v>
      </c>
      <c r="W253" s="153">
        <f t="shared" si="229"/>
        <v>0.16533432866109088</v>
      </c>
      <c r="X253" s="153">
        <f t="shared" si="229"/>
        <v>0.16533432866109088</v>
      </c>
      <c r="Y253" s="153">
        <f t="shared" si="229"/>
        <v>0.16533432866109088</v>
      </c>
    </row>
    <row r="254" spans="5:25" x14ac:dyDescent="0.3">
      <c r="F254" s="28" t="s">
        <v>193</v>
      </c>
      <c r="G254" s="28" t="s">
        <v>282</v>
      </c>
      <c r="J254" s="153">
        <f t="shared" ref="J254:Y254" si="230">J194 * J226 * hours_in_year</f>
        <v>0.17804203728091658</v>
      </c>
      <c r="K254" s="153">
        <f t="shared" si="230"/>
        <v>0.17804203728091658</v>
      </c>
      <c r="L254" s="153">
        <f t="shared" si="230"/>
        <v>0.17804203728091658</v>
      </c>
      <c r="M254" s="153">
        <f t="shared" si="230"/>
        <v>0.17804203728091658</v>
      </c>
      <c r="N254" s="153">
        <f t="shared" si="230"/>
        <v>0.17804203728091658</v>
      </c>
      <c r="O254" s="153">
        <f t="shared" si="230"/>
        <v>0.17804203728091658</v>
      </c>
      <c r="P254" s="153">
        <f t="shared" si="230"/>
        <v>0.17804203728091658</v>
      </c>
      <c r="Q254" s="153">
        <f t="shared" si="230"/>
        <v>0.17804203728091658</v>
      </c>
      <c r="R254" s="153">
        <f t="shared" si="230"/>
        <v>0.17804203728091658</v>
      </c>
      <c r="S254" s="153">
        <f t="shared" si="230"/>
        <v>0.17804203728091658</v>
      </c>
      <c r="T254" s="153">
        <f t="shared" si="230"/>
        <v>0.17804203728091658</v>
      </c>
      <c r="U254" s="153">
        <f t="shared" si="230"/>
        <v>0.17804203728091658</v>
      </c>
      <c r="V254" s="153">
        <f t="shared" si="230"/>
        <v>0.17804203728091658</v>
      </c>
      <c r="W254" s="153">
        <f t="shared" si="230"/>
        <v>0.17804203728091658</v>
      </c>
      <c r="X254" s="153">
        <f t="shared" si="230"/>
        <v>0.17804203728091658</v>
      </c>
      <c r="Y254" s="153">
        <f t="shared" si="230"/>
        <v>0.17804203728091658</v>
      </c>
    </row>
    <row r="255" spans="5:25" x14ac:dyDescent="0.3">
      <c r="F255" s="28" t="s">
        <v>194</v>
      </c>
      <c r="G255" s="28" t="s">
        <v>282</v>
      </c>
      <c r="J255" s="153">
        <f t="shared" ref="J255:Y255" si="231">J199 * J226 * hours_in_year</f>
        <v>0.17804203728091658</v>
      </c>
      <c r="K255" s="153">
        <f t="shared" si="231"/>
        <v>0.17804203728091658</v>
      </c>
      <c r="L255" s="153">
        <f t="shared" si="231"/>
        <v>0.17804203728091658</v>
      </c>
      <c r="M255" s="153">
        <f t="shared" si="231"/>
        <v>0.17804203728091658</v>
      </c>
      <c r="N255" s="153">
        <f t="shared" si="231"/>
        <v>0.17804203728091658</v>
      </c>
      <c r="O255" s="153">
        <f t="shared" si="231"/>
        <v>0.17804203728091658</v>
      </c>
      <c r="P255" s="153">
        <f t="shared" si="231"/>
        <v>0.17804203728091658</v>
      </c>
      <c r="Q255" s="153">
        <f t="shared" si="231"/>
        <v>0.17804203728091658</v>
      </c>
      <c r="R255" s="153">
        <f t="shared" si="231"/>
        <v>0.17804203728091658</v>
      </c>
      <c r="S255" s="153">
        <f t="shared" si="231"/>
        <v>0.17804203728091658</v>
      </c>
      <c r="T255" s="153">
        <f t="shared" si="231"/>
        <v>0.17804203728091658</v>
      </c>
      <c r="U255" s="153">
        <f t="shared" si="231"/>
        <v>0.17804203728091658</v>
      </c>
      <c r="V255" s="153">
        <f t="shared" si="231"/>
        <v>0.17804203728091658</v>
      </c>
      <c r="W255" s="153">
        <f t="shared" si="231"/>
        <v>0.17804203728091658</v>
      </c>
      <c r="X255" s="153">
        <f t="shared" si="231"/>
        <v>0.17804203728091658</v>
      </c>
      <c r="Y255" s="153">
        <f t="shared" si="231"/>
        <v>0.17804203728091658</v>
      </c>
    </row>
    <row r="256" spans="5:25" x14ac:dyDescent="0.3">
      <c r="F256" s="28" t="s">
        <v>195</v>
      </c>
      <c r="G256" s="28" t="s">
        <v>282</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x14ac:dyDescent="0.3">
      <c r="F257" s="28" t="s">
        <v>196</v>
      </c>
      <c r="G257" s="28" t="s">
        <v>282</v>
      </c>
      <c r="J257" s="153">
        <f t="shared" ref="J257:Y257" si="233">J209 * J226 * hours_in_year</f>
        <v>0.17804203728091658</v>
      </c>
      <c r="K257" s="153">
        <f t="shared" si="233"/>
        <v>0.17804203728091658</v>
      </c>
      <c r="L257" s="153">
        <f t="shared" si="233"/>
        <v>0.17804203728091658</v>
      </c>
      <c r="M257" s="153">
        <f t="shared" si="233"/>
        <v>0.17804203728091658</v>
      </c>
      <c r="N257" s="153">
        <f t="shared" si="233"/>
        <v>0.17804203728091658</v>
      </c>
      <c r="O257" s="153">
        <f t="shared" si="233"/>
        <v>0.17804203728091658</v>
      </c>
      <c r="P257" s="153">
        <f t="shared" si="233"/>
        <v>0.17804203728091658</v>
      </c>
      <c r="Q257" s="153">
        <f t="shared" si="233"/>
        <v>0.17804203728091658</v>
      </c>
      <c r="R257" s="153">
        <f t="shared" si="233"/>
        <v>0.17804203728091658</v>
      </c>
      <c r="S257" s="153">
        <f t="shared" si="233"/>
        <v>0.17804203728091658</v>
      </c>
      <c r="T257" s="153">
        <f t="shared" si="233"/>
        <v>0.17804203728091658</v>
      </c>
      <c r="U257" s="153">
        <f t="shared" si="233"/>
        <v>0.17804203728091658</v>
      </c>
      <c r="V257" s="153">
        <f t="shared" si="233"/>
        <v>0.17804203728091658</v>
      </c>
      <c r="W257" s="153">
        <f t="shared" si="233"/>
        <v>0.17804203728091658</v>
      </c>
      <c r="X257" s="153">
        <f t="shared" si="233"/>
        <v>0.17804203728091658</v>
      </c>
      <c r="Y257" s="153">
        <f t="shared" si="233"/>
        <v>0.17804203728091658</v>
      </c>
    </row>
    <row r="258" spans="2:27" x14ac:dyDescent="0.3">
      <c r="F258" s="28" t="s">
        <v>197</v>
      </c>
      <c r="G258" s="28" t="s">
        <v>282</v>
      </c>
      <c r="J258" s="153">
        <f t="shared" ref="J258:Y258" si="234">J214 * J226 * hours_in_year</f>
        <v>0.17804203728091658</v>
      </c>
      <c r="K258" s="153">
        <f t="shared" si="234"/>
        <v>0.17804203728091658</v>
      </c>
      <c r="L258" s="153">
        <f t="shared" si="234"/>
        <v>0.17804203728091658</v>
      </c>
      <c r="M258" s="153">
        <f t="shared" si="234"/>
        <v>0.17804203728091658</v>
      </c>
      <c r="N258" s="153">
        <f t="shared" si="234"/>
        <v>0.17804203728091658</v>
      </c>
      <c r="O258" s="153">
        <f t="shared" si="234"/>
        <v>0.17804203728091658</v>
      </c>
      <c r="P258" s="153">
        <f t="shared" si="234"/>
        <v>0.17804203728091658</v>
      </c>
      <c r="Q258" s="153">
        <f t="shared" si="234"/>
        <v>0.17804203728091658</v>
      </c>
      <c r="R258" s="153">
        <f t="shared" si="234"/>
        <v>0.17804203728091658</v>
      </c>
      <c r="S258" s="153">
        <f t="shared" si="234"/>
        <v>0.17804203728091658</v>
      </c>
      <c r="T258" s="153">
        <f t="shared" si="234"/>
        <v>0.17804203728091658</v>
      </c>
      <c r="U258" s="153">
        <f t="shared" si="234"/>
        <v>0.17804203728091658</v>
      </c>
      <c r="V258" s="153">
        <f t="shared" si="234"/>
        <v>0.17804203728091658</v>
      </c>
      <c r="W258" s="153">
        <f t="shared" si="234"/>
        <v>0.17804203728091658</v>
      </c>
      <c r="X258" s="153">
        <f t="shared" si="234"/>
        <v>0.17804203728091658</v>
      </c>
      <c r="Y258" s="153">
        <f t="shared" si="234"/>
        <v>0.17804203728091658</v>
      </c>
    </row>
    <row r="259" spans="2:27" x14ac:dyDescent="0.3">
      <c r="F259" s="67" t="s">
        <v>198</v>
      </c>
      <c r="G259" s="67" t="s">
        <v>282</v>
      </c>
      <c r="H259" s="37"/>
      <c r="I259" s="37"/>
      <c r="J259" s="153">
        <f t="shared" ref="J259:Y259" si="235">J219 * J226 * hours_in_year</f>
        <v>0.17804203728091658</v>
      </c>
      <c r="K259" s="153">
        <f t="shared" si="235"/>
        <v>0.17804203728091658</v>
      </c>
      <c r="L259" s="153">
        <f t="shared" si="235"/>
        <v>0.17804203728091658</v>
      </c>
      <c r="M259" s="153">
        <f t="shared" si="235"/>
        <v>0.17804203728091658</v>
      </c>
      <c r="N259" s="153">
        <f t="shared" si="235"/>
        <v>0.17804203728091658</v>
      </c>
      <c r="O259" s="153">
        <f t="shared" si="235"/>
        <v>0.17804203728091658</v>
      </c>
      <c r="P259" s="153">
        <f t="shared" si="235"/>
        <v>0.17804203728091658</v>
      </c>
      <c r="Q259" s="153">
        <f t="shared" si="235"/>
        <v>0.17804203728091658</v>
      </c>
      <c r="R259" s="153">
        <f t="shared" si="235"/>
        <v>0.17804203728091658</v>
      </c>
      <c r="S259" s="153">
        <f t="shared" si="235"/>
        <v>0.17804203728091658</v>
      </c>
      <c r="T259" s="153">
        <f t="shared" si="235"/>
        <v>0.17804203728091658</v>
      </c>
      <c r="U259" s="153">
        <f t="shared" si="235"/>
        <v>0.17804203728091658</v>
      </c>
      <c r="V259" s="153">
        <f t="shared" si="235"/>
        <v>0.17804203728091658</v>
      </c>
      <c r="W259" s="153">
        <f t="shared" si="235"/>
        <v>0.17804203728091658</v>
      </c>
      <c r="X259" s="153">
        <f t="shared" si="235"/>
        <v>0.17804203728091658</v>
      </c>
      <c r="Y259" s="153">
        <f t="shared" si="235"/>
        <v>0.17804203728091658</v>
      </c>
    </row>
    <row r="260" spans="2:27" x14ac:dyDescent="0.3">
      <c r="J260" s="89"/>
      <c r="K260" s="89"/>
      <c r="L260" s="89"/>
      <c r="M260" s="89"/>
      <c r="N260" s="89"/>
      <c r="O260" s="89"/>
      <c r="P260" s="89"/>
      <c r="Q260" s="89"/>
      <c r="R260" s="89"/>
      <c r="S260" s="89"/>
      <c r="T260" s="89"/>
      <c r="U260" s="89"/>
      <c r="V260" s="89"/>
      <c r="W260" s="89"/>
      <c r="X260" s="89"/>
      <c r="Y260" s="89"/>
    </row>
    <row r="261" spans="2:27" x14ac:dyDescent="0.3">
      <c r="B261" s="30" t="s">
        <v>844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3">
      <c r="F262" s="28"/>
      <c r="G262" s="28"/>
      <c r="J262" s="89"/>
      <c r="K262" s="89"/>
      <c r="L262" s="89"/>
      <c r="M262" s="89"/>
      <c r="N262" s="89"/>
      <c r="O262" s="89"/>
      <c r="P262" s="89"/>
      <c r="Q262" s="89"/>
      <c r="R262" s="89"/>
      <c r="S262" s="89"/>
      <c r="T262" s="89"/>
      <c r="U262" s="89"/>
      <c r="V262" s="89"/>
      <c r="W262" s="89"/>
      <c r="X262" s="89"/>
      <c r="Y262" s="89"/>
    </row>
    <row r="263" spans="2:27" x14ac:dyDescent="0.3">
      <c r="C263" s="29" t="s">
        <v>864</v>
      </c>
      <c r="F263" s="28"/>
      <c r="G263" s="28"/>
      <c r="J263" s="89"/>
      <c r="K263" s="89"/>
      <c r="L263" s="89"/>
      <c r="M263" s="89"/>
      <c r="N263" s="89"/>
      <c r="O263" s="89"/>
      <c r="P263" s="89"/>
      <c r="Q263" s="89"/>
      <c r="R263" s="89"/>
      <c r="S263" s="89"/>
      <c r="T263" s="89"/>
      <c r="U263" s="89"/>
      <c r="V263" s="89"/>
      <c r="W263" s="89"/>
      <c r="X263" s="89"/>
      <c r="Y263" s="89"/>
    </row>
    <row r="264" spans="2:27" x14ac:dyDescent="0.3">
      <c r="F264" s="28"/>
      <c r="G264" s="28"/>
      <c r="J264" s="89"/>
      <c r="K264" s="89"/>
      <c r="L264" s="89"/>
      <c r="M264" s="89"/>
      <c r="N264" s="89"/>
      <c r="O264" s="89"/>
      <c r="P264" s="89"/>
      <c r="Q264" s="89"/>
      <c r="R264" s="89"/>
      <c r="S264" s="89"/>
      <c r="T264" s="89"/>
      <c r="U264" s="89"/>
      <c r="V264" s="89"/>
      <c r="W264" s="89"/>
      <c r="X264" s="89"/>
      <c r="Y264" s="89"/>
    </row>
    <row r="265" spans="2:27" x14ac:dyDescent="0.3">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3">
      <c r="F266" s="28"/>
      <c r="G266" s="28"/>
      <c r="J266" s="89"/>
      <c r="K266" s="89"/>
      <c r="L266" s="89"/>
      <c r="M266" s="89"/>
      <c r="N266" s="89"/>
      <c r="O266" s="89"/>
      <c r="P266" s="89"/>
      <c r="Q266" s="89"/>
      <c r="R266" s="89"/>
      <c r="S266" s="89"/>
      <c r="T266" s="89"/>
      <c r="U266" s="89"/>
      <c r="V266" s="89"/>
      <c r="W266" s="89"/>
      <c r="X266" s="89"/>
      <c r="Y266" s="89"/>
    </row>
    <row r="267" spans="2:27" x14ac:dyDescent="0.3">
      <c r="E267" s="28" t="s">
        <v>471</v>
      </c>
      <c r="G267" s="28" t="s">
        <v>282</v>
      </c>
      <c r="J267" s="121">
        <f>J91</f>
        <v>1.7580499187827967</v>
      </c>
      <c r="K267" s="121">
        <f t="shared" ref="K267:Y267" si="236">K91</f>
        <v>1.7580499187827967</v>
      </c>
      <c r="L267" s="121">
        <f t="shared" si="236"/>
        <v>1.7906424194237678</v>
      </c>
      <c r="M267" s="121">
        <f t="shared" si="236"/>
        <v>1.7906424194237678</v>
      </c>
      <c r="N267" s="121">
        <f t="shared" si="236"/>
        <v>1.5675901610590639</v>
      </c>
      <c r="O267" s="121">
        <f t="shared" si="236"/>
        <v>1.4625668788217323</v>
      </c>
      <c r="P267" s="121">
        <f t="shared" si="236"/>
        <v>1.2355285468040647</v>
      </c>
      <c r="Q267" s="121">
        <f t="shared" si="236"/>
        <v>1.2789571219738787</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3">
      <c r="F268" s="28"/>
      <c r="G268" s="28"/>
      <c r="J268" s="89"/>
      <c r="K268" s="89"/>
      <c r="L268" s="89"/>
      <c r="M268" s="89"/>
      <c r="N268" s="89"/>
      <c r="O268" s="89"/>
      <c r="P268" s="89"/>
      <c r="Q268" s="89"/>
      <c r="R268" s="89"/>
      <c r="S268" s="89"/>
      <c r="T268" s="89"/>
      <c r="U268" s="89"/>
      <c r="V268" s="89"/>
      <c r="W268" s="89"/>
      <c r="X268" s="89"/>
      <c r="Y268" s="89"/>
    </row>
    <row r="269" spans="2:27" x14ac:dyDescent="0.3">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3">
      <c r="F270" s="28"/>
      <c r="G270" s="28"/>
      <c r="J270" s="89"/>
      <c r="K270" s="89"/>
      <c r="L270" s="89"/>
      <c r="M270" s="89"/>
      <c r="N270" s="89"/>
      <c r="O270" s="89"/>
      <c r="P270" s="89"/>
      <c r="Q270" s="89"/>
      <c r="R270" s="89"/>
      <c r="S270" s="89"/>
      <c r="T270" s="89"/>
      <c r="U270" s="89"/>
      <c r="V270" s="89"/>
      <c r="W270" s="89"/>
      <c r="X270" s="89"/>
      <c r="Y270" s="89"/>
    </row>
    <row r="271" spans="2:27" x14ac:dyDescent="0.3">
      <c r="E271" s="32" t="s">
        <v>155</v>
      </c>
      <c r="G271" s="28"/>
      <c r="J271" s="89"/>
      <c r="K271" s="89"/>
      <c r="L271" s="89"/>
      <c r="M271" s="89"/>
      <c r="N271" s="89"/>
      <c r="O271" s="89"/>
      <c r="P271" s="89"/>
      <c r="Q271" s="89"/>
      <c r="R271" s="89"/>
      <c r="S271" s="89"/>
      <c r="T271" s="89"/>
      <c r="U271" s="89"/>
      <c r="V271" s="89"/>
      <c r="W271" s="89"/>
      <c r="X271" s="89"/>
      <c r="Y271" s="89"/>
    </row>
    <row r="272" spans="2:27" x14ac:dyDescent="0.3">
      <c r="F272" s="64" t="s">
        <v>190</v>
      </c>
      <c r="G272" s="64" t="s">
        <v>282</v>
      </c>
      <c r="H272" s="23"/>
      <c r="I272" s="23"/>
      <c r="J272" s="101">
        <f>J229 * J$93</f>
        <v>12.739516679594283</v>
      </c>
      <c r="K272" s="101">
        <f t="shared" ref="K272:Y272" si="237">K229 * K$93</f>
        <v>12.739516679594283</v>
      </c>
      <c r="L272" s="101">
        <f t="shared" si="237"/>
        <v>14.692319269082892</v>
      </c>
      <c r="M272" s="101">
        <f t="shared" si="237"/>
        <v>14.692319269082892</v>
      </c>
      <c r="N272" s="101">
        <f t="shared" si="237"/>
        <v>12.948069589323378</v>
      </c>
      <c r="O272" s="101">
        <f t="shared" si="237"/>
        <v>12.668584858444653</v>
      </c>
      <c r="P272" s="101">
        <f t="shared" si="237"/>
        <v>11.033827455434016</v>
      </c>
      <c r="Q272" s="101">
        <f t="shared" si="237"/>
        <v>21.357687284353602</v>
      </c>
      <c r="R272" s="101">
        <f t="shared" si="237"/>
        <v>9.9446573009791415</v>
      </c>
      <c r="S272" s="101">
        <f t="shared" si="237"/>
        <v>9.9446573009791415</v>
      </c>
      <c r="T272" s="101">
        <f t="shared" si="237"/>
        <v>9.9446573009791415</v>
      </c>
      <c r="U272" s="101">
        <f t="shared" si="237"/>
        <v>9.9446573009791415</v>
      </c>
      <c r="V272" s="101">
        <f t="shared" si="237"/>
        <v>9.9446573009791415</v>
      </c>
      <c r="W272" s="101">
        <f t="shared" si="237"/>
        <v>9.9446573009791415</v>
      </c>
      <c r="X272" s="101">
        <f t="shared" si="237"/>
        <v>9.9446573009791415</v>
      </c>
      <c r="Y272" s="101">
        <f t="shared" si="237"/>
        <v>9.9446573009791415</v>
      </c>
    </row>
    <row r="273" spans="5:25" x14ac:dyDescent="0.3">
      <c r="F273" s="28" t="s">
        <v>191</v>
      </c>
      <c r="G273" s="28" t="s">
        <v>282</v>
      </c>
      <c r="J273" s="121">
        <f t="shared" ref="J273:Y273" si="238">J230 * J$93</f>
        <v>9.669879848080198</v>
      </c>
      <c r="K273" s="121">
        <f t="shared" si="238"/>
        <v>9.669879848080198</v>
      </c>
      <c r="L273" s="121">
        <f t="shared" si="238"/>
        <v>11.152146945200252</v>
      </c>
      <c r="M273" s="121">
        <f t="shared" si="238"/>
        <v>11.152146945200252</v>
      </c>
      <c r="N273" s="121">
        <f t="shared" si="238"/>
        <v>9.8281811109748975</v>
      </c>
      <c r="O273" s="121">
        <f t="shared" si="238"/>
        <v>9.6160393292306026</v>
      </c>
      <c r="P273" s="121">
        <f t="shared" si="238"/>
        <v>8.3751831754651267</v>
      </c>
      <c r="Q273" s="121">
        <f t="shared" si="238"/>
        <v>14.159002507707637</v>
      </c>
      <c r="R273" s="121">
        <f t="shared" si="238"/>
        <v>7.5484528690820278</v>
      </c>
      <c r="S273" s="121">
        <f t="shared" si="238"/>
        <v>7.5484528690820278</v>
      </c>
      <c r="T273" s="121">
        <f t="shared" si="238"/>
        <v>7.5484528690820278</v>
      </c>
      <c r="U273" s="121">
        <f t="shared" si="238"/>
        <v>7.5484528690820278</v>
      </c>
      <c r="V273" s="121">
        <f t="shared" si="238"/>
        <v>7.5484528690820278</v>
      </c>
      <c r="W273" s="121">
        <f t="shared" si="238"/>
        <v>7.5484528690820278</v>
      </c>
      <c r="X273" s="121">
        <f t="shared" si="238"/>
        <v>7.5484528690820278</v>
      </c>
      <c r="Y273" s="121">
        <f t="shared" si="238"/>
        <v>7.5484528690820278</v>
      </c>
    </row>
    <row r="274" spans="5:25" x14ac:dyDescent="0.3">
      <c r="F274" s="28" t="s">
        <v>192</v>
      </c>
      <c r="G274" s="28" t="s">
        <v>282</v>
      </c>
      <c r="J274" s="121">
        <f t="shared" ref="J274:Y274" si="239">J231 * J$93</f>
        <v>9.669879848080198</v>
      </c>
      <c r="K274" s="121">
        <f t="shared" si="239"/>
        <v>9.669879848080198</v>
      </c>
      <c r="L274" s="121">
        <f t="shared" si="239"/>
        <v>11.152146945200252</v>
      </c>
      <c r="M274" s="121">
        <f t="shared" si="239"/>
        <v>11.152146945200252</v>
      </c>
      <c r="N274" s="121">
        <f t="shared" si="239"/>
        <v>9.8281811109748975</v>
      </c>
      <c r="O274" s="121">
        <f t="shared" si="239"/>
        <v>9.6160393292306026</v>
      </c>
      <c r="P274" s="121">
        <f t="shared" si="239"/>
        <v>8.3751831754651267</v>
      </c>
      <c r="Q274" s="121">
        <f t="shared" si="239"/>
        <v>14.159002507707637</v>
      </c>
      <c r="R274" s="121">
        <f t="shared" si="239"/>
        <v>7.5484528690820278</v>
      </c>
      <c r="S274" s="121">
        <f t="shared" si="239"/>
        <v>7.5484528690820278</v>
      </c>
      <c r="T274" s="121">
        <f t="shared" si="239"/>
        <v>7.5484528690820278</v>
      </c>
      <c r="U274" s="121">
        <f t="shared" si="239"/>
        <v>7.5484528690820278</v>
      </c>
      <c r="V274" s="121">
        <f t="shared" si="239"/>
        <v>7.5484528690820278</v>
      </c>
      <c r="W274" s="121">
        <f t="shared" si="239"/>
        <v>7.5484528690820278</v>
      </c>
      <c r="X274" s="121">
        <f t="shared" si="239"/>
        <v>7.5484528690820278</v>
      </c>
      <c r="Y274" s="121">
        <f t="shared" si="239"/>
        <v>7.5484528690820278</v>
      </c>
    </row>
    <row r="275" spans="5:25" x14ac:dyDescent="0.3">
      <c r="F275" s="28" t="s">
        <v>193</v>
      </c>
      <c r="G275" s="28" t="s">
        <v>282</v>
      </c>
      <c r="J275" s="121">
        <f t="shared" ref="J275:Y275" si="240">J232 * J$93</f>
        <v>6.9927865121203139</v>
      </c>
      <c r="K275" s="121">
        <f t="shared" si="240"/>
        <v>6.9927865121203139</v>
      </c>
      <c r="L275" s="121">
        <f t="shared" si="240"/>
        <v>8.0646899408023867</v>
      </c>
      <c r="M275" s="121">
        <f t="shared" si="240"/>
        <v>8.0646899408023867</v>
      </c>
      <c r="N275" s="121">
        <f t="shared" si="240"/>
        <v>7.1072622815624173</v>
      </c>
      <c r="O275" s="121">
        <f t="shared" si="240"/>
        <v>6.953851669088964</v>
      </c>
      <c r="P275" s="121">
        <f t="shared" si="240"/>
        <v>6.0565248861449765</v>
      </c>
      <c r="Q275" s="121">
        <f t="shared" si="240"/>
        <v>11.653604549497725</v>
      </c>
      <c r="R275" s="121">
        <f t="shared" si="240"/>
        <v>5.4586737621949109</v>
      </c>
      <c r="S275" s="121">
        <f t="shared" si="240"/>
        <v>5.4586737621949109</v>
      </c>
      <c r="T275" s="121">
        <f t="shared" si="240"/>
        <v>5.4586737621949109</v>
      </c>
      <c r="U275" s="121">
        <f t="shared" si="240"/>
        <v>5.4586737621949109</v>
      </c>
      <c r="V275" s="121">
        <f t="shared" si="240"/>
        <v>5.4586737621949109</v>
      </c>
      <c r="W275" s="121">
        <f t="shared" si="240"/>
        <v>5.4586737621949109</v>
      </c>
      <c r="X275" s="121">
        <f t="shared" si="240"/>
        <v>5.4586737621949109</v>
      </c>
      <c r="Y275" s="121">
        <f t="shared" si="240"/>
        <v>5.4586737621949109</v>
      </c>
    </row>
    <row r="276" spans="5:25" x14ac:dyDescent="0.3">
      <c r="F276" s="28" t="s">
        <v>194</v>
      </c>
      <c r="G276" s="28" t="s">
        <v>282</v>
      </c>
      <c r="J276" s="121">
        <f t="shared" ref="J276:Y276" si="241">J233 * J$93</f>
        <v>6.9927865121203139</v>
      </c>
      <c r="K276" s="121">
        <f t="shared" si="241"/>
        <v>6.9927865121203139</v>
      </c>
      <c r="L276" s="121">
        <f t="shared" si="241"/>
        <v>8.0646899408023867</v>
      </c>
      <c r="M276" s="121">
        <f t="shared" si="241"/>
        <v>8.0646899408023867</v>
      </c>
      <c r="N276" s="121">
        <f t="shared" si="241"/>
        <v>7.1072622815624173</v>
      </c>
      <c r="O276" s="121">
        <f t="shared" si="241"/>
        <v>6.953851669088964</v>
      </c>
      <c r="P276" s="121">
        <f t="shared" si="241"/>
        <v>6.0565248861449765</v>
      </c>
      <c r="Q276" s="121">
        <f t="shared" si="241"/>
        <v>11.653604549497725</v>
      </c>
      <c r="R276" s="121">
        <f t="shared" si="241"/>
        <v>5.4586737621949109</v>
      </c>
      <c r="S276" s="121">
        <f t="shared" si="241"/>
        <v>5.4586737621949109</v>
      </c>
      <c r="T276" s="121">
        <f t="shared" si="241"/>
        <v>5.4586737621949109</v>
      </c>
      <c r="U276" s="121">
        <f t="shared" si="241"/>
        <v>5.4586737621949109</v>
      </c>
      <c r="V276" s="121">
        <f t="shared" si="241"/>
        <v>5.4586737621949109</v>
      </c>
      <c r="W276" s="121">
        <f t="shared" si="241"/>
        <v>5.4586737621949109</v>
      </c>
      <c r="X276" s="121">
        <f t="shared" si="241"/>
        <v>5.4586737621949109</v>
      </c>
      <c r="Y276" s="121">
        <f t="shared" si="241"/>
        <v>5.4586737621949109</v>
      </c>
    </row>
    <row r="277" spans="5:25" x14ac:dyDescent="0.3">
      <c r="F277" s="28" t="s">
        <v>195</v>
      </c>
      <c r="G277" s="28" t="s">
        <v>282</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x14ac:dyDescent="0.3">
      <c r="F278" s="28" t="s">
        <v>196</v>
      </c>
      <c r="G278" s="28" t="s">
        <v>282</v>
      </c>
      <c r="J278" s="121">
        <f t="shared" ref="J278:Y278" si="243">J235 * J$93</f>
        <v>6.9927865121203139</v>
      </c>
      <c r="K278" s="121">
        <f t="shared" si="243"/>
        <v>6.9927865121203139</v>
      </c>
      <c r="L278" s="121">
        <f t="shared" si="243"/>
        <v>8.0646899408023867</v>
      </c>
      <c r="M278" s="121">
        <f t="shared" si="243"/>
        <v>8.0646899408023867</v>
      </c>
      <c r="N278" s="121">
        <f t="shared" si="243"/>
        <v>7.1072622815624173</v>
      </c>
      <c r="O278" s="121">
        <f t="shared" si="243"/>
        <v>6.953851669088964</v>
      </c>
      <c r="P278" s="121">
        <f t="shared" si="243"/>
        <v>6.0565248861449765</v>
      </c>
      <c r="Q278" s="121">
        <f t="shared" si="243"/>
        <v>11.653604549497725</v>
      </c>
      <c r="R278" s="121">
        <f t="shared" si="243"/>
        <v>5.4586737621949109</v>
      </c>
      <c r="S278" s="121">
        <f t="shared" si="243"/>
        <v>5.4586737621949109</v>
      </c>
      <c r="T278" s="121">
        <f t="shared" si="243"/>
        <v>5.4586737621949109</v>
      </c>
      <c r="U278" s="121">
        <f t="shared" si="243"/>
        <v>5.4586737621949109</v>
      </c>
      <c r="V278" s="121">
        <f t="shared" si="243"/>
        <v>5.4586737621949109</v>
      </c>
      <c r="W278" s="121">
        <f t="shared" si="243"/>
        <v>5.4586737621949109</v>
      </c>
      <c r="X278" s="121">
        <f t="shared" si="243"/>
        <v>5.4586737621949109</v>
      </c>
      <c r="Y278" s="121">
        <f t="shared" si="243"/>
        <v>5.4586737621949109</v>
      </c>
    </row>
    <row r="279" spans="5:25" x14ac:dyDescent="0.3">
      <c r="F279" s="28" t="s">
        <v>197</v>
      </c>
      <c r="G279" s="28" t="s">
        <v>282</v>
      </c>
      <c r="J279" s="121">
        <f t="shared" ref="J279:Y279" si="244">J236 * J$93</f>
        <v>6.9927865121203139</v>
      </c>
      <c r="K279" s="121">
        <f t="shared" si="244"/>
        <v>6.9927865121203139</v>
      </c>
      <c r="L279" s="121">
        <f t="shared" si="244"/>
        <v>8.0646899408023867</v>
      </c>
      <c r="M279" s="121">
        <f t="shared" si="244"/>
        <v>8.0646899408023867</v>
      </c>
      <c r="N279" s="121">
        <f t="shared" si="244"/>
        <v>7.1072622815624173</v>
      </c>
      <c r="O279" s="121">
        <f t="shared" si="244"/>
        <v>6.953851669088964</v>
      </c>
      <c r="P279" s="121">
        <f t="shared" si="244"/>
        <v>6.0565248861449765</v>
      </c>
      <c r="Q279" s="121">
        <f t="shared" si="244"/>
        <v>11.653604549497725</v>
      </c>
      <c r="R279" s="121">
        <f t="shared" si="244"/>
        <v>5.4586737621949109</v>
      </c>
      <c r="S279" s="121">
        <f t="shared" si="244"/>
        <v>5.4586737621949109</v>
      </c>
      <c r="T279" s="121">
        <f t="shared" si="244"/>
        <v>5.4586737621949109</v>
      </c>
      <c r="U279" s="121">
        <f t="shared" si="244"/>
        <v>5.4586737621949109</v>
      </c>
      <c r="V279" s="121">
        <f t="shared" si="244"/>
        <v>5.4586737621949109</v>
      </c>
      <c r="W279" s="121">
        <f t="shared" si="244"/>
        <v>5.4586737621949109</v>
      </c>
      <c r="X279" s="121">
        <f t="shared" si="244"/>
        <v>5.4586737621949109</v>
      </c>
      <c r="Y279" s="121">
        <f t="shared" si="244"/>
        <v>5.4586737621949109</v>
      </c>
    </row>
    <row r="280" spans="5:25" x14ac:dyDescent="0.3">
      <c r="F280" s="67" t="s">
        <v>198</v>
      </c>
      <c r="G280" s="67" t="s">
        <v>282</v>
      </c>
      <c r="H280" s="37"/>
      <c r="I280" s="37"/>
      <c r="J280" s="131">
        <f t="shared" ref="J280:Y280" si="245">J237 * J$93</f>
        <v>6.9927865121203139</v>
      </c>
      <c r="K280" s="131">
        <f t="shared" si="245"/>
        <v>6.9927865121203139</v>
      </c>
      <c r="L280" s="131">
        <f t="shared" si="245"/>
        <v>8.0646899408023867</v>
      </c>
      <c r="M280" s="131">
        <f t="shared" si="245"/>
        <v>8.0646899408023867</v>
      </c>
      <c r="N280" s="131">
        <f t="shared" si="245"/>
        <v>7.1072622815624173</v>
      </c>
      <c r="O280" s="131">
        <f t="shared" si="245"/>
        <v>6.953851669088964</v>
      </c>
      <c r="P280" s="131">
        <f t="shared" si="245"/>
        <v>6.0565248861449765</v>
      </c>
      <c r="Q280" s="131">
        <f t="shared" si="245"/>
        <v>11.653604549497725</v>
      </c>
      <c r="R280" s="131">
        <f t="shared" si="245"/>
        <v>5.4586737621949109</v>
      </c>
      <c r="S280" s="131">
        <f t="shared" si="245"/>
        <v>5.4586737621949109</v>
      </c>
      <c r="T280" s="131">
        <f t="shared" si="245"/>
        <v>5.4586737621949109</v>
      </c>
      <c r="U280" s="131">
        <f t="shared" si="245"/>
        <v>5.4586737621949109</v>
      </c>
      <c r="V280" s="131">
        <f t="shared" si="245"/>
        <v>5.4586737621949109</v>
      </c>
      <c r="W280" s="131">
        <f t="shared" si="245"/>
        <v>5.4586737621949109</v>
      </c>
      <c r="X280" s="131">
        <f t="shared" si="245"/>
        <v>5.4586737621949109</v>
      </c>
      <c r="Y280" s="131">
        <f t="shared" si="245"/>
        <v>5.4586737621949109</v>
      </c>
    </row>
    <row r="281" spans="5:25" x14ac:dyDescent="0.3">
      <c r="J281" s="89"/>
      <c r="K281" s="89"/>
      <c r="L281" s="89"/>
      <c r="M281" s="89"/>
      <c r="N281" s="89"/>
      <c r="O281" s="89"/>
      <c r="P281" s="89"/>
      <c r="Q281" s="89"/>
      <c r="R281" s="89"/>
      <c r="S281" s="89"/>
      <c r="T281" s="89"/>
      <c r="U281" s="89"/>
      <c r="V281" s="89"/>
      <c r="W281" s="89"/>
      <c r="X281" s="89"/>
      <c r="Y281" s="89"/>
    </row>
    <row r="282" spans="5:25" x14ac:dyDescent="0.3">
      <c r="E282" s="32" t="s">
        <v>156</v>
      </c>
      <c r="F282" s="28"/>
      <c r="G282" s="28"/>
      <c r="J282" s="89"/>
      <c r="K282" s="89"/>
      <c r="L282" s="89"/>
      <c r="M282" s="89"/>
      <c r="N282" s="89"/>
      <c r="O282" s="89"/>
      <c r="P282" s="89"/>
      <c r="Q282" s="89"/>
      <c r="R282" s="89"/>
      <c r="S282" s="89"/>
      <c r="T282" s="89"/>
      <c r="U282" s="89"/>
      <c r="V282" s="89"/>
      <c r="W282" s="89"/>
      <c r="X282" s="89"/>
      <c r="Y282" s="89"/>
    </row>
    <row r="283" spans="5:25" x14ac:dyDescent="0.3">
      <c r="F283" s="64" t="s">
        <v>190</v>
      </c>
      <c r="G283" s="64" t="s">
        <v>282</v>
      </c>
      <c r="H283" s="23"/>
      <c r="I283" s="23"/>
      <c r="J283" s="101">
        <f>J240 * J$93</f>
        <v>0.49274064217162228</v>
      </c>
      <c r="K283" s="101">
        <f t="shared" ref="K283:Y283" si="246">K240 * K$93</f>
        <v>0.49274064217162228</v>
      </c>
      <c r="L283" s="101">
        <f t="shared" si="246"/>
        <v>0.56827138844555924</v>
      </c>
      <c r="M283" s="101">
        <f t="shared" si="246"/>
        <v>0.56827138844555924</v>
      </c>
      <c r="N283" s="101">
        <f t="shared" si="246"/>
        <v>0.50080707806956148</v>
      </c>
      <c r="O283" s="101">
        <f t="shared" si="246"/>
        <v>0.48999713219532509</v>
      </c>
      <c r="P283" s="101">
        <f t="shared" si="246"/>
        <v>0.42676777798877852</v>
      </c>
      <c r="Q283" s="101">
        <f t="shared" si="246"/>
        <v>0.51525663972351798</v>
      </c>
      <c r="R283" s="101">
        <f t="shared" si="246"/>
        <v>0.38464071659092403</v>
      </c>
      <c r="S283" s="101">
        <f t="shared" si="246"/>
        <v>0.38464071659092403</v>
      </c>
      <c r="T283" s="101">
        <f t="shared" si="246"/>
        <v>0.38464071659092403</v>
      </c>
      <c r="U283" s="101">
        <f t="shared" si="246"/>
        <v>0.38464071659092403</v>
      </c>
      <c r="V283" s="101">
        <f t="shared" si="246"/>
        <v>0.38464071659092403</v>
      </c>
      <c r="W283" s="101">
        <f t="shared" si="246"/>
        <v>0.38464071659092403</v>
      </c>
      <c r="X283" s="101">
        <f t="shared" si="246"/>
        <v>0.38464071659092403</v>
      </c>
      <c r="Y283" s="101">
        <f t="shared" si="246"/>
        <v>0.38464071659092403</v>
      </c>
    </row>
    <row r="284" spans="5:25" x14ac:dyDescent="0.3">
      <c r="F284" s="28" t="s">
        <v>191</v>
      </c>
      <c r="G284" s="28" t="s">
        <v>282</v>
      </c>
      <c r="J284" s="121">
        <f t="shared" ref="J284:Y284" si="247">J241 * J$93</f>
        <v>0.98669692737491799</v>
      </c>
      <c r="K284" s="121">
        <f t="shared" si="247"/>
        <v>0.98669692737491799</v>
      </c>
      <c r="L284" s="121">
        <f t="shared" si="247"/>
        <v>1.1379447622244545</v>
      </c>
      <c r="M284" s="121">
        <f t="shared" si="247"/>
        <v>1.1379447622244545</v>
      </c>
      <c r="N284" s="121">
        <f t="shared" si="247"/>
        <v>1.0028496999172551</v>
      </c>
      <c r="O284" s="121">
        <f t="shared" si="247"/>
        <v>0.98120313889442146</v>
      </c>
      <c r="P284" s="121">
        <f t="shared" si="247"/>
        <v>0.8545884370087794</v>
      </c>
      <c r="Q284" s="121">
        <f t="shared" si="247"/>
        <v>0.88474988794630338</v>
      </c>
      <c r="R284" s="121">
        <f t="shared" si="247"/>
        <v>0.77023038231817431</v>
      </c>
      <c r="S284" s="121">
        <f t="shared" si="247"/>
        <v>0.77023038231817431</v>
      </c>
      <c r="T284" s="121">
        <f t="shared" si="247"/>
        <v>0.77023038231817431</v>
      </c>
      <c r="U284" s="121">
        <f t="shared" si="247"/>
        <v>0.77023038231817431</v>
      </c>
      <c r="V284" s="121">
        <f t="shared" si="247"/>
        <v>0.77023038231817431</v>
      </c>
      <c r="W284" s="121">
        <f t="shared" si="247"/>
        <v>0.77023038231817431</v>
      </c>
      <c r="X284" s="121">
        <f t="shared" si="247"/>
        <v>0.77023038231817431</v>
      </c>
      <c r="Y284" s="121">
        <f t="shared" si="247"/>
        <v>0.77023038231817431</v>
      </c>
    </row>
    <row r="285" spans="5:25" x14ac:dyDescent="0.3">
      <c r="F285" s="28" t="s">
        <v>192</v>
      </c>
      <c r="G285" s="28" t="s">
        <v>282</v>
      </c>
      <c r="J285" s="121">
        <f t="shared" ref="J285:Y285" si="248">J242 * J$93</f>
        <v>0.98669692737491799</v>
      </c>
      <c r="K285" s="121">
        <f t="shared" si="248"/>
        <v>0.98669692737491799</v>
      </c>
      <c r="L285" s="121">
        <f t="shared" si="248"/>
        <v>1.1379447622244545</v>
      </c>
      <c r="M285" s="121">
        <f t="shared" si="248"/>
        <v>1.1379447622244545</v>
      </c>
      <c r="N285" s="121">
        <f t="shared" si="248"/>
        <v>1.0028496999172551</v>
      </c>
      <c r="O285" s="121">
        <f t="shared" si="248"/>
        <v>0.98120313889442146</v>
      </c>
      <c r="P285" s="121">
        <f t="shared" si="248"/>
        <v>0.8545884370087794</v>
      </c>
      <c r="Q285" s="121">
        <f t="shared" si="248"/>
        <v>0.88474988794630338</v>
      </c>
      <c r="R285" s="121">
        <f t="shared" si="248"/>
        <v>0.77023038231817431</v>
      </c>
      <c r="S285" s="121">
        <f t="shared" si="248"/>
        <v>0.77023038231817431</v>
      </c>
      <c r="T285" s="121">
        <f t="shared" si="248"/>
        <v>0.77023038231817431</v>
      </c>
      <c r="U285" s="121">
        <f t="shared" si="248"/>
        <v>0.77023038231817431</v>
      </c>
      <c r="V285" s="121">
        <f t="shared" si="248"/>
        <v>0.77023038231817431</v>
      </c>
      <c r="W285" s="121">
        <f t="shared" si="248"/>
        <v>0.77023038231817431</v>
      </c>
      <c r="X285" s="121">
        <f t="shared" si="248"/>
        <v>0.77023038231817431</v>
      </c>
      <c r="Y285" s="121">
        <f t="shared" si="248"/>
        <v>0.77023038231817431</v>
      </c>
    </row>
    <row r="286" spans="5:25" x14ac:dyDescent="0.3">
      <c r="F286" s="28" t="s">
        <v>193</v>
      </c>
      <c r="G286" s="28" t="s">
        <v>282</v>
      </c>
      <c r="J286" s="121">
        <f t="shared" ref="J286:Y286" si="249">J243 * J$93</f>
        <v>1.7800183921076809</v>
      </c>
      <c r="K286" s="121">
        <f t="shared" si="249"/>
        <v>1.7800183921076809</v>
      </c>
      <c r="L286" s="121">
        <f t="shared" si="249"/>
        <v>2.0528721127682932</v>
      </c>
      <c r="M286" s="121">
        <f t="shared" si="249"/>
        <v>2.0528721127682932</v>
      </c>
      <c r="N286" s="121">
        <f t="shared" si="249"/>
        <v>1.8091582742854704</v>
      </c>
      <c r="O286" s="121">
        <f t="shared" si="249"/>
        <v>1.77010750228293</v>
      </c>
      <c r="P286" s="121">
        <f t="shared" si="249"/>
        <v>1.5416923812717775</v>
      </c>
      <c r="Q286" s="121">
        <f t="shared" si="249"/>
        <v>1.0779807947309659</v>
      </c>
      <c r="R286" s="121">
        <f t="shared" si="249"/>
        <v>1.3895089856355953</v>
      </c>
      <c r="S286" s="121">
        <f t="shared" si="249"/>
        <v>1.3895089856355953</v>
      </c>
      <c r="T286" s="121">
        <f t="shared" si="249"/>
        <v>1.3895089856355953</v>
      </c>
      <c r="U286" s="121">
        <f t="shared" si="249"/>
        <v>1.3895089856355953</v>
      </c>
      <c r="V286" s="121">
        <f t="shared" si="249"/>
        <v>1.3895089856355953</v>
      </c>
      <c r="W286" s="121">
        <f t="shared" si="249"/>
        <v>1.3895089856355953</v>
      </c>
      <c r="X286" s="121">
        <f t="shared" si="249"/>
        <v>1.3895089856355953</v>
      </c>
      <c r="Y286" s="121">
        <f t="shared" si="249"/>
        <v>1.3895089856355953</v>
      </c>
    </row>
    <row r="287" spans="5:25" x14ac:dyDescent="0.3">
      <c r="F287" s="28" t="s">
        <v>194</v>
      </c>
      <c r="G287" s="28" t="s">
        <v>282</v>
      </c>
      <c r="J287" s="121">
        <f t="shared" ref="J287:Y287" si="250">J244 * J$93</f>
        <v>1.7800183921076809</v>
      </c>
      <c r="K287" s="121">
        <f t="shared" si="250"/>
        <v>1.7800183921076809</v>
      </c>
      <c r="L287" s="121">
        <f t="shared" si="250"/>
        <v>2.0528721127682932</v>
      </c>
      <c r="M287" s="121">
        <f t="shared" si="250"/>
        <v>2.0528721127682932</v>
      </c>
      <c r="N287" s="121">
        <f t="shared" si="250"/>
        <v>1.8091582742854704</v>
      </c>
      <c r="O287" s="121">
        <f t="shared" si="250"/>
        <v>1.77010750228293</v>
      </c>
      <c r="P287" s="121">
        <f t="shared" si="250"/>
        <v>1.5416923812717775</v>
      </c>
      <c r="Q287" s="121">
        <f t="shared" si="250"/>
        <v>1.0779807947309659</v>
      </c>
      <c r="R287" s="121">
        <f t="shared" si="250"/>
        <v>1.3895089856355953</v>
      </c>
      <c r="S287" s="121">
        <f t="shared" si="250"/>
        <v>1.3895089856355953</v>
      </c>
      <c r="T287" s="121">
        <f t="shared" si="250"/>
        <v>1.3895089856355953</v>
      </c>
      <c r="U287" s="121">
        <f t="shared" si="250"/>
        <v>1.3895089856355953</v>
      </c>
      <c r="V287" s="121">
        <f t="shared" si="250"/>
        <v>1.3895089856355953</v>
      </c>
      <c r="W287" s="121">
        <f t="shared" si="250"/>
        <v>1.3895089856355953</v>
      </c>
      <c r="X287" s="121">
        <f t="shared" si="250"/>
        <v>1.3895089856355953</v>
      </c>
      <c r="Y287" s="121">
        <f t="shared" si="250"/>
        <v>1.3895089856355953</v>
      </c>
    </row>
    <row r="288" spans="5:25" x14ac:dyDescent="0.3">
      <c r="F288" s="28" t="s">
        <v>195</v>
      </c>
      <c r="G288" s="28" t="s">
        <v>282</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x14ac:dyDescent="0.3">
      <c r="F289" s="28" t="s">
        <v>196</v>
      </c>
      <c r="G289" s="28" t="s">
        <v>282</v>
      </c>
      <c r="J289" s="121">
        <f t="shared" ref="J289:Y289" si="252">J246 * J$93</f>
        <v>1.7800183921076809</v>
      </c>
      <c r="K289" s="121">
        <f t="shared" si="252"/>
        <v>1.7800183921076809</v>
      </c>
      <c r="L289" s="121">
        <f t="shared" si="252"/>
        <v>2.0528721127682932</v>
      </c>
      <c r="M289" s="121">
        <f t="shared" si="252"/>
        <v>2.0528721127682932</v>
      </c>
      <c r="N289" s="121">
        <f t="shared" si="252"/>
        <v>1.8091582742854704</v>
      </c>
      <c r="O289" s="121">
        <f t="shared" si="252"/>
        <v>1.77010750228293</v>
      </c>
      <c r="P289" s="121">
        <f t="shared" si="252"/>
        <v>1.5416923812717775</v>
      </c>
      <c r="Q289" s="121">
        <f t="shared" si="252"/>
        <v>1.0779807947309659</v>
      </c>
      <c r="R289" s="121">
        <f t="shared" si="252"/>
        <v>1.3895089856355953</v>
      </c>
      <c r="S289" s="121">
        <f t="shared" si="252"/>
        <v>1.3895089856355953</v>
      </c>
      <c r="T289" s="121">
        <f t="shared" si="252"/>
        <v>1.3895089856355953</v>
      </c>
      <c r="U289" s="121">
        <f t="shared" si="252"/>
        <v>1.3895089856355953</v>
      </c>
      <c r="V289" s="121">
        <f t="shared" si="252"/>
        <v>1.3895089856355953</v>
      </c>
      <c r="W289" s="121">
        <f t="shared" si="252"/>
        <v>1.3895089856355953</v>
      </c>
      <c r="X289" s="121">
        <f t="shared" si="252"/>
        <v>1.3895089856355953</v>
      </c>
      <c r="Y289" s="121">
        <f t="shared" si="252"/>
        <v>1.3895089856355953</v>
      </c>
    </row>
    <row r="290" spans="2:27" x14ac:dyDescent="0.3">
      <c r="F290" s="28" t="s">
        <v>197</v>
      </c>
      <c r="G290" s="28" t="s">
        <v>282</v>
      </c>
      <c r="J290" s="121">
        <f t="shared" ref="J290:Y290" si="253">J247 * J$93</f>
        <v>1.7800183921076809</v>
      </c>
      <c r="K290" s="121">
        <f t="shared" si="253"/>
        <v>1.7800183921076809</v>
      </c>
      <c r="L290" s="121">
        <f t="shared" si="253"/>
        <v>2.0528721127682932</v>
      </c>
      <c r="M290" s="121">
        <f t="shared" si="253"/>
        <v>2.0528721127682932</v>
      </c>
      <c r="N290" s="121">
        <f t="shared" si="253"/>
        <v>1.8091582742854704</v>
      </c>
      <c r="O290" s="121">
        <f t="shared" si="253"/>
        <v>1.77010750228293</v>
      </c>
      <c r="P290" s="121">
        <f t="shared" si="253"/>
        <v>1.5416923812717775</v>
      </c>
      <c r="Q290" s="121">
        <f t="shared" si="253"/>
        <v>1.0779807947309659</v>
      </c>
      <c r="R290" s="121">
        <f t="shared" si="253"/>
        <v>1.3895089856355953</v>
      </c>
      <c r="S290" s="121">
        <f t="shared" si="253"/>
        <v>1.3895089856355953</v>
      </c>
      <c r="T290" s="121">
        <f t="shared" si="253"/>
        <v>1.3895089856355953</v>
      </c>
      <c r="U290" s="121">
        <f t="shared" si="253"/>
        <v>1.3895089856355953</v>
      </c>
      <c r="V290" s="121">
        <f t="shared" si="253"/>
        <v>1.3895089856355953</v>
      </c>
      <c r="W290" s="121">
        <f t="shared" si="253"/>
        <v>1.3895089856355953</v>
      </c>
      <c r="X290" s="121">
        <f t="shared" si="253"/>
        <v>1.3895089856355953</v>
      </c>
      <c r="Y290" s="121">
        <f t="shared" si="253"/>
        <v>1.3895089856355953</v>
      </c>
    </row>
    <row r="291" spans="2:27" x14ac:dyDescent="0.3">
      <c r="F291" s="67" t="s">
        <v>198</v>
      </c>
      <c r="G291" s="67" t="s">
        <v>282</v>
      </c>
      <c r="H291" s="37"/>
      <c r="I291" s="37"/>
      <c r="J291" s="131">
        <f t="shared" ref="J291:Y291" si="254">J248 * J$93</f>
        <v>1.7800183921076809</v>
      </c>
      <c r="K291" s="131">
        <f t="shared" si="254"/>
        <v>1.7800183921076809</v>
      </c>
      <c r="L291" s="131">
        <f t="shared" si="254"/>
        <v>2.0528721127682932</v>
      </c>
      <c r="M291" s="131">
        <f t="shared" si="254"/>
        <v>2.0528721127682932</v>
      </c>
      <c r="N291" s="131">
        <f t="shared" si="254"/>
        <v>1.8091582742854704</v>
      </c>
      <c r="O291" s="131">
        <f t="shared" si="254"/>
        <v>1.77010750228293</v>
      </c>
      <c r="P291" s="131">
        <f t="shared" si="254"/>
        <v>1.5416923812717775</v>
      </c>
      <c r="Q291" s="131">
        <f t="shared" si="254"/>
        <v>1.0779807947309659</v>
      </c>
      <c r="R291" s="131">
        <f t="shared" si="254"/>
        <v>1.3895089856355953</v>
      </c>
      <c r="S291" s="131">
        <f t="shared" si="254"/>
        <v>1.3895089856355953</v>
      </c>
      <c r="T291" s="131">
        <f t="shared" si="254"/>
        <v>1.3895089856355953</v>
      </c>
      <c r="U291" s="131">
        <f t="shared" si="254"/>
        <v>1.3895089856355953</v>
      </c>
      <c r="V291" s="131">
        <f t="shared" si="254"/>
        <v>1.3895089856355953</v>
      </c>
      <c r="W291" s="131">
        <f t="shared" si="254"/>
        <v>1.3895089856355953</v>
      </c>
      <c r="X291" s="131">
        <f t="shared" si="254"/>
        <v>1.3895089856355953</v>
      </c>
      <c r="Y291" s="131">
        <f t="shared" si="254"/>
        <v>1.3895089856355953</v>
      </c>
    </row>
    <row r="292" spans="2:27" x14ac:dyDescent="0.3">
      <c r="J292" s="89"/>
      <c r="K292" s="89"/>
      <c r="L292" s="89"/>
      <c r="M292" s="89"/>
      <c r="N292" s="89"/>
      <c r="O292" s="89"/>
      <c r="P292" s="89"/>
      <c r="Q292" s="89"/>
      <c r="R292" s="89"/>
      <c r="S292" s="89"/>
      <c r="T292" s="89"/>
      <c r="U292" s="89"/>
      <c r="V292" s="89"/>
      <c r="W292" s="89"/>
      <c r="X292" s="89"/>
      <c r="Y292" s="89"/>
    </row>
    <row r="293" spans="2:27" x14ac:dyDescent="0.3">
      <c r="E293" s="32" t="s">
        <v>157</v>
      </c>
      <c r="F293" s="28"/>
      <c r="G293" s="28"/>
      <c r="J293" s="89"/>
      <c r="K293" s="89"/>
      <c r="L293" s="89"/>
      <c r="M293" s="89"/>
      <c r="N293" s="89"/>
      <c r="O293" s="89"/>
      <c r="P293" s="89"/>
      <c r="Q293" s="89"/>
      <c r="R293" s="89"/>
      <c r="S293" s="89"/>
      <c r="T293" s="89"/>
      <c r="U293" s="89"/>
      <c r="V293" s="89"/>
      <c r="W293" s="89"/>
      <c r="X293" s="89"/>
      <c r="Y293" s="89"/>
    </row>
    <row r="294" spans="2:27" x14ac:dyDescent="0.3">
      <c r="F294" s="64" t="s">
        <v>190</v>
      </c>
      <c r="G294" s="64" t="s">
        <v>282</v>
      </c>
      <c r="H294" s="23"/>
      <c r="I294" s="23"/>
      <c r="J294" s="101">
        <f>J251 * J$93</f>
        <v>0</v>
      </c>
      <c r="K294" s="101">
        <f t="shared" ref="K294:Y294" si="255">K251 * K$93</f>
        <v>0</v>
      </c>
      <c r="L294" s="101">
        <f t="shared" si="255"/>
        <v>0</v>
      </c>
      <c r="M294" s="101">
        <f t="shared" si="255"/>
        <v>0</v>
      </c>
      <c r="N294" s="101">
        <f t="shared" si="255"/>
        <v>0</v>
      </c>
      <c r="O294" s="101">
        <f t="shared" si="255"/>
        <v>0</v>
      </c>
      <c r="P294" s="101">
        <f t="shared" si="255"/>
        <v>0</v>
      </c>
      <c r="Q294" s="101">
        <f t="shared" si="255"/>
        <v>0</v>
      </c>
      <c r="R294" s="101">
        <f t="shared" si="255"/>
        <v>0</v>
      </c>
      <c r="S294" s="101">
        <f t="shared" si="255"/>
        <v>0</v>
      </c>
      <c r="T294" s="101">
        <f t="shared" si="255"/>
        <v>0</v>
      </c>
      <c r="U294" s="101">
        <f t="shared" si="255"/>
        <v>0</v>
      </c>
      <c r="V294" s="101">
        <f t="shared" si="255"/>
        <v>0</v>
      </c>
      <c r="W294" s="101">
        <f t="shared" si="255"/>
        <v>0</v>
      </c>
      <c r="X294" s="101">
        <f t="shared" si="255"/>
        <v>0</v>
      </c>
      <c r="Y294" s="101">
        <f t="shared" si="255"/>
        <v>0</v>
      </c>
    </row>
    <row r="295" spans="2:27" x14ac:dyDescent="0.3">
      <c r="F295" s="28" t="s">
        <v>191</v>
      </c>
      <c r="G295" s="28" t="s">
        <v>282</v>
      </c>
      <c r="J295" s="121">
        <f t="shared" ref="J295:Y295" si="256">J252 * J$93</f>
        <v>0.21180010270239361</v>
      </c>
      <c r="K295" s="121">
        <f t="shared" si="256"/>
        <v>0.21180010270239361</v>
      </c>
      <c r="L295" s="121">
        <f t="shared" si="256"/>
        <v>0.2442663099701845</v>
      </c>
      <c r="M295" s="121">
        <f t="shared" si="256"/>
        <v>0.2442663099701845</v>
      </c>
      <c r="N295" s="121">
        <f t="shared" si="256"/>
        <v>0.215267387122238</v>
      </c>
      <c r="O295" s="121">
        <f t="shared" si="256"/>
        <v>0.21062082978473076</v>
      </c>
      <c r="P295" s="121">
        <f t="shared" si="256"/>
        <v>0.18344226449380813</v>
      </c>
      <c r="Q295" s="121">
        <f t="shared" si="256"/>
        <v>0.13371413796565465</v>
      </c>
      <c r="R295" s="121">
        <f t="shared" si="256"/>
        <v>0.16533432866109088</v>
      </c>
      <c r="S295" s="121">
        <f t="shared" si="256"/>
        <v>0.16533432866109088</v>
      </c>
      <c r="T295" s="121">
        <f t="shared" si="256"/>
        <v>0.16533432866109088</v>
      </c>
      <c r="U295" s="121">
        <f t="shared" si="256"/>
        <v>0.16533432866109088</v>
      </c>
      <c r="V295" s="121">
        <f t="shared" si="256"/>
        <v>0.16533432866109088</v>
      </c>
      <c r="W295" s="121">
        <f t="shared" si="256"/>
        <v>0.16533432866109088</v>
      </c>
      <c r="X295" s="121">
        <f t="shared" si="256"/>
        <v>0.16533432866109088</v>
      </c>
      <c r="Y295" s="121">
        <f t="shared" si="256"/>
        <v>0.16533432866109088</v>
      </c>
    </row>
    <row r="296" spans="2:27" x14ac:dyDescent="0.3">
      <c r="F296" s="28" t="s">
        <v>192</v>
      </c>
      <c r="G296" s="28" t="s">
        <v>282</v>
      </c>
      <c r="J296" s="121">
        <f t="shared" ref="J296:Y296" si="257">J253 * J$93</f>
        <v>0.21180010270239361</v>
      </c>
      <c r="K296" s="121">
        <f t="shared" si="257"/>
        <v>0.21180010270239361</v>
      </c>
      <c r="L296" s="121">
        <f t="shared" si="257"/>
        <v>0.2442663099701845</v>
      </c>
      <c r="M296" s="121">
        <f t="shared" si="257"/>
        <v>0.2442663099701845</v>
      </c>
      <c r="N296" s="121">
        <f t="shared" si="257"/>
        <v>0.215267387122238</v>
      </c>
      <c r="O296" s="121">
        <f t="shared" si="257"/>
        <v>0.21062082978473076</v>
      </c>
      <c r="P296" s="121">
        <f t="shared" si="257"/>
        <v>0.18344226449380813</v>
      </c>
      <c r="Q296" s="121">
        <f t="shared" si="257"/>
        <v>0.13371413796565465</v>
      </c>
      <c r="R296" s="121">
        <f t="shared" si="257"/>
        <v>0.16533432866109088</v>
      </c>
      <c r="S296" s="121">
        <f t="shared" si="257"/>
        <v>0.16533432866109088</v>
      </c>
      <c r="T296" s="121">
        <f t="shared" si="257"/>
        <v>0.16533432866109088</v>
      </c>
      <c r="U296" s="121">
        <f t="shared" si="257"/>
        <v>0.16533432866109088</v>
      </c>
      <c r="V296" s="121">
        <f t="shared" si="257"/>
        <v>0.16533432866109088</v>
      </c>
      <c r="W296" s="121">
        <f t="shared" si="257"/>
        <v>0.16533432866109088</v>
      </c>
      <c r="X296" s="121">
        <f t="shared" si="257"/>
        <v>0.16533432866109088</v>
      </c>
      <c r="Y296" s="121">
        <f t="shared" si="257"/>
        <v>0.16533432866109088</v>
      </c>
    </row>
    <row r="297" spans="2:27" x14ac:dyDescent="0.3">
      <c r="F297" s="28" t="s">
        <v>193</v>
      </c>
      <c r="G297" s="28" t="s">
        <v>282</v>
      </c>
      <c r="J297" s="121">
        <f t="shared" ref="J297:Y297" si="258">J254 * J$93</f>
        <v>0.22807920222508446</v>
      </c>
      <c r="K297" s="121">
        <f t="shared" si="258"/>
        <v>0.22807920222508446</v>
      </c>
      <c r="L297" s="121">
        <f t="shared" si="258"/>
        <v>0.26304078419993732</v>
      </c>
      <c r="M297" s="121">
        <f t="shared" si="258"/>
        <v>0.26304078419993732</v>
      </c>
      <c r="N297" s="121">
        <f t="shared" si="258"/>
        <v>0.23181298447672374</v>
      </c>
      <c r="O297" s="121">
        <f t="shared" si="258"/>
        <v>0.22680928959126423</v>
      </c>
      <c r="P297" s="121">
        <f t="shared" si="258"/>
        <v>0.1975417613413549</v>
      </c>
      <c r="Q297" s="121">
        <f t="shared" si="258"/>
        <v>0.14399149728588273</v>
      </c>
      <c r="R297" s="121">
        <f t="shared" si="258"/>
        <v>0.17804203728091658</v>
      </c>
      <c r="S297" s="121">
        <f t="shared" si="258"/>
        <v>0.17804203728091658</v>
      </c>
      <c r="T297" s="121">
        <f t="shared" si="258"/>
        <v>0.17804203728091658</v>
      </c>
      <c r="U297" s="121">
        <f t="shared" si="258"/>
        <v>0.17804203728091658</v>
      </c>
      <c r="V297" s="121">
        <f t="shared" si="258"/>
        <v>0.17804203728091658</v>
      </c>
      <c r="W297" s="121">
        <f t="shared" si="258"/>
        <v>0.17804203728091658</v>
      </c>
      <c r="X297" s="121">
        <f t="shared" si="258"/>
        <v>0.17804203728091658</v>
      </c>
      <c r="Y297" s="121">
        <f t="shared" si="258"/>
        <v>0.17804203728091658</v>
      </c>
    </row>
    <row r="298" spans="2:27" x14ac:dyDescent="0.3">
      <c r="F298" s="28" t="s">
        <v>194</v>
      </c>
      <c r="G298" s="28" t="s">
        <v>282</v>
      </c>
      <c r="J298" s="121">
        <f t="shared" ref="J298:Y298" si="259">J255 * J$93</f>
        <v>0.22807920222508446</v>
      </c>
      <c r="K298" s="121">
        <f t="shared" si="259"/>
        <v>0.22807920222508446</v>
      </c>
      <c r="L298" s="121">
        <f t="shared" si="259"/>
        <v>0.26304078419993732</v>
      </c>
      <c r="M298" s="121">
        <f t="shared" si="259"/>
        <v>0.26304078419993732</v>
      </c>
      <c r="N298" s="121">
        <f t="shared" si="259"/>
        <v>0.23181298447672374</v>
      </c>
      <c r="O298" s="121">
        <f t="shared" si="259"/>
        <v>0.22680928959126423</v>
      </c>
      <c r="P298" s="121">
        <f t="shared" si="259"/>
        <v>0.1975417613413549</v>
      </c>
      <c r="Q298" s="121">
        <f t="shared" si="259"/>
        <v>0.14399149728588273</v>
      </c>
      <c r="R298" s="121">
        <f t="shared" si="259"/>
        <v>0.17804203728091658</v>
      </c>
      <c r="S298" s="121">
        <f t="shared" si="259"/>
        <v>0.17804203728091658</v>
      </c>
      <c r="T298" s="121">
        <f t="shared" si="259"/>
        <v>0.17804203728091658</v>
      </c>
      <c r="U298" s="121">
        <f t="shared" si="259"/>
        <v>0.17804203728091658</v>
      </c>
      <c r="V298" s="121">
        <f t="shared" si="259"/>
        <v>0.17804203728091658</v>
      </c>
      <c r="W298" s="121">
        <f t="shared" si="259"/>
        <v>0.17804203728091658</v>
      </c>
      <c r="X298" s="121">
        <f t="shared" si="259"/>
        <v>0.17804203728091658</v>
      </c>
      <c r="Y298" s="121">
        <f t="shared" si="259"/>
        <v>0.17804203728091658</v>
      </c>
    </row>
    <row r="299" spans="2:27" x14ac:dyDescent="0.3">
      <c r="F299" s="28" t="s">
        <v>195</v>
      </c>
      <c r="G299" s="28" t="s">
        <v>282</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x14ac:dyDescent="0.3">
      <c r="F300" s="28" t="s">
        <v>196</v>
      </c>
      <c r="G300" s="28" t="s">
        <v>282</v>
      </c>
      <c r="J300" s="121">
        <f t="shared" ref="J300:Y300" si="261">J257 * J$93</f>
        <v>0.22807920222508446</v>
      </c>
      <c r="K300" s="121">
        <f t="shared" si="261"/>
        <v>0.22807920222508446</v>
      </c>
      <c r="L300" s="121">
        <f t="shared" si="261"/>
        <v>0.26304078419993732</v>
      </c>
      <c r="M300" s="121">
        <f t="shared" si="261"/>
        <v>0.26304078419993732</v>
      </c>
      <c r="N300" s="121">
        <f t="shared" si="261"/>
        <v>0.23181298447672374</v>
      </c>
      <c r="O300" s="121">
        <f t="shared" si="261"/>
        <v>0.22680928959126423</v>
      </c>
      <c r="P300" s="121">
        <f t="shared" si="261"/>
        <v>0.1975417613413549</v>
      </c>
      <c r="Q300" s="121">
        <f t="shared" si="261"/>
        <v>0.14399149728588273</v>
      </c>
      <c r="R300" s="121">
        <f t="shared" si="261"/>
        <v>0.17804203728091658</v>
      </c>
      <c r="S300" s="121">
        <f t="shared" si="261"/>
        <v>0.17804203728091658</v>
      </c>
      <c r="T300" s="121">
        <f t="shared" si="261"/>
        <v>0.17804203728091658</v>
      </c>
      <c r="U300" s="121">
        <f t="shared" si="261"/>
        <v>0.17804203728091658</v>
      </c>
      <c r="V300" s="121">
        <f t="shared" si="261"/>
        <v>0.17804203728091658</v>
      </c>
      <c r="W300" s="121">
        <f t="shared" si="261"/>
        <v>0.17804203728091658</v>
      </c>
      <c r="X300" s="121">
        <f t="shared" si="261"/>
        <v>0.17804203728091658</v>
      </c>
      <c r="Y300" s="121">
        <f t="shared" si="261"/>
        <v>0.17804203728091658</v>
      </c>
    </row>
    <row r="301" spans="2:27" x14ac:dyDescent="0.3">
      <c r="F301" s="28" t="s">
        <v>197</v>
      </c>
      <c r="G301" s="28" t="s">
        <v>282</v>
      </c>
      <c r="J301" s="121">
        <f t="shared" ref="J301:Y301" si="262">J258 * J$93</f>
        <v>0.22807920222508446</v>
      </c>
      <c r="K301" s="121">
        <f t="shared" si="262"/>
        <v>0.22807920222508446</v>
      </c>
      <c r="L301" s="121">
        <f t="shared" si="262"/>
        <v>0.26304078419993732</v>
      </c>
      <c r="M301" s="121">
        <f t="shared" si="262"/>
        <v>0.26304078419993732</v>
      </c>
      <c r="N301" s="121">
        <f t="shared" si="262"/>
        <v>0.23181298447672374</v>
      </c>
      <c r="O301" s="121">
        <f t="shared" si="262"/>
        <v>0.22680928959126423</v>
      </c>
      <c r="P301" s="121">
        <f t="shared" si="262"/>
        <v>0.1975417613413549</v>
      </c>
      <c r="Q301" s="121">
        <f t="shared" si="262"/>
        <v>0.14399149728588273</v>
      </c>
      <c r="R301" s="121">
        <f t="shared" si="262"/>
        <v>0.17804203728091658</v>
      </c>
      <c r="S301" s="121">
        <f t="shared" si="262"/>
        <v>0.17804203728091658</v>
      </c>
      <c r="T301" s="121">
        <f t="shared" si="262"/>
        <v>0.17804203728091658</v>
      </c>
      <c r="U301" s="121">
        <f t="shared" si="262"/>
        <v>0.17804203728091658</v>
      </c>
      <c r="V301" s="121">
        <f t="shared" si="262"/>
        <v>0.17804203728091658</v>
      </c>
      <c r="W301" s="121">
        <f t="shared" si="262"/>
        <v>0.17804203728091658</v>
      </c>
      <c r="X301" s="121">
        <f t="shared" si="262"/>
        <v>0.17804203728091658</v>
      </c>
      <c r="Y301" s="121">
        <f t="shared" si="262"/>
        <v>0.17804203728091658</v>
      </c>
    </row>
    <row r="302" spans="2:27" x14ac:dyDescent="0.3">
      <c r="F302" s="67" t="s">
        <v>198</v>
      </c>
      <c r="G302" s="67" t="s">
        <v>282</v>
      </c>
      <c r="H302" s="37"/>
      <c r="I302" s="37"/>
      <c r="J302" s="131">
        <f t="shared" ref="J302:Y302" si="263">J259 * J$93</f>
        <v>0.22807920222508446</v>
      </c>
      <c r="K302" s="131">
        <f t="shared" si="263"/>
        <v>0.22807920222508446</v>
      </c>
      <c r="L302" s="131">
        <f t="shared" si="263"/>
        <v>0.26304078419993732</v>
      </c>
      <c r="M302" s="131">
        <f t="shared" si="263"/>
        <v>0.26304078419993732</v>
      </c>
      <c r="N302" s="131">
        <f t="shared" si="263"/>
        <v>0.23181298447672374</v>
      </c>
      <c r="O302" s="131">
        <f t="shared" si="263"/>
        <v>0.22680928959126423</v>
      </c>
      <c r="P302" s="131">
        <f t="shared" si="263"/>
        <v>0.1975417613413549</v>
      </c>
      <c r="Q302" s="131">
        <f t="shared" si="263"/>
        <v>0.14399149728588273</v>
      </c>
      <c r="R302" s="131">
        <f t="shared" si="263"/>
        <v>0.17804203728091658</v>
      </c>
      <c r="S302" s="131">
        <f t="shared" si="263"/>
        <v>0.17804203728091658</v>
      </c>
      <c r="T302" s="131">
        <f t="shared" si="263"/>
        <v>0.17804203728091658</v>
      </c>
      <c r="U302" s="131">
        <f t="shared" si="263"/>
        <v>0.17804203728091658</v>
      </c>
      <c r="V302" s="131">
        <f t="shared" si="263"/>
        <v>0.17804203728091658</v>
      </c>
      <c r="W302" s="131">
        <f t="shared" si="263"/>
        <v>0.17804203728091658</v>
      </c>
      <c r="X302" s="131">
        <f t="shared" si="263"/>
        <v>0.17804203728091658</v>
      </c>
      <c r="Y302" s="131">
        <f t="shared" si="263"/>
        <v>0.17804203728091658</v>
      </c>
    </row>
    <row r="304" spans="2:27" x14ac:dyDescent="0.3">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3">
      <c r="E306" t="s">
        <v>231</v>
      </c>
      <c r="G306" s="6" t="s">
        <v>54</v>
      </c>
      <c r="H306" s="103">
        <f t="array" ref="H306">SUM(IF(ISERROR(H20:Y302), 1))</f>
        <v>0</v>
      </c>
    </row>
    <row r="308" spans="2:27" x14ac:dyDescent="0.3">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6640625" hidden="1"/>
  </cols>
  <sheetData>
    <row r="1" spans="1:43" s="1" customFormat="1" x14ac:dyDescent="0.3">
      <c r="A1" s="1" t="str">
        <f ca="1">MID(CELL("filename",A1),FIND("]",CELL("filename",A1))+1,255)</f>
        <v>System peak demand</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H281 &amp; IF(H281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489</v>
      </c>
      <c r="D9" s="29"/>
    </row>
    <row r="10" spans="1:43" x14ac:dyDescent="0.3">
      <c r="C10" s="29" t="s">
        <v>490</v>
      </c>
      <c r="D10" s="29"/>
    </row>
    <row r="11" spans="1:43" x14ac:dyDescent="0.3">
      <c r="C11" s="29" t="s">
        <v>491</v>
      </c>
      <c r="D11" s="29"/>
    </row>
    <row r="12" spans="1:43" x14ac:dyDescent="0.3">
      <c r="C12" s="29"/>
      <c r="D12" s="29" t="s">
        <v>492</v>
      </c>
    </row>
    <row r="13" spans="1:43" x14ac:dyDescent="0.3">
      <c r="C13" s="29"/>
      <c r="D13" s="29" t="s">
        <v>493</v>
      </c>
    </row>
    <row r="14" spans="1:43" x14ac:dyDescent="0.3">
      <c r="C14" s="29"/>
      <c r="D14" s="29" t="s">
        <v>494</v>
      </c>
    </row>
    <row r="16" spans="1:43" x14ac:dyDescent="0.3">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3">
      <c r="C17" s="32"/>
      <c r="AQ17" s="3"/>
    </row>
    <row r="18" spans="3:43" x14ac:dyDescent="0.3">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3">
      <c r="H19" s="63"/>
      <c r="J19" s="63"/>
      <c r="K19" s="63"/>
      <c r="L19" s="63"/>
      <c r="M19" s="63"/>
      <c r="N19" s="63"/>
      <c r="O19" s="63"/>
      <c r="P19" s="63"/>
      <c r="Q19" s="63"/>
      <c r="R19" s="63"/>
      <c r="S19" s="63"/>
      <c r="T19" s="63"/>
      <c r="U19" s="63"/>
      <c r="V19" s="63"/>
      <c r="W19" s="63"/>
      <c r="X19" s="63"/>
      <c r="Y19" s="63"/>
    </row>
    <row r="20" spans="3:43" x14ac:dyDescent="0.3">
      <c r="D20" s="29" t="s">
        <v>496</v>
      </c>
      <c r="AQ20" s="3"/>
    </row>
    <row r="21" spans="3:43" x14ac:dyDescent="0.3">
      <c r="C21" s="32"/>
      <c r="AQ21" s="3"/>
    </row>
    <row r="22" spans="3:43" x14ac:dyDescent="0.3">
      <c r="E22" s="32" t="s">
        <v>377</v>
      </c>
      <c r="H22" s="14"/>
      <c r="J22" s="63"/>
      <c r="L22" s="63"/>
      <c r="AQ22" s="3"/>
    </row>
    <row r="23" spans="3:43" x14ac:dyDescent="0.3">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3">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3">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3">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3">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3">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3">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3">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3">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3">
      <c r="E32" s="32"/>
      <c r="J32" s="63"/>
      <c r="K32" s="63"/>
      <c r="L32" s="63"/>
      <c r="M32" s="63"/>
      <c r="N32" s="63"/>
      <c r="O32" s="63"/>
      <c r="P32" s="63"/>
      <c r="Q32" s="63"/>
      <c r="R32" s="63"/>
      <c r="S32" s="63"/>
      <c r="T32" s="63"/>
      <c r="U32" s="63"/>
      <c r="V32" s="63"/>
      <c r="W32" s="63"/>
      <c r="X32" s="63"/>
      <c r="Y32" s="63"/>
      <c r="AQ32" s="3"/>
    </row>
    <row r="33" spans="5:43" x14ac:dyDescent="0.3">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3">
      <c r="E34" s="32"/>
      <c r="F34" s="23" t="s">
        <v>190</v>
      </c>
      <c r="G34" s="23" t="s">
        <v>282</v>
      </c>
      <c r="H34" s="158"/>
      <c r="I34" s="158"/>
      <c r="J34" s="124">
        <f t="array" ref="J34:Y42">TRANSPOSE('Load &amp; loss characteristics'!K145:S160)</f>
        <v>1.0811119475731934</v>
      </c>
      <c r="K34" s="124">
        <v>1.0811119475731934</v>
      </c>
      <c r="L34" s="124">
        <v>1.0811119475731934</v>
      </c>
      <c r="M34" s="124">
        <v>1.0811119475731934</v>
      </c>
      <c r="N34" s="124">
        <v>1.0811119475731934</v>
      </c>
      <c r="O34" s="124">
        <v>1.0463328683595021</v>
      </c>
      <c r="P34" s="124">
        <v>1.030550424378613</v>
      </c>
      <c r="Q34" s="124">
        <v>1.0811119475731934</v>
      </c>
      <c r="R34" s="124">
        <v>-1.0811119475731934</v>
      </c>
      <c r="S34" s="124">
        <v>-1.0463328683595021</v>
      </c>
      <c r="T34" s="124">
        <v>-1.0811119475731934</v>
      </c>
      <c r="U34" s="124">
        <v>-1.0811119475731934</v>
      </c>
      <c r="V34" s="124">
        <v>-1.0463328683595021</v>
      </c>
      <c r="W34" s="124">
        <v>-1.0463328683595021</v>
      </c>
      <c r="X34" s="124">
        <v>-1.030550424378613</v>
      </c>
      <c r="Y34" s="124">
        <v>-1.030550424378613</v>
      </c>
      <c r="AQ34" s="3"/>
    </row>
    <row r="35" spans="5:43" x14ac:dyDescent="0.3">
      <c r="E35" s="32"/>
      <c r="F35" t="s">
        <v>191</v>
      </c>
      <c r="G35" t="s">
        <v>282</v>
      </c>
      <c r="H35" s="89"/>
      <c r="I35" s="89"/>
      <c r="J35" s="120">
        <v>1.0811119475731934</v>
      </c>
      <c r="K35" s="120">
        <v>1.0811119475731934</v>
      </c>
      <c r="L35" s="120">
        <v>1.0811119475731934</v>
      </c>
      <c r="M35" s="120">
        <v>1.0811119475731934</v>
      </c>
      <c r="N35" s="120">
        <v>1.0811119475731934</v>
      </c>
      <c r="O35" s="120">
        <v>1.0463328683595021</v>
      </c>
      <c r="P35" s="120">
        <v>1.030550424378613</v>
      </c>
      <c r="Q35" s="120">
        <v>1.0811119475731934</v>
      </c>
      <c r="R35" s="120">
        <v>-1.0811119475731934</v>
      </c>
      <c r="S35" s="120">
        <v>-1.0463328683595021</v>
      </c>
      <c r="T35" s="120">
        <v>-1.0811119475731934</v>
      </c>
      <c r="U35" s="120">
        <v>-1.0811119475731934</v>
      </c>
      <c r="V35" s="120">
        <v>-1.0463328683595021</v>
      </c>
      <c r="W35" s="120">
        <v>-1.0463328683595021</v>
      </c>
      <c r="X35" s="120">
        <v>-1.030550424378613</v>
      </c>
      <c r="Y35" s="120">
        <v>-1.030550424378613</v>
      </c>
      <c r="AQ35" s="3"/>
    </row>
    <row r="36" spans="5:43" x14ac:dyDescent="0.3">
      <c r="E36" s="32"/>
      <c r="F36" t="s">
        <v>192</v>
      </c>
      <c r="G36" t="s">
        <v>282</v>
      </c>
      <c r="H36" s="89"/>
      <c r="I36" s="89"/>
      <c r="J36" s="120">
        <v>1.0811119475731934</v>
      </c>
      <c r="K36" s="120">
        <v>1.0811119475731934</v>
      </c>
      <c r="L36" s="120">
        <v>1.0811119475731934</v>
      </c>
      <c r="M36" s="120">
        <v>1.0811119475731934</v>
      </c>
      <c r="N36" s="120">
        <v>1.0811119475731934</v>
      </c>
      <c r="O36" s="120">
        <v>1.0463328683595021</v>
      </c>
      <c r="P36" s="120">
        <v>1.030550424378613</v>
      </c>
      <c r="Q36" s="120">
        <v>1.0811119475731934</v>
      </c>
      <c r="R36" s="120">
        <v>-1.0811119475731934</v>
      </c>
      <c r="S36" s="120">
        <v>-1.0463328683595021</v>
      </c>
      <c r="T36" s="120">
        <v>-1.0811119475731934</v>
      </c>
      <c r="U36" s="120">
        <v>-1.0811119475731934</v>
      </c>
      <c r="V36" s="120">
        <v>-1.0463328683595021</v>
      </c>
      <c r="W36" s="120">
        <v>-1.0463328683595021</v>
      </c>
      <c r="X36" s="120">
        <v>-1.030550424378613</v>
      </c>
      <c r="Y36" s="120">
        <v>-1.030550424378613</v>
      </c>
      <c r="AQ36" s="3"/>
    </row>
    <row r="37" spans="5:43" x14ac:dyDescent="0.3">
      <c r="E37" s="32"/>
      <c r="F37" t="s">
        <v>193</v>
      </c>
      <c r="G37" t="s">
        <v>282</v>
      </c>
      <c r="H37" s="89"/>
      <c r="I37" s="89"/>
      <c r="J37" s="120">
        <v>1.0811119475731934</v>
      </c>
      <c r="K37" s="120">
        <v>1.0811119475731934</v>
      </c>
      <c r="L37" s="120">
        <v>1.0811119475731934</v>
      </c>
      <c r="M37" s="120">
        <v>1.0811119475731934</v>
      </c>
      <c r="N37" s="120">
        <v>1.0811119475731934</v>
      </c>
      <c r="O37" s="120">
        <v>1.0463328683595021</v>
      </c>
      <c r="P37" s="120">
        <v>1.030550424378613</v>
      </c>
      <c r="Q37" s="120">
        <v>1.0811119475731934</v>
      </c>
      <c r="R37" s="120">
        <v>-1.0811119475731934</v>
      </c>
      <c r="S37" s="120">
        <v>-1.0463328683595021</v>
      </c>
      <c r="T37" s="120">
        <v>-1.0811119475731934</v>
      </c>
      <c r="U37" s="120">
        <v>-1.0811119475731934</v>
      </c>
      <c r="V37" s="120">
        <v>-1.0463328683595021</v>
      </c>
      <c r="W37" s="120">
        <v>-1.0463328683595021</v>
      </c>
      <c r="X37" s="120">
        <v>-1.030550424378613</v>
      </c>
      <c r="Y37" s="120">
        <v>-1.030550424378613</v>
      </c>
      <c r="AQ37" s="3"/>
    </row>
    <row r="38" spans="5:43" x14ac:dyDescent="0.3">
      <c r="E38" s="32"/>
      <c r="F38" t="s">
        <v>194</v>
      </c>
      <c r="G38" t="s">
        <v>282</v>
      </c>
      <c r="H38" s="89"/>
      <c r="I38" s="89"/>
      <c r="J38" s="120">
        <v>1.0811119475731934</v>
      </c>
      <c r="K38" s="120">
        <v>1.0811119475731934</v>
      </c>
      <c r="L38" s="120">
        <v>1.0811119475731934</v>
      </c>
      <c r="M38" s="120">
        <v>1.0811119475731934</v>
      </c>
      <c r="N38" s="120">
        <v>1.0811119475731934</v>
      </c>
      <c r="O38" s="120">
        <v>1.0463328683595021</v>
      </c>
      <c r="P38" s="120">
        <v>1.030550424378613</v>
      </c>
      <c r="Q38" s="120">
        <v>1.0811119475731934</v>
      </c>
      <c r="R38" s="120">
        <v>-1.0811119475731934</v>
      </c>
      <c r="S38" s="120">
        <v>-1.0463328683595021</v>
      </c>
      <c r="T38" s="120">
        <v>-1.0811119475731934</v>
      </c>
      <c r="U38" s="120">
        <v>-1.0811119475731934</v>
      </c>
      <c r="V38" s="120">
        <v>-1.0463328683595021</v>
      </c>
      <c r="W38" s="120">
        <v>-1.0463328683595021</v>
      </c>
      <c r="X38" s="120">
        <v>-1.030550424378613</v>
      </c>
      <c r="Y38" s="120">
        <v>-1.030550424378613</v>
      </c>
      <c r="AQ38" s="3"/>
    </row>
    <row r="39" spans="5:43" x14ac:dyDescent="0.3">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3">
      <c r="E40" s="32"/>
      <c r="F40" t="s">
        <v>196</v>
      </c>
      <c r="G40" t="s">
        <v>282</v>
      </c>
      <c r="H40" s="89"/>
      <c r="I40" s="89"/>
      <c r="J40" s="120">
        <v>1.0811119475731934</v>
      </c>
      <c r="K40" s="120">
        <v>1.0811119475731934</v>
      </c>
      <c r="L40" s="120">
        <v>1.0811119475731934</v>
      </c>
      <c r="M40" s="120">
        <v>1.0811119475731934</v>
      </c>
      <c r="N40" s="120">
        <v>1.0811119475731934</v>
      </c>
      <c r="O40" s="120">
        <v>1.0463328683595021</v>
      </c>
      <c r="P40" s="120">
        <v>1.030550424378613</v>
      </c>
      <c r="Q40" s="120">
        <v>1.0811119475731934</v>
      </c>
      <c r="R40" s="120">
        <v>-1.0811119475731934</v>
      </c>
      <c r="S40" s="120">
        <v>-1.0463328683595021</v>
      </c>
      <c r="T40" s="120">
        <v>-1.0811119475731934</v>
      </c>
      <c r="U40" s="120">
        <v>-1.0811119475731934</v>
      </c>
      <c r="V40" s="120">
        <v>-1.0463328683595021</v>
      </c>
      <c r="W40" s="120">
        <v>-1.0463328683595021</v>
      </c>
      <c r="X40" s="120">
        <v>0</v>
      </c>
      <c r="Y40" s="120">
        <v>0</v>
      </c>
      <c r="AQ40" s="3"/>
    </row>
    <row r="41" spans="5:43" x14ac:dyDescent="0.3">
      <c r="E41" s="32"/>
      <c r="F41" t="s">
        <v>197</v>
      </c>
      <c r="G41" t="s">
        <v>282</v>
      </c>
      <c r="H41" s="89"/>
      <c r="I41" s="89"/>
      <c r="J41" s="120">
        <v>1.0811119475731934</v>
      </c>
      <c r="K41" s="120">
        <v>1.0811119475731934</v>
      </c>
      <c r="L41" s="120">
        <v>1.0811119475731934</v>
      </c>
      <c r="M41" s="120">
        <v>1.0811119475731934</v>
      </c>
      <c r="N41" s="120">
        <v>1.0811119475731934</v>
      </c>
      <c r="O41" s="120">
        <v>1.0463328683595021</v>
      </c>
      <c r="P41" s="120">
        <v>0</v>
      </c>
      <c r="Q41" s="120">
        <v>1.0811119475731934</v>
      </c>
      <c r="R41" s="120">
        <v>-1.0811119475731934</v>
      </c>
      <c r="S41" s="120">
        <v>0</v>
      </c>
      <c r="T41" s="120">
        <v>-1.0811119475731934</v>
      </c>
      <c r="U41" s="120">
        <v>-1.0811119475731934</v>
      </c>
      <c r="V41" s="120">
        <v>0</v>
      </c>
      <c r="W41" s="120">
        <v>0</v>
      </c>
      <c r="X41" s="120">
        <v>0</v>
      </c>
      <c r="Y41" s="120">
        <v>0</v>
      </c>
      <c r="AQ41" s="3"/>
    </row>
    <row r="42" spans="5:43" x14ac:dyDescent="0.3">
      <c r="E42" s="32"/>
      <c r="F42" s="37" t="s">
        <v>198</v>
      </c>
      <c r="G42" s="37" t="s">
        <v>282</v>
      </c>
      <c r="H42" s="82"/>
      <c r="I42" s="82"/>
      <c r="J42" s="125">
        <v>1.0811119475731934</v>
      </c>
      <c r="K42" s="125">
        <v>1.0811119475731934</v>
      </c>
      <c r="L42" s="125">
        <v>1.0811119475731934</v>
      </c>
      <c r="M42" s="125">
        <v>1.0811119475731934</v>
      </c>
      <c r="N42" s="125">
        <v>1.0811119475731934</v>
      </c>
      <c r="O42" s="125">
        <v>0</v>
      </c>
      <c r="P42" s="125">
        <v>0</v>
      </c>
      <c r="Q42" s="125">
        <v>1.0811119475731934</v>
      </c>
      <c r="R42" s="125">
        <v>0</v>
      </c>
      <c r="S42" s="125">
        <v>0</v>
      </c>
      <c r="T42" s="125">
        <v>0</v>
      </c>
      <c r="U42" s="125">
        <v>0</v>
      </c>
      <c r="V42" s="125">
        <v>0</v>
      </c>
      <c r="W42" s="125">
        <v>0</v>
      </c>
      <c r="X42" s="125">
        <v>0</v>
      </c>
      <c r="Y42" s="125">
        <v>0</v>
      </c>
      <c r="AQ42" s="3"/>
    </row>
    <row r="43" spans="5:43" x14ac:dyDescent="0.3">
      <c r="E43" s="32"/>
      <c r="H43" s="89"/>
      <c r="I43" s="89"/>
      <c r="J43" s="89"/>
      <c r="K43" s="89"/>
      <c r="L43" s="89"/>
      <c r="M43" s="89"/>
      <c r="N43" s="89"/>
      <c r="O43" s="89"/>
      <c r="P43" s="89"/>
      <c r="Q43" s="89"/>
      <c r="R43" s="89"/>
      <c r="S43" s="89"/>
      <c r="T43" s="89"/>
      <c r="U43" s="89"/>
      <c r="V43" s="89"/>
      <c r="W43" s="89"/>
      <c r="X43" s="89"/>
      <c r="Y43" s="89"/>
      <c r="AQ43" s="3"/>
    </row>
    <row r="44" spans="5:43" x14ac:dyDescent="0.3">
      <c r="E44" s="32" t="s">
        <v>499</v>
      </c>
      <c r="H44" s="89"/>
      <c r="I44" s="89"/>
      <c r="J44" s="89"/>
      <c r="K44" s="89"/>
      <c r="L44" s="89"/>
      <c r="M44" s="89"/>
      <c r="N44" s="89"/>
      <c r="O44" s="89"/>
      <c r="P44" s="89"/>
      <c r="Q44" s="89"/>
      <c r="R44" s="89"/>
      <c r="S44" s="89"/>
      <c r="T44" s="89"/>
      <c r="U44" s="89"/>
      <c r="V44" s="89"/>
      <c r="W44" s="89"/>
      <c r="X44" s="89"/>
      <c r="Y44" s="89"/>
      <c r="AQ44" s="3"/>
    </row>
    <row r="45" spans="5:43" x14ac:dyDescent="0.3">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3">
      <c r="E46" s="32"/>
      <c r="F46" t="s">
        <v>191</v>
      </c>
      <c r="G46" t="s">
        <v>282</v>
      </c>
      <c r="H46" s="120">
        <f>'Load &amp; loss characteristics'!L29</f>
        <v>1.0069921140018139</v>
      </c>
      <c r="I46" s="89"/>
      <c r="J46" s="89"/>
      <c r="K46" s="89"/>
      <c r="L46" s="89"/>
      <c r="M46" s="89"/>
      <c r="N46" s="89"/>
      <c r="O46" s="89"/>
      <c r="P46" s="89"/>
      <c r="Q46" s="89"/>
      <c r="R46" s="89"/>
      <c r="S46" s="89"/>
      <c r="T46" s="89"/>
      <c r="U46" s="89"/>
      <c r="V46" s="89"/>
      <c r="W46" s="89"/>
      <c r="X46" s="89"/>
      <c r="Y46" s="89"/>
      <c r="AQ46" s="3"/>
    </row>
    <row r="47" spans="5:43" x14ac:dyDescent="0.3">
      <c r="E47" s="32"/>
      <c r="F47" t="s">
        <v>192</v>
      </c>
      <c r="G47" t="s">
        <v>282</v>
      </c>
      <c r="H47" s="120">
        <f>'Load &amp; loss characteristics'!M29</f>
        <v>1.0120298017682567</v>
      </c>
      <c r="I47" s="89"/>
      <c r="J47" s="89"/>
      <c r="K47" s="89"/>
      <c r="L47" s="89"/>
      <c r="M47" s="89"/>
      <c r="N47" s="89"/>
      <c r="O47" s="89"/>
      <c r="P47" s="89"/>
      <c r="Q47" s="89"/>
      <c r="R47" s="89"/>
      <c r="S47" s="89"/>
      <c r="T47" s="89"/>
      <c r="U47" s="89"/>
      <c r="V47" s="89"/>
      <c r="W47" s="89"/>
      <c r="X47" s="89"/>
      <c r="Y47" s="89"/>
      <c r="AQ47" s="3"/>
    </row>
    <row r="48" spans="5:43" x14ac:dyDescent="0.3">
      <c r="E48" s="32"/>
      <c r="F48" t="s">
        <v>193</v>
      </c>
      <c r="G48" t="s">
        <v>282</v>
      </c>
      <c r="H48" s="120">
        <f>'Load &amp; loss characteristics'!N29</f>
        <v>1.0169672276140249</v>
      </c>
      <c r="I48" s="89"/>
      <c r="J48" s="89"/>
      <c r="K48" s="89"/>
      <c r="L48" s="89"/>
      <c r="M48" s="89"/>
      <c r="N48" s="89"/>
      <c r="O48" s="89"/>
      <c r="P48" s="89"/>
      <c r="Q48" s="89"/>
      <c r="R48" s="89"/>
      <c r="S48" s="89"/>
      <c r="T48" s="89"/>
      <c r="U48" s="89"/>
      <c r="V48" s="89"/>
      <c r="W48" s="89"/>
      <c r="X48" s="89"/>
      <c r="Y48" s="89"/>
      <c r="AQ48" s="3"/>
    </row>
    <row r="49" spans="2:43" x14ac:dyDescent="0.3">
      <c r="E49" s="32"/>
      <c r="F49" t="s">
        <v>194</v>
      </c>
      <c r="G49" t="s">
        <v>282</v>
      </c>
      <c r="H49" s="120">
        <f>'Load &amp; loss characteristics'!O29</f>
        <v>1.022345392317251</v>
      </c>
      <c r="I49" s="89"/>
      <c r="J49" s="89"/>
      <c r="K49" s="89"/>
      <c r="L49" s="89"/>
      <c r="M49" s="89"/>
      <c r="N49" s="89"/>
      <c r="O49" s="89"/>
      <c r="P49" s="89"/>
      <c r="Q49" s="89"/>
      <c r="R49" s="89"/>
      <c r="S49" s="89"/>
      <c r="T49" s="89"/>
      <c r="U49" s="89"/>
      <c r="V49" s="89"/>
      <c r="W49" s="89"/>
      <c r="X49" s="89"/>
      <c r="Y49" s="89"/>
      <c r="AQ49" s="3"/>
    </row>
    <row r="50" spans="2:43" x14ac:dyDescent="0.3">
      <c r="E50" s="32"/>
      <c r="F50" t="s">
        <v>195</v>
      </c>
      <c r="G50" t="s">
        <v>282</v>
      </c>
      <c r="H50" s="120">
        <f>'Load &amp; loss characteristics'!P29</f>
        <v>1.022345392317251</v>
      </c>
      <c r="I50" s="89"/>
      <c r="J50" s="89"/>
      <c r="K50" s="89"/>
      <c r="L50" s="89"/>
      <c r="M50" s="89"/>
      <c r="N50" s="89"/>
      <c r="O50" s="89"/>
      <c r="P50" s="89"/>
      <c r="Q50" s="89"/>
      <c r="R50" s="89"/>
      <c r="S50" s="89"/>
      <c r="T50" s="89"/>
      <c r="U50" s="89"/>
      <c r="V50" s="89"/>
      <c r="W50" s="89"/>
      <c r="X50" s="89"/>
      <c r="Y50" s="89"/>
      <c r="AQ50" s="3"/>
    </row>
    <row r="51" spans="2:43" x14ac:dyDescent="0.3">
      <c r="E51" s="32"/>
      <c r="F51" t="s">
        <v>196</v>
      </c>
      <c r="G51" t="s">
        <v>282</v>
      </c>
      <c r="H51" s="120">
        <f>'Load &amp; loss characteristics'!Q29</f>
        <v>1.030550424378613</v>
      </c>
      <c r="I51" s="89"/>
      <c r="J51" s="89"/>
      <c r="K51" s="89"/>
      <c r="L51" s="89"/>
      <c r="M51" s="89"/>
      <c r="N51" s="89"/>
      <c r="O51" s="89"/>
      <c r="P51" s="89"/>
      <c r="Q51" s="89"/>
      <c r="R51" s="89"/>
      <c r="S51" s="89"/>
      <c r="T51" s="89"/>
      <c r="U51" s="89"/>
      <c r="V51" s="89"/>
      <c r="W51" s="89"/>
      <c r="X51" s="89"/>
      <c r="Y51" s="89"/>
      <c r="AQ51" s="3"/>
    </row>
    <row r="52" spans="2:43" x14ac:dyDescent="0.3">
      <c r="E52" s="32"/>
      <c r="F52" t="s">
        <v>197</v>
      </c>
      <c r="G52" t="s">
        <v>282</v>
      </c>
      <c r="H52" s="120">
        <f>'Load &amp; loss characteristics'!R29</f>
        <v>1.0463328683595021</v>
      </c>
      <c r="I52" s="89"/>
      <c r="J52" s="89"/>
      <c r="K52" s="89"/>
      <c r="L52" s="89"/>
      <c r="M52" s="89"/>
      <c r="N52" s="89"/>
      <c r="O52" s="89"/>
      <c r="P52" s="89"/>
      <c r="Q52" s="89"/>
      <c r="R52" s="89"/>
      <c r="S52" s="89"/>
      <c r="T52" s="89"/>
      <c r="U52" s="89"/>
      <c r="V52" s="89"/>
      <c r="W52" s="89"/>
      <c r="X52" s="89"/>
      <c r="Y52" s="89"/>
      <c r="AQ52" s="3"/>
    </row>
    <row r="53" spans="2:43" x14ac:dyDescent="0.3">
      <c r="E53" s="32"/>
      <c r="F53" s="37" t="s">
        <v>198</v>
      </c>
      <c r="G53" s="37" t="s">
        <v>282</v>
      </c>
      <c r="H53" s="125">
        <f>'Load &amp; loss characteristics'!S29</f>
        <v>1.0811119475731934</v>
      </c>
      <c r="I53" s="89"/>
      <c r="J53" s="89"/>
      <c r="K53" s="89"/>
      <c r="L53" s="89"/>
      <c r="M53" s="89"/>
      <c r="N53" s="89"/>
      <c r="O53" s="89"/>
      <c r="P53" s="89"/>
      <c r="Q53" s="89"/>
      <c r="R53" s="89"/>
      <c r="S53" s="89"/>
      <c r="T53" s="89"/>
      <c r="U53" s="89"/>
      <c r="V53" s="89"/>
      <c r="W53" s="89"/>
      <c r="X53" s="89"/>
      <c r="Y53" s="89"/>
      <c r="AQ53" s="3"/>
    </row>
    <row r="54" spans="2:43" x14ac:dyDescent="0.3">
      <c r="E54" s="32"/>
      <c r="H54" s="89"/>
      <c r="I54" s="89"/>
      <c r="J54" s="89"/>
      <c r="K54" s="89"/>
      <c r="L54" s="89"/>
      <c r="M54" s="89"/>
      <c r="N54" s="89"/>
      <c r="O54" s="89"/>
      <c r="P54" s="89"/>
      <c r="Q54" s="89"/>
      <c r="R54" s="89"/>
      <c r="S54" s="89"/>
      <c r="T54" s="89"/>
      <c r="U54" s="89"/>
      <c r="V54" s="89"/>
      <c r="W54" s="89"/>
      <c r="X54" s="89"/>
      <c r="Y54" s="89"/>
      <c r="AQ54" s="3"/>
    </row>
    <row r="55" spans="2:43" x14ac:dyDescent="0.3">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3">
      <c r="E56" s="32"/>
      <c r="F56" s="23" t="s">
        <v>155</v>
      </c>
      <c r="G56" s="23" t="s">
        <v>206</v>
      </c>
      <c r="H56" s="158"/>
      <c r="I56" s="158"/>
      <c r="J56" s="124">
        <f>'Volume adjustments'!J238</f>
        <v>901691.5877829832</v>
      </c>
      <c r="K56" s="124">
        <f>'Volume adjustments'!K238</f>
        <v>18.350451934590168</v>
      </c>
      <c r="L56" s="124">
        <f>'Volume adjustments'!L238</f>
        <v>268866.10085929261</v>
      </c>
      <c r="M56" s="124">
        <f>'Volume adjustments'!M238</f>
        <v>30.968009054504083</v>
      </c>
      <c r="N56" s="124">
        <f>'Volume adjustments'!N238</f>
        <v>254619.81523460752</v>
      </c>
      <c r="O56" s="124">
        <f>'Volume adjustments'!O238</f>
        <v>124834.60021441797</v>
      </c>
      <c r="P56" s="124">
        <f>'Volume adjustments'!P238</f>
        <v>440634.65498847567</v>
      </c>
      <c r="Q56" s="124">
        <f>'Volume adjustments'!Q238</f>
        <v>9047.8998172492538</v>
      </c>
      <c r="R56" s="124">
        <f>'Volume adjustments'!R238</f>
        <v>162.86490240768723</v>
      </c>
      <c r="S56" s="124">
        <f>'Volume adjustments'!S238</f>
        <v>0</v>
      </c>
      <c r="T56" s="124">
        <f>'Volume adjustments'!T238</f>
        <v>2814.8705870277408</v>
      </c>
      <c r="U56" s="124">
        <f>'Volume adjustments'!U238</f>
        <v>0</v>
      </c>
      <c r="V56" s="124">
        <f>'Volume adjustments'!V238</f>
        <v>359.61906314590294</v>
      </c>
      <c r="W56" s="124">
        <f>'Volume adjustments'!W238</f>
        <v>0</v>
      </c>
      <c r="X56" s="124">
        <f>'Volume adjustments'!X238</f>
        <v>134754.49574344291</v>
      </c>
      <c r="Y56" s="124">
        <f>'Volume adjustments'!Y238</f>
        <v>0</v>
      </c>
      <c r="AQ56" s="3"/>
    </row>
    <row r="57" spans="2:43" x14ac:dyDescent="0.3">
      <c r="E57" s="32"/>
      <c r="F57" t="s">
        <v>156</v>
      </c>
      <c r="G57" t="s">
        <v>206</v>
      </c>
      <c r="H57" s="89"/>
      <c r="I57" s="89"/>
      <c r="J57" s="120">
        <f>'Volume adjustments'!J249</f>
        <v>2271681.4299374898</v>
      </c>
      <c r="K57" s="120">
        <f>'Volume adjustments'!K249</f>
        <v>442.08512771373279</v>
      </c>
      <c r="L57" s="120">
        <f>'Volume adjustments'!L249</f>
        <v>965721.24904958718</v>
      </c>
      <c r="M57" s="120">
        <f>'Volume adjustments'!M249</f>
        <v>924.22425525108804</v>
      </c>
      <c r="N57" s="120">
        <f>'Volume adjustments'!N249</f>
        <v>917060.15811347158</v>
      </c>
      <c r="O57" s="120">
        <f>'Volume adjustments'!O249</f>
        <v>458861.96575105318</v>
      </c>
      <c r="P57" s="120">
        <f>'Volume adjustments'!P249</f>
        <v>1495637.7885753568</v>
      </c>
      <c r="Q57" s="120">
        <f>'Volume adjustments'!Q249</f>
        <v>30030.873438694278</v>
      </c>
      <c r="R57" s="120">
        <f>'Volume adjustments'!R249</f>
        <v>602.4003628152069</v>
      </c>
      <c r="S57" s="120">
        <f>'Volume adjustments'!S249</f>
        <v>0</v>
      </c>
      <c r="T57" s="120">
        <f>'Volume adjustments'!T249</f>
        <v>10411.568347971635</v>
      </c>
      <c r="U57" s="120">
        <f>'Volume adjustments'!U249</f>
        <v>0</v>
      </c>
      <c r="V57" s="120">
        <f>'Volume adjustments'!V249</f>
        <v>1554.6705868586694</v>
      </c>
      <c r="W57" s="120">
        <f>'Volume adjustments'!W249</f>
        <v>0</v>
      </c>
      <c r="X57" s="120">
        <f>'Volume adjustments'!X249</f>
        <v>332893.45294245722</v>
      </c>
      <c r="Y57" s="120">
        <f>'Volume adjustments'!Y249</f>
        <v>0</v>
      </c>
      <c r="AQ57" s="3"/>
    </row>
    <row r="58" spans="2:43" x14ac:dyDescent="0.3">
      <c r="E58" s="32"/>
      <c r="F58" s="37" t="s">
        <v>157</v>
      </c>
      <c r="G58" s="37" t="s">
        <v>206</v>
      </c>
      <c r="H58" s="82"/>
      <c r="I58" s="82"/>
      <c r="J58" s="125">
        <f>'Volume adjustments'!J260</f>
        <v>4172962.6408672445</v>
      </c>
      <c r="K58" s="125">
        <f>'Volume adjustments'!K260</f>
        <v>4114.2867134426042</v>
      </c>
      <c r="L58" s="125">
        <f>'Volume adjustments'!L260</f>
        <v>1231958.2630210214</v>
      </c>
      <c r="M58" s="125">
        <f>'Volume adjustments'!M260</f>
        <v>14603.793923010659</v>
      </c>
      <c r="N58" s="125">
        <f>'Volume adjustments'!N260</f>
        <v>1194333.5194786394</v>
      </c>
      <c r="O58" s="125">
        <f>'Volume adjustments'!O260</f>
        <v>632769.13390083867</v>
      </c>
      <c r="P58" s="125">
        <f>'Volume adjustments'!P260</f>
        <v>2490677.1501377644</v>
      </c>
      <c r="Q58" s="125">
        <f>'Volume adjustments'!Q260</f>
        <v>155184.40570578561</v>
      </c>
      <c r="R58" s="125">
        <f>'Volume adjustments'!R260</f>
        <v>1012.2920957316472</v>
      </c>
      <c r="S58" s="125">
        <f>'Volume adjustments'!S260</f>
        <v>0</v>
      </c>
      <c r="T58" s="125">
        <f>'Volume adjustments'!T260</f>
        <v>17495.919646473743</v>
      </c>
      <c r="U58" s="125">
        <f>'Volume adjustments'!U260</f>
        <v>0</v>
      </c>
      <c r="V58" s="125">
        <f>'Volume adjustments'!V260</f>
        <v>2113.8817344775266</v>
      </c>
      <c r="W58" s="125">
        <f>'Volume adjustments'!W260</f>
        <v>0</v>
      </c>
      <c r="X58" s="125">
        <f>'Volume adjustments'!X260</f>
        <v>476929.11411067331</v>
      </c>
      <c r="Y58" s="125">
        <f>'Volume adjustments'!Y260</f>
        <v>0</v>
      </c>
      <c r="AQ58" s="3"/>
    </row>
    <row r="59" spans="2:43" x14ac:dyDescent="0.3">
      <c r="E59" s="32"/>
      <c r="F59" s="108" t="s">
        <v>502</v>
      </c>
      <c r="G59" s="108" t="s">
        <v>206</v>
      </c>
      <c r="H59" s="167"/>
      <c r="I59" s="167"/>
      <c r="J59" s="167">
        <f t="shared" ref="J59:Y59" si="0">SUM(J56:J58)</f>
        <v>7346335.6585877175</v>
      </c>
      <c r="K59" s="167">
        <f t="shared" si="0"/>
        <v>4574.7222930909275</v>
      </c>
      <c r="L59" s="167">
        <f t="shared" si="0"/>
        <v>2466545.6129299011</v>
      </c>
      <c r="M59" s="167">
        <f t="shared" si="0"/>
        <v>15558.98618731625</v>
      </c>
      <c r="N59" s="167">
        <f t="shared" si="0"/>
        <v>2366013.4928267184</v>
      </c>
      <c r="O59" s="167">
        <f t="shared" si="0"/>
        <v>1216465.6998663098</v>
      </c>
      <c r="P59" s="167">
        <f t="shared" si="0"/>
        <v>4426949.5937015973</v>
      </c>
      <c r="Q59" s="167">
        <f t="shared" si="0"/>
        <v>194263.17896172914</v>
      </c>
      <c r="R59" s="167">
        <f t="shared" si="0"/>
        <v>1777.5573609545413</v>
      </c>
      <c r="S59" s="167">
        <f t="shared" si="0"/>
        <v>0</v>
      </c>
      <c r="T59" s="167">
        <f t="shared" si="0"/>
        <v>30722.35858147312</v>
      </c>
      <c r="U59" s="167">
        <f t="shared" si="0"/>
        <v>0</v>
      </c>
      <c r="V59" s="167">
        <f t="shared" si="0"/>
        <v>4028.1713844820988</v>
      </c>
      <c r="W59" s="167">
        <f t="shared" si="0"/>
        <v>0</v>
      </c>
      <c r="X59" s="167">
        <f t="shared" si="0"/>
        <v>944577.06279657339</v>
      </c>
      <c r="Y59" s="167">
        <f t="shared" si="0"/>
        <v>0</v>
      </c>
      <c r="AQ59" s="3"/>
    </row>
    <row r="60" spans="2:43" x14ac:dyDescent="0.3">
      <c r="D60" s="32"/>
      <c r="J60" s="63"/>
      <c r="L60" s="63"/>
      <c r="AQ60" s="3"/>
    </row>
    <row r="61" spans="2:43" x14ac:dyDescent="0.3">
      <c r="C61" s="32"/>
      <c r="E61" s="28" t="s">
        <v>240</v>
      </c>
      <c r="F61" s="28"/>
      <c r="G61" s="28" t="s">
        <v>166</v>
      </c>
      <c r="I61" t="s">
        <v>153</v>
      </c>
      <c r="J61" s="25">
        <f>'Inputs by customer type'!J15</f>
        <v>0.44102545295601853</v>
      </c>
      <c r="K61" s="25">
        <f>'Inputs by customer type'!K15</f>
        <v>0.19674261533753937</v>
      </c>
      <c r="L61" s="25">
        <f>'Inputs by customer type'!L15</f>
        <v>0.43609182964337306</v>
      </c>
      <c r="M61" s="25">
        <f>'Inputs by customer type'!M15</f>
        <v>0.17481067320328159</v>
      </c>
      <c r="N61" s="25">
        <f>'Inputs by customer type'!N15</f>
        <v>0.53102634151201922</v>
      </c>
      <c r="O61" s="25">
        <f>'Inputs by customer type'!O15</f>
        <v>0.54891551029254804</v>
      </c>
      <c r="P61" s="25">
        <f>'Inputs by customer type'!P15</f>
        <v>0.70868365955903789</v>
      </c>
      <c r="Q61" s="25">
        <f>'Inputs by customer type'!Q15</f>
        <v>0.47413508390304332</v>
      </c>
      <c r="R61" s="70"/>
      <c r="S61" s="70"/>
      <c r="T61" s="70"/>
      <c r="U61" s="70"/>
      <c r="V61" s="70"/>
      <c r="W61" s="70"/>
      <c r="X61" s="70"/>
      <c r="Y61" s="70"/>
      <c r="AA61" t="s">
        <v>503</v>
      </c>
      <c r="AQ61" s="3"/>
    </row>
    <row r="63" spans="2:43" x14ac:dyDescent="0.3">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3">
      <c r="C64" s="32"/>
      <c r="J64" s="63"/>
      <c r="L64" s="63"/>
      <c r="AQ64" s="3"/>
    </row>
    <row r="65" spans="3:43" x14ac:dyDescent="0.3">
      <c r="C65" s="29" t="s">
        <v>505</v>
      </c>
      <c r="J65" s="63"/>
      <c r="L65" s="63"/>
      <c r="AQ65" s="3"/>
    </row>
    <row r="66" spans="3:43" x14ac:dyDescent="0.3">
      <c r="C66" s="32"/>
      <c r="J66" s="63"/>
      <c r="L66" s="63"/>
      <c r="AQ66" s="3"/>
    </row>
    <row r="67" spans="3:43" x14ac:dyDescent="0.3">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3">
      <c r="H68" s="63"/>
      <c r="J68" s="63"/>
      <c r="K68" s="63"/>
      <c r="L68" s="63"/>
      <c r="M68" s="63"/>
      <c r="N68" s="63"/>
      <c r="O68" s="63"/>
      <c r="P68" s="63"/>
      <c r="Q68" s="63"/>
      <c r="R68" s="63"/>
      <c r="S68" s="63"/>
      <c r="T68" s="63"/>
      <c r="U68" s="63"/>
      <c r="V68" s="63"/>
      <c r="W68" s="63"/>
      <c r="X68" s="63"/>
      <c r="Y68" s="63"/>
    </row>
    <row r="69" spans="3:43" x14ac:dyDescent="0.3">
      <c r="E69" s="32" t="s">
        <v>506</v>
      </c>
      <c r="J69" s="63"/>
      <c r="L69" s="63"/>
      <c r="AQ69" s="3"/>
    </row>
    <row r="70" spans="3:43" x14ac:dyDescent="0.3">
      <c r="E70" s="32"/>
      <c r="F70" s="23" t="s">
        <v>190</v>
      </c>
      <c r="G70" s="23" t="s">
        <v>282</v>
      </c>
      <c r="H70" s="23"/>
      <c r="I70" s="23"/>
      <c r="J70" s="124">
        <f>'Pseudo-load coefficients'!J272</f>
        <v>12.739516679594283</v>
      </c>
      <c r="K70" s="124">
        <f>'Pseudo-load coefficients'!K272</f>
        <v>12.739516679594283</v>
      </c>
      <c r="L70" s="124">
        <f>'Pseudo-load coefficients'!L272</f>
        <v>14.692319269082892</v>
      </c>
      <c r="M70" s="124">
        <f>'Pseudo-load coefficients'!M272</f>
        <v>14.692319269082892</v>
      </c>
      <c r="N70" s="124">
        <f>'Pseudo-load coefficients'!N272</f>
        <v>12.948069589323378</v>
      </c>
      <c r="O70" s="124">
        <f>'Pseudo-load coefficients'!O272</f>
        <v>12.668584858444653</v>
      </c>
      <c r="P70" s="124">
        <f>'Pseudo-load coefficients'!P272</f>
        <v>11.033827455434016</v>
      </c>
      <c r="Q70" s="124">
        <f>'Pseudo-load coefficients'!Q272</f>
        <v>21.357687284353602</v>
      </c>
      <c r="R70" s="124">
        <f>'Pseudo-load coefficients'!R272</f>
        <v>9.9446573009791415</v>
      </c>
      <c r="S70" s="124">
        <f>'Pseudo-load coefficients'!S272</f>
        <v>9.9446573009791415</v>
      </c>
      <c r="T70" s="124">
        <f>'Pseudo-load coefficients'!T272</f>
        <v>9.9446573009791415</v>
      </c>
      <c r="U70" s="124">
        <f>'Pseudo-load coefficients'!U272</f>
        <v>9.9446573009791415</v>
      </c>
      <c r="V70" s="124">
        <f>'Pseudo-load coefficients'!V272</f>
        <v>9.9446573009791415</v>
      </c>
      <c r="W70" s="124">
        <f>'Pseudo-load coefficients'!W272</f>
        <v>9.9446573009791415</v>
      </c>
      <c r="X70" s="124">
        <f>'Pseudo-load coefficients'!X272</f>
        <v>9.9446573009791415</v>
      </c>
      <c r="Y70" s="124">
        <f>'Pseudo-load coefficients'!Y272</f>
        <v>9.9446573009791415</v>
      </c>
      <c r="AQ70" s="3"/>
    </row>
    <row r="71" spans="3:43" x14ac:dyDescent="0.3">
      <c r="E71" s="32"/>
      <c r="F71" t="s">
        <v>191</v>
      </c>
      <c r="G71" t="s">
        <v>282</v>
      </c>
      <c r="J71" s="120">
        <f>'Pseudo-load coefficients'!J273</f>
        <v>9.669879848080198</v>
      </c>
      <c r="K71" s="120">
        <f>'Pseudo-load coefficients'!K273</f>
        <v>9.669879848080198</v>
      </c>
      <c r="L71" s="120">
        <f>'Pseudo-load coefficients'!L273</f>
        <v>11.152146945200252</v>
      </c>
      <c r="M71" s="120">
        <f>'Pseudo-load coefficients'!M273</f>
        <v>11.152146945200252</v>
      </c>
      <c r="N71" s="120">
        <f>'Pseudo-load coefficients'!N273</f>
        <v>9.8281811109748975</v>
      </c>
      <c r="O71" s="120">
        <f>'Pseudo-load coefficients'!O273</f>
        <v>9.6160393292306026</v>
      </c>
      <c r="P71" s="120">
        <f>'Pseudo-load coefficients'!P273</f>
        <v>8.3751831754651267</v>
      </c>
      <c r="Q71" s="120">
        <f>'Pseudo-load coefficients'!Q273</f>
        <v>14.159002507707637</v>
      </c>
      <c r="R71" s="120">
        <f>'Pseudo-load coefficients'!R273</f>
        <v>7.5484528690820278</v>
      </c>
      <c r="S71" s="120">
        <f>'Pseudo-load coefficients'!S273</f>
        <v>7.5484528690820278</v>
      </c>
      <c r="T71" s="120">
        <f>'Pseudo-load coefficients'!T273</f>
        <v>7.5484528690820278</v>
      </c>
      <c r="U71" s="120">
        <f>'Pseudo-load coefficients'!U273</f>
        <v>7.5484528690820278</v>
      </c>
      <c r="V71" s="120">
        <f>'Pseudo-load coefficients'!V273</f>
        <v>7.5484528690820278</v>
      </c>
      <c r="W71" s="120">
        <f>'Pseudo-load coefficients'!W273</f>
        <v>7.5484528690820278</v>
      </c>
      <c r="X71" s="120">
        <f>'Pseudo-load coefficients'!X273</f>
        <v>7.5484528690820278</v>
      </c>
      <c r="Y71" s="120">
        <f>'Pseudo-load coefficients'!Y273</f>
        <v>7.5484528690820278</v>
      </c>
      <c r="AQ71" s="3"/>
    </row>
    <row r="72" spans="3:43" x14ac:dyDescent="0.3">
      <c r="E72" s="32"/>
      <c r="F72" t="s">
        <v>192</v>
      </c>
      <c r="G72" t="s">
        <v>282</v>
      </c>
      <c r="J72" s="120">
        <f>'Pseudo-load coefficients'!J274</f>
        <v>9.669879848080198</v>
      </c>
      <c r="K72" s="120">
        <f>'Pseudo-load coefficients'!K274</f>
        <v>9.669879848080198</v>
      </c>
      <c r="L72" s="120">
        <f>'Pseudo-load coefficients'!L274</f>
        <v>11.152146945200252</v>
      </c>
      <c r="M72" s="120">
        <f>'Pseudo-load coefficients'!M274</f>
        <v>11.152146945200252</v>
      </c>
      <c r="N72" s="120">
        <f>'Pseudo-load coefficients'!N274</f>
        <v>9.8281811109748975</v>
      </c>
      <c r="O72" s="120">
        <f>'Pseudo-load coefficients'!O274</f>
        <v>9.6160393292306026</v>
      </c>
      <c r="P72" s="120">
        <f>'Pseudo-load coefficients'!P274</f>
        <v>8.3751831754651267</v>
      </c>
      <c r="Q72" s="120">
        <f>'Pseudo-load coefficients'!Q274</f>
        <v>14.159002507707637</v>
      </c>
      <c r="R72" s="120">
        <f>'Pseudo-load coefficients'!R274</f>
        <v>7.5484528690820278</v>
      </c>
      <c r="S72" s="120">
        <f>'Pseudo-load coefficients'!S274</f>
        <v>7.5484528690820278</v>
      </c>
      <c r="T72" s="120">
        <f>'Pseudo-load coefficients'!T274</f>
        <v>7.5484528690820278</v>
      </c>
      <c r="U72" s="120">
        <f>'Pseudo-load coefficients'!U274</f>
        <v>7.5484528690820278</v>
      </c>
      <c r="V72" s="120">
        <f>'Pseudo-load coefficients'!V274</f>
        <v>7.5484528690820278</v>
      </c>
      <c r="W72" s="120">
        <f>'Pseudo-load coefficients'!W274</f>
        <v>7.5484528690820278</v>
      </c>
      <c r="X72" s="120">
        <f>'Pseudo-load coefficients'!X274</f>
        <v>7.5484528690820278</v>
      </c>
      <c r="Y72" s="120">
        <f>'Pseudo-load coefficients'!Y274</f>
        <v>7.5484528690820278</v>
      </c>
      <c r="AQ72" s="3"/>
    </row>
    <row r="73" spans="3:43" x14ac:dyDescent="0.3">
      <c r="E73" s="32"/>
      <c r="F73" t="s">
        <v>193</v>
      </c>
      <c r="G73" t="s">
        <v>282</v>
      </c>
      <c r="J73" s="120">
        <f>'Pseudo-load coefficients'!J275</f>
        <v>6.9927865121203139</v>
      </c>
      <c r="K73" s="120">
        <f>'Pseudo-load coefficients'!K275</f>
        <v>6.9927865121203139</v>
      </c>
      <c r="L73" s="120">
        <f>'Pseudo-load coefficients'!L275</f>
        <v>8.0646899408023867</v>
      </c>
      <c r="M73" s="120">
        <f>'Pseudo-load coefficients'!M275</f>
        <v>8.0646899408023867</v>
      </c>
      <c r="N73" s="120">
        <f>'Pseudo-load coefficients'!N275</f>
        <v>7.1072622815624173</v>
      </c>
      <c r="O73" s="120">
        <f>'Pseudo-load coefficients'!O275</f>
        <v>6.953851669088964</v>
      </c>
      <c r="P73" s="120">
        <f>'Pseudo-load coefficients'!P275</f>
        <v>6.0565248861449765</v>
      </c>
      <c r="Q73" s="120">
        <f>'Pseudo-load coefficients'!Q275</f>
        <v>11.653604549497725</v>
      </c>
      <c r="R73" s="120">
        <f>'Pseudo-load coefficients'!R275</f>
        <v>5.4586737621949109</v>
      </c>
      <c r="S73" s="120">
        <f>'Pseudo-load coefficients'!S275</f>
        <v>5.4586737621949109</v>
      </c>
      <c r="T73" s="120">
        <f>'Pseudo-load coefficients'!T275</f>
        <v>5.4586737621949109</v>
      </c>
      <c r="U73" s="120">
        <f>'Pseudo-load coefficients'!U275</f>
        <v>5.4586737621949109</v>
      </c>
      <c r="V73" s="120">
        <f>'Pseudo-load coefficients'!V275</f>
        <v>5.4586737621949109</v>
      </c>
      <c r="W73" s="120">
        <f>'Pseudo-load coefficients'!W275</f>
        <v>5.4586737621949109</v>
      </c>
      <c r="X73" s="120">
        <f>'Pseudo-load coefficients'!X275</f>
        <v>5.4586737621949109</v>
      </c>
      <c r="Y73" s="120">
        <f>'Pseudo-load coefficients'!Y275</f>
        <v>5.4586737621949109</v>
      </c>
      <c r="AQ73" s="3"/>
    </row>
    <row r="74" spans="3:43" x14ac:dyDescent="0.3">
      <c r="E74" s="32"/>
      <c r="F74" t="s">
        <v>194</v>
      </c>
      <c r="G74" t="s">
        <v>282</v>
      </c>
      <c r="J74" s="120">
        <f>'Pseudo-load coefficients'!J276</f>
        <v>6.9927865121203139</v>
      </c>
      <c r="K74" s="120">
        <f>'Pseudo-load coefficients'!K276</f>
        <v>6.9927865121203139</v>
      </c>
      <c r="L74" s="120">
        <f>'Pseudo-load coefficients'!L276</f>
        <v>8.0646899408023867</v>
      </c>
      <c r="M74" s="120">
        <f>'Pseudo-load coefficients'!M276</f>
        <v>8.0646899408023867</v>
      </c>
      <c r="N74" s="120">
        <f>'Pseudo-load coefficients'!N276</f>
        <v>7.1072622815624173</v>
      </c>
      <c r="O74" s="120">
        <f>'Pseudo-load coefficients'!O276</f>
        <v>6.953851669088964</v>
      </c>
      <c r="P74" s="120">
        <f>'Pseudo-load coefficients'!P276</f>
        <v>6.0565248861449765</v>
      </c>
      <c r="Q74" s="120">
        <f>'Pseudo-load coefficients'!Q276</f>
        <v>11.653604549497725</v>
      </c>
      <c r="R74" s="120">
        <f>'Pseudo-load coefficients'!R276</f>
        <v>5.4586737621949109</v>
      </c>
      <c r="S74" s="120">
        <f>'Pseudo-load coefficients'!S276</f>
        <v>5.4586737621949109</v>
      </c>
      <c r="T74" s="120">
        <f>'Pseudo-load coefficients'!T276</f>
        <v>5.4586737621949109</v>
      </c>
      <c r="U74" s="120">
        <f>'Pseudo-load coefficients'!U276</f>
        <v>5.4586737621949109</v>
      </c>
      <c r="V74" s="120">
        <f>'Pseudo-load coefficients'!V276</f>
        <v>5.4586737621949109</v>
      </c>
      <c r="W74" s="120">
        <f>'Pseudo-load coefficients'!W276</f>
        <v>5.4586737621949109</v>
      </c>
      <c r="X74" s="120">
        <f>'Pseudo-load coefficients'!X276</f>
        <v>5.4586737621949109</v>
      </c>
      <c r="Y74" s="120">
        <f>'Pseudo-load coefficients'!Y276</f>
        <v>5.4586737621949109</v>
      </c>
      <c r="AQ74" s="3"/>
    </row>
    <row r="75" spans="3:43" x14ac:dyDescent="0.3">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3">
      <c r="E76" s="32"/>
      <c r="F76" t="s">
        <v>196</v>
      </c>
      <c r="G76" t="s">
        <v>282</v>
      </c>
      <c r="J76" s="120">
        <f>'Pseudo-load coefficients'!J278</f>
        <v>6.9927865121203139</v>
      </c>
      <c r="K76" s="120">
        <f>'Pseudo-load coefficients'!K278</f>
        <v>6.9927865121203139</v>
      </c>
      <c r="L76" s="120">
        <f>'Pseudo-load coefficients'!L278</f>
        <v>8.0646899408023867</v>
      </c>
      <c r="M76" s="120">
        <f>'Pseudo-load coefficients'!M278</f>
        <v>8.0646899408023867</v>
      </c>
      <c r="N76" s="120">
        <f>'Pseudo-load coefficients'!N278</f>
        <v>7.1072622815624173</v>
      </c>
      <c r="O76" s="120">
        <f>'Pseudo-load coefficients'!O278</f>
        <v>6.953851669088964</v>
      </c>
      <c r="P76" s="120">
        <f>'Pseudo-load coefficients'!P278</f>
        <v>6.0565248861449765</v>
      </c>
      <c r="Q76" s="120">
        <f>'Pseudo-load coefficients'!Q278</f>
        <v>11.653604549497725</v>
      </c>
      <c r="R76" s="120">
        <f>'Pseudo-load coefficients'!R278</f>
        <v>5.4586737621949109</v>
      </c>
      <c r="S76" s="120">
        <f>'Pseudo-load coefficients'!S278</f>
        <v>5.4586737621949109</v>
      </c>
      <c r="T76" s="120">
        <f>'Pseudo-load coefficients'!T278</f>
        <v>5.4586737621949109</v>
      </c>
      <c r="U76" s="120">
        <f>'Pseudo-load coefficients'!U278</f>
        <v>5.4586737621949109</v>
      </c>
      <c r="V76" s="120">
        <f>'Pseudo-load coefficients'!V278</f>
        <v>5.4586737621949109</v>
      </c>
      <c r="W76" s="120">
        <f>'Pseudo-load coefficients'!W278</f>
        <v>5.4586737621949109</v>
      </c>
      <c r="X76" s="120">
        <f>'Pseudo-load coefficients'!X278</f>
        <v>5.4586737621949109</v>
      </c>
      <c r="Y76" s="120">
        <f>'Pseudo-load coefficients'!Y278</f>
        <v>5.4586737621949109</v>
      </c>
      <c r="AQ76" s="3"/>
    </row>
    <row r="77" spans="3:43" x14ac:dyDescent="0.3">
      <c r="E77" s="32"/>
      <c r="F77" t="s">
        <v>197</v>
      </c>
      <c r="G77" t="s">
        <v>282</v>
      </c>
      <c r="J77" s="120">
        <f>'Pseudo-load coefficients'!J279</f>
        <v>6.9927865121203139</v>
      </c>
      <c r="K77" s="120">
        <f>'Pseudo-load coefficients'!K279</f>
        <v>6.9927865121203139</v>
      </c>
      <c r="L77" s="120">
        <f>'Pseudo-load coefficients'!L279</f>
        <v>8.0646899408023867</v>
      </c>
      <c r="M77" s="120">
        <f>'Pseudo-load coefficients'!M279</f>
        <v>8.0646899408023867</v>
      </c>
      <c r="N77" s="120">
        <f>'Pseudo-load coefficients'!N279</f>
        <v>7.1072622815624173</v>
      </c>
      <c r="O77" s="120">
        <f>'Pseudo-load coefficients'!O279</f>
        <v>6.953851669088964</v>
      </c>
      <c r="P77" s="120">
        <f>'Pseudo-load coefficients'!P279</f>
        <v>6.0565248861449765</v>
      </c>
      <c r="Q77" s="120">
        <f>'Pseudo-load coefficients'!Q279</f>
        <v>11.653604549497725</v>
      </c>
      <c r="R77" s="120">
        <f>'Pseudo-load coefficients'!R279</f>
        <v>5.4586737621949109</v>
      </c>
      <c r="S77" s="120">
        <f>'Pseudo-load coefficients'!S279</f>
        <v>5.4586737621949109</v>
      </c>
      <c r="T77" s="120">
        <f>'Pseudo-load coefficients'!T279</f>
        <v>5.4586737621949109</v>
      </c>
      <c r="U77" s="120">
        <f>'Pseudo-load coefficients'!U279</f>
        <v>5.4586737621949109</v>
      </c>
      <c r="V77" s="120">
        <f>'Pseudo-load coefficients'!V279</f>
        <v>5.4586737621949109</v>
      </c>
      <c r="W77" s="120">
        <f>'Pseudo-load coefficients'!W279</f>
        <v>5.4586737621949109</v>
      </c>
      <c r="X77" s="120">
        <f>'Pseudo-load coefficients'!X279</f>
        <v>5.4586737621949109</v>
      </c>
      <c r="Y77" s="120">
        <f>'Pseudo-load coefficients'!Y279</f>
        <v>5.4586737621949109</v>
      </c>
      <c r="AQ77" s="3"/>
    </row>
    <row r="78" spans="3:43" x14ac:dyDescent="0.3">
      <c r="E78" s="32"/>
      <c r="F78" s="37" t="s">
        <v>198</v>
      </c>
      <c r="G78" s="37" t="s">
        <v>282</v>
      </c>
      <c r="H78" s="37"/>
      <c r="I78" s="37"/>
      <c r="J78" s="125">
        <f>'Pseudo-load coefficients'!J280</f>
        <v>6.9927865121203139</v>
      </c>
      <c r="K78" s="125">
        <f>'Pseudo-load coefficients'!K280</f>
        <v>6.9927865121203139</v>
      </c>
      <c r="L78" s="125">
        <f>'Pseudo-load coefficients'!L280</f>
        <v>8.0646899408023867</v>
      </c>
      <c r="M78" s="125">
        <f>'Pseudo-load coefficients'!M280</f>
        <v>8.0646899408023867</v>
      </c>
      <c r="N78" s="125">
        <f>'Pseudo-load coefficients'!N280</f>
        <v>7.1072622815624173</v>
      </c>
      <c r="O78" s="125">
        <f>'Pseudo-load coefficients'!O280</f>
        <v>6.953851669088964</v>
      </c>
      <c r="P78" s="125">
        <f>'Pseudo-load coefficients'!P280</f>
        <v>6.0565248861449765</v>
      </c>
      <c r="Q78" s="125">
        <f>'Pseudo-load coefficients'!Q280</f>
        <v>11.653604549497725</v>
      </c>
      <c r="R78" s="125">
        <f>'Pseudo-load coefficients'!R280</f>
        <v>5.4586737621949109</v>
      </c>
      <c r="S78" s="125">
        <f>'Pseudo-load coefficients'!S280</f>
        <v>5.4586737621949109</v>
      </c>
      <c r="T78" s="125">
        <f>'Pseudo-load coefficients'!T280</f>
        <v>5.4586737621949109</v>
      </c>
      <c r="U78" s="125">
        <f>'Pseudo-load coefficients'!U280</f>
        <v>5.4586737621949109</v>
      </c>
      <c r="V78" s="125">
        <f>'Pseudo-load coefficients'!V280</f>
        <v>5.4586737621949109</v>
      </c>
      <c r="W78" s="125">
        <f>'Pseudo-load coefficients'!W280</f>
        <v>5.4586737621949109</v>
      </c>
      <c r="X78" s="125">
        <f>'Pseudo-load coefficients'!X280</f>
        <v>5.4586737621949109</v>
      </c>
      <c r="Y78" s="125">
        <f>'Pseudo-load coefficients'!Y280</f>
        <v>5.4586737621949109</v>
      </c>
      <c r="AQ78" s="3"/>
    </row>
    <row r="79" spans="3:43" x14ac:dyDescent="0.3">
      <c r="E79" s="32"/>
      <c r="J79" s="89"/>
      <c r="K79" s="89"/>
      <c r="L79" s="89"/>
      <c r="M79" s="89"/>
      <c r="N79" s="89"/>
      <c r="O79" s="89"/>
      <c r="P79" s="89"/>
      <c r="Q79" s="89"/>
      <c r="R79" s="89"/>
      <c r="S79" s="89"/>
      <c r="T79" s="89"/>
      <c r="U79" s="89"/>
      <c r="V79" s="89"/>
      <c r="W79" s="89"/>
      <c r="X79" s="89"/>
      <c r="Y79" s="89"/>
      <c r="AQ79" s="3"/>
    </row>
    <row r="80" spans="3:43" x14ac:dyDescent="0.3">
      <c r="E80" s="32" t="s">
        <v>507</v>
      </c>
      <c r="J80" s="89"/>
      <c r="K80" s="89"/>
      <c r="L80" s="89"/>
      <c r="M80" s="89"/>
      <c r="N80" s="89"/>
      <c r="O80" s="89"/>
      <c r="P80" s="89"/>
      <c r="Q80" s="89"/>
      <c r="R80" s="89"/>
      <c r="S80" s="89"/>
      <c r="T80" s="89"/>
      <c r="U80" s="89"/>
      <c r="V80" s="89"/>
      <c r="W80" s="89"/>
      <c r="X80" s="89"/>
      <c r="Y80" s="89"/>
      <c r="AQ80" s="3"/>
    </row>
    <row r="81" spans="5:43" x14ac:dyDescent="0.3">
      <c r="E81" s="29" t="s">
        <v>508</v>
      </c>
      <c r="J81" s="89"/>
      <c r="K81" s="89"/>
      <c r="L81" s="89"/>
      <c r="M81" s="89"/>
      <c r="N81" s="89"/>
      <c r="O81" s="89"/>
      <c r="P81" s="89"/>
      <c r="Q81" s="89"/>
      <c r="R81" s="89"/>
      <c r="S81" s="89"/>
      <c r="T81" s="89"/>
      <c r="U81" s="89"/>
      <c r="V81" s="89"/>
      <c r="W81" s="89"/>
      <c r="X81" s="89"/>
      <c r="Y81" s="89"/>
      <c r="AQ81" s="3"/>
    </row>
    <row r="82" spans="5:43" x14ac:dyDescent="0.3">
      <c r="E82" s="32"/>
      <c r="F82" s="23" t="s">
        <v>190</v>
      </c>
      <c r="G82" s="23" t="s">
        <v>171</v>
      </c>
      <c r="H82" s="23"/>
      <c r="I82" s="23"/>
      <c r="J82" s="158">
        <f t="shared" ref="J82:Y82" si="1">J$56 * J34 * J70 / hours_in_year / $H45</f>
        <v>1417.6777732735416</v>
      </c>
      <c r="K82" s="158">
        <f t="shared" si="1"/>
        <v>2.885135914504525E-2</v>
      </c>
      <c r="L82" s="158">
        <f t="shared" si="1"/>
        <v>487.52059490502256</v>
      </c>
      <c r="M82" s="158">
        <f t="shared" si="1"/>
        <v>5.6152643077816068E-2</v>
      </c>
      <c r="N82" s="158">
        <f t="shared" si="1"/>
        <v>406.87760287331696</v>
      </c>
      <c r="O82" s="158">
        <f t="shared" si="1"/>
        <v>188.89864445006981</v>
      </c>
      <c r="P82" s="158">
        <f t="shared" si="1"/>
        <v>571.96569151185349</v>
      </c>
      <c r="Q82" s="158">
        <f t="shared" si="1"/>
        <v>23.848911789839981</v>
      </c>
      <c r="R82" s="158">
        <f t="shared" si="1"/>
        <v>-0.19988669429066874</v>
      </c>
      <c r="S82" s="158">
        <f t="shared" si="1"/>
        <v>0</v>
      </c>
      <c r="T82" s="158">
        <f t="shared" si="1"/>
        <v>-3.4547356009740988</v>
      </c>
      <c r="U82" s="158">
        <f t="shared" si="1"/>
        <v>0</v>
      </c>
      <c r="V82" s="158">
        <f t="shared" si="1"/>
        <v>-0.42716758434307889</v>
      </c>
      <c r="W82" s="158">
        <f t="shared" si="1"/>
        <v>0</v>
      </c>
      <c r="X82" s="158">
        <f t="shared" si="1"/>
        <v>-157.65154281292021</v>
      </c>
      <c r="Y82" s="158">
        <f t="shared" si="1"/>
        <v>0</v>
      </c>
      <c r="AQ82" s="3"/>
    </row>
    <row r="83" spans="5:43" x14ac:dyDescent="0.3">
      <c r="E83" s="32"/>
      <c r="F83" t="s">
        <v>191</v>
      </c>
      <c r="G83" t="s">
        <v>171</v>
      </c>
      <c r="J83" s="89">
        <f t="shared" ref="J83:Y83" si="2">J$56 * J35 * J71 / hours_in_year / $H46</f>
        <v>1068.6108686893549</v>
      </c>
      <c r="K83" s="89">
        <f t="shared" si="2"/>
        <v>2.1747449625075365E-2</v>
      </c>
      <c r="L83" s="89">
        <f t="shared" si="2"/>
        <v>367.48111330153853</v>
      </c>
      <c r="M83" s="89">
        <f t="shared" si="2"/>
        <v>4.2326490426686167E-2</v>
      </c>
      <c r="N83" s="89">
        <f t="shared" si="2"/>
        <v>306.69439618335883</v>
      </c>
      <c r="O83" s="89">
        <f t="shared" si="2"/>
        <v>142.38718300133908</v>
      </c>
      <c r="P83" s="89">
        <f t="shared" si="2"/>
        <v>431.13376395515803</v>
      </c>
      <c r="Q83" s="89">
        <f t="shared" si="2"/>
        <v>15.700769327336534</v>
      </c>
      <c r="R83" s="89">
        <f t="shared" si="2"/>
        <v>-0.15066970651036693</v>
      </c>
      <c r="S83" s="89">
        <f t="shared" si="2"/>
        <v>0</v>
      </c>
      <c r="T83" s="89">
        <f t="shared" si="2"/>
        <v>-2.6040952896682281</v>
      </c>
      <c r="U83" s="89">
        <f t="shared" si="2"/>
        <v>0</v>
      </c>
      <c r="V83" s="89">
        <f t="shared" si="2"/>
        <v>-0.32198848848899425</v>
      </c>
      <c r="W83" s="89">
        <f t="shared" si="2"/>
        <v>0</v>
      </c>
      <c r="X83" s="89">
        <f t="shared" si="2"/>
        <v>-118.83388121866652</v>
      </c>
      <c r="Y83" s="89">
        <f t="shared" si="2"/>
        <v>0</v>
      </c>
      <c r="AQ83" s="3"/>
    </row>
    <row r="84" spans="5:43" x14ac:dyDescent="0.3">
      <c r="E84" s="32"/>
      <c r="F84" t="s">
        <v>192</v>
      </c>
      <c r="G84" t="s">
        <v>171</v>
      </c>
      <c r="J84" s="89">
        <f t="shared" ref="J84:Y84" si="3">J$56 * J36 * J72 / hours_in_year / $H47</f>
        <v>1063.2915313626493</v>
      </c>
      <c r="K84" s="89">
        <f t="shared" si="3"/>
        <v>2.1639195045283197E-2</v>
      </c>
      <c r="L84" s="89">
        <f t="shared" si="3"/>
        <v>365.65186370271903</v>
      </c>
      <c r="M84" s="89">
        <f t="shared" si="3"/>
        <v>4.2115797379261653E-2</v>
      </c>
      <c r="N84" s="89">
        <f t="shared" si="3"/>
        <v>305.16773105453558</v>
      </c>
      <c r="O84" s="89">
        <f t="shared" si="3"/>
        <v>141.67840726306457</v>
      </c>
      <c r="P84" s="89">
        <f t="shared" si="3"/>
        <v>428.98766382591037</v>
      </c>
      <c r="Q84" s="89">
        <f t="shared" si="3"/>
        <v>15.622613947499039</v>
      </c>
      <c r="R84" s="89">
        <f t="shared" si="3"/>
        <v>-0.14991970197894444</v>
      </c>
      <c r="S84" s="89">
        <f t="shared" si="3"/>
        <v>0</v>
      </c>
      <c r="T84" s="89">
        <f t="shared" si="3"/>
        <v>-2.5911326091616935</v>
      </c>
      <c r="U84" s="89">
        <f t="shared" si="3"/>
        <v>0</v>
      </c>
      <c r="V84" s="89">
        <f t="shared" si="3"/>
        <v>-0.32038569233955055</v>
      </c>
      <c r="W84" s="89">
        <f t="shared" si="3"/>
        <v>0</v>
      </c>
      <c r="X84" s="89">
        <f t="shared" si="3"/>
        <v>-118.24234924143796</v>
      </c>
      <c r="Y84" s="89">
        <f t="shared" si="3"/>
        <v>0</v>
      </c>
      <c r="AQ84" s="3"/>
    </row>
    <row r="85" spans="5:43" x14ac:dyDescent="0.3">
      <c r="E85" s="32"/>
      <c r="F85" t="s">
        <v>193</v>
      </c>
      <c r="G85" t="s">
        <v>171</v>
      </c>
      <c r="J85" s="89">
        <f t="shared" ref="J85:Y85" si="4">J$56 * J37 * J73 / hours_in_year / $H48</f>
        <v>765.18754165752171</v>
      </c>
      <c r="K85" s="89">
        <f t="shared" si="4"/>
        <v>1.5572438951834876E-2</v>
      </c>
      <c r="L85" s="89">
        <f t="shared" si="4"/>
        <v>263.13785301253193</v>
      </c>
      <c r="M85" s="89">
        <f t="shared" si="4"/>
        <v>3.0308229221278602E-2</v>
      </c>
      <c r="N85" s="89">
        <f t="shared" si="4"/>
        <v>219.61102767325823</v>
      </c>
      <c r="O85" s="89">
        <f t="shared" si="4"/>
        <v>101.95750550241402</v>
      </c>
      <c r="P85" s="89">
        <f t="shared" si="4"/>
        <v>308.7168534707306</v>
      </c>
      <c r="Q85" s="89">
        <f t="shared" si="4"/>
        <v>12.795806468207536</v>
      </c>
      <c r="R85" s="89">
        <f t="shared" si="4"/>
        <v>-0.10788827411827773</v>
      </c>
      <c r="S85" s="89">
        <f t="shared" si="4"/>
        <v>0</v>
      </c>
      <c r="T85" s="89">
        <f t="shared" si="4"/>
        <v>-1.8646837041692288</v>
      </c>
      <c r="U85" s="89">
        <f t="shared" si="4"/>
        <v>0</v>
      </c>
      <c r="V85" s="89">
        <f t="shared" si="4"/>
        <v>-0.23056248740114385</v>
      </c>
      <c r="W85" s="89">
        <f t="shared" si="4"/>
        <v>0</v>
      </c>
      <c r="X85" s="89">
        <f t="shared" si="4"/>
        <v>-85.091971361716304</v>
      </c>
      <c r="Y85" s="89">
        <f t="shared" si="4"/>
        <v>0</v>
      </c>
      <c r="AQ85" s="3"/>
    </row>
    <row r="86" spans="5:43" x14ac:dyDescent="0.3">
      <c r="E86" s="32"/>
      <c r="F86" t="s">
        <v>194</v>
      </c>
      <c r="G86" t="s">
        <v>171</v>
      </c>
      <c r="J86" s="89">
        <f t="shared" ref="J86:Y86" si="5">J$56 * J38 * J74 / hours_in_year / $H49</f>
        <v>761.16218519891527</v>
      </c>
      <c r="K86" s="89">
        <f t="shared" si="5"/>
        <v>1.5490518358126256E-2</v>
      </c>
      <c r="L86" s="89">
        <f t="shared" si="5"/>
        <v>261.75358628253082</v>
      </c>
      <c r="M86" s="89">
        <f t="shared" si="5"/>
        <v>3.0148789319812717E-2</v>
      </c>
      <c r="N86" s="89">
        <f t="shared" si="5"/>
        <v>218.45573877936062</v>
      </c>
      <c r="O86" s="89">
        <f t="shared" si="5"/>
        <v>101.4211463996658</v>
      </c>
      <c r="P86" s="89">
        <f t="shared" si="5"/>
        <v>307.09281320302426</v>
      </c>
      <c r="Q86" s="89">
        <f t="shared" si="5"/>
        <v>12.728492666811471</v>
      </c>
      <c r="R86" s="89">
        <f t="shared" si="5"/>
        <v>-0.10732071552984439</v>
      </c>
      <c r="S86" s="89">
        <f t="shared" si="5"/>
        <v>0</v>
      </c>
      <c r="T86" s="89">
        <f t="shared" si="5"/>
        <v>-1.8548743225690312</v>
      </c>
      <c r="U86" s="89">
        <f t="shared" si="5"/>
        <v>0</v>
      </c>
      <c r="V86" s="89">
        <f t="shared" si="5"/>
        <v>-0.22934958710252926</v>
      </c>
      <c r="W86" s="89">
        <f t="shared" si="5"/>
        <v>0</v>
      </c>
      <c r="X86" s="89">
        <f t="shared" si="5"/>
        <v>-84.644335327608289</v>
      </c>
      <c r="Y86" s="89">
        <f t="shared" si="5"/>
        <v>0</v>
      </c>
      <c r="AQ86" s="3"/>
    </row>
    <row r="87" spans="5:43" x14ac:dyDescent="0.3">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3">
      <c r="E88" s="32"/>
      <c r="F88" t="s">
        <v>196</v>
      </c>
      <c r="G88" t="s">
        <v>171</v>
      </c>
      <c r="J88" s="89">
        <f t="shared" ref="J88:Y88" si="7">J$56 * J40 * J76 / hours_in_year / $H51</f>
        <v>755.10196729427548</v>
      </c>
      <c r="K88" s="89">
        <f t="shared" si="7"/>
        <v>1.5367186013809209E-2</v>
      </c>
      <c r="L88" s="89">
        <f t="shared" si="7"/>
        <v>259.66955767333428</v>
      </c>
      <c r="M88" s="89">
        <f t="shared" si="7"/>
        <v>2.9908750815021E-2</v>
      </c>
      <c r="N88" s="89">
        <f>N$56 * N40 * N76 / hours_in_year / $H51</f>
        <v>216.71643879144011</v>
      </c>
      <c r="O88" s="89">
        <f t="shared" si="7"/>
        <v>100.61365194017721</v>
      </c>
      <c r="P88" s="89">
        <f t="shared" si="7"/>
        <v>304.64780292643928</v>
      </c>
      <c r="Q88" s="89">
        <f t="shared" si="7"/>
        <v>12.627151007098924</v>
      </c>
      <c r="R88" s="89">
        <f t="shared" si="7"/>
        <v>-0.10646624990551394</v>
      </c>
      <c r="S88" s="89">
        <f t="shared" si="7"/>
        <v>0</v>
      </c>
      <c r="T88" s="89">
        <f t="shared" si="7"/>
        <v>-1.8401061919405344</v>
      </c>
      <c r="U88" s="89">
        <f t="shared" si="7"/>
        <v>0</v>
      </c>
      <c r="V88" s="89">
        <f t="shared" si="7"/>
        <v>-0.22752355251856307</v>
      </c>
      <c r="W88" s="89">
        <f t="shared" si="7"/>
        <v>0</v>
      </c>
      <c r="X88" s="89">
        <f t="shared" si="7"/>
        <v>0</v>
      </c>
      <c r="Y88" s="89">
        <f t="shared" si="7"/>
        <v>0</v>
      </c>
      <c r="AQ88" s="3"/>
    </row>
    <row r="89" spans="5:43" x14ac:dyDescent="0.3">
      <c r="E89" s="32"/>
      <c r="F89" t="s">
        <v>197</v>
      </c>
      <c r="G89" t="s">
        <v>171</v>
      </c>
      <c r="J89" s="89">
        <f t="shared" ref="J89:Y89" si="8">J$56 * J41 * J77 / hours_in_year / $H52</f>
        <v>743.71232747786996</v>
      </c>
      <c r="K89" s="89">
        <f t="shared" si="8"/>
        <v>1.5135393856895414E-2</v>
      </c>
      <c r="L89" s="89">
        <f t="shared" si="8"/>
        <v>255.75281151018731</v>
      </c>
      <c r="M89" s="89">
        <f t="shared" si="8"/>
        <v>2.9457619823583713E-2</v>
      </c>
      <c r="N89" s="89">
        <f t="shared" si="8"/>
        <v>213.44757936974744</v>
      </c>
      <c r="O89" s="89">
        <f t="shared" si="8"/>
        <v>99.096038020671685</v>
      </c>
      <c r="P89" s="89">
        <f t="shared" si="8"/>
        <v>0</v>
      </c>
      <c r="Q89" s="89">
        <f t="shared" si="8"/>
        <v>12.43668838336407</v>
      </c>
      <c r="R89" s="89">
        <f t="shared" si="8"/>
        <v>-0.10486035786503586</v>
      </c>
      <c r="S89" s="89">
        <f t="shared" si="8"/>
        <v>0</v>
      </c>
      <c r="T89" s="89">
        <f t="shared" si="8"/>
        <v>-1.8123508057041053</v>
      </c>
      <c r="U89" s="89">
        <f t="shared" si="8"/>
        <v>0</v>
      </c>
      <c r="V89" s="89">
        <f t="shared" si="8"/>
        <v>0</v>
      </c>
      <c r="W89" s="89">
        <f t="shared" si="8"/>
        <v>0</v>
      </c>
      <c r="X89" s="89">
        <f t="shared" si="8"/>
        <v>0</v>
      </c>
      <c r="Y89" s="89">
        <f t="shared" si="8"/>
        <v>0</v>
      </c>
      <c r="AQ89" s="3"/>
    </row>
    <row r="90" spans="5:43" x14ac:dyDescent="0.3">
      <c r="E90" s="32"/>
      <c r="F90" s="37" t="s">
        <v>198</v>
      </c>
      <c r="G90" s="37" t="s">
        <v>171</v>
      </c>
      <c r="H90" s="37"/>
      <c r="I90" s="37"/>
      <c r="J90" s="82">
        <f t="shared" ref="J90:Y90" si="9">J$56 * J42 * J78 / hours_in_year / $H53</f>
        <v>719.78730286999939</v>
      </c>
      <c r="K90" s="82">
        <f t="shared" si="9"/>
        <v>1.4648492326428566E-2</v>
      </c>
      <c r="L90" s="82">
        <f t="shared" si="9"/>
        <v>247.52531267382386</v>
      </c>
      <c r="M90" s="82">
        <f t="shared" si="9"/>
        <v>2.85099761539425E-2</v>
      </c>
      <c r="N90" s="82">
        <f t="shared" si="9"/>
        <v>206.58102841955684</v>
      </c>
      <c r="O90" s="82">
        <f t="shared" si="9"/>
        <v>0</v>
      </c>
      <c r="P90" s="82">
        <f t="shared" si="9"/>
        <v>0</v>
      </c>
      <c r="Q90" s="82">
        <f t="shared" si="9"/>
        <v>12.036603478732369</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3">
      <c r="E91" s="32"/>
      <c r="J91" s="89"/>
      <c r="K91" s="89"/>
      <c r="L91" s="89"/>
      <c r="M91" s="89"/>
      <c r="N91" s="89"/>
      <c r="O91" s="89"/>
      <c r="P91" s="89"/>
      <c r="Q91" s="89"/>
      <c r="R91" s="89"/>
      <c r="S91" s="89"/>
      <c r="T91" s="89"/>
      <c r="U91" s="89"/>
      <c r="V91" s="89"/>
      <c r="W91" s="89"/>
      <c r="X91" s="89"/>
      <c r="Y91" s="89"/>
      <c r="AQ91" s="3"/>
    </row>
    <row r="92" spans="5:43" x14ac:dyDescent="0.3">
      <c r="E92" s="32" t="s">
        <v>509</v>
      </c>
      <c r="J92" s="89"/>
      <c r="K92" s="89"/>
      <c r="L92" s="89"/>
      <c r="M92" s="89"/>
      <c r="N92" s="89"/>
      <c r="O92" s="89"/>
      <c r="P92" s="89"/>
      <c r="Q92" s="89"/>
      <c r="R92" s="89"/>
      <c r="S92" s="89"/>
      <c r="T92" s="89"/>
      <c r="U92" s="89"/>
      <c r="V92" s="89"/>
      <c r="W92" s="89"/>
      <c r="X92" s="89"/>
      <c r="Y92" s="89"/>
      <c r="AQ92" s="3"/>
    </row>
    <row r="93" spans="5:43" x14ac:dyDescent="0.3">
      <c r="E93" s="32"/>
      <c r="F93" s="23" t="s">
        <v>190</v>
      </c>
      <c r="G93" s="23" t="s">
        <v>282</v>
      </c>
      <c r="H93" s="23"/>
      <c r="I93" s="23"/>
      <c r="J93" s="124">
        <f>'Pseudo-load coefficients'!J283</f>
        <v>0.49274064217162228</v>
      </c>
      <c r="K93" s="124">
        <f>'Pseudo-load coefficients'!K283</f>
        <v>0.49274064217162228</v>
      </c>
      <c r="L93" s="124">
        <f>'Pseudo-load coefficients'!L283</f>
        <v>0.56827138844555924</v>
      </c>
      <c r="M93" s="124">
        <f>'Pseudo-load coefficients'!M283</f>
        <v>0.56827138844555924</v>
      </c>
      <c r="N93" s="124">
        <f>'Pseudo-load coefficients'!N283</f>
        <v>0.50080707806956148</v>
      </c>
      <c r="O93" s="124">
        <f>'Pseudo-load coefficients'!O283</f>
        <v>0.48999713219532509</v>
      </c>
      <c r="P93" s="124">
        <f>'Pseudo-load coefficients'!P283</f>
        <v>0.42676777798877852</v>
      </c>
      <c r="Q93" s="124">
        <f>'Pseudo-load coefficients'!Q283</f>
        <v>0.51525663972351798</v>
      </c>
      <c r="R93" s="124">
        <f>'Pseudo-load coefficients'!R283</f>
        <v>0.38464071659092403</v>
      </c>
      <c r="S93" s="124">
        <f>'Pseudo-load coefficients'!S283</f>
        <v>0.38464071659092403</v>
      </c>
      <c r="T93" s="124">
        <f>'Pseudo-load coefficients'!T283</f>
        <v>0.38464071659092403</v>
      </c>
      <c r="U93" s="124">
        <f>'Pseudo-load coefficients'!U283</f>
        <v>0.38464071659092403</v>
      </c>
      <c r="V93" s="124">
        <f>'Pseudo-load coefficients'!V283</f>
        <v>0.38464071659092403</v>
      </c>
      <c r="W93" s="124">
        <f>'Pseudo-load coefficients'!W283</f>
        <v>0.38464071659092403</v>
      </c>
      <c r="X93" s="124">
        <f>'Pseudo-load coefficients'!X283</f>
        <v>0.38464071659092403</v>
      </c>
      <c r="Y93" s="124">
        <f>'Pseudo-load coefficients'!Y283</f>
        <v>0.38464071659092403</v>
      </c>
      <c r="AQ93" s="3"/>
    </row>
    <row r="94" spans="5:43" x14ac:dyDescent="0.3">
      <c r="E94" s="32"/>
      <c r="F94" t="s">
        <v>191</v>
      </c>
      <c r="G94" t="s">
        <v>282</v>
      </c>
      <c r="J94" s="120">
        <f>'Pseudo-load coefficients'!J284</f>
        <v>0.98669692737491799</v>
      </c>
      <c r="K94" s="120">
        <f>'Pseudo-load coefficients'!K284</f>
        <v>0.98669692737491799</v>
      </c>
      <c r="L94" s="120">
        <f>'Pseudo-load coefficients'!L284</f>
        <v>1.1379447622244545</v>
      </c>
      <c r="M94" s="120">
        <f>'Pseudo-load coefficients'!M284</f>
        <v>1.1379447622244545</v>
      </c>
      <c r="N94" s="120">
        <f>'Pseudo-load coefficients'!N284</f>
        <v>1.0028496999172551</v>
      </c>
      <c r="O94" s="120">
        <f>'Pseudo-load coefficients'!O284</f>
        <v>0.98120313889442146</v>
      </c>
      <c r="P94" s="120">
        <f>'Pseudo-load coefficients'!P284</f>
        <v>0.8545884370087794</v>
      </c>
      <c r="Q94" s="120">
        <f>'Pseudo-load coefficients'!Q284</f>
        <v>0.88474988794630338</v>
      </c>
      <c r="R94" s="120">
        <f>'Pseudo-load coefficients'!R284</f>
        <v>0.77023038231817431</v>
      </c>
      <c r="S94" s="120">
        <f>'Pseudo-load coefficients'!S284</f>
        <v>0.77023038231817431</v>
      </c>
      <c r="T94" s="120">
        <f>'Pseudo-load coefficients'!T284</f>
        <v>0.77023038231817431</v>
      </c>
      <c r="U94" s="120">
        <f>'Pseudo-load coefficients'!U284</f>
        <v>0.77023038231817431</v>
      </c>
      <c r="V94" s="120">
        <f>'Pseudo-load coefficients'!V284</f>
        <v>0.77023038231817431</v>
      </c>
      <c r="W94" s="120">
        <f>'Pseudo-load coefficients'!W284</f>
        <v>0.77023038231817431</v>
      </c>
      <c r="X94" s="120">
        <f>'Pseudo-load coefficients'!X284</f>
        <v>0.77023038231817431</v>
      </c>
      <c r="Y94" s="120">
        <f>'Pseudo-load coefficients'!Y284</f>
        <v>0.77023038231817431</v>
      </c>
      <c r="AQ94" s="3"/>
    </row>
    <row r="95" spans="5:43" x14ac:dyDescent="0.3">
      <c r="E95" s="32"/>
      <c r="F95" t="s">
        <v>192</v>
      </c>
      <c r="G95" t="s">
        <v>282</v>
      </c>
      <c r="J95" s="120">
        <f>'Pseudo-load coefficients'!J285</f>
        <v>0.98669692737491799</v>
      </c>
      <c r="K95" s="120">
        <f>'Pseudo-load coefficients'!K285</f>
        <v>0.98669692737491799</v>
      </c>
      <c r="L95" s="120">
        <f>'Pseudo-load coefficients'!L285</f>
        <v>1.1379447622244545</v>
      </c>
      <c r="M95" s="120">
        <f>'Pseudo-load coefficients'!M285</f>
        <v>1.1379447622244545</v>
      </c>
      <c r="N95" s="120">
        <f>'Pseudo-load coefficients'!N285</f>
        <v>1.0028496999172551</v>
      </c>
      <c r="O95" s="120">
        <f>'Pseudo-load coefficients'!O285</f>
        <v>0.98120313889442146</v>
      </c>
      <c r="P95" s="120">
        <f>'Pseudo-load coefficients'!P285</f>
        <v>0.8545884370087794</v>
      </c>
      <c r="Q95" s="120">
        <f>'Pseudo-load coefficients'!Q285</f>
        <v>0.88474988794630338</v>
      </c>
      <c r="R95" s="120">
        <f>'Pseudo-load coefficients'!R285</f>
        <v>0.77023038231817431</v>
      </c>
      <c r="S95" s="120">
        <f>'Pseudo-load coefficients'!S285</f>
        <v>0.77023038231817431</v>
      </c>
      <c r="T95" s="120">
        <f>'Pseudo-load coefficients'!T285</f>
        <v>0.77023038231817431</v>
      </c>
      <c r="U95" s="120">
        <f>'Pseudo-load coefficients'!U285</f>
        <v>0.77023038231817431</v>
      </c>
      <c r="V95" s="120">
        <f>'Pseudo-load coefficients'!V285</f>
        <v>0.77023038231817431</v>
      </c>
      <c r="W95" s="120">
        <f>'Pseudo-load coefficients'!W285</f>
        <v>0.77023038231817431</v>
      </c>
      <c r="X95" s="120">
        <f>'Pseudo-load coefficients'!X285</f>
        <v>0.77023038231817431</v>
      </c>
      <c r="Y95" s="120">
        <f>'Pseudo-load coefficients'!Y285</f>
        <v>0.77023038231817431</v>
      </c>
      <c r="AQ95" s="3"/>
    </row>
    <row r="96" spans="5:43" x14ac:dyDescent="0.3">
      <c r="E96" s="32"/>
      <c r="F96" t="s">
        <v>193</v>
      </c>
      <c r="G96" t="s">
        <v>282</v>
      </c>
      <c r="J96" s="120">
        <f>'Pseudo-load coefficients'!J286</f>
        <v>1.7800183921076809</v>
      </c>
      <c r="K96" s="120">
        <f>'Pseudo-load coefficients'!K286</f>
        <v>1.7800183921076809</v>
      </c>
      <c r="L96" s="120">
        <f>'Pseudo-load coefficients'!L286</f>
        <v>2.0528721127682932</v>
      </c>
      <c r="M96" s="120">
        <f>'Pseudo-load coefficients'!M286</f>
        <v>2.0528721127682932</v>
      </c>
      <c r="N96" s="120">
        <f>'Pseudo-load coefficients'!N286</f>
        <v>1.8091582742854704</v>
      </c>
      <c r="O96" s="120">
        <f>'Pseudo-load coefficients'!O286</f>
        <v>1.77010750228293</v>
      </c>
      <c r="P96" s="120">
        <f>'Pseudo-load coefficients'!P286</f>
        <v>1.5416923812717775</v>
      </c>
      <c r="Q96" s="120">
        <f>'Pseudo-load coefficients'!Q286</f>
        <v>1.0779807947309659</v>
      </c>
      <c r="R96" s="120">
        <f>'Pseudo-load coefficients'!R286</f>
        <v>1.3895089856355953</v>
      </c>
      <c r="S96" s="120">
        <f>'Pseudo-load coefficients'!S286</f>
        <v>1.3895089856355953</v>
      </c>
      <c r="T96" s="120">
        <f>'Pseudo-load coefficients'!T286</f>
        <v>1.3895089856355953</v>
      </c>
      <c r="U96" s="120">
        <f>'Pseudo-load coefficients'!U286</f>
        <v>1.3895089856355953</v>
      </c>
      <c r="V96" s="120">
        <f>'Pseudo-load coefficients'!V286</f>
        <v>1.3895089856355953</v>
      </c>
      <c r="W96" s="120">
        <f>'Pseudo-load coefficients'!W286</f>
        <v>1.3895089856355953</v>
      </c>
      <c r="X96" s="120">
        <f>'Pseudo-load coefficients'!X286</f>
        <v>1.3895089856355953</v>
      </c>
      <c r="Y96" s="120">
        <f>'Pseudo-load coefficients'!Y286</f>
        <v>1.3895089856355953</v>
      </c>
      <c r="AQ96" s="3"/>
    </row>
    <row r="97" spans="5:43" x14ac:dyDescent="0.3">
      <c r="E97" s="32"/>
      <c r="F97" t="s">
        <v>194</v>
      </c>
      <c r="G97" t="s">
        <v>282</v>
      </c>
      <c r="J97" s="120">
        <f>'Pseudo-load coefficients'!J287</f>
        <v>1.7800183921076809</v>
      </c>
      <c r="K97" s="120">
        <f>'Pseudo-load coefficients'!K287</f>
        <v>1.7800183921076809</v>
      </c>
      <c r="L97" s="120">
        <f>'Pseudo-load coefficients'!L287</f>
        <v>2.0528721127682932</v>
      </c>
      <c r="M97" s="120">
        <f>'Pseudo-load coefficients'!M287</f>
        <v>2.0528721127682932</v>
      </c>
      <c r="N97" s="120">
        <f>'Pseudo-load coefficients'!N287</f>
        <v>1.8091582742854704</v>
      </c>
      <c r="O97" s="120">
        <f>'Pseudo-load coefficients'!O287</f>
        <v>1.77010750228293</v>
      </c>
      <c r="P97" s="120">
        <f>'Pseudo-load coefficients'!P287</f>
        <v>1.5416923812717775</v>
      </c>
      <c r="Q97" s="120">
        <f>'Pseudo-load coefficients'!Q287</f>
        <v>1.0779807947309659</v>
      </c>
      <c r="R97" s="120">
        <f>'Pseudo-load coefficients'!R287</f>
        <v>1.3895089856355953</v>
      </c>
      <c r="S97" s="120">
        <f>'Pseudo-load coefficients'!S287</f>
        <v>1.3895089856355953</v>
      </c>
      <c r="T97" s="120">
        <f>'Pseudo-load coefficients'!T287</f>
        <v>1.3895089856355953</v>
      </c>
      <c r="U97" s="120">
        <f>'Pseudo-load coefficients'!U287</f>
        <v>1.3895089856355953</v>
      </c>
      <c r="V97" s="120">
        <f>'Pseudo-load coefficients'!V287</f>
        <v>1.3895089856355953</v>
      </c>
      <c r="W97" s="120">
        <f>'Pseudo-load coefficients'!W287</f>
        <v>1.3895089856355953</v>
      </c>
      <c r="X97" s="120">
        <f>'Pseudo-load coefficients'!X287</f>
        <v>1.3895089856355953</v>
      </c>
      <c r="Y97" s="120">
        <f>'Pseudo-load coefficients'!Y287</f>
        <v>1.3895089856355953</v>
      </c>
      <c r="AQ97" s="3"/>
    </row>
    <row r="98" spans="5:43" x14ac:dyDescent="0.3">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3">
      <c r="E99" s="32"/>
      <c r="F99" t="s">
        <v>196</v>
      </c>
      <c r="G99" t="s">
        <v>282</v>
      </c>
      <c r="J99" s="120">
        <f>'Pseudo-load coefficients'!J289</f>
        <v>1.7800183921076809</v>
      </c>
      <c r="K99" s="120">
        <f>'Pseudo-load coefficients'!K289</f>
        <v>1.7800183921076809</v>
      </c>
      <c r="L99" s="120">
        <f>'Pseudo-load coefficients'!L289</f>
        <v>2.0528721127682932</v>
      </c>
      <c r="M99" s="120">
        <f>'Pseudo-load coefficients'!M289</f>
        <v>2.0528721127682932</v>
      </c>
      <c r="N99" s="120">
        <f>'Pseudo-load coefficients'!N289</f>
        <v>1.8091582742854704</v>
      </c>
      <c r="O99" s="120">
        <f>'Pseudo-load coefficients'!O289</f>
        <v>1.77010750228293</v>
      </c>
      <c r="P99" s="120">
        <f>'Pseudo-load coefficients'!P289</f>
        <v>1.5416923812717775</v>
      </c>
      <c r="Q99" s="120">
        <f>'Pseudo-load coefficients'!Q289</f>
        <v>1.0779807947309659</v>
      </c>
      <c r="R99" s="120">
        <f>'Pseudo-load coefficients'!R289</f>
        <v>1.3895089856355953</v>
      </c>
      <c r="S99" s="120">
        <f>'Pseudo-load coefficients'!S289</f>
        <v>1.3895089856355953</v>
      </c>
      <c r="T99" s="120">
        <f>'Pseudo-load coefficients'!T289</f>
        <v>1.3895089856355953</v>
      </c>
      <c r="U99" s="120">
        <f>'Pseudo-load coefficients'!U289</f>
        <v>1.3895089856355953</v>
      </c>
      <c r="V99" s="120">
        <f>'Pseudo-load coefficients'!V289</f>
        <v>1.3895089856355953</v>
      </c>
      <c r="W99" s="120">
        <f>'Pseudo-load coefficients'!W289</f>
        <v>1.3895089856355953</v>
      </c>
      <c r="X99" s="120">
        <f>'Pseudo-load coefficients'!X289</f>
        <v>1.3895089856355953</v>
      </c>
      <c r="Y99" s="120">
        <f>'Pseudo-load coefficients'!Y289</f>
        <v>1.3895089856355953</v>
      </c>
      <c r="AQ99" s="3"/>
    </row>
    <row r="100" spans="5:43" x14ac:dyDescent="0.3">
      <c r="E100" s="32"/>
      <c r="F100" t="s">
        <v>197</v>
      </c>
      <c r="G100" t="s">
        <v>282</v>
      </c>
      <c r="J100" s="120">
        <f>'Pseudo-load coefficients'!J290</f>
        <v>1.7800183921076809</v>
      </c>
      <c r="K100" s="120">
        <f>'Pseudo-load coefficients'!K290</f>
        <v>1.7800183921076809</v>
      </c>
      <c r="L100" s="120">
        <f>'Pseudo-load coefficients'!L290</f>
        <v>2.0528721127682932</v>
      </c>
      <c r="M100" s="120">
        <f>'Pseudo-load coefficients'!M290</f>
        <v>2.0528721127682932</v>
      </c>
      <c r="N100" s="120">
        <f>'Pseudo-load coefficients'!N290</f>
        <v>1.8091582742854704</v>
      </c>
      <c r="O100" s="120">
        <f>'Pseudo-load coefficients'!O290</f>
        <v>1.77010750228293</v>
      </c>
      <c r="P100" s="120">
        <f>'Pseudo-load coefficients'!P290</f>
        <v>1.5416923812717775</v>
      </c>
      <c r="Q100" s="120">
        <f>'Pseudo-load coefficients'!Q290</f>
        <v>1.0779807947309659</v>
      </c>
      <c r="R100" s="120">
        <f>'Pseudo-load coefficients'!R290</f>
        <v>1.3895089856355953</v>
      </c>
      <c r="S100" s="120">
        <f>'Pseudo-load coefficients'!S290</f>
        <v>1.3895089856355953</v>
      </c>
      <c r="T100" s="120">
        <f>'Pseudo-load coefficients'!T290</f>
        <v>1.3895089856355953</v>
      </c>
      <c r="U100" s="120">
        <f>'Pseudo-load coefficients'!U290</f>
        <v>1.3895089856355953</v>
      </c>
      <c r="V100" s="120">
        <f>'Pseudo-load coefficients'!V290</f>
        <v>1.3895089856355953</v>
      </c>
      <c r="W100" s="120">
        <f>'Pseudo-load coefficients'!W290</f>
        <v>1.3895089856355953</v>
      </c>
      <c r="X100" s="120">
        <f>'Pseudo-load coefficients'!X290</f>
        <v>1.3895089856355953</v>
      </c>
      <c r="Y100" s="120">
        <f>'Pseudo-load coefficients'!Y290</f>
        <v>1.3895089856355953</v>
      </c>
      <c r="AQ100" s="3"/>
    </row>
    <row r="101" spans="5:43" x14ac:dyDescent="0.3">
      <c r="E101" s="32"/>
      <c r="F101" s="37" t="s">
        <v>198</v>
      </c>
      <c r="G101" s="37" t="s">
        <v>282</v>
      </c>
      <c r="H101" s="37"/>
      <c r="I101" s="37"/>
      <c r="J101" s="125">
        <f>'Pseudo-load coefficients'!J291</f>
        <v>1.7800183921076809</v>
      </c>
      <c r="K101" s="125">
        <f>'Pseudo-load coefficients'!K291</f>
        <v>1.7800183921076809</v>
      </c>
      <c r="L101" s="125">
        <f>'Pseudo-load coefficients'!L291</f>
        <v>2.0528721127682932</v>
      </c>
      <c r="M101" s="125">
        <f>'Pseudo-load coefficients'!M291</f>
        <v>2.0528721127682932</v>
      </c>
      <c r="N101" s="125">
        <f>'Pseudo-load coefficients'!N291</f>
        <v>1.8091582742854704</v>
      </c>
      <c r="O101" s="125">
        <f>'Pseudo-load coefficients'!O291</f>
        <v>1.77010750228293</v>
      </c>
      <c r="P101" s="125">
        <f>'Pseudo-load coefficients'!P291</f>
        <v>1.5416923812717775</v>
      </c>
      <c r="Q101" s="125">
        <f>'Pseudo-load coefficients'!Q291</f>
        <v>1.0779807947309659</v>
      </c>
      <c r="R101" s="125">
        <f>'Pseudo-load coefficients'!R291</f>
        <v>1.3895089856355953</v>
      </c>
      <c r="S101" s="125">
        <f>'Pseudo-load coefficients'!S291</f>
        <v>1.3895089856355953</v>
      </c>
      <c r="T101" s="125">
        <f>'Pseudo-load coefficients'!T291</f>
        <v>1.3895089856355953</v>
      </c>
      <c r="U101" s="125">
        <f>'Pseudo-load coefficients'!U291</f>
        <v>1.3895089856355953</v>
      </c>
      <c r="V101" s="125">
        <f>'Pseudo-load coefficients'!V291</f>
        <v>1.3895089856355953</v>
      </c>
      <c r="W101" s="125">
        <f>'Pseudo-load coefficients'!W291</f>
        <v>1.3895089856355953</v>
      </c>
      <c r="X101" s="125">
        <f>'Pseudo-load coefficients'!X291</f>
        <v>1.3895089856355953</v>
      </c>
      <c r="Y101" s="125">
        <f>'Pseudo-load coefficients'!Y291</f>
        <v>1.3895089856355953</v>
      </c>
      <c r="AQ101" s="3"/>
    </row>
    <row r="102" spans="5:43" x14ac:dyDescent="0.3">
      <c r="E102" s="32"/>
      <c r="J102" s="89"/>
      <c r="K102" s="89"/>
      <c r="L102" s="89"/>
      <c r="M102" s="89"/>
      <c r="N102" s="89"/>
      <c r="O102" s="89"/>
      <c r="P102" s="89"/>
      <c r="Q102" s="89"/>
      <c r="R102" s="89"/>
      <c r="S102" s="89"/>
      <c r="T102" s="89"/>
      <c r="U102" s="89"/>
      <c r="V102" s="89"/>
      <c r="W102" s="89"/>
      <c r="X102" s="89"/>
      <c r="Y102" s="89"/>
      <c r="AQ102" s="3"/>
    </row>
    <row r="103" spans="5:43" x14ac:dyDescent="0.3">
      <c r="E103" s="32" t="s">
        <v>510</v>
      </c>
      <c r="J103" s="89"/>
      <c r="K103" s="89"/>
      <c r="L103" s="89"/>
      <c r="M103" s="89"/>
      <c r="N103" s="89"/>
      <c r="O103" s="89"/>
      <c r="P103" s="89"/>
      <c r="Q103" s="89"/>
      <c r="R103" s="89"/>
      <c r="S103" s="89"/>
      <c r="T103" s="89"/>
      <c r="U103" s="89"/>
      <c r="V103" s="89"/>
      <c r="W103" s="89"/>
      <c r="X103" s="89"/>
      <c r="Y103" s="89"/>
      <c r="AQ103" s="3"/>
    </row>
    <row r="104" spans="5:43" x14ac:dyDescent="0.3">
      <c r="E104" s="29" t="s">
        <v>511</v>
      </c>
      <c r="J104" s="89"/>
      <c r="K104" s="89"/>
      <c r="L104" s="89"/>
      <c r="M104" s="89"/>
      <c r="N104" s="89"/>
      <c r="O104" s="89"/>
      <c r="P104" s="89"/>
      <c r="Q104" s="89"/>
      <c r="R104" s="89"/>
      <c r="S104" s="89"/>
      <c r="T104" s="89"/>
      <c r="U104" s="89"/>
      <c r="V104" s="89"/>
      <c r="W104" s="89"/>
      <c r="X104" s="89"/>
      <c r="Y104" s="89"/>
      <c r="AQ104" s="3"/>
    </row>
    <row r="105" spans="5:43" x14ac:dyDescent="0.3">
      <c r="E105" s="32"/>
      <c r="F105" s="23" t="s">
        <v>190</v>
      </c>
      <c r="G105" s="23" t="s">
        <v>171</v>
      </c>
      <c r="H105" s="23"/>
      <c r="I105" s="23"/>
      <c r="J105" s="158">
        <f t="shared" ref="J105:Y105" si="10">J$57 * J34 * J93 / hours_in_year / $H45</f>
        <v>138.14411029463582</v>
      </c>
      <c r="K105" s="158">
        <f t="shared" si="10"/>
        <v>2.6883812068747934E-2</v>
      </c>
      <c r="L105" s="158">
        <f t="shared" si="10"/>
        <v>67.728918163573837</v>
      </c>
      <c r="M105" s="158">
        <f t="shared" si="10"/>
        <v>6.4818609935626201E-2</v>
      </c>
      <c r="N105" s="158">
        <f t="shared" si="10"/>
        <v>56.680652974804723</v>
      </c>
      <c r="O105" s="158">
        <f t="shared" si="10"/>
        <v>26.856002047659405</v>
      </c>
      <c r="P105" s="158">
        <f t="shared" si="10"/>
        <v>75.090187963791806</v>
      </c>
      <c r="Q105" s="158">
        <f t="shared" si="10"/>
        <v>1.9096691016602267</v>
      </c>
      <c r="R105" s="158">
        <f t="shared" si="10"/>
        <v>-2.859611536858972E-2</v>
      </c>
      <c r="S105" s="158">
        <f t="shared" si="10"/>
        <v>0</v>
      </c>
      <c r="T105" s="158">
        <f t="shared" si="10"/>
        <v>-0.49424009018714038</v>
      </c>
      <c r="U105" s="158">
        <f t="shared" si="10"/>
        <v>0</v>
      </c>
      <c r="V105" s="158">
        <f t="shared" si="10"/>
        <v>-7.1426504841027555E-2</v>
      </c>
      <c r="W105" s="158">
        <f t="shared" si="10"/>
        <v>0</v>
      </c>
      <c r="X105" s="158">
        <f t="shared" si="10"/>
        <v>-15.063491589396522</v>
      </c>
      <c r="Y105" s="158">
        <f t="shared" si="10"/>
        <v>0</v>
      </c>
      <c r="AQ105" s="3"/>
    </row>
    <row r="106" spans="5:43" x14ac:dyDescent="0.3">
      <c r="E106" s="32"/>
      <c r="F106" t="s">
        <v>191</v>
      </c>
      <c r="G106" t="s">
        <v>171</v>
      </c>
      <c r="J106" s="89">
        <f t="shared" ref="J106:Y106" si="11">J$57 * J35 * J94 / hours_in_year / $H46</f>
        <v>274.70824528259959</v>
      </c>
      <c r="K106" s="89">
        <f t="shared" si="11"/>
        <v>5.346014986930419E-2</v>
      </c>
      <c r="L106" s="89">
        <f t="shared" si="11"/>
        <v>134.68321033681173</v>
      </c>
      <c r="M106" s="89">
        <f t="shared" si="11"/>
        <v>0.12889587952100023</v>
      </c>
      <c r="N106" s="89">
        <f t="shared" si="11"/>
        <v>112.71304065711718</v>
      </c>
      <c r="O106" s="89">
        <f t="shared" si="11"/>
        <v>53.404847894589459</v>
      </c>
      <c r="P106" s="89">
        <f t="shared" si="11"/>
        <v>149.32155796927103</v>
      </c>
      <c r="Q106" s="89">
        <f t="shared" si="11"/>
        <v>3.2563342053589071</v>
      </c>
      <c r="R106" s="89">
        <f t="shared" si="11"/>
        <v>-5.68651725943983E-2</v>
      </c>
      <c r="S106" s="89">
        <f t="shared" si="11"/>
        <v>0</v>
      </c>
      <c r="T106" s="89">
        <f t="shared" si="11"/>
        <v>-0.98282748091139716</v>
      </c>
      <c r="U106" s="89">
        <f t="shared" si="11"/>
        <v>0</v>
      </c>
      <c r="V106" s="89">
        <f t="shared" si="11"/>
        <v>-0.14203609382766202</v>
      </c>
      <c r="W106" s="89">
        <f t="shared" si="11"/>
        <v>0</v>
      </c>
      <c r="X106" s="89">
        <f t="shared" si="11"/>
        <v>-29.954699722822699</v>
      </c>
      <c r="Y106" s="89">
        <f t="shared" si="11"/>
        <v>0</v>
      </c>
      <c r="AQ106" s="3"/>
    </row>
    <row r="107" spans="5:43" x14ac:dyDescent="0.3">
      <c r="E107" s="32"/>
      <c r="F107" t="s">
        <v>192</v>
      </c>
      <c r="G107" t="s">
        <v>171</v>
      </c>
      <c r="J107" s="89">
        <f t="shared" ref="J107:Y107" si="12">J$57 * J36 * J95 / hours_in_year / $H47</f>
        <v>273.34080099965144</v>
      </c>
      <c r="K107" s="89">
        <f t="shared" si="12"/>
        <v>5.3194035627887354E-2</v>
      </c>
      <c r="L107" s="89">
        <f t="shared" si="12"/>
        <v>134.01278347796477</v>
      </c>
      <c r="M107" s="89">
        <f t="shared" si="12"/>
        <v>0.12825426087076552</v>
      </c>
      <c r="N107" s="89">
        <f t="shared" si="12"/>
        <v>112.15197703523091</v>
      </c>
      <c r="O107" s="89">
        <f t="shared" si="12"/>
        <v>53.139008935660343</v>
      </c>
      <c r="P107" s="89">
        <f t="shared" si="12"/>
        <v>148.57826425940829</v>
      </c>
      <c r="Q107" s="89">
        <f t="shared" si="12"/>
        <v>3.2401248062274548</v>
      </c>
      <c r="R107" s="89">
        <f t="shared" si="12"/>
        <v>-5.6582108811281506E-2</v>
      </c>
      <c r="S107" s="89">
        <f t="shared" si="12"/>
        <v>0</v>
      </c>
      <c r="T107" s="89">
        <f t="shared" si="12"/>
        <v>-0.9779351566256298</v>
      </c>
      <c r="U107" s="89">
        <f t="shared" si="12"/>
        <v>0</v>
      </c>
      <c r="V107" s="89">
        <f t="shared" si="12"/>
        <v>-0.14132906574309501</v>
      </c>
      <c r="W107" s="89">
        <f t="shared" si="12"/>
        <v>0</v>
      </c>
      <c r="X107" s="89">
        <f t="shared" si="12"/>
        <v>-29.805591046302037</v>
      </c>
      <c r="Y107" s="89">
        <f t="shared" si="12"/>
        <v>0</v>
      </c>
      <c r="AQ107" s="3"/>
    </row>
    <row r="108" spans="5:43" x14ac:dyDescent="0.3">
      <c r="E108" s="32"/>
      <c r="F108" t="s">
        <v>193</v>
      </c>
      <c r="G108" t="s">
        <v>171</v>
      </c>
      <c r="J108" s="89">
        <f t="shared" ref="J108:Y108" si="13">J$57 * J37 * J96 / hours_in_year / $H48</f>
        <v>490.71747107263116</v>
      </c>
      <c r="K108" s="89">
        <f t="shared" si="13"/>
        <v>9.5497059143752214E-2</v>
      </c>
      <c r="L108" s="89">
        <f t="shared" si="13"/>
        <v>240.5876252619704</v>
      </c>
      <c r="M108" s="89">
        <f t="shared" si="13"/>
        <v>0.23024958703063086</v>
      </c>
      <c r="N108" s="89">
        <f t="shared" si="13"/>
        <v>201.34182070606607</v>
      </c>
      <c r="O108" s="89">
        <f t="shared" si="13"/>
        <v>95.398271991770613</v>
      </c>
      <c r="P108" s="89">
        <f t="shared" si="13"/>
        <v>266.73643242097211</v>
      </c>
      <c r="Q108" s="89">
        <f t="shared" si="13"/>
        <v>3.9286070365674193</v>
      </c>
      <c r="R108" s="89">
        <f t="shared" si="13"/>
        <v>-0.10157952725053991</v>
      </c>
      <c r="S108" s="89">
        <f t="shared" si="13"/>
        <v>0</v>
      </c>
      <c r="T108" s="89">
        <f t="shared" si="13"/>
        <v>-1.7556466695689472</v>
      </c>
      <c r="U108" s="89">
        <f t="shared" si="13"/>
        <v>0</v>
      </c>
      <c r="V108" s="89">
        <f t="shared" si="13"/>
        <v>-0.25372224518577324</v>
      </c>
      <c r="W108" s="89">
        <f t="shared" si="13"/>
        <v>0</v>
      </c>
      <c r="X108" s="89">
        <f t="shared" si="13"/>
        <v>-53.508748816774869</v>
      </c>
      <c r="Y108" s="89">
        <f t="shared" si="13"/>
        <v>0</v>
      </c>
      <c r="AQ108" s="3"/>
    </row>
    <row r="109" spans="5:43" x14ac:dyDescent="0.3">
      <c r="E109" s="32"/>
      <c r="F109" t="s">
        <v>194</v>
      </c>
      <c r="G109" t="s">
        <v>171</v>
      </c>
      <c r="J109" s="89">
        <f t="shared" ref="J109:Y109" si="14">J$57 * J38 * J97 / hours_in_year / $H49</f>
        <v>488.13599576887179</v>
      </c>
      <c r="K109" s="89">
        <f t="shared" si="14"/>
        <v>9.499468595695211E-2</v>
      </c>
      <c r="L109" s="89">
        <f t="shared" si="14"/>
        <v>239.32198658062015</v>
      </c>
      <c r="M109" s="89">
        <f t="shared" si="14"/>
        <v>0.2290383327801532</v>
      </c>
      <c r="N109" s="89">
        <f t="shared" si="14"/>
        <v>200.28263906203262</v>
      </c>
      <c r="O109" s="89">
        <f t="shared" si="14"/>
        <v>94.896418486066466</v>
      </c>
      <c r="P109" s="89">
        <f t="shared" si="14"/>
        <v>265.33323495298202</v>
      </c>
      <c r="Q109" s="89">
        <f t="shared" si="14"/>
        <v>3.9079401505466178</v>
      </c>
      <c r="R109" s="89">
        <f t="shared" si="14"/>
        <v>-0.10104515654555636</v>
      </c>
      <c r="S109" s="89">
        <f t="shared" si="14"/>
        <v>0</v>
      </c>
      <c r="T109" s="89">
        <f t="shared" si="14"/>
        <v>-1.7464108897429038</v>
      </c>
      <c r="U109" s="89">
        <f t="shared" si="14"/>
        <v>0</v>
      </c>
      <c r="V109" s="89">
        <f t="shared" si="14"/>
        <v>-0.25238751033614626</v>
      </c>
      <c r="W109" s="89">
        <f t="shared" si="14"/>
        <v>0</v>
      </c>
      <c r="X109" s="89">
        <f t="shared" si="14"/>
        <v>-53.22725993213492</v>
      </c>
      <c r="Y109" s="89">
        <f t="shared" si="14"/>
        <v>0</v>
      </c>
      <c r="AQ109" s="3"/>
    </row>
    <row r="110" spans="5:43" x14ac:dyDescent="0.3">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3">
      <c r="E111" s="32"/>
      <c r="F111" t="s">
        <v>196</v>
      </c>
      <c r="G111" t="s">
        <v>171</v>
      </c>
      <c r="J111" s="89">
        <f t="shared" ref="J111:Y111" si="16">J$57 * J40 * J99 / hours_in_year / $H51</f>
        <v>484.2495566380515</v>
      </c>
      <c r="K111" s="89">
        <f t="shared" si="16"/>
        <v>9.4238357663355241E-2</v>
      </c>
      <c r="L111" s="89">
        <f t="shared" si="16"/>
        <v>237.41655378817154</v>
      </c>
      <c r="M111" s="89">
        <f t="shared" si="16"/>
        <v>0.22721477633954992</v>
      </c>
      <c r="N111" s="89">
        <f t="shared" si="16"/>
        <v>198.68802958348229</v>
      </c>
      <c r="O111" s="89">
        <f t="shared" si="16"/>
        <v>94.140872578008555</v>
      </c>
      <c r="P111" s="89">
        <f t="shared" si="16"/>
        <v>263.22070591196314</v>
      </c>
      <c r="Q111" s="89">
        <f t="shared" si="16"/>
        <v>3.876825928990256</v>
      </c>
      <c r="R111" s="89">
        <f t="shared" si="16"/>
        <v>-0.10024065564051667</v>
      </c>
      <c r="S111" s="89">
        <f t="shared" si="16"/>
        <v>0</v>
      </c>
      <c r="T111" s="89">
        <f t="shared" si="16"/>
        <v>-1.7325063228205309</v>
      </c>
      <c r="U111" s="89">
        <f t="shared" si="16"/>
        <v>0</v>
      </c>
      <c r="V111" s="89">
        <f t="shared" si="16"/>
        <v>-0.25037805251127165</v>
      </c>
      <c r="W111" s="89">
        <f t="shared" si="16"/>
        <v>0</v>
      </c>
      <c r="X111" s="89">
        <f t="shared" si="16"/>
        <v>0</v>
      </c>
      <c r="Y111" s="89">
        <f t="shared" si="16"/>
        <v>0</v>
      </c>
      <c r="AQ111" s="3"/>
    </row>
    <row r="112" spans="5:43" x14ac:dyDescent="0.3">
      <c r="E112" s="32"/>
      <c r="F112" t="s">
        <v>197</v>
      </c>
      <c r="G112" t="s">
        <v>171</v>
      </c>
      <c r="J112" s="89">
        <f t="shared" ref="J112:Y112" si="17">J$57 * J41 * J100 / hours_in_year / $H52</f>
        <v>476.94534042586946</v>
      </c>
      <c r="K112" s="89">
        <f t="shared" si="17"/>
        <v>9.2816905995680127E-2</v>
      </c>
      <c r="L112" s="89">
        <f t="shared" si="17"/>
        <v>233.83546255649463</v>
      </c>
      <c r="M112" s="89">
        <f t="shared" si="17"/>
        <v>0.22378756441909145</v>
      </c>
      <c r="N112" s="89">
        <f t="shared" si="17"/>
        <v>195.69110308771906</v>
      </c>
      <c r="O112" s="89">
        <f t="shared" si="17"/>
        <v>92.720891334273077</v>
      </c>
      <c r="P112" s="89">
        <f t="shared" si="17"/>
        <v>0</v>
      </c>
      <c r="Q112" s="89">
        <f t="shared" si="17"/>
        <v>3.8183495206710969</v>
      </c>
      <c r="R112" s="89">
        <f t="shared" si="17"/>
        <v>-9.8728667839985795E-2</v>
      </c>
      <c r="S112" s="89">
        <f t="shared" si="17"/>
        <v>0</v>
      </c>
      <c r="T112" s="89">
        <f t="shared" si="17"/>
        <v>-1.7063739276590166</v>
      </c>
      <c r="U112" s="89">
        <f t="shared" si="17"/>
        <v>0</v>
      </c>
      <c r="V112" s="89">
        <f t="shared" si="17"/>
        <v>0</v>
      </c>
      <c r="W112" s="89">
        <f t="shared" si="17"/>
        <v>0</v>
      </c>
      <c r="X112" s="89">
        <f t="shared" si="17"/>
        <v>0</v>
      </c>
      <c r="Y112" s="89">
        <f t="shared" si="17"/>
        <v>0</v>
      </c>
      <c r="AQ112" s="3"/>
    </row>
    <row r="113" spans="5:43" x14ac:dyDescent="0.3">
      <c r="E113" s="32"/>
      <c r="F113" s="37" t="s">
        <v>198</v>
      </c>
      <c r="G113" s="37" t="s">
        <v>171</v>
      </c>
      <c r="H113" s="37"/>
      <c r="I113" s="37"/>
      <c r="J113" s="82">
        <f t="shared" ref="J113:Y113" si="18">J$57 * J42 * J101 / hours_in_year / $H53</f>
        <v>461.60213770527491</v>
      </c>
      <c r="K113" s="82">
        <f t="shared" si="18"/>
        <v>8.9831011210926626E-2</v>
      </c>
      <c r="L113" s="82">
        <f t="shared" si="18"/>
        <v>226.31303891343163</v>
      </c>
      <c r="M113" s="82">
        <f t="shared" si="18"/>
        <v>0.21658837894395017</v>
      </c>
      <c r="N113" s="82">
        <f t="shared" si="18"/>
        <v>189.39577318133891</v>
      </c>
      <c r="O113" s="82">
        <f t="shared" si="18"/>
        <v>0</v>
      </c>
      <c r="P113" s="82">
        <f t="shared" si="18"/>
        <v>0</v>
      </c>
      <c r="Q113" s="82">
        <f t="shared" si="18"/>
        <v>3.6955142483914059</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3">
      <c r="E114" s="32"/>
      <c r="J114" s="89"/>
      <c r="K114" s="89"/>
      <c r="L114" s="89"/>
      <c r="M114" s="89"/>
      <c r="N114" s="89"/>
      <c r="O114" s="89"/>
      <c r="P114" s="89"/>
      <c r="Q114" s="89"/>
      <c r="R114" s="89"/>
      <c r="S114" s="89"/>
      <c r="T114" s="89"/>
      <c r="U114" s="89"/>
      <c r="V114" s="89"/>
      <c r="W114" s="89"/>
      <c r="X114" s="89"/>
      <c r="Y114" s="89"/>
      <c r="AQ114" s="3"/>
    </row>
    <row r="115" spans="5:43" x14ac:dyDescent="0.3">
      <c r="E115" s="32" t="s">
        <v>512</v>
      </c>
      <c r="J115" s="89"/>
      <c r="K115" s="89"/>
      <c r="L115" s="89"/>
      <c r="M115" s="89"/>
      <c r="N115" s="89"/>
      <c r="O115" s="89"/>
      <c r="P115" s="89"/>
      <c r="Q115" s="89"/>
      <c r="R115" s="89"/>
      <c r="S115" s="89"/>
      <c r="T115" s="89"/>
      <c r="U115" s="89"/>
      <c r="V115" s="89"/>
      <c r="W115" s="89"/>
      <c r="X115" s="89"/>
      <c r="Y115" s="89"/>
      <c r="AQ115" s="3"/>
    </row>
    <row r="116" spans="5:43" x14ac:dyDescent="0.3">
      <c r="E116" s="32"/>
      <c r="F116" s="23" t="s">
        <v>190</v>
      </c>
      <c r="G116" s="23" t="s">
        <v>282</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3">
      <c r="E117" s="32"/>
      <c r="F117" t="s">
        <v>191</v>
      </c>
      <c r="G117" t="s">
        <v>282</v>
      </c>
      <c r="J117" s="120">
        <f>'Pseudo-load coefficients'!J295</f>
        <v>0.21180010270239361</v>
      </c>
      <c r="K117" s="120">
        <f>'Pseudo-load coefficients'!K295</f>
        <v>0.21180010270239361</v>
      </c>
      <c r="L117" s="120">
        <f>'Pseudo-load coefficients'!L295</f>
        <v>0.2442663099701845</v>
      </c>
      <c r="M117" s="120">
        <f>'Pseudo-load coefficients'!M295</f>
        <v>0.2442663099701845</v>
      </c>
      <c r="N117" s="120">
        <f>'Pseudo-load coefficients'!N295</f>
        <v>0.215267387122238</v>
      </c>
      <c r="O117" s="120">
        <f>'Pseudo-load coefficients'!O295</f>
        <v>0.21062082978473076</v>
      </c>
      <c r="P117" s="120">
        <f>'Pseudo-load coefficients'!P295</f>
        <v>0.18344226449380813</v>
      </c>
      <c r="Q117" s="120">
        <f>'Pseudo-load coefficients'!Q295</f>
        <v>0.13371413796565465</v>
      </c>
      <c r="R117" s="120">
        <f>'Pseudo-load coefficients'!R295</f>
        <v>0.16533432866109088</v>
      </c>
      <c r="S117" s="120">
        <f>'Pseudo-load coefficients'!S295</f>
        <v>0.16533432866109088</v>
      </c>
      <c r="T117" s="120">
        <f>'Pseudo-load coefficients'!T295</f>
        <v>0.16533432866109088</v>
      </c>
      <c r="U117" s="120">
        <f>'Pseudo-load coefficients'!U295</f>
        <v>0.16533432866109088</v>
      </c>
      <c r="V117" s="120">
        <f>'Pseudo-load coefficients'!V295</f>
        <v>0.16533432866109088</v>
      </c>
      <c r="W117" s="120">
        <f>'Pseudo-load coefficients'!W295</f>
        <v>0.16533432866109088</v>
      </c>
      <c r="X117" s="120">
        <f>'Pseudo-load coefficients'!X295</f>
        <v>0.16533432866109088</v>
      </c>
      <c r="Y117" s="120">
        <f>'Pseudo-load coefficients'!Y295</f>
        <v>0.16533432866109088</v>
      </c>
      <c r="AQ117" s="3"/>
    </row>
    <row r="118" spans="5:43" x14ac:dyDescent="0.3">
      <c r="E118" s="32"/>
      <c r="F118" t="s">
        <v>192</v>
      </c>
      <c r="G118" t="s">
        <v>282</v>
      </c>
      <c r="J118" s="120">
        <f>'Pseudo-load coefficients'!J296</f>
        <v>0.21180010270239361</v>
      </c>
      <c r="K118" s="120">
        <f>'Pseudo-load coefficients'!K296</f>
        <v>0.21180010270239361</v>
      </c>
      <c r="L118" s="120">
        <f>'Pseudo-load coefficients'!L296</f>
        <v>0.2442663099701845</v>
      </c>
      <c r="M118" s="120">
        <f>'Pseudo-load coefficients'!M296</f>
        <v>0.2442663099701845</v>
      </c>
      <c r="N118" s="120">
        <f>'Pseudo-load coefficients'!N296</f>
        <v>0.215267387122238</v>
      </c>
      <c r="O118" s="120">
        <f>'Pseudo-load coefficients'!O296</f>
        <v>0.21062082978473076</v>
      </c>
      <c r="P118" s="120">
        <f>'Pseudo-load coefficients'!P296</f>
        <v>0.18344226449380813</v>
      </c>
      <c r="Q118" s="120">
        <f>'Pseudo-load coefficients'!Q296</f>
        <v>0.13371413796565465</v>
      </c>
      <c r="R118" s="120">
        <f>'Pseudo-load coefficients'!R296</f>
        <v>0.16533432866109088</v>
      </c>
      <c r="S118" s="120">
        <f>'Pseudo-load coefficients'!S296</f>
        <v>0.16533432866109088</v>
      </c>
      <c r="T118" s="120">
        <f>'Pseudo-load coefficients'!T296</f>
        <v>0.16533432866109088</v>
      </c>
      <c r="U118" s="120">
        <f>'Pseudo-load coefficients'!U296</f>
        <v>0.16533432866109088</v>
      </c>
      <c r="V118" s="120">
        <f>'Pseudo-load coefficients'!V296</f>
        <v>0.16533432866109088</v>
      </c>
      <c r="W118" s="120">
        <f>'Pseudo-load coefficients'!W296</f>
        <v>0.16533432866109088</v>
      </c>
      <c r="X118" s="120">
        <f>'Pseudo-load coefficients'!X296</f>
        <v>0.16533432866109088</v>
      </c>
      <c r="Y118" s="120">
        <f>'Pseudo-load coefficients'!Y296</f>
        <v>0.16533432866109088</v>
      </c>
      <c r="AQ118" s="3"/>
    </row>
    <row r="119" spans="5:43" x14ac:dyDescent="0.3">
      <c r="E119" s="32"/>
      <c r="F119" t="s">
        <v>193</v>
      </c>
      <c r="G119" t="s">
        <v>282</v>
      </c>
      <c r="J119" s="120">
        <f>'Pseudo-load coefficients'!J297</f>
        <v>0.22807920222508446</v>
      </c>
      <c r="K119" s="120">
        <f>'Pseudo-load coefficients'!K297</f>
        <v>0.22807920222508446</v>
      </c>
      <c r="L119" s="120">
        <f>'Pseudo-load coefficients'!L297</f>
        <v>0.26304078419993732</v>
      </c>
      <c r="M119" s="120">
        <f>'Pseudo-load coefficients'!M297</f>
        <v>0.26304078419993732</v>
      </c>
      <c r="N119" s="120">
        <f>'Pseudo-load coefficients'!N297</f>
        <v>0.23181298447672374</v>
      </c>
      <c r="O119" s="120">
        <f>'Pseudo-load coefficients'!O297</f>
        <v>0.22680928959126423</v>
      </c>
      <c r="P119" s="120">
        <f>'Pseudo-load coefficients'!P297</f>
        <v>0.1975417613413549</v>
      </c>
      <c r="Q119" s="120">
        <f>'Pseudo-load coefficients'!Q297</f>
        <v>0.14399149728588273</v>
      </c>
      <c r="R119" s="120">
        <f>'Pseudo-load coefficients'!R297</f>
        <v>0.17804203728091658</v>
      </c>
      <c r="S119" s="120">
        <f>'Pseudo-load coefficients'!S297</f>
        <v>0.17804203728091658</v>
      </c>
      <c r="T119" s="120">
        <f>'Pseudo-load coefficients'!T297</f>
        <v>0.17804203728091658</v>
      </c>
      <c r="U119" s="120">
        <f>'Pseudo-load coefficients'!U297</f>
        <v>0.17804203728091658</v>
      </c>
      <c r="V119" s="120">
        <f>'Pseudo-load coefficients'!V297</f>
        <v>0.17804203728091658</v>
      </c>
      <c r="W119" s="120">
        <f>'Pseudo-load coefficients'!W297</f>
        <v>0.17804203728091658</v>
      </c>
      <c r="X119" s="120">
        <f>'Pseudo-load coefficients'!X297</f>
        <v>0.17804203728091658</v>
      </c>
      <c r="Y119" s="120">
        <f>'Pseudo-load coefficients'!Y297</f>
        <v>0.17804203728091658</v>
      </c>
      <c r="AQ119" s="3"/>
    </row>
    <row r="120" spans="5:43" x14ac:dyDescent="0.3">
      <c r="E120" s="32"/>
      <c r="F120" t="s">
        <v>194</v>
      </c>
      <c r="G120" t="s">
        <v>282</v>
      </c>
      <c r="J120" s="120">
        <f>'Pseudo-load coefficients'!J298</f>
        <v>0.22807920222508446</v>
      </c>
      <c r="K120" s="120">
        <f>'Pseudo-load coefficients'!K298</f>
        <v>0.22807920222508446</v>
      </c>
      <c r="L120" s="120">
        <f>'Pseudo-load coefficients'!L298</f>
        <v>0.26304078419993732</v>
      </c>
      <c r="M120" s="120">
        <f>'Pseudo-load coefficients'!M298</f>
        <v>0.26304078419993732</v>
      </c>
      <c r="N120" s="120">
        <f>'Pseudo-load coefficients'!N298</f>
        <v>0.23181298447672374</v>
      </c>
      <c r="O120" s="120">
        <f>'Pseudo-load coefficients'!O298</f>
        <v>0.22680928959126423</v>
      </c>
      <c r="P120" s="120">
        <f>'Pseudo-load coefficients'!P298</f>
        <v>0.1975417613413549</v>
      </c>
      <c r="Q120" s="120">
        <f>'Pseudo-load coefficients'!Q298</f>
        <v>0.14399149728588273</v>
      </c>
      <c r="R120" s="120">
        <f>'Pseudo-load coefficients'!R298</f>
        <v>0.17804203728091658</v>
      </c>
      <c r="S120" s="120">
        <f>'Pseudo-load coefficients'!S298</f>
        <v>0.17804203728091658</v>
      </c>
      <c r="T120" s="120">
        <f>'Pseudo-load coefficients'!T298</f>
        <v>0.17804203728091658</v>
      </c>
      <c r="U120" s="120">
        <f>'Pseudo-load coefficients'!U298</f>
        <v>0.17804203728091658</v>
      </c>
      <c r="V120" s="120">
        <f>'Pseudo-load coefficients'!V298</f>
        <v>0.17804203728091658</v>
      </c>
      <c r="W120" s="120">
        <f>'Pseudo-load coefficients'!W298</f>
        <v>0.17804203728091658</v>
      </c>
      <c r="X120" s="120">
        <f>'Pseudo-load coefficients'!X298</f>
        <v>0.17804203728091658</v>
      </c>
      <c r="Y120" s="120">
        <f>'Pseudo-load coefficients'!Y298</f>
        <v>0.17804203728091658</v>
      </c>
      <c r="AQ120" s="3"/>
    </row>
    <row r="121" spans="5:43" x14ac:dyDescent="0.3">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3">
      <c r="E122" s="32"/>
      <c r="F122" t="s">
        <v>196</v>
      </c>
      <c r="G122" t="s">
        <v>282</v>
      </c>
      <c r="J122" s="120">
        <f>'Pseudo-load coefficients'!J300</f>
        <v>0.22807920222508446</v>
      </c>
      <c r="K122" s="120">
        <f>'Pseudo-load coefficients'!K300</f>
        <v>0.22807920222508446</v>
      </c>
      <c r="L122" s="120">
        <f>'Pseudo-load coefficients'!L300</f>
        <v>0.26304078419993732</v>
      </c>
      <c r="M122" s="120">
        <f>'Pseudo-load coefficients'!M300</f>
        <v>0.26304078419993732</v>
      </c>
      <c r="N122" s="120">
        <f>'Pseudo-load coefficients'!N300</f>
        <v>0.23181298447672374</v>
      </c>
      <c r="O122" s="120">
        <f>'Pseudo-load coefficients'!O300</f>
        <v>0.22680928959126423</v>
      </c>
      <c r="P122" s="120">
        <f>'Pseudo-load coefficients'!P300</f>
        <v>0.1975417613413549</v>
      </c>
      <c r="Q122" s="120">
        <f>'Pseudo-load coefficients'!Q300</f>
        <v>0.14399149728588273</v>
      </c>
      <c r="R122" s="120">
        <f>'Pseudo-load coefficients'!R300</f>
        <v>0.17804203728091658</v>
      </c>
      <c r="S122" s="120">
        <f>'Pseudo-load coefficients'!S300</f>
        <v>0.17804203728091658</v>
      </c>
      <c r="T122" s="120">
        <f>'Pseudo-load coefficients'!T300</f>
        <v>0.17804203728091658</v>
      </c>
      <c r="U122" s="120">
        <f>'Pseudo-load coefficients'!U300</f>
        <v>0.17804203728091658</v>
      </c>
      <c r="V122" s="120">
        <f>'Pseudo-load coefficients'!V300</f>
        <v>0.17804203728091658</v>
      </c>
      <c r="W122" s="120">
        <f>'Pseudo-load coefficients'!W300</f>
        <v>0.17804203728091658</v>
      </c>
      <c r="X122" s="120">
        <f>'Pseudo-load coefficients'!X300</f>
        <v>0.17804203728091658</v>
      </c>
      <c r="Y122" s="120">
        <f>'Pseudo-load coefficients'!Y300</f>
        <v>0.17804203728091658</v>
      </c>
      <c r="AQ122" s="3"/>
    </row>
    <row r="123" spans="5:43" x14ac:dyDescent="0.3">
      <c r="E123" s="32"/>
      <c r="F123" t="s">
        <v>197</v>
      </c>
      <c r="G123" t="s">
        <v>282</v>
      </c>
      <c r="J123" s="120">
        <f>'Pseudo-load coefficients'!J301</f>
        <v>0.22807920222508446</v>
      </c>
      <c r="K123" s="120">
        <f>'Pseudo-load coefficients'!K301</f>
        <v>0.22807920222508446</v>
      </c>
      <c r="L123" s="120">
        <f>'Pseudo-load coefficients'!L301</f>
        <v>0.26304078419993732</v>
      </c>
      <c r="M123" s="120">
        <f>'Pseudo-load coefficients'!M301</f>
        <v>0.26304078419993732</v>
      </c>
      <c r="N123" s="120">
        <f>'Pseudo-load coefficients'!N301</f>
        <v>0.23181298447672374</v>
      </c>
      <c r="O123" s="120">
        <f>'Pseudo-load coefficients'!O301</f>
        <v>0.22680928959126423</v>
      </c>
      <c r="P123" s="120">
        <f>'Pseudo-load coefficients'!P301</f>
        <v>0.1975417613413549</v>
      </c>
      <c r="Q123" s="120">
        <f>'Pseudo-load coefficients'!Q301</f>
        <v>0.14399149728588273</v>
      </c>
      <c r="R123" s="120">
        <f>'Pseudo-load coefficients'!R301</f>
        <v>0.17804203728091658</v>
      </c>
      <c r="S123" s="120">
        <f>'Pseudo-load coefficients'!S301</f>
        <v>0.17804203728091658</v>
      </c>
      <c r="T123" s="120">
        <f>'Pseudo-load coefficients'!T301</f>
        <v>0.17804203728091658</v>
      </c>
      <c r="U123" s="120">
        <f>'Pseudo-load coefficients'!U301</f>
        <v>0.17804203728091658</v>
      </c>
      <c r="V123" s="120">
        <f>'Pseudo-load coefficients'!V301</f>
        <v>0.17804203728091658</v>
      </c>
      <c r="W123" s="120">
        <f>'Pseudo-load coefficients'!W301</f>
        <v>0.17804203728091658</v>
      </c>
      <c r="X123" s="120">
        <f>'Pseudo-load coefficients'!X301</f>
        <v>0.17804203728091658</v>
      </c>
      <c r="Y123" s="120">
        <f>'Pseudo-load coefficients'!Y301</f>
        <v>0.17804203728091658</v>
      </c>
      <c r="AQ123" s="3"/>
    </row>
    <row r="124" spans="5:43" x14ac:dyDescent="0.3">
      <c r="E124" s="32"/>
      <c r="F124" s="37" t="s">
        <v>198</v>
      </c>
      <c r="G124" s="37" t="s">
        <v>282</v>
      </c>
      <c r="H124" s="37"/>
      <c r="I124" s="37"/>
      <c r="J124" s="125">
        <f>'Pseudo-load coefficients'!J302</f>
        <v>0.22807920222508446</v>
      </c>
      <c r="K124" s="125">
        <f>'Pseudo-load coefficients'!K302</f>
        <v>0.22807920222508446</v>
      </c>
      <c r="L124" s="125">
        <f>'Pseudo-load coefficients'!L302</f>
        <v>0.26304078419993732</v>
      </c>
      <c r="M124" s="125">
        <f>'Pseudo-load coefficients'!M302</f>
        <v>0.26304078419993732</v>
      </c>
      <c r="N124" s="125">
        <f>'Pseudo-load coefficients'!N302</f>
        <v>0.23181298447672374</v>
      </c>
      <c r="O124" s="125">
        <f>'Pseudo-load coefficients'!O302</f>
        <v>0.22680928959126423</v>
      </c>
      <c r="P124" s="125">
        <f>'Pseudo-load coefficients'!P302</f>
        <v>0.1975417613413549</v>
      </c>
      <c r="Q124" s="125">
        <f>'Pseudo-load coefficients'!Q302</f>
        <v>0.14399149728588273</v>
      </c>
      <c r="R124" s="125">
        <f>'Pseudo-load coefficients'!R302</f>
        <v>0.17804203728091658</v>
      </c>
      <c r="S124" s="125">
        <f>'Pseudo-load coefficients'!S302</f>
        <v>0.17804203728091658</v>
      </c>
      <c r="T124" s="125">
        <f>'Pseudo-load coefficients'!T302</f>
        <v>0.17804203728091658</v>
      </c>
      <c r="U124" s="125">
        <f>'Pseudo-load coefficients'!U302</f>
        <v>0.17804203728091658</v>
      </c>
      <c r="V124" s="125">
        <f>'Pseudo-load coefficients'!V302</f>
        <v>0.17804203728091658</v>
      </c>
      <c r="W124" s="125">
        <f>'Pseudo-load coefficients'!W302</f>
        <v>0.17804203728091658</v>
      </c>
      <c r="X124" s="125">
        <f>'Pseudo-load coefficients'!X302</f>
        <v>0.17804203728091658</v>
      </c>
      <c r="Y124" s="125">
        <f>'Pseudo-load coefficients'!Y302</f>
        <v>0.17804203728091658</v>
      </c>
      <c r="AQ124" s="3"/>
    </row>
    <row r="125" spans="5:43" x14ac:dyDescent="0.3">
      <c r="E125" s="32"/>
      <c r="J125" s="89"/>
      <c r="K125" s="89"/>
      <c r="L125" s="89"/>
      <c r="M125" s="89"/>
      <c r="N125" s="89"/>
      <c r="O125" s="89"/>
      <c r="P125" s="89"/>
      <c r="Q125" s="89"/>
      <c r="R125" s="89"/>
      <c r="S125" s="89"/>
      <c r="T125" s="89"/>
      <c r="U125" s="89"/>
      <c r="V125" s="89"/>
      <c r="W125" s="89"/>
      <c r="X125" s="89"/>
      <c r="Y125" s="89"/>
      <c r="AQ125" s="3"/>
    </row>
    <row r="126" spans="5:43" x14ac:dyDescent="0.3">
      <c r="E126" s="32" t="s">
        <v>513</v>
      </c>
      <c r="J126" s="89"/>
      <c r="K126" s="89"/>
      <c r="L126" s="89"/>
      <c r="M126" s="89"/>
      <c r="N126" s="89"/>
      <c r="O126" s="89"/>
      <c r="P126" s="89"/>
      <c r="Q126" s="89"/>
      <c r="R126" s="89"/>
      <c r="S126" s="89"/>
      <c r="T126" s="89"/>
      <c r="U126" s="89"/>
      <c r="V126" s="89"/>
      <c r="W126" s="89"/>
      <c r="X126" s="89"/>
      <c r="Y126" s="89"/>
      <c r="AQ126" s="3"/>
    </row>
    <row r="127" spans="5:43" x14ac:dyDescent="0.3">
      <c r="E127" s="29" t="s">
        <v>514</v>
      </c>
      <c r="J127" s="89"/>
      <c r="K127" s="89"/>
      <c r="L127" s="89"/>
      <c r="M127" s="89"/>
      <c r="N127" s="89"/>
      <c r="O127" s="89"/>
      <c r="P127" s="89"/>
      <c r="Q127" s="89"/>
      <c r="R127" s="89"/>
      <c r="S127" s="89"/>
      <c r="T127" s="89"/>
      <c r="U127" s="89"/>
      <c r="V127" s="89"/>
      <c r="W127" s="89"/>
      <c r="X127" s="89"/>
      <c r="Y127" s="89"/>
      <c r="AQ127" s="3"/>
    </row>
    <row r="128" spans="5:43" x14ac:dyDescent="0.3">
      <c r="E128" s="32"/>
      <c r="F128" s="23" t="s">
        <v>190</v>
      </c>
      <c r="G128" s="23" t="s">
        <v>171</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3">
      <c r="E129" s="32"/>
      <c r="F129" t="s">
        <v>191</v>
      </c>
      <c r="G129" t="s">
        <v>171</v>
      </c>
      <c r="J129" s="89">
        <f t="shared" ref="J129:Y129" si="20">J$58 * J35 * J117 / hours_in_year / $H46</f>
        <v>108.32062424828344</v>
      </c>
      <c r="K129" s="89">
        <f t="shared" si="20"/>
        <v>0.10679753055347309</v>
      </c>
      <c r="L129" s="89">
        <f t="shared" si="20"/>
        <v>36.880776625008643</v>
      </c>
      <c r="M129" s="89">
        <f t="shared" si="20"/>
        <v>0.43718953613855055</v>
      </c>
      <c r="N129" s="89">
        <f t="shared" si="20"/>
        <v>31.509706053760588</v>
      </c>
      <c r="O129" s="89">
        <f t="shared" si="20"/>
        <v>15.808341096960932</v>
      </c>
      <c r="P129" s="89">
        <f t="shared" si="20"/>
        <v>53.377214975547716</v>
      </c>
      <c r="Q129" s="89">
        <f t="shared" si="20"/>
        <v>2.5431144023170695</v>
      </c>
      <c r="R129" s="89">
        <f t="shared" si="20"/>
        <v>-2.0512064487493535E-2</v>
      </c>
      <c r="S129" s="89">
        <f t="shared" si="20"/>
        <v>0</v>
      </c>
      <c r="T129" s="89">
        <f t="shared" si="20"/>
        <v>-0.35451964267002523</v>
      </c>
      <c r="U129" s="89">
        <f t="shared" si="20"/>
        <v>0</v>
      </c>
      <c r="V129" s="89">
        <f t="shared" si="20"/>
        <v>-4.1455619999766269E-2</v>
      </c>
      <c r="W129" s="89">
        <f t="shared" si="20"/>
        <v>0</v>
      </c>
      <c r="X129" s="89">
        <f t="shared" si="20"/>
        <v>-9.2120426882074771</v>
      </c>
      <c r="Y129" s="89">
        <f t="shared" si="20"/>
        <v>0</v>
      </c>
      <c r="AQ129" s="3"/>
    </row>
    <row r="130" spans="3:43" x14ac:dyDescent="0.3">
      <c r="E130" s="32"/>
      <c r="F130" t="s">
        <v>192</v>
      </c>
      <c r="G130" t="s">
        <v>171</v>
      </c>
      <c r="J130" s="89">
        <f t="shared" ref="J130:Y130" si="21">J$58 * J36 * J118 / hours_in_year / $H47</f>
        <v>107.78142522205358</v>
      </c>
      <c r="K130" s="89">
        <f t="shared" si="21"/>
        <v>0.1062659131917951</v>
      </c>
      <c r="L130" s="89">
        <f t="shared" si="21"/>
        <v>36.697191283059134</v>
      </c>
      <c r="M130" s="89">
        <f t="shared" si="21"/>
        <v>0.43501329155170748</v>
      </c>
      <c r="N130" s="89">
        <f t="shared" si="21"/>
        <v>31.352856857784449</v>
      </c>
      <c r="O130" s="89">
        <f t="shared" si="21"/>
        <v>15.729650245750058</v>
      </c>
      <c r="P130" s="89">
        <f t="shared" si="21"/>
        <v>53.111513567921897</v>
      </c>
      <c r="Q130" s="89">
        <f t="shared" si="21"/>
        <v>2.5304552728222336</v>
      </c>
      <c r="R130" s="89">
        <f t="shared" si="21"/>
        <v>-2.0409959414942721E-2</v>
      </c>
      <c r="S130" s="89">
        <f t="shared" si="21"/>
        <v>0</v>
      </c>
      <c r="T130" s="89">
        <f t="shared" si="21"/>
        <v>-0.35275491275424409</v>
      </c>
      <c r="U130" s="89">
        <f t="shared" si="21"/>
        <v>0</v>
      </c>
      <c r="V130" s="89">
        <f t="shared" si="21"/>
        <v>-4.1249261976160412E-2</v>
      </c>
      <c r="W130" s="89">
        <f t="shared" si="21"/>
        <v>0</v>
      </c>
      <c r="X130" s="89">
        <f t="shared" si="21"/>
        <v>-9.1661869291446045</v>
      </c>
      <c r="Y130" s="89">
        <f t="shared" si="21"/>
        <v>0</v>
      </c>
      <c r="AQ130" s="3"/>
    </row>
    <row r="131" spans="3:43" x14ac:dyDescent="0.3">
      <c r="E131" s="32"/>
      <c r="F131" t="s">
        <v>193</v>
      </c>
      <c r="G131" t="s">
        <v>171</v>
      </c>
      <c r="J131" s="89">
        <f t="shared" ref="J131:Y131" si="22">J$58 * J37 * J119 / hours_in_year / $H48</f>
        <v>115.5020745691676</v>
      </c>
      <c r="K131" s="89">
        <f t="shared" si="22"/>
        <v>0.11387800267395233</v>
      </c>
      <c r="L131" s="89">
        <f t="shared" si="22"/>
        <v>39.325901613589231</v>
      </c>
      <c r="M131" s="89">
        <f t="shared" si="22"/>
        <v>0.46617436664869372</v>
      </c>
      <c r="N131" s="89">
        <f t="shared" si="22"/>
        <v>33.598739330859068</v>
      </c>
      <c r="O131" s="89">
        <f t="shared" si="22"/>
        <v>16.856403892308194</v>
      </c>
      <c r="P131" s="89">
        <f t="shared" si="22"/>
        <v>56.916022292014276</v>
      </c>
      <c r="Q131" s="89">
        <f t="shared" si="22"/>
        <v>2.7117180257480387</v>
      </c>
      <c r="R131" s="89">
        <f t="shared" si="22"/>
        <v>-2.1871975151948938E-2</v>
      </c>
      <c r="S131" s="89">
        <f t="shared" si="22"/>
        <v>0</v>
      </c>
      <c r="T131" s="89">
        <f t="shared" si="22"/>
        <v>-0.37802361727579142</v>
      </c>
      <c r="U131" s="89">
        <f t="shared" si="22"/>
        <v>0</v>
      </c>
      <c r="V131" s="89">
        <f t="shared" si="22"/>
        <v>-4.4204048358777434E-2</v>
      </c>
      <c r="W131" s="89">
        <f t="shared" si="22"/>
        <v>0</v>
      </c>
      <c r="X131" s="89">
        <f t="shared" si="22"/>
        <v>-9.8227835086036883</v>
      </c>
      <c r="Y131" s="89">
        <f t="shared" si="22"/>
        <v>0</v>
      </c>
      <c r="AQ131" s="3"/>
    </row>
    <row r="132" spans="3:43" x14ac:dyDescent="0.3">
      <c r="E132" s="32"/>
      <c r="F132" t="s">
        <v>194</v>
      </c>
      <c r="G132" t="s">
        <v>171</v>
      </c>
      <c r="J132" s="89">
        <f t="shared" ref="J132:Y132" si="23">J$58 * J38 * J120 / hours_in_year / $H49</f>
        <v>114.89446271385393</v>
      </c>
      <c r="K132" s="89">
        <f t="shared" si="23"/>
        <v>0.11327893443433641</v>
      </c>
      <c r="L132" s="89">
        <f t="shared" si="23"/>
        <v>39.119023216552236</v>
      </c>
      <c r="M132" s="89">
        <f t="shared" si="23"/>
        <v>0.46372200314894141</v>
      </c>
      <c r="N132" s="89">
        <f t="shared" si="23"/>
        <v>33.421989325136892</v>
      </c>
      <c r="O132" s="89">
        <f t="shared" si="23"/>
        <v>16.767728854382458</v>
      </c>
      <c r="P132" s="89">
        <f t="shared" si="23"/>
        <v>56.616609056096891</v>
      </c>
      <c r="Q132" s="89">
        <f t="shared" si="23"/>
        <v>2.6974527233553478</v>
      </c>
      <c r="R132" s="89">
        <f t="shared" si="23"/>
        <v>-2.1756915128559557E-2</v>
      </c>
      <c r="S132" s="89">
        <f t="shared" si="23"/>
        <v>0</v>
      </c>
      <c r="T132" s="89">
        <f t="shared" si="23"/>
        <v>-0.3760349808612326</v>
      </c>
      <c r="U132" s="89">
        <f t="shared" si="23"/>
        <v>0</v>
      </c>
      <c r="V132" s="89">
        <f t="shared" si="23"/>
        <v>-4.3971507913630983E-2</v>
      </c>
      <c r="W132" s="89">
        <f t="shared" si="23"/>
        <v>0</v>
      </c>
      <c r="X132" s="89">
        <f t="shared" si="23"/>
        <v>-9.7711096340497452</v>
      </c>
      <c r="Y132" s="89">
        <f t="shared" si="23"/>
        <v>0</v>
      </c>
      <c r="AQ132" s="3"/>
    </row>
    <row r="133" spans="3:43" x14ac:dyDescent="0.3">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3">
      <c r="E134" s="32"/>
      <c r="F134" t="s">
        <v>196</v>
      </c>
      <c r="G134" t="s">
        <v>171</v>
      </c>
      <c r="J134" s="89">
        <f t="shared" ref="J134:Y134" si="25">J$58 * J40 * J122 / hours_in_year / $H51</f>
        <v>113.97969646085029</v>
      </c>
      <c r="K134" s="89">
        <f t="shared" si="25"/>
        <v>0.11237703068763612</v>
      </c>
      <c r="L134" s="89">
        <f t="shared" si="25"/>
        <v>38.807565541014903</v>
      </c>
      <c r="M134" s="89">
        <f t="shared" si="25"/>
        <v>0.46002994324251784</v>
      </c>
      <c r="N134" s="89">
        <f t="shared" si="25"/>
        <v>33.155890270223978</v>
      </c>
      <c r="O134" s="89">
        <f t="shared" si="25"/>
        <v>16.634227620874753</v>
      </c>
      <c r="P134" s="89">
        <f t="shared" si="25"/>
        <v>56.165839174758013</v>
      </c>
      <c r="Q134" s="89">
        <f t="shared" si="25"/>
        <v>2.6759761555372479</v>
      </c>
      <c r="R134" s="89">
        <f t="shared" si="25"/>
        <v>-2.158369101262772E-2</v>
      </c>
      <c r="S134" s="89">
        <f t="shared" si="25"/>
        <v>0</v>
      </c>
      <c r="T134" s="89">
        <f t="shared" si="25"/>
        <v>-0.37304106712234841</v>
      </c>
      <c r="U134" s="89">
        <f t="shared" si="25"/>
        <v>0</v>
      </c>
      <c r="V134" s="89">
        <f t="shared" si="25"/>
        <v>-4.3621415745714681E-2</v>
      </c>
      <c r="W134" s="89">
        <f t="shared" si="25"/>
        <v>0</v>
      </c>
      <c r="X134" s="89">
        <f t="shared" si="25"/>
        <v>0</v>
      </c>
      <c r="Y134" s="89">
        <f t="shared" si="25"/>
        <v>0</v>
      </c>
      <c r="AQ134" s="3"/>
    </row>
    <row r="135" spans="3:43" x14ac:dyDescent="0.3">
      <c r="E135" s="32"/>
      <c r="F135" t="s">
        <v>197</v>
      </c>
      <c r="G135" t="s">
        <v>171</v>
      </c>
      <c r="J135" s="89">
        <f t="shared" ref="J135:Y135" si="26">J$58 * J41 * J123 / hours_in_year / $H52</f>
        <v>112.26047475927793</v>
      </c>
      <c r="K135" s="89">
        <f t="shared" si="26"/>
        <v>0.11068198292109983</v>
      </c>
      <c r="L135" s="89">
        <f t="shared" si="26"/>
        <v>38.222208578898226</v>
      </c>
      <c r="M135" s="89">
        <f t="shared" si="26"/>
        <v>0.45309104547077922</v>
      </c>
      <c r="N135" s="89">
        <f t="shared" si="26"/>
        <v>32.655780795839654</v>
      </c>
      <c r="O135" s="89">
        <f t="shared" si="26"/>
        <v>16.383323942389129</v>
      </c>
      <c r="P135" s="89">
        <f t="shared" si="26"/>
        <v>0</v>
      </c>
      <c r="Q135" s="89">
        <f t="shared" si="26"/>
        <v>2.635612859070056</v>
      </c>
      <c r="R135" s="89">
        <f t="shared" si="26"/>
        <v>-2.1258131714426858E-2</v>
      </c>
      <c r="S135" s="89">
        <f t="shared" si="26"/>
        <v>0</v>
      </c>
      <c r="T135" s="89">
        <f t="shared" si="26"/>
        <v>-0.36741427289417866</v>
      </c>
      <c r="U135" s="89">
        <f t="shared" si="26"/>
        <v>0</v>
      </c>
      <c r="V135" s="89">
        <f t="shared" si="26"/>
        <v>0</v>
      </c>
      <c r="W135" s="89">
        <f t="shared" si="26"/>
        <v>0</v>
      </c>
      <c r="X135" s="89">
        <f t="shared" si="26"/>
        <v>0</v>
      </c>
      <c r="Y135" s="89">
        <f t="shared" si="26"/>
        <v>0</v>
      </c>
      <c r="AQ135" s="3"/>
    </row>
    <row r="136" spans="3:43" x14ac:dyDescent="0.3">
      <c r="E136" s="32"/>
      <c r="F136" s="37" t="s">
        <v>198</v>
      </c>
      <c r="G136" s="37" t="s">
        <v>171</v>
      </c>
      <c r="H136" s="37"/>
      <c r="I136" s="37"/>
      <c r="J136" s="82">
        <f t="shared" ref="J136:Y136" si="27">J$58 * J42 * J124 / hours_in_year / $H53</f>
        <v>108.64908562147063</v>
      </c>
      <c r="K136" s="82">
        <f t="shared" si="27"/>
        <v>0.10712137343918422</v>
      </c>
      <c r="L136" s="82">
        <f t="shared" si="27"/>
        <v>36.992610457379236</v>
      </c>
      <c r="M136" s="82">
        <f t="shared" si="27"/>
        <v>0.43851522897294554</v>
      </c>
      <c r="N136" s="82">
        <f t="shared" si="27"/>
        <v>31.605253151932956</v>
      </c>
      <c r="O136" s="82">
        <f t="shared" si="27"/>
        <v>0</v>
      </c>
      <c r="P136" s="82">
        <f t="shared" si="27"/>
        <v>0</v>
      </c>
      <c r="Q136" s="82">
        <f t="shared" si="27"/>
        <v>2.5508259055931455</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3">
      <c r="D137" s="32"/>
      <c r="J137" s="89"/>
      <c r="K137" s="89"/>
      <c r="L137" s="89"/>
      <c r="M137" s="89"/>
      <c r="N137" s="89"/>
      <c r="O137" s="89"/>
      <c r="P137" s="89"/>
      <c r="Q137" s="89"/>
      <c r="R137" s="89"/>
      <c r="S137" s="89"/>
      <c r="T137" s="89"/>
      <c r="U137" s="89"/>
      <c r="V137" s="89"/>
      <c r="W137" s="89"/>
      <c r="X137" s="89"/>
      <c r="Y137" s="89"/>
      <c r="AQ137" s="3"/>
    </row>
    <row r="138" spans="3:43" x14ac:dyDescent="0.3">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3">
      <c r="H139" s="63"/>
      <c r="J139" s="89"/>
      <c r="K139" s="89"/>
      <c r="L139" s="89"/>
      <c r="M139" s="89"/>
      <c r="N139" s="89"/>
      <c r="O139" s="89"/>
      <c r="P139" s="89"/>
      <c r="Q139" s="89"/>
      <c r="R139" s="89"/>
      <c r="S139" s="89"/>
      <c r="T139" s="89"/>
      <c r="U139" s="89"/>
      <c r="V139" s="89"/>
      <c r="W139" s="89"/>
      <c r="X139" s="89"/>
      <c r="Y139" s="89"/>
    </row>
    <row r="140" spans="3:43" x14ac:dyDescent="0.3">
      <c r="E140" s="32" t="s">
        <v>515</v>
      </c>
      <c r="J140" s="89"/>
      <c r="K140" s="89"/>
      <c r="L140" s="89"/>
      <c r="M140" s="89"/>
      <c r="N140" s="89"/>
      <c r="O140" s="89"/>
      <c r="P140" s="89"/>
      <c r="Q140" s="89"/>
      <c r="R140" s="89"/>
      <c r="S140" s="89"/>
      <c r="T140" s="89"/>
      <c r="U140" s="89"/>
      <c r="V140" s="89"/>
      <c r="W140" s="89"/>
      <c r="X140" s="89"/>
      <c r="Y140" s="89"/>
      <c r="AQ140" s="3"/>
    </row>
    <row r="141" spans="3:43" x14ac:dyDescent="0.3">
      <c r="E141" s="29" t="s">
        <v>516</v>
      </c>
      <c r="J141" s="89"/>
      <c r="K141" s="89"/>
      <c r="L141" s="89"/>
      <c r="M141" s="89"/>
      <c r="N141" s="89"/>
      <c r="O141" s="89"/>
      <c r="P141" s="89"/>
      <c r="Q141" s="89"/>
      <c r="R141" s="89"/>
      <c r="S141" s="89"/>
      <c r="T141" s="89"/>
      <c r="U141" s="89"/>
      <c r="V141" s="89"/>
      <c r="W141" s="89"/>
      <c r="X141" s="89"/>
      <c r="Y141" s="89"/>
      <c r="AQ141" s="3"/>
    </row>
    <row r="142" spans="3:43" x14ac:dyDescent="0.3">
      <c r="C142" s="32"/>
      <c r="F142" s="23" t="s">
        <v>190</v>
      </c>
      <c r="G142" s="23" t="s">
        <v>171</v>
      </c>
      <c r="H142" s="23"/>
      <c r="I142" s="23"/>
      <c r="J142" s="158">
        <f t="shared" ref="J142:Y142" si="28">J82 + J105 + J128</f>
        <v>1555.8218835681773</v>
      </c>
      <c r="K142" s="158">
        <f t="shared" si="28"/>
        <v>5.5735171213793185E-2</v>
      </c>
      <c r="L142" s="158">
        <f t="shared" si="28"/>
        <v>555.24951306859634</v>
      </c>
      <c r="M142" s="158">
        <f t="shared" si="28"/>
        <v>0.12097125301344228</v>
      </c>
      <c r="N142" s="158">
        <f t="shared" si="28"/>
        <v>463.55825584812169</v>
      </c>
      <c r="O142" s="158">
        <f t="shared" si="28"/>
        <v>215.75464649772923</v>
      </c>
      <c r="P142" s="158">
        <f t="shared" si="28"/>
        <v>647.05587947564527</v>
      </c>
      <c r="Q142" s="158">
        <f t="shared" si="28"/>
        <v>25.758580891500209</v>
      </c>
      <c r="R142" s="158">
        <f t="shared" si="28"/>
        <v>-0.22848280965925846</v>
      </c>
      <c r="S142" s="158">
        <f t="shared" si="28"/>
        <v>0</v>
      </c>
      <c r="T142" s="158">
        <f t="shared" si="28"/>
        <v>-3.9489756911612393</v>
      </c>
      <c r="U142" s="158">
        <f t="shared" si="28"/>
        <v>0</v>
      </c>
      <c r="V142" s="158">
        <f t="shared" si="28"/>
        <v>-0.49859408918410641</v>
      </c>
      <c r="W142" s="158">
        <f t="shared" si="28"/>
        <v>0</v>
      </c>
      <c r="X142" s="158">
        <f t="shared" si="28"/>
        <v>-172.71503440231675</v>
      </c>
      <c r="Y142" s="158">
        <f t="shared" si="28"/>
        <v>0</v>
      </c>
      <c r="AQ142" s="3"/>
    </row>
    <row r="143" spans="3:43" x14ac:dyDescent="0.3">
      <c r="C143" s="32"/>
      <c r="F143" t="s">
        <v>191</v>
      </c>
      <c r="G143" t="s">
        <v>171</v>
      </c>
      <c r="J143" s="89">
        <f t="shared" ref="J143:Y143" si="29">J83 + J106 + J129</f>
        <v>1451.6397382202379</v>
      </c>
      <c r="K143" s="89">
        <f t="shared" si="29"/>
        <v>0.18200513004785263</v>
      </c>
      <c r="L143" s="89">
        <f t="shared" si="29"/>
        <v>539.0451002633589</v>
      </c>
      <c r="M143" s="89">
        <f t="shared" si="29"/>
        <v>0.60841190608623696</v>
      </c>
      <c r="N143" s="89">
        <f t="shared" si="29"/>
        <v>450.91714289423658</v>
      </c>
      <c r="O143" s="89">
        <f t="shared" si="29"/>
        <v>211.60037199288948</v>
      </c>
      <c r="P143" s="89">
        <f t="shared" si="29"/>
        <v>633.83253689997684</v>
      </c>
      <c r="Q143" s="89">
        <f t="shared" si="29"/>
        <v>21.500217935012511</v>
      </c>
      <c r="R143" s="89">
        <f t="shared" si="29"/>
        <v>-0.22804694359225877</v>
      </c>
      <c r="S143" s="89">
        <f t="shared" si="29"/>
        <v>0</v>
      </c>
      <c r="T143" s="89">
        <f t="shared" si="29"/>
        <v>-3.9414424132496508</v>
      </c>
      <c r="U143" s="89">
        <f t="shared" si="29"/>
        <v>0</v>
      </c>
      <c r="V143" s="89">
        <f t="shared" si="29"/>
        <v>-0.50548020231642254</v>
      </c>
      <c r="W143" s="89">
        <f t="shared" si="29"/>
        <v>0</v>
      </c>
      <c r="X143" s="89">
        <f t="shared" si="29"/>
        <v>-158.00062362969669</v>
      </c>
      <c r="Y143" s="89">
        <f t="shared" si="29"/>
        <v>0</v>
      </c>
      <c r="AQ143" s="3"/>
    </row>
    <row r="144" spans="3:43" x14ac:dyDescent="0.3">
      <c r="C144" s="32"/>
      <c r="F144" t="s">
        <v>192</v>
      </c>
      <c r="G144" t="s">
        <v>171</v>
      </c>
      <c r="J144" s="89">
        <f t="shared" ref="J144:Y144" si="30">J84 + J107 + J130</f>
        <v>1444.4137575843542</v>
      </c>
      <c r="K144" s="89">
        <f t="shared" si="30"/>
        <v>0.18109914386496564</v>
      </c>
      <c r="L144" s="89">
        <f t="shared" si="30"/>
        <v>536.36183846374297</v>
      </c>
      <c r="M144" s="89">
        <f t="shared" si="30"/>
        <v>0.60538334980173469</v>
      </c>
      <c r="N144" s="89">
        <f t="shared" si="30"/>
        <v>448.67256494755094</v>
      </c>
      <c r="O144" s="89">
        <f t="shared" si="30"/>
        <v>210.54706644447498</v>
      </c>
      <c r="P144" s="89">
        <f t="shared" si="30"/>
        <v>630.67744165324052</v>
      </c>
      <c r="Q144" s="89">
        <f t="shared" si="30"/>
        <v>21.393194026548727</v>
      </c>
      <c r="R144" s="89">
        <f t="shared" si="30"/>
        <v>-0.22691177020516867</v>
      </c>
      <c r="S144" s="89">
        <f t="shared" si="30"/>
        <v>0</v>
      </c>
      <c r="T144" s="89">
        <f t="shared" si="30"/>
        <v>-3.9218226785415675</v>
      </c>
      <c r="U144" s="89">
        <f t="shared" si="30"/>
        <v>0</v>
      </c>
      <c r="V144" s="89">
        <f t="shared" si="30"/>
        <v>-0.50296402005880592</v>
      </c>
      <c r="W144" s="89">
        <f t="shared" si="30"/>
        <v>0</v>
      </c>
      <c r="X144" s="89">
        <f t="shared" si="30"/>
        <v>-157.21412721688461</v>
      </c>
      <c r="Y144" s="89">
        <f t="shared" si="30"/>
        <v>0</v>
      </c>
      <c r="AQ144" s="3"/>
    </row>
    <row r="145" spans="3:43" x14ac:dyDescent="0.3">
      <c r="C145" s="32"/>
      <c r="F145" t="s">
        <v>193</v>
      </c>
      <c r="G145" t="s">
        <v>171</v>
      </c>
      <c r="J145" s="89">
        <f t="shared" ref="J145:Y145" si="31">J85 + J108 + J131</f>
        <v>1371.4070872993207</v>
      </c>
      <c r="K145" s="89">
        <f t="shared" si="31"/>
        <v>0.2249475007695394</v>
      </c>
      <c r="L145" s="89">
        <f t="shared" si="31"/>
        <v>543.05137988809156</v>
      </c>
      <c r="M145" s="89">
        <f t="shared" si="31"/>
        <v>0.72673218290060326</v>
      </c>
      <c r="N145" s="89">
        <f t="shared" si="31"/>
        <v>454.55158771018341</v>
      </c>
      <c r="O145" s="89">
        <f t="shared" si="31"/>
        <v>214.21218138649283</v>
      </c>
      <c r="P145" s="89">
        <f t="shared" si="31"/>
        <v>632.36930818371707</v>
      </c>
      <c r="Q145" s="89">
        <f t="shared" si="31"/>
        <v>19.436131530522992</v>
      </c>
      <c r="R145" s="89">
        <f t="shared" si="31"/>
        <v>-0.23133977652076659</v>
      </c>
      <c r="S145" s="89">
        <f t="shared" si="31"/>
        <v>0</v>
      </c>
      <c r="T145" s="89">
        <f t="shared" si="31"/>
        <v>-3.9983539910139676</v>
      </c>
      <c r="U145" s="89">
        <f t="shared" si="31"/>
        <v>0</v>
      </c>
      <c r="V145" s="89">
        <f t="shared" si="31"/>
        <v>-0.52848878094569451</v>
      </c>
      <c r="W145" s="89">
        <f t="shared" si="31"/>
        <v>0</v>
      </c>
      <c r="X145" s="89">
        <f t="shared" si="31"/>
        <v>-148.42350368709486</v>
      </c>
      <c r="Y145" s="89">
        <f t="shared" si="31"/>
        <v>0</v>
      </c>
      <c r="AQ145" s="3"/>
    </row>
    <row r="146" spans="3:43" x14ac:dyDescent="0.3">
      <c r="C146" s="32"/>
      <c r="F146" t="s">
        <v>194</v>
      </c>
      <c r="G146" t="s">
        <v>171</v>
      </c>
      <c r="J146" s="89">
        <f t="shared" ref="J146:Y146" si="32">J86 + J109 + J132</f>
        <v>1364.1926436816411</v>
      </c>
      <c r="K146" s="89">
        <f t="shared" si="32"/>
        <v>0.22376413874941478</v>
      </c>
      <c r="L146" s="89">
        <f t="shared" si="32"/>
        <v>540.19459607970316</v>
      </c>
      <c r="M146" s="89">
        <f t="shared" si="32"/>
        <v>0.72290912524890727</v>
      </c>
      <c r="N146" s="89">
        <f t="shared" si="32"/>
        <v>452.16036716653014</v>
      </c>
      <c r="O146" s="89">
        <f t="shared" si="32"/>
        <v>213.08529374011474</v>
      </c>
      <c r="P146" s="89">
        <f t="shared" si="32"/>
        <v>629.04265721210322</v>
      </c>
      <c r="Q146" s="89">
        <f t="shared" si="32"/>
        <v>19.333885540713435</v>
      </c>
      <c r="R146" s="89">
        <f t="shared" si="32"/>
        <v>-0.23012278720396032</v>
      </c>
      <c r="S146" s="89">
        <f t="shared" si="32"/>
        <v>0</v>
      </c>
      <c r="T146" s="89">
        <f t="shared" si="32"/>
        <v>-3.9773201931731674</v>
      </c>
      <c r="U146" s="89">
        <f t="shared" si="32"/>
        <v>0</v>
      </c>
      <c r="V146" s="89">
        <f t="shared" si="32"/>
        <v>-0.52570860535230657</v>
      </c>
      <c r="W146" s="89">
        <f t="shared" si="32"/>
        <v>0</v>
      </c>
      <c r="X146" s="89">
        <f t="shared" si="32"/>
        <v>-147.64270489379294</v>
      </c>
      <c r="Y146" s="89">
        <f t="shared" si="32"/>
        <v>0</v>
      </c>
      <c r="AQ146" s="3"/>
    </row>
    <row r="147" spans="3:43" x14ac:dyDescent="0.3">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3">
      <c r="C148" s="32"/>
      <c r="F148" t="s">
        <v>196</v>
      </c>
      <c r="G148" t="s">
        <v>171</v>
      </c>
      <c r="J148" s="89">
        <f t="shared" ref="J148:Y148" si="34">J88 + J111 + J134</f>
        <v>1353.3312203931773</v>
      </c>
      <c r="K148" s="89">
        <f t="shared" si="34"/>
        <v>0.22198257436480057</v>
      </c>
      <c r="L148" s="89">
        <f t="shared" si="34"/>
        <v>535.89367700252069</v>
      </c>
      <c r="M148" s="89">
        <f t="shared" si="34"/>
        <v>0.71715347039708877</v>
      </c>
      <c r="N148" s="89">
        <f>N88 + N111 + N134</f>
        <v>448.56035864514638</v>
      </c>
      <c r="O148" s="89">
        <f t="shared" si="34"/>
        <v>211.3887521390605</v>
      </c>
      <c r="P148" s="89">
        <f t="shared" si="34"/>
        <v>624.03434801316052</v>
      </c>
      <c r="Q148" s="89">
        <f t="shared" si="34"/>
        <v>19.17995309162643</v>
      </c>
      <c r="R148" s="89">
        <f t="shared" si="34"/>
        <v>-0.22829059655865833</v>
      </c>
      <c r="S148" s="89">
        <f t="shared" si="34"/>
        <v>0</v>
      </c>
      <c r="T148" s="89">
        <f t="shared" si="34"/>
        <v>-3.9456535818834135</v>
      </c>
      <c r="U148" s="89">
        <f t="shared" si="34"/>
        <v>0</v>
      </c>
      <c r="V148" s="89">
        <f t="shared" si="34"/>
        <v>-0.52152302077554935</v>
      </c>
      <c r="W148" s="89">
        <f t="shared" si="34"/>
        <v>0</v>
      </c>
      <c r="X148" s="89">
        <f t="shared" si="34"/>
        <v>0</v>
      </c>
      <c r="Y148" s="89">
        <f t="shared" si="34"/>
        <v>0</v>
      </c>
      <c r="AQ148" s="3"/>
    </row>
    <row r="149" spans="3:43" x14ac:dyDescent="0.3">
      <c r="C149" s="32"/>
      <c r="F149" t="s">
        <v>197</v>
      </c>
      <c r="G149" t="s">
        <v>171</v>
      </c>
      <c r="J149" s="89">
        <f t="shared" ref="J149:Y149" si="35">J89 + J112 + J135</f>
        <v>1332.9181426630173</v>
      </c>
      <c r="K149" s="89">
        <f t="shared" si="35"/>
        <v>0.21863428277367536</v>
      </c>
      <c r="L149" s="89">
        <f t="shared" si="35"/>
        <v>527.81048264558012</v>
      </c>
      <c r="M149" s="89">
        <f t="shared" si="35"/>
        <v>0.70633622971345433</v>
      </c>
      <c r="N149" s="89">
        <f t="shared" si="35"/>
        <v>441.79446325330616</v>
      </c>
      <c r="O149" s="89">
        <f t="shared" si="35"/>
        <v>208.20025329733389</v>
      </c>
      <c r="P149" s="89">
        <f t="shared" si="35"/>
        <v>0</v>
      </c>
      <c r="Q149" s="89">
        <f t="shared" si="35"/>
        <v>18.890650763105221</v>
      </c>
      <c r="R149" s="89">
        <f t="shared" si="35"/>
        <v>-0.22484715741944852</v>
      </c>
      <c r="S149" s="89">
        <f t="shared" si="35"/>
        <v>0</v>
      </c>
      <c r="T149" s="89">
        <f t="shared" si="35"/>
        <v>-3.8861390062573005</v>
      </c>
      <c r="U149" s="89">
        <f t="shared" si="35"/>
        <v>0</v>
      </c>
      <c r="V149" s="89">
        <f t="shared" si="35"/>
        <v>0</v>
      </c>
      <c r="W149" s="89">
        <f t="shared" si="35"/>
        <v>0</v>
      </c>
      <c r="X149" s="89">
        <f t="shared" si="35"/>
        <v>0</v>
      </c>
      <c r="Y149" s="89">
        <f t="shared" si="35"/>
        <v>0</v>
      </c>
      <c r="AQ149" s="3"/>
    </row>
    <row r="150" spans="3:43" x14ac:dyDescent="0.3">
      <c r="C150" s="32"/>
      <c r="F150" s="37" t="s">
        <v>198</v>
      </c>
      <c r="G150" s="37" t="s">
        <v>171</v>
      </c>
      <c r="H150" s="37"/>
      <c r="I150" s="37"/>
      <c r="J150" s="82">
        <f t="shared" ref="J150:Y150" si="36">J90 + J113 + J136</f>
        <v>1290.0385261967451</v>
      </c>
      <c r="K150" s="82">
        <f t="shared" si="36"/>
        <v>0.2116008769765394</v>
      </c>
      <c r="L150" s="82">
        <f t="shared" si="36"/>
        <v>510.8309620446347</v>
      </c>
      <c r="M150" s="82">
        <f t="shared" si="36"/>
        <v>0.68361358407083817</v>
      </c>
      <c r="N150" s="82">
        <f t="shared" si="36"/>
        <v>427.58205475282875</v>
      </c>
      <c r="O150" s="82">
        <f t="shared" si="36"/>
        <v>0</v>
      </c>
      <c r="P150" s="82">
        <f t="shared" si="36"/>
        <v>0</v>
      </c>
      <c r="Q150" s="82">
        <f t="shared" si="36"/>
        <v>18.282943632716922</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3">
      <c r="C151" s="32"/>
      <c r="J151" s="63"/>
      <c r="K151" s="63"/>
      <c r="L151" s="63"/>
      <c r="M151" s="63"/>
      <c r="N151" s="63"/>
      <c r="O151" s="63"/>
      <c r="P151" s="63"/>
      <c r="Q151" s="63"/>
      <c r="R151" s="63"/>
      <c r="S151" s="63"/>
      <c r="T151" s="63"/>
      <c r="U151" s="63"/>
      <c r="V151" s="63"/>
      <c r="W151" s="63"/>
      <c r="X151" s="63"/>
      <c r="Y151" s="63"/>
      <c r="AQ151" s="3"/>
    </row>
    <row r="152" spans="3:43" x14ac:dyDescent="0.3">
      <c r="E152" s="32" t="s">
        <v>517</v>
      </c>
      <c r="J152" s="63"/>
      <c r="K152" s="63"/>
      <c r="L152" s="63"/>
      <c r="M152" s="63"/>
      <c r="N152" s="63"/>
      <c r="O152" s="63"/>
      <c r="P152" s="63"/>
      <c r="Q152" s="63"/>
      <c r="R152" s="63"/>
      <c r="S152" s="63"/>
      <c r="T152" s="63"/>
      <c r="U152" s="63"/>
      <c r="V152" s="63"/>
      <c r="W152" s="63"/>
      <c r="X152" s="63"/>
      <c r="Y152" s="63"/>
      <c r="AQ152" s="3"/>
    </row>
    <row r="153" spans="3:43" x14ac:dyDescent="0.3">
      <c r="E153" s="29" t="s">
        <v>518</v>
      </c>
      <c r="J153" s="63"/>
      <c r="K153" s="63"/>
      <c r="L153" s="63"/>
      <c r="M153" s="63"/>
      <c r="N153" s="63"/>
      <c r="O153" s="63"/>
      <c r="P153" s="63"/>
      <c r="Q153" s="63"/>
      <c r="R153" s="63"/>
      <c r="S153" s="63"/>
      <c r="T153" s="63"/>
      <c r="U153" s="63"/>
      <c r="V153" s="63"/>
      <c r="W153" s="63"/>
      <c r="X153" s="63"/>
      <c r="Y153" s="63"/>
      <c r="AQ153" s="3"/>
    </row>
    <row r="154" spans="3:43" x14ac:dyDescent="0.3">
      <c r="C154" s="32"/>
      <c r="F154" s="23" t="s">
        <v>190</v>
      </c>
      <c r="G154" s="23" t="s">
        <v>519</v>
      </c>
      <c r="H154" s="101">
        <f t="shared" ref="H154:H162" si="37">SUM(J142:Y142) * thousand</f>
        <v>3285984.3787816754</v>
      </c>
      <c r="J154" s="63"/>
      <c r="K154" s="63"/>
      <c r="L154" s="63"/>
      <c r="M154" s="63"/>
      <c r="N154" s="63"/>
      <c r="O154" s="63"/>
      <c r="P154" s="63"/>
      <c r="Q154" s="63"/>
      <c r="R154" s="63"/>
      <c r="S154" s="63"/>
      <c r="T154" s="63"/>
      <c r="U154" s="63"/>
      <c r="V154" s="63"/>
      <c r="W154" s="63"/>
      <c r="X154" s="63"/>
      <c r="Y154" s="63"/>
      <c r="AQ154" s="3"/>
    </row>
    <row r="155" spans="3:43" x14ac:dyDescent="0.3">
      <c r="C155" s="32"/>
      <c r="F155" t="s">
        <v>191</v>
      </c>
      <c r="G155" t="s">
        <v>519</v>
      </c>
      <c r="H155" s="121">
        <f t="shared" si="37"/>
        <v>3146649.9320529909</v>
      </c>
      <c r="J155" s="63"/>
      <c r="K155" s="63"/>
      <c r="L155" s="63"/>
      <c r="M155" s="63"/>
      <c r="N155" s="63"/>
      <c r="O155" s="63"/>
      <c r="P155" s="63"/>
      <c r="Q155" s="63"/>
      <c r="R155" s="63"/>
      <c r="S155" s="63"/>
      <c r="T155" s="63"/>
      <c r="U155" s="63"/>
      <c r="V155" s="63"/>
      <c r="W155" s="63"/>
      <c r="X155" s="63"/>
      <c r="Y155" s="63"/>
      <c r="AQ155" s="3"/>
    </row>
    <row r="156" spans="3:43" x14ac:dyDescent="0.3">
      <c r="C156" s="32"/>
      <c r="F156" t="s">
        <v>192</v>
      </c>
      <c r="G156" t="s">
        <v>519</v>
      </c>
      <c r="H156" s="121">
        <f t="shared" si="37"/>
        <v>3130986.5199278891</v>
      </c>
      <c r="J156" s="63"/>
      <c r="K156" s="63"/>
      <c r="L156" s="63"/>
      <c r="M156" s="63"/>
      <c r="N156" s="63"/>
      <c r="O156" s="63"/>
      <c r="P156" s="63"/>
      <c r="Q156" s="63"/>
      <c r="R156" s="63"/>
      <c r="S156" s="63"/>
      <c r="T156" s="63"/>
      <c r="U156" s="63"/>
      <c r="V156" s="63"/>
      <c r="W156" s="63"/>
      <c r="X156" s="63"/>
      <c r="Y156" s="63"/>
      <c r="AQ156" s="3"/>
    </row>
    <row r="157" spans="3:43" x14ac:dyDescent="0.3">
      <c r="C157" s="32"/>
      <c r="F157" t="s">
        <v>193</v>
      </c>
      <c r="G157" t="s">
        <v>519</v>
      </c>
      <c r="H157" s="121">
        <f t="shared" si="37"/>
        <v>3082797.6694464232</v>
      </c>
      <c r="J157" s="63"/>
      <c r="K157" s="63"/>
      <c r="L157" s="63"/>
      <c r="M157" s="63"/>
      <c r="N157" s="63"/>
      <c r="O157" s="63"/>
      <c r="P157" s="63"/>
      <c r="Q157" s="63"/>
      <c r="R157" s="63"/>
      <c r="S157" s="63"/>
      <c r="T157" s="63"/>
      <c r="U157" s="63"/>
      <c r="V157" s="63"/>
      <c r="W157" s="63"/>
      <c r="X157" s="63"/>
      <c r="Y157" s="63"/>
      <c r="AQ157" s="3"/>
    </row>
    <row r="158" spans="3:43" x14ac:dyDescent="0.3">
      <c r="C158" s="32"/>
      <c r="F158" t="s">
        <v>194</v>
      </c>
      <c r="G158" t="s">
        <v>519</v>
      </c>
      <c r="H158" s="121">
        <f t="shared" si="37"/>
        <v>3066580.2602052814</v>
      </c>
      <c r="J158" s="63"/>
      <c r="K158" s="63"/>
      <c r="L158" s="63"/>
      <c r="M158" s="63"/>
      <c r="N158" s="63"/>
      <c r="O158" s="63"/>
      <c r="P158" s="63"/>
      <c r="Q158" s="63"/>
      <c r="R158" s="63"/>
      <c r="S158" s="63"/>
      <c r="T158" s="63"/>
      <c r="U158" s="63"/>
      <c r="V158" s="63"/>
      <c r="W158" s="63"/>
      <c r="X158" s="63"/>
      <c r="Y158" s="63"/>
      <c r="AQ158" s="3"/>
    </row>
    <row r="159" spans="3:43" x14ac:dyDescent="0.3">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3">
      <c r="C160" s="32"/>
      <c r="F160" t="s">
        <v>196</v>
      </c>
      <c r="G160" t="s">
        <v>519</v>
      </c>
      <c r="H160" s="121">
        <f t="shared" si="37"/>
        <v>3188631.9781302363</v>
      </c>
      <c r="J160" s="63"/>
      <c r="K160" s="63"/>
      <c r="L160" s="63"/>
      <c r="M160" s="63"/>
      <c r="N160" s="63"/>
      <c r="O160" s="63"/>
      <c r="P160" s="63"/>
      <c r="Q160" s="63"/>
      <c r="R160" s="63"/>
      <c r="S160" s="63"/>
      <c r="T160" s="63"/>
      <c r="U160" s="63"/>
      <c r="V160" s="63"/>
      <c r="W160" s="63"/>
      <c r="X160" s="63"/>
      <c r="Y160" s="63"/>
      <c r="AQ160" s="3"/>
    </row>
    <row r="161" spans="3:43" x14ac:dyDescent="0.3">
      <c r="C161" s="32"/>
      <c r="F161" t="s">
        <v>197</v>
      </c>
      <c r="G161" t="s">
        <v>519</v>
      </c>
      <c r="H161" s="121">
        <f t="shared" si="37"/>
        <v>2526427.9769711527</v>
      </c>
      <c r="J161" s="63"/>
      <c r="K161" s="63"/>
      <c r="L161" s="63"/>
      <c r="M161" s="63"/>
      <c r="N161" s="63"/>
      <c r="O161" s="63"/>
      <c r="P161" s="63"/>
      <c r="Q161" s="63"/>
      <c r="R161" s="63"/>
      <c r="S161" s="63"/>
      <c r="T161" s="63"/>
      <c r="U161" s="63"/>
      <c r="V161" s="63"/>
      <c r="W161" s="63"/>
      <c r="X161" s="63"/>
      <c r="Y161" s="63"/>
      <c r="AQ161" s="3"/>
    </row>
    <row r="162" spans="3:43" x14ac:dyDescent="0.3">
      <c r="C162" s="32"/>
      <c r="F162" s="37" t="s">
        <v>198</v>
      </c>
      <c r="G162" s="37" t="s">
        <v>519</v>
      </c>
      <c r="H162" s="131">
        <f t="shared" si="37"/>
        <v>2247629.7010879731</v>
      </c>
      <c r="J162" s="63"/>
      <c r="K162" s="63"/>
      <c r="L162" s="63"/>
      <c r="M162" s="63"/>
      <c r="N162" s="63"/>
      <c r="O162" s="63"/>
      <c r="P162" s="63"/>
      <c r="Q162" s="63"/>
      <c r="R162" s="63"/>
      <c r="S162" s="63"/>
      <c r="T162" s="63"/>
      <c r="U162" s="63"/>
      <c r="V162" s="63"/>
      <c r="W162" s="63"/>
      <c r="X162" s="63"/>
      <c r="Y162" s="63"/>
      <c r="AQ162" s="3"/>
    </row>
    <row r="163" spans="3:43" x14ac:dyDescent="0.3">
      <c r="C163" s="32"/>
      <c r="J163" s="63"/>
      <c r="K163" s="63"/>
      <c r="L163" s="63"/>
      <c r="M163" s="63"/>
      <c r="N163" s="63"/>
      <c r="O163" s="63"/>
      <c r="P163" s="63"/>
      <c r="Q163" s="63"/>
      <c r="R163" s="63"/>
      <c r="S163" s="63"/>
      <c r="T163" s="63"/>
      <c r="U163" s="63"/>
      <c r="V163" s="63"/>
      <c r="W163" s="63"/>
      <c r="X163" s="63"/>
      <c r="Y163" s="63"/>
      <c r="AQ163" s="3"/>
    </row>
    <row r="164" spans="3:43" x14ac:dyDescent="0.3">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3">
      <c r="H165" s="63"/>
      <c r="J165" s="63"/>
      <c r="K165" s="63"/>
      <c r="L165" s="63"/>
      <c r="M165" s="63"/>
      <c r="N165" s="63"/>
      <c r="O165" s="63"/>
      <c r="P165" s="63"/>
      <c r="Q165" s="63"/>
      <c r="R165" s="63"/>
      <c r="S165" s="63"/>
      <c r="T165" s="63"/>
      <c r="U165" s="63"/>
      <c r="V165" s="63"/>
      <c r="W165" s="63"/>
      <c r="X165" s="63"/>
      <c r="Y165" s="63"/>
    </row>
    <row r="166" spans="3:43" x14ac:dyDescent="0.3">
      <c r="E166" s="32" t="s">
        <v>520</v>
      </c>
      <c r="H166" s="63"/>
      <c r="J166" s="63"/>
      <c r="K166" s="63"/>
      <c r="L166" s="63"/>
      <c r="M166" s="63"/>
      <c r="N166" s="63"/>
      <c r="O166" s="63"/>
      <c r="P166" s="63"/>
      <c r="Q166" s="63"/>
      <c r="R166" s="63"/>
      <c r="S166" s="63"/>
      <c r="T166" s="63"/>
      <c r="U166" s="63"/>
      <c r="V166" s="63"/>
      <c r="W166" s="63"/>
      <c r="X166" s="63"/>
      <c r="Y166" s="63"/>
    </row>
    <row r="167" spans="3:43" x14ac:dyDescent="0.3">
      <c r="E167" s="29" t="s">
        <v>521</v>
      </c>
      <c r="F167" s="29"/>
      <c r="J167" s="63"/>
      <c r="K167" s="63"/>
      <c r="L167" s="63"/>
      <c r="M167" s="63"/>
      <c r="N167" s="63"/>
      <c r="O167" s="63"/>
      <c r="P167" s="63"/>
      <c r="Q167" s="63"/>
      <c r="R167" s="63"/>
      <c r="S167" s="63"/>
      <c r="T167" s="63"/>
      <c r="U167" s="63"/>
      <c r="V167" s="63"/>
      <c r="W167" s="63"/>
      <c r="X167" s="63"/>
      <c r="Y167" s="63"/>
      <c r="AQ167" s="3"/>
    </row>
    <row r="168" spans="3:43" x14ac:dyDescent="0.3">
      <c r="C168" s="32"/>
      <c r="F168" s="23" t="s">
        <v>190</v>
      </c>
      <c r="G168" s="23" t="s">
        <v>171</v>
      </c>
      <c r="H168" s="129"/>
      <c r="I168" s="23"/>
      <c r="J168" s="158">
        <f t="shared" ref="J168:Y168" si="38">J142 * (1 - J23)</f>
        <v>1555.8218835681773</v>
      </c>
      <c r="K168" s="158">
        <f t="shared" si="38"/>
        <v>5.5735171213793185E-2</v>
      </c>
      <c r="L168" s="158">
        <f t="shared" si="38"/>
        <v>555.24951306859634</v>
      </c>
      <c r="M168" s="158">
        <f t="shared" si="38"/>
        <v>0.12097125301344228</v>
      </c>
      <c r="N168" s="158">
        <f t="shared" si="38"/>
        <v>463.55825584812169</v>
      </c>
      <c r="O168" s="158">
        <f t="shared" si="38"/>
        <v>215.75464649772923</v>
      </c>
      <c r="P168" s="158">
        <f t="shared" si="38"/>
        <v>647.05587947564527</v>
      </c>
      <c r="Q168" s="158">
        <f t="shared" si="38"/>
        <v>25.758580891500209</v>
      </c>
      <c r="R168" s="158">
        <f t="shared" si="38"/>
        <v>-0.22848280965925846</v>
      </c>
      <c r="S168" s="158">
        <f t="shared" si="38"/>
        <v>0</v>
      </c>
      <c r="T168" s="158">
        <f t="shared" si="38"/>
        <v>-3.9489756911612393</v>
      </c>
      <c r="U168" s="158">
        <f t="shared" si="38"/>
        <v>0</v>
      </c>
      <c r="V168" s="158">
        <f t="shared" si="38"/>
        <v>-0.49859408918410641</v>
      </c>
      <c r="W168" s="158">
        <f t="shared" si="38"/>
        <v>0</v>
      </c>
      <c r="X168" s="158">
        <f t="shared" si="38"/>
        <v>-172.71503440231675</v>
      </c>
      <c r="Y168" s="158">
        <f t="shared" si="38"/>
        <v>0</v>
      </c>
      <c r="AQ168" s="3"/>
    </row>
    <row r="169" spans="3:43" x14ac:dyDescent="0.3">
      <c r="C169" s="32"/>
      <c r="F169" t="s">
        <v>191</v>
      </c>
      <c r="G169" t="s">
        <v>171</v>
      </c>
      <c r="H169" s="63"/>
      <c r="J169" s="89">
        <f t="shared" ref="J169:Y169" si="39">J143 * (1 - J24)</f>
        <v>1451.6397382202379</v>
      </c>
      <c r="K169" s="89">
        <f t="shared" si="39"/>
        <v>0.18200513004785263</v>
      </c>
      <c r="L169" s="89">
        <f t="shared" si="39"/>
        <v>539.0451002633589</v>
      </c>
      <c r="M169" s="89">
        <f t="shared" si="39"/>
        <v>0.60841190608623696</v>
      </c>
      <c r="N169" s="89">
        <f t="shared" si="39"/>
        <v>450.91714289423658</v>
      </c>
      <c r="O169" s="89">
        <f t="shared" si="39"/>
        <v>211.60037199288948</v>
      </c>
      <c r="P169" s="89">
        <f t="shared" si="39"/>
        <v>633.83253689997684</v>
      </c>
      <c r="Q169" s="89">
        <f t="shared" si="39"/>
        <v>21.500217935012511</v>
      </c>
      <c r="R169" s="89">
        <f t="shared" si="39"/>
        <v>-0.22804694359225877</v>
      </c>
      <c r="S169" s="89">
        <f t="shared" si="39"/>
        <v>0</v>
      </c>
      <c r="T169" s="89">
        <f t="shared" si="39"/>
        <v>-3.9414424132496508</v>
      </c>
      <c r="U169" s="89">
        <f t="shared" si="39"/>
        <v>0</v>
      </c>
      <c r="V169" s="89">
        <f t="shared" si="39"/>
        <v>-0.50548020231642254</v>
      </c>
      <c r="W169" s="89">
        <f t="shared" si="39"/>
        <v>0</v>
      </c>
      <c r="X169" s="89">
        <f t="shared" si="39"/>
        <v>-158.00062362969669</v>
      </c>
      <c r="Y169" s="89">
        <f t="shared" si="39"/>
        <v>0</v>
      </c>
      <c r="AQ169" s="3"/>
    </row>
    <row r="170" spans="3:43" x14ac:dyDescent="0.3">
      <c r="C170" s="32"/>
      <c r="F170" t="s">
        <v>192</v>
      </c>
      <c r="G170" t="s">
        <v>171</v>
      </c>
      <c r="H170" s="63"/>
      <c r="J170" s="89">
        <f t="shared" ref="J170:Y170" si="40">J144 * (1 - J25)</f>
        <v>1444.4137575843542</v>
      </c>
      <c r="K170" s="89">
        <f t="shared" si="40"/>
        <v>0.18109914386496564</v>
      </c>
      <c r="L170" s="89">
        <f t="shared" si="40"/>
        <v>536.36183846374297</v>
      </c>
      <c r="M170" s="89">
        <f t="shared" si="40"/>
        <v>0.60538334980173469</v>
      </c>
      <c r="N170" s="89">
        <f t="shared" si="40"/>
        <v>448.67256494755094</v>
      </c>
      <c r="O170" s="89">
        <f t="shared" si="40"/>
        <v>210.54706644447498</v>
      </c>
      <c r="P170" s="89">
        <f t="shared" si="40"/>
        <v>630.67744165324052</v>
      </c>
      <c r="Q170" s="89">
        <f t="shared" si="40"/>
        <v>21.393194026548727</v>
      </c>
      <c r="R170" s="89">
        <f t="shared" si="40"/>
        <v>-0.22691177020516867</v>
      </c>
      <c r="S170" s="89">
        <f t="shared" si="40"/>
        <v>0</v>
      </c>
      <c r="T170" s="89">
        <f t="shared" si="40"/>
        <v>-3.9218226785415675</v>
      </c>
      <c r="U170" s="89">
        <f t="shared" si="40"/>
        <v>0</v>
      </c>
      <c r="V170" s="89">
        <f t="shared" si="40"/>
        <v>-0.50296402005880592</v>
      </c>
      <c r="W170" s="89">
        <f t="shared" si="40"/>
        <v>0</v>
      </c>
      <c r="X170" s="89">
        <f t="shared" si="40"/>
        <v>-157.21412721688461</v>
      </c>
      <c r="Y170" s="89">
        <f t="shared" si="40"/>
        <v>0</v>
      </c>
      <c r="AQ170" s="3"/>
    </row>
    <row r="171" spans="3:43" x14ac:dyDescent="0.3">
      <c r="C171" s="32"/>
      <c r="F171" t="s">
        <v>193</v>
      </c>
      <c r="G171" t="s">
        <v>171</v>
      </c>
      <c r="H171" s="63"/>
      <c r="J171" s="89">
        <f t="shared" ref="J171:Y171" si="41">J145 * (1 - J26)</f>
        <v>1371.4070872993207</v>
      </c>
      <c r="K171" s="89">
        <f t="shared" si="41"/>
        <v>0.2249475007695394</v>
      </c>
      <c r="L171" s="89">
        <f t="shared" si="41"/>
        <v>543.05137988809156</v>
      </c>
      <c r="M171" s="89">
        <f t="shared" si="41"/>
        <v>0.72673218290060326</v>
      </c>
      <c r="N171" s="89">
        <f t="shared" si="41"/>
        <v>454.55158771018341</v>
      </c>
      <c r="O171" s="89">
        <f t="shared" si="41"/>
        <v>214.21218138649283</v>
      </c>
      <c r="P171" s="89">
        <f t="shared" si="41"/>
        <v>505.89544654697369</v>
      </c>
      <c r="Q171" s="89">
        <f t="shared" si="41"/>
        <v>19.436131530522992</v>
      </c>
      <c r="R171" s="89">
        <f t="shared" si="41"/>
        <v>-0.23133977652076659</v>
      </c>
      <c r="S171" s="89">
        <f t="shared" si="41"/>
        <v>0</v>
      </c>
      <c r="T171" s="89">
        <f t="shared" si="41"/>
        <v>-3.9983539910139676</v>
      </c>
      <c r="U171" s="89">
        <f t="shared" si="41"/>
        <v>0</v>
      </c>
      <c r="V171" s="89">
        <f t="shared" si="41"/>
        <v>-0.52848878094569451</v>
      </c>
      <c r="W171" s="89">
        <f t="shared" si="41"/>
        <v>0</v>
      </c>
      <c r="X171" s="89">
        <f t="shared" si="41"/>
        <v>-148.42350368709486</v>
      </c>
      <c r="Y171" s="89">
        <f t="shared" si="41"/>
        <v>0</v>
      </c>
      <c r="AQ171" s="3"/>
    </row>
    <row r="172" spans="3:43" x14ac:dyDescent="0.3">
      <c r="C172" s="32"/>
      <c r="F172" t="s">
        <v>194</v>
      </c>
      <c r="G172" t="s">
        <v>171</v>
      </c>
      <c r="H172" s="63"/>
      <c r="J172" s="89">
        <f t="shared" ref="J172:Y172" si="42">J146 * (1 - J27)</f>
        <v>1364.1926436816411</v>
      </c>
      <c r="K172" s="89">
        <f t="shared" si="42"/>
        <v>0.22376413874941478</v>
      </c>
      <c r="L172" s="89">
        <f t="shared" si="42"/>
        <v>540.19459607970316</v>
      </c>
      <c r="M172" s="89">
        <f t="shared" si="42"/>
        <v>0.72290912524890727</v>
      </c>
      <c r="N172" s="89">
        <f t="shared" si="42"/>
        <v>452.16036716653014</v>
      </c>
      <c r="O172" s="89">
        <f t="shared" si="42"/>
        <v>213.08529374011474</v>
      </c>
      <c r="P172" s="89">
        <f t="shared" si="42"/>
        <v>0</v>
      </c>
      <c r="Q172" s="89">
        <f t="shared" si="42"/>
        <v>19.333885540713435</v>
      </c>
      <c r="R172" s="89">
        <f t="shared" si="42"/>
        <v>-0.23012278720396032</v>
      </c>
      <c r="S172" s="89">
        <f t="shared" si="42"/>
        <v>0</v>
      </c>
      <c r="T172" s="89">
        <f t="shared" si="42"/>
        <v>-3.9773201931731674</v>
      </c>
      <c r="U172" s="89">
        <f t="shared" si="42"/>
        <v>0</v>
      </c>
      <c r="V172" s="89">
        <f t="shared" si="42"/>
        <v>-0.52570860535230657</v>
      </c>
      <c r="W172" s="89">
        <f t="shared" si="42"/>
        <v>0</v>
      </c>
      <c r="X172" s="89">
        <f t="shared" si="42"/>
        <v>-147.64270489379294</v>
      </c>
      <c r="Y172" s="89">
        <f t="shared" si="42"/>
        <v>0</v>
      </c>
      <c r="AQ172" s="3"/>
    </row>
    <row r="173" spans="3:43" x14ac:dyDescent="0.3">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3">
      <c r="C174" s="32"/>
      <c r="F174" t="s">
        <v>196</v>
      </c>
      <c r="G174" t="s">
        <v>171</v>
      </c>
      <c r="H174" s="63"/>
      <c r="J174" s="89">
        <f t="shared" ref="J174:Y174" si="44">J148 * (1 - J29)</f>
        <v>1353.3312203931773</v>
      </c>
      <c r="K174" s="89">
        <f t="shared" si="44"/>
        <v>0.22198257436480057</v>
      </c>
      <c r="L174" s="89">
        <f t="shared" si="44"/>
        <v>535.89367700252069</v>
      </c>
      <c r="M174" s="89">
        <f t="shared" si="44"/>
        <v>0.71715347039708877</v>
      </c>
      <c r="N174" s="89">
        <f t="shared" si="44"/>
        <v>358.8482869161171</v>
      </c>
      <c r="O174" s="89">
        <f t="shared" si="44"/>
        <v>0</v>
      </c>
      <c r="P174" s="89">
        <f t="shared" si="44"/>
        <v>0</v>
      </c>
      <c r="Q174" s="89">
        <f t="shared" si="44"/>
        <v>19.17995309162643</v>
      </c>
      <c r="R174" s="89">
        <f t="shared" si="44"/>
        <v>-0.22829059655865833</v>
      </c>
      <c r="S174" s="89">
        <f t="shared" si="44"/>
        <v>0</v>
      </c>
      <c r="T174" s="89">
        <f t="shared" si="44"/>
        <v>-3.9456535818834135</v>
      </c>
      <c r="U174" s="89">
        <f t="shared" si="44"/>
        <v>0</v>
      </c>
      <c r="V174" s="89">
        <f t="shared" si="44"/>
        <v>-0.52152302077554935</v>
      </c>
      <c r="W174" s="89">
        <f t="shared" si="44"/>
        <v>0</v>
      </c>
      <c r="X174" s="89">
        <f t="shared" si="44"/>
        <v>0</v>
      </c>
      <c r="Y174" s="89">
        <f t="shared" si="44"/>
        <v>0</v>
      </c>
      <c r="AQ174" s="3"/>
    </row>
    <row r="175" spans="3:43" x14ac:dyDescent="0.3">
      <c r="C175" s="32"/>
      <c r="F175" t="s">
        <v>197</v>
      </c>
      <c r="G175" t="s">
        <v>171</v>
      </c>
      <c r="H175" s="63"/>
      <c r="J175" s="89">
        <f t="shared" ref="J175:Y175" si="45">J149 * (1 - J30)</f>
        <v>1332.9181426630173</v>
      </c>
      <c r="K175" s="89">
        <f t="shared" si="45"/>
        <v>0.21863428277367536</v>
      </c>
      <c r="L175" s="89">
        <f t="shared" si="45"/>
        <v>527.81048264558012</v>
      </c>
      <c r="M175" s="89">
        <f t="shared" si="45"/>
        <v>0.70633622971345433</v>
      </c>
      <c r="N175" s="89">
        <f t="shared" si="45"/>
        <v>0</v>
      </c>
      <c r="O175" s="89">
        <f t="shared" si="45"/>
        <v>0</v>
      </c>
      <c r="P175" s="89">
        <f t="shared" si="45"/>
        <v>0</v>
      </c>
      <c r="Q175" s="89">
        <f t="shared" si="45"/>
        <v>18.890650763105221</v>
      </c>
      <c r="R175" s="89">
        <f t="shared" si="45"/>
        <v>-0.22484715741944852</v>
      </c>
      <c r="S175" s="89">
        <f t="shared" si="45"/>
        <v>0</v>
      </c>
      <c r="T175" s="89">
        <f t="shared" si="45"/>
        <v>-3.8861390062573005</v>
      </c>
      <c r="U175" s="89">
        <f t="shared" si="45"/>
        <v>0</v>
      </c>
      <c r="V175" s="89">
        <f t="shared" si="45"/>
        <v>0</v>
      </c>
      <c r="W175" s="89">
        <f t="shared" si="45"/>
        <v>0</v>
      </c>
      <c r="X175" s="89">
        <f t="shared" si="45"/>
        <v>0</v>
      </c>
      <c r="Y175" s="89">
        <f t="shared" si="45"/>
        <v>0</v>
      </c>
      <c r="AQ175" s="3"/>
    </row>
    <row r="176" spans="3:43" x14ac:dyDescent="0.3">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18.282943632716922</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3">
      <c r="C177" s="32"/>
      <c r="F177" s="108" t="s">
        <v>99</v>
      </c>
      <c r="G177" s="108" t="s">
        <v>171</v>
      </c>
      <c r="H177" s="168"/>
      <c r="I177" s="108"/>
      <c r="J177" s="167">
        <f t="shared" ref="J177:Y177" si="47">SUM(J168:J176)</f>
        <v>9873.7244734099258</v>
      </c>
      <c r="K177" s="167">
        <f t="shared" si="47"/>
        <v>1.3081679417840415</v>
      </c>
      <c r="L177" s="167">
        <f t="shared" si="47"/>
        <v>3777.6065874115934</v>
      </c>
      <c r="M177" s="167">
        <f t="shared" si="47"/>
        <v>4.2078975171614683</v>
      </c>
      <c r="N177" s="167">
        <f t="shared" si="47"/>
        <v>2628.7082054827397</v>
      </c>
      <c r="O177" s="167">
        <f t="shared" si="47"/>
        <v>1065.1995600617013</v>
      </c>
      <c r="P177" s="167">
        <f t="shared" si="47"/>
        <v>2417.461304575836</v>
      </c>
      <c r="Q177" s="167">
        <f t="shared" si="47"/>
        <v>163.77555741174646</v>
      </c>
      <c r="R177" s="167">
        <f t="shared" si="47"/>
        <v>-1.5980418411595199</v>
      </c>
      <c r="S177" s="167">
        <f t="shared" si="47"/>
        <v>0</v>
      </c>
      <c r="T177" s="167">
        <f t="shared" si="47"/>
        <v>-27.619707555280307</v>
      </c>
      <c r="U177" s="167">
        <f t="shared" si="47"/>
        <v>0</v>
      </c>
      <c r="V177" s="167">
        <f t="shared" si="47"/>
        <v>-3.0827587186328858</v>
      </c>
      <c r="W177" s="167">
        <f t="shared" si="47"/>
        <v>0</v>
      </c>
      <c r="X177" s="167">
        <f t="shared" si="47"/>
        <v>-783.99599382978579</v>
      </c>
      <c r="Y177" s="167">
        <f t="shared" si="47"/>
        <v>0</v>
      </c>
      <c r="AQ177" s="3"/>
    </row>
    <row r="178" spans="2:43" x14ac:dyDescent="0.3">
      <c r="H178" s="166"/>
    </row>
    <row r="179" spans="2:43" x14ac:dyDescent="0.3">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3">
      <c r="C180" s="32"/>
      <c r="J180" s="63"/>
      <c r="K180" s="63"/>
      <c r="L180" s="63"/>
      <c r="M180" s="63"/>
      <c r="N180" s="63"/>
      <c r="O180" s="63"/>
      <c r="P180" s="63"/>
      <c r="Q180" s="63"/>
      <c r="R180" s="63"/>
      <c r="S180" s="63"/>
      <c r="T180" s="63"/>
      <c r="U180" s="63"/>
      <c r="V180" s="63"/>
      <c r="W180" s="63"/>
      <c r="X180" s="63"/>
      <c r="Y180" s="63"/>
      <c r="AQ180" s="3"/>
    </row>
    <row r="181" spans="2:43" x14ac:dyDescent="0.3">
      <c r="C181" s="29" t="s">
        <v>523</v>
      </c>
      <c r="J181" s="63"/>
      <c r="K181" s="63"/>
      <c r="L181" s="63"/>
      <c r="M181" s="63"/>
      <c r="N181" s="63"/>
      <c r="O181" s="63"/>
      <c r="P181" s="63"/>
      <c r="Q181" s="63"/>
      <c r="R181" s="63"/>
      <c r="S181" s="63"/>
      <c r="T181" s="63"/>
      <c r="U181" s="63"/>
      <c r="V181" s="63"/>
      <c r="W181" s="63"/>
      <c r="X181" s="63"/>
      <c r="Y181" s="63"/>
      <c r="AQ181" s="3"/>
    </row>
    <row r="182" spans="2:43" x14ac:dyDescent="0.3">
      <c r="C182" s="29" t="s">
        <v>524</v>
      </c>
      <c r="J182" s="63"/>
      <c r="K182" s="63"/>
      <c r="L182" s="63"/>
      <c r="M182" s="63"/>
      <c r="N182" s="63"/>
      <c r="O182" s="63"/>
      <c r="P182" s="63"/>
      <c r="Q182" s="63"/>
      <c r="R182" s="63"/>
      <c r="S182" s="63"/>
      <c r="T182" s="63"/>
      <c r="U182" s="63"/>
      <c r="V182" s="63"/>
      <c r="W182" s="63"/>
      <c r="X182" s="63"/>
      <c r="Y182" s="63"/>
      <c r="AQ182" s="3"/>
    </row>
    <row r="183" spans="2:43" x14ac:dyDescent="0.3">
      <c r="C183" s="32"/>
      <c r="J183" s="63"/>
      <c r="K183" s="63"/>
      <c r="L183" s="63"/>
      <c r="M183" s="63"/>
      <c r="N183" s="63"/>
      <c r="O183" s="63"/>
      <c r="P183" s="63"/>
      <c r="Q183" s="63"/>
      <c r="R183" s="63"/>
      <c r="S183" s="63"/>
      <c r="T183" s="63"/>
      <c r="U183" s="63"/>
      <c r="V183" s="63"/>
      <c r="W183" s="63"/>
      <c r="X183" s="63"/>
      <c r="Y183" s="63"/>
      <c r="AQ183" s="3"/>
    </row>
    <row r="184" spans="2:43" x14ac:dyDescent="0.3">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3">
      <c r="C185" s="32"/>
      <c r="J185" s="63"/>
      <c r="K185" s="63"/>
      <c r="L185" s="63"/>
      <c r="M185" s="63"/>
      <c r="N185" s="63"/>
      <c r="O185" s="63"/>
      <c r="P185" s="63"/>
      <c r="Q185" s="63"/>
      <c r="R185" s="63"/>
      <c r="S185" s="63"/>
      <c r="T185" s="63"/>
      <c r="U185" s="63"/>
      <c r="V185" s="63"/>
      <c r="W185" s="63"/>
      <c r="X185" s="63"/>
      <c r="Y185" s="63"/>
      <c r="AQ185" s="3"/>
    </row>
    <row r="186" spans="2:43" x14ac:dyDescent="0.3">
      <c r="D186" s="29" t="s">
        <v>525</v>
      </c>
      <c r="E186" s="29"/>
      <c r="J186" s="63"/>
      <c r="K186" s="63"/>
      <c r="L186" s="63"/>
      <c r="M186" s="63"/>
      <c r="N186" s="63"/>
      <c r="O186" s="63"/>
      <c r="P186" s="63"/>
      <c r="Q186" s="63"/>
      <c r="R186" s="63"/>
      <c r="S186" s="63"/>
      <c r="T186" s="63"/>
      <c r="U186" s="63"/>
      <c r="V186" s="63"/>
      <c r="W186" s="63"/>
      <c r="X186" s="63"/>
      <c r="Y186" s="63"/>
      <c r="AQ186" s="3"/>
    </row>
    <row r="187" spans="2:43" x14ac:dyDescent="0.3">
      <c r="J187" s="63"/>
      <c r="K187" s="63"/>
      <c r="L187" s="63"/>
      <c r="M187" s="63"/>
      <c r="N187" s="63"/>
      <c r="O187" s="63"/>
      <c r="P187" s="63"/>
      <c r="Q187" s="63"/>
      <c r="R187" s="63"/>
      <c r="S187" s="63"/>
      <c r="T187" s="63"/>
      <c r="U187" s="63"/>
      <c r="V187" s="63"/>
      <c r="W187" s="63"/>
      <c r="X187" s="63"/>
      <c r="Y187" s="63"/>
      <c r="AQ187" s="3"/>
    </row>
    <row r="188" spans="2:43" x14ac:dyDescent="0.3">
      <c r="C188" s="32"/>
      <c r="E188" t="s">
        <v>249</v>
      </c>
      <c r="G188" t="s">
        <v>250</v>
      </c>
      <c r="J188" s="120">
        <f>'Volume adjustments'!J286</f>
        <v>0</v>
      </c>
      <c r="K188" s="120">
        <f>'Volume adjustments'!K286</f>
        <v>0</v>
      </c>
      <c r="L188" s="120">
        <f>'Volume adjustments'!L286</f>
        <v>0</v>
      </c>
      <c r="M188" s="120">
        <f>'Volume adjustments'!M286</f>
        <v>0</v>
      </c>
      <c r="N188" s="120">
        <f>'Volume adjustments'!N286</f>
        <v>1551571.23454585</v>
      </c>
      <c r="O188" s="120">
        <f>'Volume adjustments'!O286</f>
        <v>697272.28979651001</v>
      </c>
      <c r="P188" s="120">
        <f>'Volume adjustments'!P286</f>
        <v>1858168.1798151131</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3">
      <c r="C189" s="32"/>
      <c r="E189" t="s">
        <v>251</v>
      </c>
      <c r="G189" t="s">
        <v>250</v>
      </c>
      <c r="J189" s="120">
        <f>'Volume adjustments'!J297</f>
        <v>0</v>
      </c>
      <c r="K189" s="120">
        <f>'Volume adjustments'!K297</f>
        <v>0</v>
      </c>
      <c r="L189" s="120">
        <f>'Volume adjustments'!L297</f>
        <v>0</v>
      </c>
      <c r="M189" s="120">
        <f>'Volume adjustments'!M297</f>
        <v>0</v>
      </c>
      <c r="N189" s="120">
        <f>'Volume adjustments'!N297</f>
        <v>31961.030057352327</v>
      </c>
      <c r="O189" s="120">
        <f>'Volume adjustments'!O297</f>
        <v>6377.2537906725065</v>
      </c>
      <c r="P189" s="120">
        <f>'Volume adjustments'!P297</f>
        <v>16295.940129902265</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3">
      <c r="C190" s="32"/>
      <c r="J190" s="120"/>
      <c r="K190" s="120"/>
      <c r="L190" s="120"/>
      <c r="M190" s="120"/>
      <c r="N190" s="120"/>
      <c r="O190" s="120"/>
      <c r="P190" s="120"/>
      <c r="Q190" s="120"/>
      <c r="R190" s="120"/>
      <c r="S190" s="120"/>
      <c r="T190" s="120"/>
      <c r="U190" s="120"/>
      <c r="V190" s="120"/>
      <c r="W190" s="120"/>
      <c r="X190" s="120"/>
      <c r="Y190" s="120"/>
      <c r="AQ190" s="3"/>
    </row>
    <row r="191" spans="2:43" x14ac:dyDescent="0.3">
      <c r="C191" s="32"/>
      <c r="E191" t="s">
        <v>526</v>
      </c>
      <c r="G191" t="s">
        <v>250</v>
      </c>
      <c r="J191" s="89">
        <f t="shared" ref="J191:Y191" si="48">SUM(J188:J189)</f>
        <v>0</v>
      </c>
      <c r="K191" s="89">
        <f t="shared" si="48"/>
        <v>0</v>
      </c>
      <c r="L191" s="89">
        <f t="shared" si="48"/>
        <v>0</v>
      </c>
      <c r="M191" s="89">
        <f t="shared" si="48"/>
        <v>0</v>
      </c>
      <c r="N191" s="89">
        <f t="shared" si="48"/>
        <v>1583532.2646032022</v>
      </c>
      <c r="O191" s="89">
        <f t="shared" si="48"/>
        <v>703649.54358718253</v>
      </c>
      <c r="P191" s="89">
        <f t="shared" si="48"/>
        <v>1874464.1199450153</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3">
      <c r="C192" s="32"/>
      <c r="E192" t="s">
        <v>527</v>
      </c>
      <c r="G192" t="s">
        <v>171</v>
      </c>
      <c r="J192" s="89">
        <f t="shared" ref="J192:Y192" si="49">J191 * PowerFactor / thousand</f>
        <v>0</v>
      </c>
      <c r="K192" s="89">
        <f t="shared" si="49"/>
        <v>0</v>
      </c>
      <c r="L192" s="89">
        <f t="shared" si="49"/>
        <v>0</v>
      </c>
      <c r="M192" s="89">
        <f t="shared" si="49"/>
        <v>0</v>
      </c>
      <c r="N192" s="89">
        <f t="shared" si="49"/>
        <v>1504.3556513730421</v>
      </c>
      <c r="O192" s="89">
        <f t="shared" si="49"/>
        <v>668.46706640782338</v>
      </c>
      <c r="P192" s="89">
        <f t="shared" si="49"/>
        <v>1780.7409139477645</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3">
      <c r="C193" s="32"/>
      <c r="J193" s="63"/>
      <c r="K193" s="63"/>
      <c r="L193" s="63"/>
      <c r="M193" s="63"/>
      <c r="N193" s="63"/>
      <c r="O193" s="63"/>
      <c r="P193" s="63"/>
      <c r="Q193" s="63"/>
      <c r="R193" s="63"/>
      <c r="S193" s="63"/>
      <c r="T193" s="63"/>
      <c r="U193" s="63"/>
      <c r="V193" s="63"/>
      <c r="W193" s="63"/>
      <c r="X193" s="63"/>
      <c r="Y193" s="63"/>
      <c r="AQ193" s="3"/>
    </row>
    <row r="194" spans="3:43" x14ac:dyDescent="0.3">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3">
      <c r="C195" s="32"/>
      <c r="J195" s="63"/>
      <c r="K195" s="63"/>
      <c r="L195" s="63"/>
      <c r="M195" s="63"/>
      <c r="N195" s="63"/>
      <c r="O195" s="63"/>
      <c r="P195" s="63"/>
      <c r="Q195" s="63"/>
      <c r="R195" s="63"/>
      <c r="S195" s="63"/>
      <c r="T195" s="63"/>
      <c r="U195" s="63"/>
      <c r="V195" s="63"/>
      <c r="W195" s="63"/>
      <c r="X195" s="63"/>
      <c r="Y195" s="63"/>
      <c r="AQ195" s="3"/>
    </row>
    <row r="196" spans="3:43" x14ac:dyDescent="0.3">
      <c r="C196" s="32"/>
      <c r="D196" s="29" t="s">
        <v>528</v>
      </c>
      <c r="J196" s="63"/>
      <c r="K196" s="63"/>
      <c r="L196" s="63"/>
      <c r="M196" s="63"/>
      <c r="N196" s="63"/>
      <c r="O196" s="63"/>
      <c r="P196" s="63"/>
      <c r="Q196" s="63"/>
      <c r="R196" s="63"/>
      <c r="S196" s="63"/>
      <c r="T196" s="63"/>
      <c r="U196" s="63"/>
      <c r="V196" s="63"/>
      <c r="W196" s="63"/>
      <c r="X196" s="63"/>
      <c r="Y196" s="63"/>
      <c r="AQ196" s="3"/>
    </row>
    <row r="197" spans="3:43" x14ac:dyDescent="0.3">
      <c r="D197" s="32"/>
      <c r="J197" s="63"/>
      <c r="K197" s="63"/>
      <c r="L197" s="63"/>
      <c r="M197" s="63"/>
      <c r="N197" s="63"/>
      <c r="O197" s="63"/>
      <c r="P197" s="63"/>
      <c r="Q197" s="63"/>
      <c r="R197" s="63"/>
      <c r="S197" s="63"/>
      <c r="T197" s="63"/>
      <c r="U197" s="63"/>
      <c r="V197" s="63"/>
      <c r="W197" s="63"/>
      <c r="X197" s="63"/>
      <c r="Y197" s="63"/>
      <c r="AQ197" s="3"/>
    </row>
    <row r="198" spans="3:43" x14ac:dyDescent="0.3">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3">
      <c r="D199" s="32"/>
      <c r="H199" s="170"/>
      <c r="J199" s="63"/>
      <c r="L199" s="63"/>
      <c r="AQ199" s="3"/>
    </row>
    <row r="200" spans="3:43" x14ac:dyDescent="0.3">
      <c r="C200" s="32"/>
      <c r="E200" t="s">
        <v>530</v>
      </c>
      <c r="G200" t="s">
        <v>171</v>
      </c>
      <c r="H200" s="63"/>
      <c r="I200" t="s">
        <v>153</v>
      </c>
      <c r="J200" s="121">
        <f t="shared" ref="J200:Q200" si="50">IF(J61 = 0, 0, J59 / (hours_in_year * J61))</f>
        <v>1901.5292347760608</v>
      </c>
      <c r="K200" s="121">
        <f t="shared" si="50"/>
        <v>2.6543744545364407</v>
      </c>
      <c r="L200" s="121">
        <f t="shared" si="50"/>
        <v>645.6647769034538</v>
      </c>
      <c r="M200" s="121">
        <f t="shared" si="50"/>
        <v>10.160363455929366</v>
      </c>
      <c r="N200" s="121">
        <f t="shared" si="50"/>
        <v>508.62423078464667</v>
      </c>
      <c r="O200" s="121">
        <f t="shared" si="50"/>
        <v>252.98237136588386</v>
      </c>
      <c r="P200" s="121">
        <f t="shared" si="50"/>
        <v>713.09608432971072</v>
      </c>
      <c r="Q200" s="121">
        <f t="shared" si="50"/>
        <v>46.771822492822295</v>
      </c>
      <c r="R200" s="77"/>
      <c r="S200" s="77"/>
      <c r="T200" s="77"/>
      <c r="U200" s="77"/>
      <c r="V200" s="77"/>
      <c r="W200" s="77"/>
      <c r="X200" s="77"/>
      <c r="Y200" s="77"/>
      <c r="AA200" t="s">
        <v>529</v>
      </c>
      <c r="AQ200" s="3"/>
    </row>
    <row r="201" spans="3:43" x14ac:dyDescent="0.3">
      <c r="C201" s="32"/>
      <c r="H201" s="63"/>
      <c r="J201" s="89"/>
      <c r="K201" s="89"/>
      <c r="L201" s="89"/>
      <c r="M201" s="89"/>
      <c r="N201" s="89"/>
      <c r="O201" s="89"/>
      <c r="P201" s="89"/>
      <c r="Q201" s="89"/>
      <c r="R201" s="63"/>
      <c r="S201" s="63"/>
      <c r="T201" s="63"/>
      <c r="U201" s="63"/>
      <c r="V201" s="63"/>
      <c r="W201" s="63"/>
      <c r="X201" s="63"/>
      <c r="Y201" s="63"/>
      <c r="AQ201" s="3"/>
    </row>
    <row r="202" spans="3:43" x14ac:dyDescent="0.3">
      <c r="E202" t="s">
        <v>531</v>
      </c>
      <c r="G202" t="s">
        <v>171</v>
      </c>
      <c r="H202" s="63"/>
      <c r="I202" t="s">
        <v>153</v>
      </c>
      <c r="J202" s="89">
        <f t="shared" ref="J202:Y202" si="51">J192 * J42 / $H53</f>
        <v>0</v>
      </c>
      <c r="K202" s="89">
        <f t="shared" si="51"/>
        <v>0</v>
      </c>
      <c r="L202" s="89">
        <f t="shared" si="51"/>
        <v>0</v>
      </c>
      <c r="M202" s="89">
        <f t="shared" si="51"/>
        <v>0</v>
      </c>
      <c r="N202" s="89">
        <f t="shared" si="51"/>
        <v>1504.3556513730421</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3">
      <c r="H203" s="63"/>
      <c r="J203" s="89"/>
      <c r="K203" s="89"/>
      <c r="L203" s="89"/>
      <c r="M203" s="89"/>
      <c r="N203" s="89"/>
      <c r="O203" s="89"/>
      <c r="P203" s="89"/>
      <c r="Q203" s="89"/>
      <c r="R203" s="89"/>
      <c r="S203" s="89"/>
      <c r="T203" s="89"/>
      <c r="U203" s="89"/>
      <c r="V203" s="89"/>
      <c r="W203" s="89"/>
      <c r="X203" s="89"/>
      <c r="Y203" s="89"/>
    </row>
    <row r="204" spans="3:43" x14ac:dyDescent="0.3">
      <c r="E204" t="s">
        <v>532</v>
      </c>
      <c r="G204" t="s">
        <v>171</v>
      </c>
      <c r="H204" s="63"/>
      <c r="J204" s="89">
        <f t="shared" ref="J204:Y204" si="52">IF(J198, J$200 * J42 / $H53, 0)</f>
        <v>1901.5292347760605</v>
      </c>
      <c r="K204" s="89">
        <f t="shared" si="52"/>
        <v>0</v>
      </c>
      <c r="L204" s="89">
        <f t="shared" si="52"/>
        <v>645.6647769034538</v>
      </c>
      <c r="M204" s="89">
        <f t="shared" si="52"/>
        <v>0</v>
      </c>
      <c r="N204" s="89">
        <f t="shared" si="52"/>
        <v>508.62423078464667</v>
      </c>
      <c r="O204" s="89">
        <f t="shared" si="52"/>
        <v>0</v>
      </c>
      <c r="P204" s="89">
        <f t="shared" si="52"/>
        <v>0</v>
      </c>
      <c r="Q204" s="89">
        <f t="shared" si="52"/>
        <v>46.771822492822295</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3">
      <c r="H205" s="63"/>
      <c r="J205" s="89"/>
      <c r="K205" s="89"/>
      <c r="L205" s="89"/>
      <c r="M205" s="89"/>
      <c r="N205" s="89"/>
      <c r="O205" s="89"/>
      <c r="P205" s="89"/>
      <c r="Q205" s="89"/>
      <c r="R205" s="89"/>
      <c r="S205" s="89"/>
      <c r="T205" s="89"/>
      <c r="U205" s="89"/>
      <c r="V205" s="89"/>
      <c r="W205" s="89"/>
      <c r="X205" s="89"/>
      <c r="Y205" s="89"/>
    </row>
    <row r="206" spans="3:43" x14ac:dyDescent="0.3">
      <c r="E206" t="s">
        <v>533</v>
      </c>
      <c r="G206" t="s">
        <v>171</v>
      </c>
      <c r="H206" s="63"/>
      <c r="J206" s="89">
        <f t="shared" ref="J206:Y206" si="53">IF(J202 = 0, J204, J202)</f>
        <v>1901.5292347760605</v>
      </c>
      <c r="K206" s="89">
        <f t="shared" si="53"/>
        <v>0</v>
      </c>
      <c r="L206" s="89">
        <f t="shared" si="53"/>
        <v>645.6647769034538</v>
      </c>
      <c r="M206" s="89">
        <f t="shared" si="53"/>
        <v>0</v>
      </c>
      <c r="N206" s="89">
        <f t="shared" si="53"/>
        <v>1504.3556513730421</v>
      </c>
      <c r="O206" s="89">
        <f t="shared" si="53"/>
        <v>0</v>
      </c>
      <c r="P206" s="89">
        <f t="shared" si="53"/>
        <v>0</v>
      </c>
      <c r="Q206" s="89">
        <f t="shared" si="53"/>
        <v>46.771822492822295</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3">
      <c r="H207" s="63"/>
      <c r="J207" s="89"/>
      <c r="K207" s="89"/>
      <c r="L207" s="89"/>
      <c r="M207" s="89"/>
      <c r="N207" s="89"/>
      <c r="O207" s="89"/>
      <c r="P207" s="89"/>
      <c r="Q207" s="89"/>
      <c r="R207" s="89"/>
      <c r="S207" s="89"/>
      <c r="T207" s="89"/>
      <c r="U207" s="89"/>
      <c r="V207" s="89"/>
      <c r="W207" s="89"/>
      <c r="X207" s="89"/>
      <c r="Y207" s="89"/>
    </row>
    <row r="208" spans="3:43" x14ac:dyDescent="0.3">
      <c r="E208" t="s">
        <v>534</v>
      </c>
      <c r="G208" t="s">
        <v>171</v>
      </c>
      <c r="H208" s="63"/>
      <c r="I208" t="s">
        <v>153</v>
      </c>
      <c r="J208" s="89">
        <f t="shared" ref="J208:Y208" si="54">J150</f>
        <v>1290.0385261967451</v>
      </c>
      <c r="K208" s="89">
        <f t="shared" si="54"/>
        <v>0.2116008769765394</v>
      </c>
      <c r="L208" s="89">
        <f t="shared" si="54"/>
        <v>510.8309620446347</v>
      </c>
      <c r="M208" s="89">
        <f t="shared" si="54"/>
        <v>0.68361358407083817</v>
      </c>
      <c r="N208" s="89">
        <f t="shared" si="54"/>
        <v>427.58205475282875</v>
      </c>
      <c r="O208" s="89">
        <f t="shared" si="54"/>
        <v>0</v>
      </c>
      <c r="P208" s="89">
        <f t="shared" si="54"/>
        <v>0</v>
      </c>
      <c r="Q208" s="89">
        <f t="shared" si="54"/>
        <v>18.282943632716922</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3">
      <c r="H209" s="63"/>
      <c r="J209" s="63"/>
      <c r="K209" s="63"/>
      <c r="L209" s="63"/>
      <c r="M209" s="63"/>
      <c r="N209" s="63"/>
      <c r="O209" s="63"/>
      <c r="P209" s="63"/>
      <c r="Q209" s="63"/>
      <c r="R209" s="63"/>
      <c r="S209" s="63"/>
      <c r="T209" s="63"/>
      <c r="U209" s="63"/>
      <c r="V209" s="63"/>
      <c r="W209" s="63"/>
      <c r="X209" s="63"/>
      <c r="Y209" s="63"/>
    </row>
    <row r="210" spans="5:43" x14ac:dyDescent="0.3">
      <c r="E210" t="s">
        <v>535</v>
      </c>
      <c r="G210" t="s">
        <v>166</v>
      </c>
      <c r="H210" s="171">
        <f>SUM(J206:Y206) / SUM(J208:Y208) - 1</f>
        <v>0.82339710298434476</v>
      </c>
      <c r="J210" s="63"/>
      <c r="K210" s="63"/>
      <c r="L210" s="63"/>
      <c r="M210" s="63"/>
      <c r="N210" s="63"/>
      <c r="O210" s="63"/>
      <c r="P210" s="63"/>
      <c r="Q210" s="63"/>
      <c r="R210" s="63"/>
      <c r="S210" s="63"/>
      <c r="T210" s="63"/>
      <c r="U210" s="63"/>
      <c r="V210" s="63"/>
      <c r="W210" s="63"/>
      <c r="X210" s="63"/>
      <c r="Y210" s="63"/>
    </row>
    <row r="211" spans="5:43" x14ac:dyDescent="0.3">
      <c r="H211" s="166"/>
    </row>
    <row r="212" spans="5:43" x14ac:dyDescent="0.3">
      <c r="E212" s="32" t="s">
        <v>389</v>
      </c>
      <c r="J212" s="63"/>
      <c r="L212" s="63"/>
      <c r="AA212" t="s">
        <v>529</v>
      </c>
      <c r="AQ212" s="3"/>
    </row>
    <row r="213" spans="5:43" x14ac:dyDescent="0.3">
      <c r="E213" s="29" t="s">
        <v>536</v>
      </c>
      <c r="F213" s="29"/>
      <c r="J213" s="63"/>
      <c r="L213" s="63"/>
      <c r="AQ213" s="3"/>
    </row>
    <row r="214" spans="5:43" x14ac:dyDescent="0.3">
      <c r="E214" s="32"/>
      <c r="F214" s="23" t="s">
        <v>190</v>
      </c>
      <c r="G214" s="23" t="s">
        <v>166</v>
      </c>
      <c r="H214" s="107">
        <f t="array" ref="H214:H222">TRANSPOSE('Load &amp; loss characteristics'!K23:S23)</f>
        <v>6.4933942364639119E-2</v>
      </c>
      <c r="J214" s="63"/>
      <c r="K214" s="84"/>
      <c r="L214" s="63"/>
      <c r="M214" s="84"/>
      <c r="AQ214" s="3"/>
    </row>
    <row r="215" spans="5:43" x14ac:dyDescent="0.3">
      <c r="E215" s="32"/>
      <c r="F215" t="s">
        <v>191</v>
      </c>
      <c r="G215" t="s">
        <v>166</v>
      </c>
      <c r="H215" s="25">
        <v>0.13740729472191449</v>
      </c>
      <c r="J215" s="63"/>
      <c r="L215" s="63"/>
      <c r="AQ215" s="3"/>
    </row>
    <row r="216" spans="5:43" x14ac:dyDescent="0.3">
      <c r="E216" s="32"/>
      <c r="F216" t="s">
        <v>192</v>
      </c>
      <c r="G216" t="s">
        <v>166</v>
      </c>
      <c r="H216" s="25">
        <v>0.13740729472191449</v>
      </c>
      <c r="J216" s="63"/>
      <c r="L216" s="63"/>
      <c r="AQ216" s="3"/>
    </row>
    <row r="217" spans="5:43" x14ac:dyDescent="0.3">
      <c r="E217" s="32"/>
      <c r="F217" t="s">
        <v>193</v>
      </c>
      <c r="G217" t="s">
        <v>166</v>
      </c>
      <c r="H217" s="25">
        <v>0.25192977586573773</v>
      </c>
      <c r="J217" s="63"/>
      <c r="L217" s="63"/>
      <c r="AQ217" s="3"/>
    </row>
    <row r="218" spans="5:43" x14ac:dyDescent="0.3">
      <c r="E218" s="32"/>
      <c r="F218" t="s">
        <v>194</v>
      </c>
      <c r="G218" t="s">
        <v>166</v>
      </c>
      <c r="H218" s="25">
        <v>0.25192977586573773</v>
      </c>
      <c r="J218" s="63"/>
      <c r="L218" s="63"/>
      <c r="AQ218" s="3"/>
    </row>
    <row r="219" spans="5:43" x14ac:dyDescent="0.3">
      <c r="E219" s="32"/>
      <c r="F219" t="s">
        <v>195</v>
      </c>
      <c r="G219" t="s">
        <v>166</v>
      </c>
      <c r="H219" s="25">
        <v>0.13740729472191449</v>
      </c>
      <c r="J219" s="63"/>
      <c r="L219" s="63"/>
      <c r="AQ219" s="3"/>
    </row>
    <row r="220" spans="5:43" x14ac:dyDescent="0.3">
      <c r="E220" s="32"/>
      <c r="F220" t="s">
        <v>196</v>
      </c>
      <c r="G220" t="s">
        <v>166</v>
      </c>
      <c r="H220" s="25">
        <v>0.75644855416333412</v>
      </c>
      <c r="J220" s="63"/>
      <c r="L220" s="63"/>
      <c r="AQ220" s="3"/>
    </row>
    <row r="221" spans="5:43" x14ac:dyDescent="0.3">
      <c r="E221" s="32"/>
      <c r="F221" t="s">
        <v>197</v>
      </c>
      <c r="G221" t="s">
        <v>166</v>
      </c>
      <c r="H221" s="25">
        <v>0.75644855416333412</v>
      </c>
      <c r="J221" s="63"/>
      <c r="L221" s="63"/>
      <c r="AQ221" s="3"/>
    </row>
    <row r="222" spans="5:43" x14ac:dyDescent="0.3">
      <c r="E222" s="32"/>
      <c r="F222" s="37" t="s">
        <v>198</v>
      </c>
      <c r="G222" s="37" t="s">
        <v>166</v>
      </c>
      <c r="H222" s="141">
        <v>0.75644855416333412</v>
      </c>
      <c r="J222" s="63"/>
      <c r="L222" s="63"/>
      <c r="AQ222" s="3"/>
    </row>
    <row r="223" spans="5:43" x14ac:dyDescent="0.3">
      <c r="H223" s="166"/>
    </row>
    <row r="224" spans="5:43" x14ac:dyDescent="0.3">
      <c r="E224" s="32" t="s">
        <v>537</v>
      </c>
      <c r="J224" s="63"/>
      <c r="L224" s="63"/>
      <c r="AA224" t="s">
        <v>529</v>
      </c>
      <c r="AQ224" s="3"/>
    </row>
    <row r="225" spans="3:43" x14ac:dyDescent="0.3">
      <c r="E225" s="29" t="s">
        <v>538</v>
      </c>
      <c r="F225" s="29"/>
      <c r="J225" s="63"/>
      <c r="L225" s="63"/>
      <c r="AQ225" s="3"/>
    </row>
    <row r="226" spans="3:43" x14ac:dyDescent="0.3">
      <c r="C226" s="32"/>
      <c r="F226" s="23" t="s">
        <v>190</v>
      </c>
      <c r="G226" s="23" t="s">
        <v>166</v>
      </c>
      <c r="H226" s="172">
        <f t="shared" ref="H226:H233" si="55">IF(F226 = $F$234, $H$210, H214)</f>
        <v>6.4933942364639119E-2</v>
      </c>
      <c r="J226" s="63"/>
      <c r="L226" s="63"/>
      <c r="AQ226" s="3"/>
    </row>
    <row r="227" spans="3:43" x14ac:dyDescent="0.3">
      <c r="C227" s="32"/>
      <c r="F227" t="s">
        <v>191</v>
      </c>
      <c r="G227" t="s">
        <v>166</v>
      </c>
      <c r="H227" s="111">
        <f t="shared" si="55"/>
        <v>0.13740729472191449</v>
      </c>
      <c r="J227" s="63"/>
      <c r="L227" s="63"/>
      <c r="AQ227" s="3"/>
    </row>
    <row r="228" spans="3:43" x14ac:dyDescent="0.3">
      <c r="C228" s="32"/>
      <c r="F228" t="s">
        <v>192</v>
      </c>
      <c r="G228" t="s">
        <v>166</v>
      </c>
      <c r="H228" s="111">
        <f t="shared" si="55"/>
        <v>0.13740729472191449</v>
      </c>
      <c r="J228" s="63"/>
      <c r="L228" s="63"/>
      <c r="AQ228" s="3"/>
    </row>
    <row r="229" spans="3:43" x14ac:dyDescent="0.3">
      <c r="C229" s="32"/>
      <c r="F229" t="s">
        <v>193</v>
      </c>
      <c r="G229" t="s">
        <v>166</v>
      </c>
      <c r="H229" s="111">
        <f t="shared" si="55"/>
        <v>0.25192977586573773</v>
      </c>
      <c r="J229" s="63"/>
      <c r="L229" s="63"/>
      <c r="AQ229" s="3"/>
    </row>
    <row r="230" spans="3:43" x14ac:dyDescent="0.3">
      <c r="C230" s="32"/>
      <c r="F230" t="s">
        <v>194</v>
      </c>
      <c r="G230" t="s">
        <v>166</v>
      </c>
      <c r="H230" s="111">
        <f t="shared" si="55"/>
        <v>0.25192977586573773</v>
      </c>
      <c r="J230" s="63"/>
      <c r="L230" s="63"/>
      <c r="AQ230" s="3"/>
    </row>
    <row r="231" spans="3:43" x14ac:dyDescent="0.3">
      <c r="C231" s="32"/>
      <c r="F231" t="s">
        <v>195</v>
      </c>
      <c r="G231" t="s">
        <v>166</v>
      </c>
      <c r="H231" s="111">
        <f t="shared" si="55"/>
        <v>0.13740729472191449</v>
      </c>
      <c r="J231" s="63"/>
      <c r="L231" s="63"/>
      <c r="AQ231" s="3"/>
    </row>
    <row r="232" spans="3:43" x14ac:dyDescent="0.3">
      <c r="C232" s="32"/>
      <c r="F232" t="s">
        <v>196</v>
      </c>
      <c r="G232" t="s">
        <v>166</v>
      </c>
      <c r="H232" s="111">
        <f t="shared" si="55"/>
        <v>0.75644855416333412</v>
      </c>
      <c r="J232" s="63"/>
      <c r="L232" s="63"/>
      <c r="AQ232" s="3"/>
    </row>
    <row r="233" spans="3:43" x14ac:dyDescent="0.3">
      <c r="C233" s="32"/>
      <c r="F233" t="s">
        <v>197</v>
      </c>
      <c r="G233" t="s">
        <v>166</v>
      </c>
      <c r="H233" s="111">
        <f t="shared" si="55"/>
        <v>0.75644855416333412</v>
      </c>
      <c r="J233" s="63"/>
      <c r="L233" s="63"/>
      <c r="AQ233" s="3"/>
    </row>
    <row r="234" spans="3:43" x14ac:dyDescent="0.3">
      <c r="C234" s="32"/>
      <c r="F234" s="37" t="s">
        <v>198</v>
      </c>
      <c r="G234" s="37" t="s">
        <v>166</v>
      </c>
      <c r="H234" s="143">
        <f>IF(F234 = $F$234, $H$210, H222)</f>
        <v>0.82339710298434476</v>
      </c>
      <c r="J234" s="63"/>
      <c r="L234" s="63"/>
      <c r="AQ234" s="3"/>
    </row>
    <row r="235" spans="3:43" x14ac:dyDescent="0.3">
      <c r="H235" s="166"/>
    </row>
    <row r="236" spans="3:43" x14ac:dyDescent="0.3">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3">
      <c r="H237" s="166"/>
    </row>
    <row r="238" spans="3:43" x14ac:dyDescent="0.3">
      <c r="E238" s="32" t="s">
        <v>539</v>
      </c>
      <c r="F238" s="29"/>
      <c r="H238" s="173"/>
    </row>
    <row r="239" spans="3:43" x14ac:dyDescent="0.3">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3">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3">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3">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288.27903039113937</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3">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1433.8125281302218</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3">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3">
      <c r="C245" s="32"/>
      <c r="F245" t="s">
        <v>196</v>
      </c>
      <c r="G245" t="s">
        <v>171</v>
      </c>
      <c r="H245" s="63"/>
      <c r="J245" s="89">
        <f t="shared" ref="J245:Y245" si="62">J$192 * J29 * J40 / (1 + $H232) / $H51</f>
        <v>0</v>
      </c>
      <c r="K245" s="89">
        <f t="shared" si="62"/>
        <v>0</v>
      </c>
      <c r="L245" s="89">
        <f t="shared" si="62"/>
        <v>0</v>
      </c>
      <c r="M245" s="89">
        <f t="shared" si="62"/>
        <v>0</v>
      </c>
      <c r="N245" s="89">
        <f t="shared" si="62"/>
        <v>179.69934906675164</v>
      </c>
      <c r="O245" s="89">
        <f t="shared" si="62"/>
        <v>386.4071938000539</v>
      </c>
      <c r="P245" s="89">
        <f t="shared" si="62"/>
        <v>1013.8303850271332</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3">
      <c r="C246" s="32"/>
      <c r="F246" t="s">
        <v>197</v>
      </c>
      <c r="G246" t="s">
        <v>171</v>
      </c>
      <c r="H246" s="63"/>
      <c r="J246" s="89">
        <f t="shared" ref="J246:Y246" si="63">J$192 * J30 * J41 / (1 + $H233) / $H52</f>
        <v>0</v>
      </c>
      <c r="K246" s="89">
        <f t="shared" si="63"/>
        <v>0</v>
      </c>
      <c r="L246" s="89">
        <f t="shared" si="63"/>
        <v>0</v>
      </c>
      <c r="M246" s="89">
        <f t="shared" si="63"/>
        <v>0</v>
      </c>
      <c r="N246" s="89">
        <f t="shared" si="63"/>
        <v>884.94419912303454</v>
      </c>
      <c r="O246" s="89">
        <f t="shared" si="63"/>
        <v>380.57879055059527</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3">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825.02908933598223</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3">
      <c r="H248" s="166"/>
      <c r="J248" s="89"/>
      <c r="K248" s="89"/>
      <c r="L248" s="89"/>
      <c r="M248" s="89"/>
      <c r="N248" s="89"/>
      <c r="O248" s="89"/>
      <c r="P248" s="89"/>
      <c r="Q248" s="89"/>
      <c r="R248" s="89"/>
      <c r="S248" s="89"/>
      <c r="T248" s="89"/>
      <c r="U248" s="89"/>
      <c r="V248" s="89"/>
      <c r="W248" s="89"/>
      <c r="X248" s="89"/>
      <c r="Y248" s="89"/>
    </row>
    <row r="249" spans="3:43" x14ac:dyDescent="0.3">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3">
      <c r="H250" s="166"/>
      <c r="J250" s="89"/>
      <c r="K250" s="89"/>
      <c r="L250" s="89"/>
      <c r="M250" s="89"/>
      <c r="N250" s="89"/>
      <c r="O250" s="89"/>
      <c r="P250" s="89"/>
      <c r="Q250" s="89"/>
      <c r="R250" s="89"/>
      <c r="S250" s="89"/>
      <c r="T250" s="89"/>
      <c r="U250" s="89"/>
      <c r="V250" s="89"/>
      <c r="W250" s="89"/>
      <c r="X250" s="89"/>
      <c r="Y250" s="89"/>
    </row>
    <row r="251" spans="3:43" x14ac:dyDescent="0.3">
      <c r="E251" s="32" t="s">
        <v>540</v>
      </c>
      <c r="F251" s="29"/>
      <c r="H251" s="166"/>
      <c r="J251" s="89"/>
      <c r="K251" s="89"/>
      <c r="L251" s="89"/>
      <c r="M251" s="89"/>
      <c r="N251" s="89"/>
      <c r="O251" s="89"/>
      <c r="P251" s="89"/>
      <c r="Q251" s="89"/>
      <c r="R251" s="89"/>
      <c r="S251" s="89"/>
      <c r="T251" s="89"/>
      <c r="U251" s="89"/>
      <c r="V251" s="89"/>
      <c r="W251" s="89"/>
      <c r="X251" s="89"/>
      <c r="Y251" s="89"/>
    </row>
    <row r="252" spans="3:43" x14ac:dyDescent="0.3">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3">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3">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3">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3">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3">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3">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3">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3">
      <c r="C260" s="32"/>
      <c r="F260" s="37" t="s">
        <v>198</v>
      </c>
      <c r="G260" s="130" t="s">
        <v>171</v>
      </c>
      <c r="H260" s="130"/>
      <c r="I260" s="37"/>
      <c r="J260" s="82">
        <f t="shared" ref="J260:Y260" si="73">IF(AND(J$192 = 0, J$198), J$200 * J31 * J42 / (1 + $H234) / $H53, 0)</f>
        <v>1042.8497619437026</v>
      </c>
      <c r="K260" s="82">
        <f t="shared" si="73"/>
        <v>0</v>
      </c>
      <c r="L260" s="82">
        <f t="shared" si="73"/>
        <v>354.09992472111395</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3">
      <c r="H261" s="166"/>
    </row>
    <row r="262" spans="2:43" x14ac:dyDescent="0.3">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3">
      <c r="H263" s="166"/>
      <c r="J263" s="63"/>
      <c r="K263" s="63"/>
      <c r="L263" s="63"/>
      <c r="M263" s="63"/>
      <c r="N263" s="63"/>
      <c r="O263" s="63"/>
      <c r="P263" s="63"/>
      <c r="Q263" s="63"/>
      <c r="R263" s="63"/>
      <c r="S263" s="63"/>
      <c r="T263" s="63"/>
      <c r="U263" s="63"/>
      <c r="V263" s="63"/>
      <c r="W263" s="63"/>
      <c r="X263" s="63"/>
      <c r="Y263" s="63"/>
    </row>
    <row r="264" spans="2:43" x14ac:dyDescent="0.3">
      <c r="C264" s="29" t="s">
        <v>542</v>
      </c>
      <c r="H264" s="166"/>
      <c r="J264" s="63"/>
      <c r="K264" s="63"/>
      <c r="L264" s="63"/>
      <c r="M264" s="63"/>
      <c r="N264" s="63"/>
      <c r="O264" s="63"/>
      <c r="P264" s="63"/>
      <c r="Q264" s="63"/>
      <c r="R264" s="63"/>
      <c r="S264" s="63"/>
      <c r="T264" s="63"/>
      <c r="U264" s="63"/>
      <c r="V264" s="63"/>
      <c r="W264" s="63"/>
      <c r="X264" s="63"/>
      <c r="Y264" s="63"/>
    </row>
    <row r="265" spans="2:43" x14ac:dyDescent="0.3">
      <c r="H265" s="166"/>
      <c r="J265" s="63"/>
      <c r="K265" s="63"/>
      <c r="L265" s="63"/>
      <c r="M265" s="63"/>
      <c r="N265" s="63"/>
      <c r="O265" s="63"/>
      <c r="P265" s="63"/>
      <c r="Q265" s="63"/>
      <c r="R265" s="63"/>
      <c r="S265" s="63"/>
      <c r="T265" s="63"/>
      <c r="U265" s="63"/>
      <c r="V265" s="63"/>
      <c r="W265" s="63"/>
      <c r="X265" s="63"/>
      <c r="Y265" s="63"/>
    </row>
    <row r="266" spans="2:43" x14ac:dyDescent="0.3">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3">
      <c r="H267" s="166"/>
    </row>
    <row r="268" spans="2:43" x14ac:dyDescent="0.3">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3">
      <c r="C269" s="32"/>
      <c r="F269" s="23" t="s">
        <v>190</v>
      </c>
      <c r="G269" s="23" t="s">
        <v>171</v>
      </c>
      <c r="H269" s="101">
        <f t="shared" ref="H269:H277" si="74">SUM(J269:Y269)</f>
        <v>3285.9843787816753</v>
      </c>
      <c r="I269" s="158"/>
      <c r="J269" s="158">
        <f t="shared" ref="J269:Y269" si="75">J239 + J252 + J168</f>
        <v>1555.8218835681773</v>
      </c>
      <c r="K269" s="158">
        <f t="shared" si="75"/>
        <v>5.5735171213793185E-2</v>
      </c>
      <c r="L269" s="158">
        <f t="shared" si="75"/>
        <v>555.24951306859634</v>
      </c>
      <c r="M269" s="158">
        <f t="shared" si="75"/>
        <v>0.12097125301344228</v>
      </c>
      <c r="N269" s="158">
        <f t="shared" si="75"/>
        <v>463.55825584812169</v>
      </c>
      <c r="O269" s="158">
        <f t="shared" si="75"/>
        <v>215.75464649772923</v>
      </c>
      <c r="P269" s="158">
        <f t="shared" si="75"/>
        <v>647.05587947564527</v>
      </c>
      <c r="Q269" s="158">
        <f t="shared" si="75"/>
        <v>25.758580891500209</v>
      </c>
      <c r="R269" s="158">
        <f t="shared" si="75"/>
        <v>-0.22848280965925846</v>
      </c>
      <c r="S269" s="158">
        <f t="shared" si="75"/>
        <v>0</v>
      </c>
      <c r="T269" s="158">
        <f t="shared" si="75"/>
        <v>-3.9489756911612393</v>
      </c>
      <c r="U269" s="158">
        <f t="shared" si="75"/>
        <v>0</v>
      </c>
      <c r="V269" s="158">
        <f t="shared" si="75"/>
        <v>-0.49859408918410641</v>
      </c>
      <c r="W269" s="158">
        <f t="shared" si="75"/>
        <v>0</v>
      </c>
      <c r="X269" s="158">
        <f t="shared" si="75"/>
        <v>-172.71503440231675</v>
      </c>
      <c r="Y269" s="158">
        <f t="shared" si="75"/>
        <v>0</v>
      </c>
      <c r="AQ269" s="3"/>
    </row>
    <row r="270" spans="2:43" x14ac:dyDescent="0.3">
      <c r="C270" s="32"/>
      <c r="F270" t="s">
        <v>191</v>
      </c>
      <c r="G270" t="s">
        <v>171</v>
      </c>
      <c r="H270" s="121">
        <f t="shared" si="74"/>
        <v>3146.6499320529911</v>
      </c>
      <c r="I270" s="89"/>
      <c r="J270" s="89">
        <f t="shared" ref="J270:Y270" si="76">J240 + J253 + J169</f>
        <v>1451.6397382202379</v>
      </c>
      <c r="K270" s="89">
        <f t="shared" si="76"/>
        <v>0.18200513004785263</v>
      </c>
      <c r="L270" s="89">
        <f t="shared" si="76"/>
        <v>539.0451002633589</v>
      </c>
      <c r="M270" s="89">
        <f t="shared" si="76"/>
        <v>0.60841190608623696</v>
      </c>
      <c r="N270" s="89">
        <f t="shared" si="76"/>
        <v>450.91714289423658</v>
      </c>
      <c r="O270" s="89">
        <f t="shared" si="76"/>
        <v>211.60037199288948</v>
      </c>
      <c r="P270" s="89">
        <f t="shared" si="76"/>
        <v>633.83253689997684</v>
      </c>
      <c r="Q270" s="89">
        <f t="shared" si="76"/>
        <v>21.500217935012511</v>
      </c>
      <c r="R270" s="89">
        <f t="shared" si="76"/>
        <v>-0.22804694359225877</v>
      </c>
      <c r="S270" s="89">
        <f t="shared" si="76"/>
        <v>0</v>
      </c>
      <c r="T270" s="89">
        <f t="shared" si="76"/>
        <v>-3.9414424132496508</v>
      </c>
      <c r="U270" s="89">
        <f t="shared" si="76"/>
        <v>0</v>
      </c>
      <c r="V270" s="89">
        <f t="shared" si="76"/>
        <v>-0.50548020231642254</v>
      </c>
      <c r="W270" s="89">
        <f t="shared" si="76"/>
        <v>0</v>
      </c>
      <c r="X270" s="89">
        <f t="shared" si="76"/>
        <v>-158.00062362969669</v>
      </c>
      <c r="Y270" s="89">
        <f t="shared" si="76"/>
        <v>0</v>
      </c>
      <c r="AQ270" s="3"/>
    </row>
    <row r="271" spans="2:43" x14ac:dyDescent="0.3">
      <c r="C271" s="32"/>
      <c r="F271" t="s">
        <v>192</v>
      </c>
      <c r="G271" t="s">
        <v>171</v>
      </c>
      <c r="H271" s="121">
        <f t="shared" si="74"/>
        <v>3130.9865199278893</v>
      </c>
      <c r="I271" s="89"/>
      <c r="J271" s="89">
        <f t="shared" ref="J271:Y271" si="77">J241 + J254 + J170</f>
        <v>1444.4137575843542</v>
      </c>
      <c r="K271" s="89">
        <f t="shared" si="77"/>
        <v>0.18109914386496564</v>
      </c>
      <c r="L271" s="89">
        <f t="shared" si="77"/>
        <v>536.36183846374297</v>
      </c>
      <c r="M271" s="89">
        <f t="shared" si="77"/>
        <v>0.60538334980173469</v>
      </c>
      <c r="N271" s="89">
        <f t="shared" si="77"/>
        <v>448.67256494755094</v>
      </c>
      <c r="O271" s="89">
        <f t="shared" si="77"/>
        <v>210.54706644447498</v>
      </c>
      <c r="P271" s="89">
        <f t="shared" si="77"/>
        <v>630.67744165324052</v>
      </c>
      <c r="Q271" s="89">
        <f t="shared" si="77"/>
        <v>21.393194026548727</v>
      </c>
      <c r="R271" s="89">
        <f t="shared" si="77"/>
        <v>-0.22691177020516867</v>
      </c>
      <c r="S271" s="89">
        <f t="shared" si="77"/>
        <v>0</v>
      </c>
      <c r="T271" s="89">
        <f t="shared" si="77"/>
        <v>-3.9218226785415675</v>
      </c>
      <c r="U271" s="89">
        <f t="shared" si="77"/>
        <v>0</v>
      </c>
      <c r="V271" s="89">
        <f t="shared" si="77"/>
        <v>-0.50296402005880592</v>
      </c>
      <c r="W271" s="89">
        <f t="shared" si="77"/>
        <v>0</v>
      </c>
      <c r="X271" s="89">
        <f t="shared" si="77"/>
        <v>-157.21412721688461</v>
      </c>
      <c r="Y271" s="89">
        <f t="shared" si="77"/>
        <v>0</v>
      </c>
      <c r="AQ271" s="3"/>
    </row>
    <row r="272" spans="2:43" x14ac:dyDescent="0.3">
      <c r="C272" s="32"/>
      <c r="F272" t="s">
        <v>193</v>
      </c>
      <c r="G272" t="s">
        <v>171</v>
      </c>
      <c r="H272" s="121">
        <f t="shared" si="74"/>
        <v>3244.6028382008194</v>
      </c>
      <c r="I272" s="89"/>
      <c r="J272" s="89">
        <f t="shared" ref="J272:Y272" si="78">J242 + J255 + J171</f>
        <v>1371.4070872993207</v>
      </c>
      <c r="K272" s="89">
        <f t="shared" si="78"/>
        <v>0.2249475007695394</v>
      </c>
      <c r="L272" s="89">
        <f t="shared" si="78"/>
        <v>543.05137988809156</v>
      </c>
      <c r="M272" s="89">
        <f t="shared" si="78"/>
        <v>0.72673218290060326</v>
      </c>
      <c r="N272" s="89">
        <f t="shared" si="78"/>
        <v>454.55158771018341</v>
      </c>
      <c r="O272" s="89">
        <f t="shared" si="78"/>
        <v>214.21218138649283</v>
      </c>
      <c r="P272" s="89">
        <f t="shared" si="78"/>
        <v>794.174476938113</v>
      </c>
      <c r="Q272" s="89">
        <f t="shared" si="78"/>
        <v>19.436131530522992</v>
      </c>
      <c r="R272" s="89">
        <f t="shared" si="78"/>
        <v>-0.23133977652076659</v>
      </c>
      <c r="S272" s="89">
        <f t="shared" si="78"/>
        <v>0</v>
      </c>
      <c r="T272" s="89">
        <f t="shared" si="78"/>
        <v>-3.9983539910139676</v>
      </c>
      <c r="U272" s="89">
        <f t="shared" si="78"/>
        <v>0</v>
      </c>
      <c r="V272" s="89">
        <f t="shared" si="78"/>
        <v>-0.52848878094569451</v>
      </c>
      <c r="W272" s="89">
        <f t="shared" si="78"/>
        <v>0</v>
      </c>
      <c r="X272" s="89">
        <f t="shared" si="78"/>
        <v>-148.42350368709486</v>
      </c>
      <c r="Y272" s="89">
        <f t="shared" si="78"/>
        <v>0</v>
      </c>
      <c r="AQ272" s="3"/>
    </row>
    <row r="273" spans="2:43" x14ac:dyDescent="0.3">
      <c r="C273" s="32"/>
      <c r="F273" t="s">
        <v>194</v>
      </c>
      <c r="G273" t="s">
        <v>171</v>
      </c>
      <c r="H273" s="121">
        <f t="shared" si="74"/>
        <v>3871.3501311233999</v>
      </c>
      <c r="I273" s="89"/>
      <c r="J273" s="89">
        <f t="shared" ref="J273:Y273" si="79">J243 + J256 + J172</f>
        <v>1364.1926436816411</v>
      </c>
      <c r="K273" s="89">
        <f t="shared" si="79"/>
        <v>0.22376413874941478</v>
      </c>
      <c r="L273" s="89">
        <f t="shared" si="79"/>
        <v>540.19459607970316</v>
      </c>
      <c r="M273" s="89">
        <f t="shared" si="79"/>
        <v>0.72290912524890727</v>
      </c>
      <c r="N273" s="89">
        <f t="shared" si="79"/>
        <v>452.16036716653014</v>
      </c>
      <c r="O273" s="89">
        <f t="shared" si="79"/>
        <v>213.08529374011474</v>
      </c>
      <c r="P273" s="89">
        <f t="shared" si="79"/>
        <v>1433.8125281302218</v>
      </c>
      <c r="Q273" s="89">
        <f t="shared" si="79"/>
        <v>19.333885540713435</v>
      </c>
      <c r="R273" s="89">
        <f t="shared" si="79"/>
        <v>-0.23012278720396032</v>
      </c>
      <c r="S273" s="89">
        <f t="shared" si="79"/>
        <v>0</v>
      </c>
      <c r="T273" s="89">
        <f t="shared" si="79"/>
        <v>-3.9773201931731674</v>
      </c>
      <c r="U273" s="89">
        <f t="shared" si="79"/>
        <v>0</v>
      </c>
      <c r="V273" s="89">
        <f t="shared" si="79"/>
        <v>-0.52570860535230657</v>
      </c>
      <c r="W273" s="89">
        <f t="shared" si="79"/>
        <v>0</v>
      </c>
      <c r="X273" s="89">
        <f t="shared" si="79"/>
        <v>-147.64270489379294</v>
      </c>
      <c r="Y273" s="89">
        <f t="shared" si="79"/>
        <v>0</v>
      </c>
      <c r="AQ273" s="3"/>
    </row>
    <row r="274" spans="2:43" x14ac:dyDescent="0.3">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3">
      <c r="C275" s="32"/>
      <c r="F275" t="s">
        <v>196</v>
      </c>
      <c r="G275" t="s">
        <v>171</v>
      </c>
      <c r="H275" s="121">
        <f t="shared" si="74"/>
        <v>3843.4337341429245</v>
      </c>
      <c r="I275" s="89"/>
      <c r="J275" s="89">
        <f t="shared" ref="J275:Y275" si="81">J245 + J258 + J174</f>
        <v>1353.3312203931773</v>
      </c>
      <c r="K275" s="89">
        <f t="shared" si="81"/>
        <v>0.22198257436480057</v>
      </c>
      <c r="L275" s="89">
        <f t="shared" si="81"/>
        <v>535.89367700252069</v>
      </c>
      <c r="M275" s="89">
        <f t="shared" si="81"/>
        <v>0.71715347039708877</v>
      </c>
      <c r="N275" s="89">
        <f t="shared" si="81"/>
        <v>538.54763598286877</v>
      </c>
      <c r="O275" s="89">
        <f t="shared" si="81"/>
        <v>386.4071938000539</v>
      </c>
      <c r="P275" s="89">
        <f t="shared" si="81"/>
        <v>1013.8303850271332</v>
      </c>
      <c r="Q275" s="89">
        <f t="shared" si="81"/>
        <v>19.17995309162643</v>
      </c>
      <c r="R275" s="89">
        <f t="shared" si="81"/>
        <v>-0.22829059655865833</v>
      </c>
      <c r="S275" s="89">
        <f t="shared" si="81"/>
        <v>0</v>
      </c>
      <c r="T275" s="89">
        <f t="shared" si="81"/>
        <v>-3.9456535818834135</v>
      </c>
      <c r="U275" s="89">
        <f t="shared" si="81"/>
        <v>0</v>
      </c>
      <c r="V275" s="89">
        <f t="shared" si="81"/>
        <v>-0.52152302077554935</v>
      </c>
      <c r="W275" s="89">
        <f t="shared" si="81"/>
        <v>0</v>
      </c>
      <c r="X275" s="89">
        <f t="shared" si="81"/>
        <v>0</v>
      </c>
      <c r="Y275" s="89">
        <f t="shared" si="81"/>
        <v>0</v>
      </c>
      <c r="AQ275" s="3"/>
    </row>
    <row r="276" spans="2:43" x14ac:dyDescent="0.3">
      <c r="C276" s="32"/>
      <c r="F276" t="s">
        <v>197</v>
      </c>
      <c r="G276" t="s">
        <v>171</v>
      </c>
      <c r="H276" s="121">
        <f t="shared" si="74"/>
        <v>3141.9562500941429</v>
      </c>
      <c r="I276" s="89"/>
      <c r="J276" s="89">
        <f t="shared" ref="J276:Y276" si="82">J246 + J259 + J175</f>
        <v>1332.9181426630173</v>
      </c>
      <c r="K276" s="89">
        <f t="shared" si="82"/>
        <v>0.21863428277367536</v>
      </c>
      <c r="L276" s="89">
        <f t="shared" si="82"/>
        <v>527.81048264558012</v>
      </c>
      <c r="M276" s="89">
        <f t="shared" si="82"/>
        <v>0.70633622971345433</v>
      </c>
      <c r="N276" s="89">
        <f t="shared" si="82"/>
        <v>884.94419912303454</v>
      </c>
      <c r="O276" s="89">
        <f t="shared" si="82"/>
        <v>380.57879055059527</v>
      </c>
      <c r="P276" s="89">
        <f t="shared" si="82"/>
        <v>0</v>
      </c>
      <c r="Q276" s="89">
        <f t="shared" si="82"/>
        <v>18.890650763105221</v>
      </c>
      <c r="R276" s="89">
        <f t="shared" si="82"/>
        <v>-0.22484715741944852</v>
      </c>
      <c r="S276" s="89">
        <f t="shared" si="82"/>
        <v>0</v>
      </c>
      <c r="T276" s="89">
        <f t="shared" si="82"/>
        <v>-3.8861390062573005</v>
      </c>
      <c r="U276" s="89">
        <f t="shared" si="82"/>
        <v>0</v>
      </c>
      <c r="V276" s="89">
        <f t="shared" si="82"/>
        <v>0</v>
      </c>
      <c r="W276" s="89">
        <f t="shared" si="82"/>
        <v>0</v>
      </c>
      <c r="X276" s="89">
        <f t="shared" si="82"/>
        <v>0</v>
      </c>
      <c r="Y276" s="89">
        <f t="shared" si="82"/>
        <v>0</v>
      </c>
      <c r="AQ276" s="3"/>
    </row>
    <row r="277" spans="2:43" x14ac:dyDescent="0.3">
      <c r="C277" s="32"/>
      <c r="F277" s="37" t="s">
        <v>198</v>
      </c>
      <c r="G277" s="37" t="s">
        <v>171</v>
      </c>
      <c r="H277" s="131">
        <f t="shared" si="74"/>
        <v>2240.2617196335154</v>
      </c>
      <c r="I277" s="82"/>
      <c r="J277" s="82">
        <f t="shared" ref="J277:Y277" si="83">J247 + J260 + J176</f>
        <v>1042.8497619437026</v>
      </c>
      <c r="K277" s="82">
        <f t="shared" si="83"/>
        <v>0</v>
      </c>
      <c r="L277" s="82">
        <f t="shared" si="83"/>
        <v>354.09992472111395</v>
      </c>
      <c r="M277" s="82">
        <f t="shared" si="83"/>
        <v>0</v>
      </c>
      <c r="N277" s="82">
        <f t="shared" si="83"/>
        <v>825.02908933598223</v>
      </c>
      <c r="O277" s="82">
        <f t="shared" si="83"/>
        <v>0</v>
      </c>
      <c r="P277" s="82">
        <f t="shared" si="83"/>
        <v>0</v>
      </c>
      <c r="Q277" s="82">
        <f t="shared" si="83"/>
        <v>18.282943632716922</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3">
      <c r="H278" s="166"/>
    </row>
    <row r="279" spans="2:43" x14ac:dyDescent="0.3">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3">
      <c r="E281" t="s">
        <v>231</v>
      </c>
      <c r="G281" s="6" t="s">
        <v>54</v>
      </c>
      <c r="H281" s="103">
        <f t="array" ref="H281">SUM(IF(ISERROR(H23:Y277), 1))</f>
        <v>0</v>
      </c>
    </row>
    <row r="283" spans="2:43" x14ac:dyDescent="0.3">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3">
      <c r="J288" s="63"/>
      <c r="L288" s="63"/>
    </row>
    <row r="289" spans="10:12" x14ac:dyDescent="0.3">
      <c r="J289" s="63"/>
      <c r="L289" s="63"/>
    </row>
    <row r="290" spans="10:12" x14ac:dyDescent="0.3">
      <c r="J290" s="63"/>
      <c r="L290" s="63"/>
    </row>
    <row r="291" spans="10:12" x14ac:dyDescent="0.3">
      <c r="J291" s="63"/>
      <c r="L291" s="63"/>
    </row>
    <row r="292" spans="10:12" x14ac:dyDescent="0.3">
      <c r="J292" s="63"/>
      <c r="L292" s="63"/>
    </row>
    <row r="293" spans="10:12" x14ac:dyDescent="0.3">
      <c r="J293" s="63"/>
      <c r="L293" s="63"/>
    </row>
    <row r="294" spans="10:12" x14ac:dyDescent="0.3">
      <c r="J294" s="63"/>
      <c r="L294" s="63"/>
    </row>
    <row r="295" spans="10:12" x14ac:dyDescent="0.3">
      <c r="J295" s="63"/>
      <c r="L295" s="63"/>
    </row>
    <row r="296" spans="10:12" x14ac:dyDescent="0.3">
      <c r="J296" s="63"/>
      <c r="L296" s="63"/>
    </row>
    <row r="297" spans="10:12" x14ac:dyDescent="0.3">
      <c r="J297" s="63"/>
      <c r="L297" s="63"/>
    </row>
    <row r="298" spans="10:12" x14ac:dyDescent="0.3">
      <c r="J298" s="63"/>
      <c r="L298" s="63"/>
    </row>
    <row r="299" spans="10:12" x14ac:dyDescent="0.3">
      <c r="J299" s="63"/>
      <c r="L299" s="63"/>
    </row>
    <row r="300" spans="10:12" x14ac:dyDescent="0.3">
      <c r="J300" s="63"/>
      <c r="L300" s="63"/>
    </row>
    <row r="301" spans="10:12" x14ac:dyDescent="0.3">
      <c r="J301" s="63"/>
      <c r="L301" s="63"/>
    </row>
    <row r="302" spans="10:12" x14ac:dyDescent="0.3">
      <c r="J302" s="63"/>
      <c r="L302" s="63"/>
    </row>
    <row r="303" spans="10:12" x14ac:dyDescent="0.3">
      <c r="J303" s="63"/>
      <c r="L303" s="63"/>
    </row>
    <row r="304" spans="10:12" x14ac:dyDescent="0.3">
      <c r="J304" s="63"/>
      <c r="L304" s="63"/>
    </row>
    <row r="305" spans="10:12" x14ac:dyDescent="0.3">
      <c r="J305" s="63"/>
      <c r="L305" s="63"/>
    </row>
    <row r="306" spans="10:12" x14ac:dyDescent="0.3">
      <c r="J306" s="63"/>
      <c r="L306" s="63"/>
    </row>
    <row r="307" spans="10:12" x14ac:dyDescent="0.3">
      <c r="J307" s="63"/>
      <c r="L307" s="63"/>
    </row>
    <row r="308" spans="10:12" x14ac:dyDescent="0.3">
      <c r="J308" s="63"/>
      <c r="L308" s="63"/>
    </row>
    <row r="309" spans="10:12" x14ac:dyDescent="0.3">
      <c r="J309" s="63"/>
      <c r="L309" s="63"/>
    </row>
    <row r="310" spans="10:12" x14ac:dyDescent="0.3">
      <c r="J310" s="63"/>
      <c r="L310" s="63"/>
    </row>
    <row r="311" spans="10:12" x14ac:dyDescent="0.3">
      <c r="J311" s="63"/>
      <c r="L311" s="63"/>
    </row>
    <row r="312" spans="10:12" x14ac:dyDescent="0.3">
      <c r="J312" s="63"/>
      <c r="L312" s="63"/>
    </row>
    <row r="313" spans="10:12" x14ac:dyDescent="0.3">
      <c r="J313" s="63"/>
      <c r="L313" s="63"/>
    </row>
    <row r="314" spans="10:12" x14ac:dyDescent="0.3">
      <c r="J314" s="63"/>
      <c r="L314" s="63"/>
    </row>
    <row r="315" spans="10:12" x14ac:dyDescent="0.3">
      <c r="J315" s="63"/>
      <c r="L315" s="63"/>
    </row>
    <row r="316" spans="10:12" x14ac:dyDescent="0.3">
      <c r="J316" s="63"/>
      <c r="L316" s="63"/>
    </row>
    <row r="317" spans="10:12" x14ac:dyDescent="0.3">
      <c r="J317" s="63"/>
      <c r="L317" s="63"/>
    </row>
    <row r="318" spans="10:12" x14ac:dyDescent="0.3">
      <c r="J318" s="63"/>
      <c r="L318" s="63"/>
    </row>
    <row r="319" spans="10:12" x14ac:dyDescent="0.3">
      <c r="J319" s="63"/>
      <c r="L319" s="63"/>
    </row>
    <row r="320" spans="10:12" x14ac:dyDescent="0.3">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6640625" hidden="1"/>
  </cols>
  <sheetData>
    <row r="1" spans="1:43" s="1" customFormat="1" x14ac:dyDescent="0.3">
      <c r="A1" s="1" t="str">
        <f ca="1">MID(CELL("filename",A1),FIND("]",CELL("filename",A1))+1,255)</f>
        <v>Service model assets</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H38 &amp; IF(H38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545</v>
      </c>
    </row>
    <row r="10" spans="1:43" x14ac:dyDescent="0.3">
      <c r="C10" s="29" t="s">
        <v>546</v>
      </c>
    </row>
    <row r="11" spans="1:43" x14ac:dyDescent="0.3">
      <c r="D11" s="32"/>
      <c r="AQ11" s="3"/>
    </row>
    <row r="12" spans="1:43" x14ac:dyDescent="0.3">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3">
      <c r="G13" s="13"/>
    </row>
    <row r="14" spans="1:43" x14ac:dyDescent="0.3">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3">
      <c r="E16" s="28" t="s">
        <v>548</v>
      </c>
      <c r="G16" s="28" t="s">
        <v>211</v>
      </c>
      <c r="J16" s="120">
        <f>'Volume adjustments'!J275</f>
        <v>2271054.3909128611</v>
      </c>
      <c r="K16" s="120">
        <f>'Volume adjustments'!K275</f>
        <v>1739.8559938586122</v>
      </c>
      <c r="L16" s="120">
        <f>'Volume adjustments'!L275</f>
        <v>162702.15128386638</v>
      </c>
      <c r="M16" s="120">
        <f>'Volume adjustments'!M275</f>
        <v>2930.0356035322934</v>
      </c>
      <c r="N16" s="120">
        <f>'Volume adjustments'!N275</f>
        <v>13798.310204152966</v>
      </c>
      <c r="O16" s="120">
        <f>'Volume adjustments'!O275</f>
        <v>2220.1720526355821</v>
      </c>
      <c r="P16" s="120">
        <f>'Volume adjustments'!P275</f>
        <v>2131.728266274637</v>
      </c>
      <c r="Q16" s="120">
        <f>'Volume adjustments'!Q275</f>
        <v>661.01324841238045</v>
      </c>
      <c r="R16" s="120">
        <f>'Volume adjustments'!R275</f>
        <v>397.9095890410959</v>
      </c>
      <c r="S16" s="120">
        <f>'Volume adjustments'!S275</f>
        <v>0</v>
      </c>
      <c r="T16" s="120">
        <f>'Volume adjustments'!T275</f>
        <v>258.48493150684931</v>
      </c>
      <c r="U16" s="120">
        <f>'Volume adjustments'!U275</f>
        <v>0</v>
      </c>
      <c r="V16" s="120">
        <f>'Volume adjustments'!V275</f>
        <v>42</v>
      </c>
      <c r="W16" s="120">
        <f>'Volume adjustments'!W275</f>
        <v>0</v>
      </c>
      <c r="X16" s="120">
        <f>'Volume adjustments'!X275</f>
        <v>280</v>
      </c>
      <c r="Y16" s="120">
        <f>'Volume adjustments'!Y275</f>
        <v>0</v>
      </c>
    </row>
    <row r="17" spans="5:27" x14ac:dyDescent="0.3">
      <c r="E17" s="28" t="s">
        <v>549</v>
      </c>
      <c r="G17" s="28" t="s">
        <v>206</v>
      </c>
      <c r="J17" s="124">
        <f>'Volume adjustments'!J264</f>
        <v>7346335.6585877165</v>
      </c>
      <c r="K17" s="124">
        <f>'Volume adjustments'!K264</f>
        <v>4574.7222930909265</v>
      </c>
      <c r="L17" s="124">
        <f>'Volume adjustments'!L264</f>
        <v>2466545.6129299011</v>
      </c>
      <c r="M17" s="124">
        <f>'Volume adjustments'!M264</f>
        <v>15558.986187316252</v>
      </c>
      <c r="N17" s="124">
        <f>'Volume adjustments'!N264</f>
        <v>2366013.4928267184</v>
      </c>
      <c r="O17" s="124">
        <f>'Volume adjustments'!O264</f>
        <v>1216465.6998663098</v>
      </c>
      <c r="P17" s="124">
        <f>'Volume adjustments'!P264</f>
        <v>4426949.5937015973</v>
      </c>
      <c r="Q17" s="124">
        <f>'Volume adjustments'!Q264</f>
        <v>194263.17896172914</v>
      </c>
      <c r="R17" s="124">
        <f>'Volume adjustments'!R264</f>
        <v>1777.5573609545413</v>
      </c>
      <c r="S17" s="124">
        <f>'Volume adjustments'!S264</f>
        <v>0</v>
      </c>
      <c r="T17" s="124">
        <f>'Volume adjustments'!T264</f>
        <v>30722.35858147312</v>
      </c>
      <c r="U17" s="124">
        <f>'Volume adjustments'!U264</f>
        <v>0</v>
      </c>
      <c r="V17" s="124">
        <f>'Volume adjustments'!V264</f>
        <v>4028.1713844820988</v>
      </c>
      <c r="W17" s="124">
        <f>'Volume adjustments'!W264</f>
        <v>0</v>
      </c>
      <c r="X17" s="124">
        <f>'Volume adjustments'!X264</f>
        <v>944577.0627965735</v>
      </c>
      <c r="Y17" s="124">
        <f>'Volume adjustments'!Y264</f>
        <v>0</v>
      </c>
    </row>
    <row r="18" spans="5:27" x14ac:dyDescent="0.3">
      <c r="J18" s="89"/>
      <c r="K18" s="89"/>
      <c r="L18" s="89"/>
      <c r="M18" s="89"/>
      <c r="N18" s="89"/>
      <c r="O18" s="89"/>
      <c r="P18" s="89"/>
      <c r="Q18" s="89"/>
      <c r="R18" s="89"/>
      <c r="S18" s="89"/>
      <c r="T18" s="89"/>
      <c r="U18" s="89"/>
      <c r="V18" s="89"/>
      <c r="W18" s="89"/>
      <c r="X18" s="89"/>
      <c r="Y18" s="89"/>
    </row>
    <row r="19" spans="5:27" x14ac:dyDescent="0.3">
      <c r="E19" s="88" t="s">
        <v>550</v>
      </c>
      <c r="J19" s="89"/>
      <c r="K19" s="89"/>
      <c r="L19" s="89"/>
      <c r="M19" s="89"/>
      <c r="N19" s="89"/>
      <c r="O19" s="89"/>
      <c r="P19" s="89"/>
      <c r="Q19" s="89"/>
      <c r="R19" s="89"/>
      <c r="S19" s="89"/>
      <c r="T19" s="89"/>
      <c r="U19" s="89"/>
      <c r="V19" s="89"/>
      <c r="W19" s="89"/>
      <c r="X19" s="89"/>
      <c r="Y19" s="89"/>
    </row>
    <row r="20" spans="5:27" x14ac:dyDescent="0.3">
      <c r="E20" s="29" t="s">
        <v>551</v>
      </c>
      <c r="J20" s="89"/>
      <c r="K20" s="89"/>
      <c r="L20" s="89"/>
      <c r="M20" s="89"/>
      <c r="N20" s="89"/>
      <c r="O20" s="89"/>
      <c r="P20" s="89"/>
      <c r="Q20" s="89"/>
      <c r="R20" s="89"/>
      <c r="S20" s="89"/>
      <c r="T20" s="89"/>
      <c r="U20" s="89"/>
      <c r="V20" s="89"/>
      <c r="W20" s="89"/>
      <c r="X20" s="89"/>
      <c r="Y20" s="89"/>
    </row>
    <row r="21" spans="5:27" x14ac:dyDescent="0.3">
      <c r="E21" s="88"/>
      <c r="F21" s="23" t="s">
        <v>375</v>
      </c>
      <c r="G21" s="23" t="s">
        <v>260</v>
      </c>
      <c r="H21" s="174"/>
      <c r="I21" s="23"/>
      <c r="J21" s="124">
        <f>'Inputs by customer type'!J187</f>
        <v>586.26947268314552</v>
      </c>
      <c r="K21" s="124">
        <f>'Inputs by customer type'!K187</f>
        <v>0</v>
      </c>
      <c r="L21" s="124">
        <f>'Inputs by customer type'!L187</f>
        <v>586.26947268314552</v>
      </c>
      <c r="M21" s="124">
        <f>'Inputs by customer type'!M187</f>
        <v>0</v>
      </c>
      <c r="N21" s="124">
        <f>'Inputs by customer type'!N187</f>
        <v>2741.3031426249267</v>
      </c>
      <c r="O21" s="124">
        <f>'Inputs by customer type'!O187</f>
        <v>8847.8085665497201</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3">
      <c r="E22" s="88"/>
      <c r="F22" t="s">
        <v>376</v>
      </c>
      <c r="G22" t="s">
        <v>260</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19455.151334465525</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1310.0462107208873</v>
      </c>
      <c r="Y22" s="120">
        <f>'Inputs by customer type'!Y188</f>
        <v>1310.0462107208873</v>
      </c>
    </row>
    <row r="23" spans="5:27" x14ac:dyDescent="0.3">
      <c r="E23" s="88"/>
      <c r="F23" s="37" t="s">
        <v>552</v>
      </c>
      <c r="G23" s="37" t="s">
        <v>263</v>
      </c>
      <c r="H23" s="37"/>
      <c r="I23" s="37"/>
      <c r="J23" s="298"/>
      <c r="K23" s="298"/>
      <c r="L23" s="298"/>
      <c r="M23" s="298"/>
      <c r="N23" s="298"/>
      <c r="O23" s="298"/>
      <c r="P23" s="298"/>
      <c r="Q23" s="217">
        <f>'Inputs by customer type'!Q190</f>
        <v>925.70157191985481</v>
      </c>
      <c r="R23" s="298"/>
      <c r="S23" s="298"/>
      <c r="T23" s="298"/>
      <c r="U23" s="298"/>
      <c r="V23" s="298"/>
      <c r="W23" s="298"/>
      <c r="X23" s="298"/>
      <c r="Y23" s="298"/>
    </row>
    <row r="24" spans="5:27" x14ac:dyDescent="0.3">
      <c r="J24" s="89"/>
      <c r="K24" s="89"/>
      <c r="L24" s="89"/>
      <c r="M24" s="89"/>
      <c r="N24" s="89"/>
      <c r="O24" s="89"/>
      <c r="P24" s="89"/>
      <c r="Q24" s="89"/>
      <c r="R24" s="89"/>
      <c r="S24" s="89"/>
      <c r="T24" s="89"/>
      <c r="U24" s="89"/>
      <c r="V24" s="89"/>
      <c r="W24" s="89"/>
      <c r="X24" s="89"/>
      <c r="Y24" s="89"/>
    </row>
    <row r="25" spans="5:27" x14ac:dyDescent="0.3">
      <c r="E25" s="88" t="s">
        <v>553</v>
      </c>
      <c r="J25" s="89"/>
      <c r="K25" s="89"/>
      <c r="L25" s="89"/>
      <c r="M25" s="89"/>
      <c r="N25" s="89"/>
      <c r="O25" s="89"/>
      <c r="P25" s="89"/>
      <c r="Q25" s="89"/>
      <c r="R25" s="89"/>
      <c r="S25" s="89"/>
      <c r="T25" s="89"/>
      <c r="U25" s="89"/>
      <c r="V25" s="89"/>
      <c r="W25" s="89"/>
      <c r="X25" s="89"/>
      <c r="Y25" s="89"/>
    </row>
    <row r="26" spans="5:27" x14ac:dyDescent="0.3">
      <c r="E26" s="29" t="s">
        <v>554</v>
      </c>
      <c r="I26" t="s">
        <v>153</v>
      </c>
      <c r="J26" s="89"/>
      <c r="K26" s="89"/>
      <c r="L26" s="89"/>
      <c r="M26" s="89"/>
      <c r="N26" s="89"/>
      <c r="O26" s="89"/>
      <c r="P26" s="89"/>
      <c r="Q26" s="89"/>
      <c r="R26" s="89"/>
      <c r="S26" s="89"/>
      <c r="T26" s="89"/>
      <c r="U26" s="89"/>
      <c r="V26" s="89"/>
      <c r="W26" s="89"/>
      <c r="X26" s="89"/>
      <c r="Y26" s="89"/>
      <c r="AA26" t="s">
        <v>902</v>
      </c>
    </row>
    <row r="27" spans="5:27" x14ac:dyDescent="0.3">
      <c r="F27" s="23" t="s">
        <v>375</v>
      </c>
      <c r="G27" s="23" t="s">
        <v>276</v>
      </c>
      <c r="H27" s="129"/>
      <c r="I27" s="23"/>
      <c r="J27" s="126">
        <f t="shared" ref="J27:Y27" si="0">J21 * J$16</f>
        <v>1331449860.1952252</v>
      </c>
      <c r="K27" s="126">
        <f t="shared" si="0"/>
        <v>0</v>
      </c>
      <c r="L27" s="126">
        <f t="shared" si="0"/>
        <v>95387304.437605709</v>
      </c>
      <c r="M27" s="126">
        <f t="shared" si="0"/>
        <v>0</v>
      </c>
      <c r="N27" s="126">
        <f t="shared" si="0"/>
        <v>37825351.125558116</v>
      </c>
      <c r="O27" s="126">
        <f t="shared" si="0"/>
        <v>19643657.306523379</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3">
      <c r="F28" t="s">
        <v>376</v>
      </c>
      <c r="G28" t="s">
        <v>276</v>
      </c>
      <c r="H28" s="63"/>
      <c r="J28" s="98">
        <f t="shared" ref="J28:Y28" si="1">J22 * J$16</f>
        <v>0</v>
      </c>
      <c r="K28" s="98">
        <f t="shared" si="1"/>
        <v>0</v>
      </c>
      <c r="L28" s="98">
        <f t="shared" si="1"/>
        <v>0</v>
      </c>
      <c r="M28" s="98">
        <f t="shared" si="1"/>
        <v>0</v>
      </c>
      <c r="N28" s="98">
        <f t="shared" si="1"/>
        <v>0</v>
      </c>
      <c r="O28" s="98">
        <f t="shared" si="1"/>
        <v>0</v>
      </c>
      <c r="P28" s="98">
        <f t="shared" si="1"/>
        <v>41473096.024330884</v>
      </c>
      <c r="Q28" s="98">
        <f t="shared" si="1"/>
        <v>0</v>
      </c>
      <c r="R28" s="98">
        <f t="shared" si="1"/>
        <v>0</v>
      </c>
      <c r="S28" s="98">
        <f t="shared" si="1"/>
        <v>0</v>
      </c>
      <c r="T28" s="98">
        <f t="shared" si="1"/>
        <v>0</v>
      </c>
      <c r="U28" s="98">
        <f t="shared" si="1"/>
        <v>0</v>
      </c>
      <c r="V28" s="98">
        <f t="shared" si="1"/>
        <v>0</v>
      </c>
      <c r="W28" s="98">
        <f t="shared" si="1"/>
        <v>0</v>
      </c>
      <c r="X28" s="98">
        <f t="shared" si="1"/>
        <v>366812.93900184846</v>
      </c>
      <c r="Y28" s="98">
        <f t="shared" si="1"/>
        <v>0</v>
      </c>
    </row>
    <row r="29" spans="5:27" x14ac:dyDescent="0.3">
      <c r="F29" s="37" t="s">
        <v>552</v>
      </c>
      <c r="G29" s="37" t="s">
        <v>276</v>
      </c>
      <c r="H29" s="130"/>
      <c r="I29" s="37"/>
      <c r="J29" s="298"/>
      <c r="K29" s="298"/>
      <c r="L29" s="298"/>
      <c r="M29" s="298"/>
      <c r="N29" s="298"/>
      <c r="O29" s="298"/>
      <c r="P29" s="298"/>
      <c r="Q29" s="153">
        <f t="shared" ref="Q29" si="2">Q23 * Q$17</f>
        <v>179829730.13102072</v>
      </c>
      <c r="R29" s="298"/>
      <c r="S29" s="298"/>
      <c r="T29" s="298"/>
      <c r="U29" s="298"/>
      <c r="V29" s="298"/>
      <c r="W29" s="298"/>
      <c r="X29" s="298"/>
      <c r="Y29" s="298"/>
    </row>
    <row r="30" spans="5:27" x14ac:dyDescent="0.3">
      <c r="J30" s="89"/>
      <c r="K30" s="89"/>
      <c r="L30" s="89"/>
      <c r="M30" s="89"/>
      <c r="N30" s="89"/>
      <c r="O30" s="89"/>
      <c r="P30" s="89"/>
      <c r="Q30" s="89"/>
      <c r="R30" s="89"/>
      <c r="S30" s="89"/>
      <c r="T30" s="89"/>
      <c r="U30" s="89"/>
      <c r="V30" s="89"/>
      <c r="W30" s="89"/>
      <c r="X30" s="89"/>
      <c r="Y30" s="89"/>
    </row>
    <row r="31" spans="5:27" x14ac:dyDescent="0.3">
      <c r="E31" s="88" t="s">
        <v>555</v>
      </c>
      <c r="J31" s="89"/>
      <c r="K31" s="89"/>
      <c r="L31" s="89"/>
      <c r="M31" s="89"/>
      <c r="N31" s="89"/>
      <c r="O31" s="89"/>
      <c r="P31" s="89"/>
      <c r="Q31" s="89"/>
      <c r="R31" s="89"/>
      <c r="S31" s="89"/>
      <c r="T31" s="89"/>
      <c r="U31" s="89"/>
      <c r="V31" s="89"/>
      <c r="W31" s="89"/>
      <c r="X31" s="89"/>
      <c r="Y31" s="89"/>
    </row>
    <row r="32" spans="5:27" x14ac:dyDescent="0.3">
      <c r="E32" s="29" t="s">
        <v>556</v>
      </c>
      <c r="H32" s="128" t="s">
        <v>544</v>
      </c>
      <c r="J32" s="89"/>
      <c r="K32" s="89"/>
      <c r="L32" s="89"/>
      <c r="M32" s="89"/>
      <c r="N32" s="89"/>
      <c r="O32" s="89"/>
      <c r="P32" s="89"/>
      <c r="Q32" s="89"/>
      <c r="R32" s="89"/>
      <c r="S32" s="89"/>
      <c r="T32" s="89"/>
      <c r="U32" s="89"/>
      <c r="V32" s="89"/>
      <c r="W32" s="89"/>
      <c r="X32" s="89"/>
      <c r="Y32" s="89"/>
    </row>
    <row r="33" spans="2:43" x14ac:dyDescent="0.3">
      <c r="F33" s="23" t="s">
        <v>557</v>
      </c>
      <c r="G33" s="23" t="s">
        <v>276</v>
      </c>
      <c r="H33" s="101">
        <f>SUM(J33:Y33)</f>
        <v>1664135903.1959331</v>
      </c>
      <c r="I33" s="23"/>
      <c r="J33" s="158">
        <f t="shared" ref="J33:Y33" si="3">J27 +J29</f>
        <v>1331449860.1952252</v>
      </c>
      <c r="K33" s="158">
        <f t="shared" si="3"/>
        <v>0</v>
      </c>
      <c r="L33" s="158">
        <f t="shared" si="3"/>
        <v>95387304.437605709</v>
      </c>
      <c r="M33" s="158">
        <f t="shared" si="3"/>
        <v>0</v>
      </c>
      <c r="N33" s="158">
        <f t="shared" si="3"/>
        <v>37825351.125558116</v>
      </c>
      <c r="O33" s="158">
        <f t="shared" si="3"/>
        <v>19643657.306523379</v>
      </c>
      <c r="P33" s="158">
        <f t="shared" si="3"/>
        <v>0</v>
      </c>
      <c r="Q33" s="158">
        <f t="shared" si="3"/>
        <v>179829730.13102072</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3">
      <c r="F34" s="37" t="s">
        <v>558</v>
      </c>
      <c r="G34" s="37" t="s">
        <v>276</v>
      </c>
      <c r="H34" s="131">
        <f>SUM(J34:Y34)</f>
        <v>41839908.963332735</v>
      </c>
      <c r="I34" s="37"/>
      <c r="J34" s="167">
        <f t="shared" ref="J34:Y34" si="4">J28</f>
        <v>0</v>
      </c>
      <c r="K34" s="167">
        <f t="shared" si="4"/>
        <v>0</v>
      </c>
      <c r="L34" s="167">
        <f t="shared" si="4"/>
        <v>0</v>
      </c>
      <c r="M34" s="167">
        <f t="shared" si="4"/>
        <v>0</v>
      </c>
      <c r="N34" s="167">
        <f t="shared" si="4"/>
        <v>0</v>
      </c>
      <c r="O34" s="167">
        <f t="shared" si="4"/>
        <v>0</v>
      </c>
      <c r="P34" s="167">
        <f t="shared" si="4"/>
        <v>41473096.024330884</v>
      </c>
      <c r="Q34" s="167">
        <f t="shared" si="4"/>
        <v>0</v>
      </c>
      <c r="R34" s="167">
        <f t="shared" si="4"/>
        <v>0</v>
      </c>
      <c r="S34" s="167">
        <f t="shared" si="4"/>
        <v>0</v>
      </c>
      <c r="T34" s="167">
        <f t="shared" si="4"/>
        <v>0</v>
      </c>
      <c r="U34" s="167">
        <f t="shared" si="4"/>
        <v>0</v>
      </c>
      <c r="V34" s="167">
        <f t="shared" si="4"/>
        <v>0</v>
      </c>
      <c r="W34" s="167">
        <f t="shared" si="4"/>
        <v>0</v>
      </c>
      <c r="X34" s="167">
        <f t="shared" si="4"/>
        <v>366812.93900184846</v>
      </c>
      <c r="Y34" s="167">
        <f t="shared" si="4"/>
        <v>0</v>
      </c>
    </row>
    <row r="36" spans="2:43" x14ac:dyDescent="0.3">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3">
      <c r="E38" t="s">
        <v>231</v>
      </c>
      <c r="G38" s="6" t="s">
        <v>54</v>
      </c>
      <c r="H38" s="103">
        <f t="array" ref="H38">SUM(IF(ISERROR(H16:Y35), 1))</f>
        <v>0</v>
      </c>
    </row>
    <row r="40" spans="2:43" x14ac:dyDescent="0.3">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66" width="24.5546875" hidden="1" customWidth="1"/>
    <col min="267" max="16384" width="8.6640625" hidden="1"/>
  </cols>
  <sheetData>
    <row r="1" spans="1:23" s="1" customFormat="1" x14ac:dyDescent="0.3">
      <c r="A1" s="1" t="str">
        <f ca="1">MID(CELL("filename",A1),FIND("]",CELL("filename",A1))+1,255)</f>
        <v>Unit costs</v>
      </c>
    </row>
    <row r="2" spans="1:23" s="1" customFormat="1" x14ac:dyDescent="0.3">
      <c r="A2" s="1" t="str">
        <f>Cover!D21&amp;" - "&amp;Cover!D23</f>
        <v>Electricity North West Limited - Working Model</v>
      </c>
    </row>
    <row r="3" spans="1:23" s="5" customFormat="1" x14ac:dyDescent="0.3">
      <c r="A3" s="5" t="str">
        <f>Cover!D2&amp;" - "&amp;Cover!D8&amp;" v"&amp;Cover!D10&amp;" - "&amp;Cover!D19</f>
        <v>CDCM charging model - Release for charge setting v7 - 2022/23</v>
      </c>
    </row>
    <row r="4" spans="1:23" x14ac:dyDescent="0.3">
      <c r="A4" s="12" t="str">
        <f>H131 &amp; IF(H131 = 1, " issue", " issues") &amp;" identified in checks on this sheet"</f>
        <v>0 issues identified in checks on this sheet</v>
      </c>
      <c r="B4" s="13"/>
      <c r="C4" s="13"/>
      <c r="D4" s="13"/>
      <c r="E4" s="13"/>
      <c r="F4" s="13"/>
      <c r="G4" s="13"/>
      <c r="H4" s="14"/>
      <c r="I4" s="14"/>
      <c r="J4" s="13"/>
    </row>
    <row r="5" spans="1:23" x14ac:dyDescent="0.3">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3">
      <c r="H6" s="3"/>
      <c r="I6" s="3"/>
      <c r="J6" s="3"/>
      <c r="K6" s="3"/>
      <c r="L6" s="3"/>
      <c r="M6" s="3"/>
      <c r="N6" s="3"/>
      <c r="O6" s="3"/>
      <c r="P6" s="3"/>
      <c r="Q6" s="3"/>
      <c r="R6" s="3"/>
      <c r="S6" s="3"/>
      <c r="T6" s="3"/>
      <c r="U6" s="3"/>
      <c r="W6" s="3"/>
    </row>
    <row r="7" spans="1:23" x14ac:dyDescent="0.3">
      <c r="B7" s="30" t="s">
        <v>9</v>
      </c>
      <c r="C7" s="30"/>
      <c r="D7" s="30"/>
      <c r="E7" s="30"/>
      <c r="F7" s="30"/>
      <c r="G7" s="30"/>
      <c r="H7" s="30"/>
      <c r="I7" s="30"/>
      <c r="J7" s="30"/>
      <c r="K7" s="30"/>
      <c r="L7" s="30"/>
      <c r="M7" s="30"/>
      <c r="N7" s="30"/>
      <c r="O7" s="30"/>
      <c r="P7" s="30"/>
      <c r="Q7" s="30"/>
      <c r="R7" s="30"/>
      <c r="S7" s="30"/>
      <c r="T7" s="30"/>
      <c r="U7" s="30"/>
      <c r="V7" s="30"/>
      <c r="W7" s="30"/>
    </row>
    <row r="9" spans="1:23" x14ac:dyDescent="0.3">
      <c r="C9" s="29" t="s">
        <v>559</v>
      </c>
      <c r="D9" s="29"/>
    </row>
    <row r="10" spans="1:23" x14ac:dyDescent="0.3">
      <c r="C10" s="29" t="s">
        <v>560</v>
      </c>
      <c r="D10" s="29"/>
    </row>
    <row r="11" spans="1:23" x14ac:dyDescent="0.3">
      <c r="C11" s="29"/>
      <c r="D11" s="29" t="s">
        <v>561</v>
      </c>
    </row>
    <row r="12" spans="1:23" x14ac:dyDescent="0.3">
      <c r="C12" s="29"/>
      <c r="D12" s="29" t="s">
        <v>562</v>
      </c>
    </row>
    <row r="13" spans="1:23" x14ac:dyDescent="0.3">
      <c r="C13" s="29" t="s">
        <v>563</v>
      </c>
      <c r="D13" s="29"/>
    </row>
    <row r="15" spans="1:23" x14ac:dyDescent="0.3">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3">
      <c r="H16" s="3"/>
      <c r="I16" s="3"/>
      <c r="J16" s="3"/>
      <c r="K16" s="3"/>
      <c r="L16" s="3"/>
      <c r="M16" s="3"/>
      <c r="N16" s="3"/>
      <c r="O16" s="3"/>
      <c r="P16" s="3"/>
      <c r="Q16" s="3"/>
      <c r="R16" s="3"/>
      <c r="S16" s="3"/>
      <c r="T16" s="3"/>
      <c r="U16" s="3"/>
      <c r="W16" s="3"/>
    </row>
    <row r="17" spans="3:25" x14ac:dyDescent="0.3">
      <c r="C17" s="29" t="s">
        <v>565</v>
      </c>
    </row>
    <row r="18" spans="3:25" x14ac:dyDescent="0.3">
      <c r="H18" s="3"/>
      <c r="I18" s="3"/>
      <c r="J18" s="3"/>
      <c r="K18" s="3"/>
      <c r="L18" s="3"/>
      <c r="M18" s="3"/>
      <c r="N18" s="3"/>
      <c r="O18" s="3"/>
      <c r="P18" s="3"/>
      <c r="Q18" s="3"/>
      <c r="R18" s="3"/>
      <c r="S18" s="3"/>
      <c r="T18" s="3"/>
      <c r="U18" s="3"/>
      <c r="W18" s="3"/>
    </row>
    <row r="19" spans="3:25" x14ac:dyDescent="0.3">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3">
      <c r="H20" s="3"/>
    </row>
    <row r="21" spans="3:25" x14ac:dyDescent="0.3">
      <c r="D21" s="29" t="s">
        <v>566</v>
      </c>
      <c r="I21" s="3" t="s">
        <v>153</v>
      </c>
      <c r="J21" s="3"/>
      <c r="K21" s="3"/>
      <c r="L21" s="3"/>
      <c r="M21" s="3"/>
      <c r="N21" s="3"/>
      <c r="O21" s="3"/>
      <c r="P21" s="3"/>
      <c r="Q21" s="3"/>
      <c r="R21" s="3"/>
      <c r="S21" s="3"/>
      <c r="T21" s="3"/>
      <c r="U21" s="3"/>
      <c r="W21" s="3" t="s">
        <v>164</v>
      </c>
    </row>
    <row r="22" spans="3:25" x14ac:dyDescent="0.3">
      <c r="D22" s="29"/>
    </row>
    <row r="23" spans="3:25" x14ac:dyDescent="0.3">
      <c r="D23" s="88"/>
      <c r="E23" s="28" t="s">
        <v>352</v>
      </c>
      <c r="G23" s="28" t="s">
        <v>166</v>
      </c>
      <c r="H23" s="116">
        <f>'General inputs'!H91</f>
        <v>3.6499999999999998E-2</v>
      </c>
      <c r="I23" s="3"/>
      <c r="J23" s="3"/>
      <c r="K23" s="3"/>
      <c r="L23" s="3"/>
      <c r="M23" s="3"/>
      <c r="N23" s="3"/>
      <c r="O23" s="3"/>
      <c r="P23" s="3"/>
      <c r="Q23" s="3"/>
      <c r="R23" s="3"/>
      <c r="S23" s="3"/>
      <c r="T23" s="3"/>
      <c r="U23" s="3"/>
    </row>
    <row r="24" spans="3:25" x14ac:dyDescent="0.3">
      <c r="D24" s="88"/>
      <c r="E24" s="28" t="s">
        <v>162</v>
      </c>
      <c r="G24" s="28" t="s">
        <v>163</v>
      </c>
      <c r="H24" s="52">
        <f>'Fixed inputs'!H35</f>
        <v>40</v>
      </c>
      <c r="I24" s="3"/>
      <c r="J24" s="3"/>
      <c r="K24" s="3"/>
      <c r="L24" s="3"/>
      <c r="M24" s="3"/>
      <c r="N24" s="3"/>
      <c r="O24" s="3"/>
      <c r="P24" s="3"/>
      <c r="Q24" s="3"/>
      <c r="R24" s="3"/>
      <c r="S24" s="3"/>
      <c r="T24" s="3"/>
      <c r="U24" s="3"/>
      <c r="W24" s="3"/>
    </row>
    <row r="25" spans="3:25" x14ac:dyDescent="0.3">
      <c r="E25" s="28" t="s">
        <v>567</v>
      </c>
      <c r="G25" s="28" t="s">
        <v>166</v>
      </c>
      <c r="H25" s="176">
        <f>H23 / (1 - (1 + H23) ^ -H24)</f>
        <v>4.792270865014963E-2</v>
      </c>
      <c r="I25" s="3"/>
      <c r="J25" s="3"/>
      <c r="K25" s="3"/>
      <c r="L25" s="3"/>
      <c r="M25" s="3"/>
      <c r="N25" s="3"/>
      <c r="O25" s="3"/>
      <c r="P25" s="3"/>
      <c r="Q25" s="3"/>
      <c r="R25" s="3"/>
      <c r="S25" s="3"/>
      <c r="T25" s="3"/>
      <c r="U25" s="3"/>
      <c r="W25" s="3"/>
    </row>
    <row r="26" spans="3:25" x14ac:dyDescent="0.3">
      <c r="H26" s="3"/>
      <c r="I26" s="3"/>
      <c r="J26" s="3"/>
      <c r="K26" s="3"/>
      <c r="L26" s="3"/>
      <c r="M26" s="3"/>
      <c r="N26" s="3"/>
      <c r="O26" s="3"/>
      <c r="P26" s="3"/>
      <c r="Q26" s="3"/>
      <c r="R26" s="3"/>
      <c r="S26" s="3"/>
      <c r="T26" s="3"/>
      <c r="U26" s="3"/>
      <c r="W26" s="3"/>
    </row>
    <row r="27" spans="3:25" x14ac:dyDescent="0.3">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3">
      <c r="E28" s="32"/>
      <c r="F28" s="115"/>
      <c r="H28" s="3"/>
      <c r="I28" s="3"/>
      <c r="J28" s="3"/>
      <c r="K28" s="3"/>
      <c r="L28" s="3"/>
      <c r="M28" s="3"/>
      <c r="N28" s="3"/>
      <c r="O28" s="3"/>
      <c r="P28" s="3"/>
      <c r="Q28" s="3"/>
      <c r="R28" s="3"/>
      <c r="S28" s="3"/>
      <c r="T28" s="3"/>
      <c r="U28" s="3"/>
    </row>
    <row r="29" spans="3:25" x14ac:dyDescent="0.3">
      <c r="D29" s="29" t="s">
        <v>568</v>
      </c>
      <c r="F29" s="115"/>
      <c r="H29" s="3"/>
      <c r="I29" s="3"/>
      <c r="J29" s="3"/>
      <c r="K29" s="3"/>
      <c r="L29" s="3"/>
      <c r="M29" s="3"/>
      <c r="N29" s="3"/>
      <c r="O29" s="3"/>
      <c r="P29" s="3"/>
      <c r="Q29" s="3"/>
      <c r="R29" s="3"/>
      <c r="S29" s="3"/>
      <c r="T29" s="3"/>
      <c r="U29" s="3"/>
    </row>
    <row r="30" spans="3:25" x14ac:dyDescent="0.3">
      <c r="D30" s="29"/>
      <c r="F30" s="115"/>
      <c r="H30" s="3"/>
      <c r="I30" s="3"/>
      <c r="J30" s="3"/>
      <c r="K30" s="3"/>
      <c r="L30" s="3"/>
      <c r="M30" s="3"/>
      <c r="N30" s="3"/>
      <c r="O30" s="3"/>
      <c r="P30" s="3"/>
      <c r="Q30" s="3"/>
      <c r="R30" s="3"/>
      <c r="S30" s="3"/>
      <c r="T30" s="3"/>
      <c r="U30" s="3"/>
    </row>
    <row r="31" spans="3:25" x14ac:dyDescent="0.3">
      <c r="E31" t="s">
        <v>569</v>
      </c>
      <c r="F31" s="119"/>
      <c r="G31" s="28" t="s">
        <v>570</v>
      </c>
      <c r="H31" s="3"/>
      <c r="I31" s="3"/>
      <c r="J31" s="79"/>
      <c r="K31" s="120">
        <f>'Load &amp; loss characteristics'!K29</f>
        <v>1</v>
      </c>
      <c r="L31" s="120">
        <f>'Load &amp; loss characteristics'!L29</f>
        <v>1.0069921140018139</v>
      </c>
      <c r="M31" s="120">
        <f>'Load &amp; loss characteristics'!M29</f>
        <v>1.0120298017682567</v>
      </c>
      <c r="N31" s="120">
        <f>'Load &amp; loss characteristics'!N29</f>
        <v>1.0169672276140249</v>
      </c>
      <c r="O31" s="120">
        <f>'Load &amp; loss characteristics'!O29</f>
        <v>1.022345392317251</v>
      </c>
      <c r="P31" s="120">
        <f>'Load &amp; loss characteristics'!P29</f>
        <v>1.022345392317251</v>
      </c>
      <c r="Q31" s="120">
        <f>'Load &amp; loss characteristics'!Q29</f>
        <v>1.030550424378613</v>
      </c>
      <c r="R31" s="120">
        <f>'Load &amp; loss characteristics'!R29</f>
        <v>1.0463328683595021</v>
      </c>
      <c r="S31" s="120">
        <f>'Load &amp; loss characteristics'!S29</f>
        <v>1.0811119475731934</v>
      </c>
      <c r="T31" s="79"/>
      <c r="U31" s="79"/>
    </row>
    <row r="32" spans="3:25" x14ac:dyDescent="0.3">
      <c r="E32" t="s">
        <v>571</v>
      </c>
      <c r="F32" s="177"/>
      <c r="G32" s="28" t="s">
        <v>166</v>
      </c>
      <c r="H32" s="3"/>
      <c r="I32" s="3"/>
      <c r="J32" s="178"/>
      <c r="K32" s="179">
        <f>'Load &amp; loss characteristics'!$K$23</f>
        <v>6.4933942364639119E-2</v>
      </c>
      <c r="L32" s="180"/>
      <c r="M32" s="180"/>
      <c r="N32" s="180"/>
      <c r="O32" s="180"/>
      <c r="P32" s="178"/>
      <c r="Q32" s="180"/>
      <c r="R32" s="180"/>
      <c r="S32" s="180"/>
      <c r="T32" s="178"/>
      <c r="U32" s="178"/>
      <c r="Y32" s="181"/>
    </row>
    <row r="33" spans="3:23" x14ac:dyDescent="0.3">
      <c r="E33" t="s">
        <v>572</v>
      </c>
      <c r="F33" s="119"/>
      <c r="G33" s="28" t="s">
        <v>166</v>
      </c>
      <c r="H33" s="3"/>
      <c r="I33" s="3"/>
      <c r="J33" s="70"/>
      <c r="K33" s="176">
        <f xml:space="preserve"> 1 / (1 + K32)</f>
        <v>0.93902538009028413</v>
      </c>
      <c r="L33" s="180"/>
      <c r="M33" s="180"/>
      <c r="N33" s="180"/>
      <c r="O33" s="180"/>
      <c r="P33" s="180"/>
      <c r="Q33" s="180"/>
      <c r="R33" s="180"/>
      <c r="S33" s="180"/>
      <c r="T33" s="178"/>
      <c r="U33" s="178"/>
      <c r="W33" s="3"/>
    </row>
    <row r="34" spans="3:23" x14ac:dyDescent="0.3">
      <c r="F34" s="119"/>
      <c r="G34" s="28"/>
      <c r="H34" s="3"/>
      <c r="I34" s="3"/>
      <c r="J34" s="3"/>
      <c r="K34" s="3"/>
      <c r="L34" s="3"/>
      <c r="M34" s="3"/>
      <c r="N34" s="3"/>
      <c r="O34" s="3"/>
      <c r="P34" s="3"/>
      <c r="Q34" s="3"/>
      <c r="R34" s="3"/>
      <c r="S34" s="3"/>
      <c r="T34" s="3"/>
      <c r="U34" s="3"/>
      <c r="V34" s="3"/>
      <c r="W34" s="3"/>
    </row>
    <row r="35" spans="3:23" x14ac:dyDescent="0.3">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3">
      <c r="E36" s="32"/>
      <c r="F36" s="115"/>
      <c r="H36" s="3"/>
      <c r="J36" s="3"/>
      <c r="K36" s="3"/>
      <c r="L36" s="3"/>
      <c r="M36" s="3"/>
      <c r="N36" s="3"/>
      <c r="O36" s="3"/>
      <c r="P36" s="3"/>
      <c r="Q36" s="3"/>
      <c r="R36" s="3"/>
      <c r="S36" s="3"/>
      <c r="T36" s="3"/>
      <c r="U36" s="3"/>
    </row>
    <row r="37" spans="3:23" x14ac:dyDescent="0.3">
      <c r="D37" s="29" t="s">
        <v>573</v>
      </c>
      <c r="F37" s="115"/>
      <c r="H37" s="3"/>
      <c r="I37" s="3"/>
      <c r="J37" s="3"/>
      <c r="K37" s="3"/>
      <c r="L37" s="3"/>
      <c r="M37" s="3"/>
      <c r="N37" s="3"/>
      <c r="O37" s="3"/>
      <c r="P37" s="3"/>
      <c r="Q37" s="3"/>
      <c r="R37" s="3"/>
      <c r="S37" s="3"/>
      <c r="T37" s="3"/>
      <c r="U37" s="3"/>
      <c r="W37" s="3"/>
    </row>
    <row r="38" spans="3:23" x14ac:dyDescent="0.3">
      <c r="D38" s="29"/>
      <c r="F38" s="115"/>
      <c r="H38" s="3"/>
      <c r="I38" s="3"/>
      <c r="J38" s="3"/>
      <c r="K38" s="3"/>
      <c r="L38" s="3"/>
      <c r="M38" s="3"/>
      <c r="N38" s="3"/>
      <c r="O38" s="3"/>
      <c r="P38" s="3"/>
      <c r="Q38" s="3"/>
      <c r="R38" s="3"/>
      <c r="S38" s="3"/>
      <c r="T38" s="3"/>
      <c r="U38" s="3"/>
      <c r="W38" s="3"/>
    </row>
    <row r="39" spans="3:23" x14ac:dyDescent="0.3">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3">
      <c r="E40" t="s">
        <v>574</v>
      </c>
      <c r="F40" s="119"/>
      <c r="G40" s="28" t="s">
        <v>171</v>
      </c>
      <c r="H40" s="3"/>
      <c r="I40" s="3" t="s">
        <v>153</v>
      </c>
      <c r="J40" s="79"/>
      <c r="K40" s="182">
        <f t="shared" ref="K40:S40" si="0">$H$39 * $K$33 / K31</f>
        <v>469.51269004514205</v>
      </c>
      <c r="L40" s="182">
        <f t="shared" si="0"/>
        <v>466.25259872124116</v>
      </c>
      <c r="M40" s="182">
        <f t="shared" si="0"/>
        <v>463.93168385436053</v>
      </c>
      <c r="N40" s="182">
        <f t="shared" si="0"/>
        <v>461.67927273988693</v>
      </c>
      <c r="O40" s="182">
        <f t="shared" si="0"/>
        <v>459.25055619504798</v>
      </c>
      <c r="P40" s="182">
        <f t="shared" si="0"/>
        <v>459.25055619504798</v>
      </c>
      <c r="Q40" s="182">
        <f t="shared" si="0"/>
        <v>455.59409703629234</v>
      </c>
      <c r="R40" s="182">
        <f t="shared" si="0"/>
        <v>448.72210769912039</v>
      </c>
      <c r="S40" s="182">
        <f t="shared" si="0"/>
        <v>434.28683874881989</v>
      </c>
      <c r="T40" s="79"/>
      <c r="U40" s="79"/>
      <c r="W40" s="3" t="s">
        <v>575</v>
      </c>
    </row>
    <row r="41" spans="3:23" x14ac:dyDescent="0.3">
      <c r="F41" s="119"/>
      <c r="G41" s="28"/>
      <c r="H41" s="3"/>
      <c r="I41" s="3"/>
      <c r="J41" s="3"/>
      <c r="K41" s="3"/>
      <c r="L41" s="3"/>
      <c r="M41" s="3"/>
      <c r="N41" s="3"/>
      <c r="O41" s="3"/>
      <c r="P41" s="3"/>
      <c r="Q41" s="3"/>
      <c r="R41" s="3"/>
      <c r="S41" s="3"/>
      <c r="T41" s="3"/>
      <c r="U41" s="3"/>
      <c r="V41" s="3"/>
      <c r="W41" s="3"/>
    </row>
    <row r="42" spans="3:23" x14ac:dyDescent="0.3">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3">
      <c r="E43" s="32"/>
      <c r="F43" s="115"/>
      <c r="H43" s="3"/>
      <c r="I43" s="3"/>
      <c r="J43" s="3"/>
      <c r="K43" s="3"/>
      <c r="L43" s="3"/>
      <c r="M43" s="3"/>
      <c r="N43" s="3"/>
      <c r="O43" s="3"/>
      <c r="P43" s="3"/>
      <c r="Q43" s="3"/>
      <c r="R43" s="3"/>
      <c r="S43" s="3"/>
      <c r="T43" s="3"/>
      <c r="U43" s="3"/>
      <c r="W43" s="3"/>
    </row>
    <row r="44" spans="3:23" x14ac:dyDescent="0.3">
      <c r="D44" s="29" t="s">
        <v>576</v>
      </c>
      <c r="F44" s="115"/>
      <c r="H44" s="3"/>
      <c r="I44" s="3"/>
      <c r="J44" s="3"/>
      <c r="K44" s="3"/>
      <c r="L44" s="3"/>
      <c r="M44" s="3"/>
      <c r="N44" s="3"/>
      <c r="O44" s="3"/>
      <c r="P44" s="3"/>
      <c r="Q44" s="3"/>
      <c r="R44" s="3"/>
      <c r="S44" s="3"/>
      <c r="T44" s="3"/>
      <c r="U44" s="3"/>
      <c r="W44" s="3"/>
    </row>
    <row r="45" spans="3:23" x14ac:dyDescent="0.3">
      <c r="D45" s="29"/>
      <c r="F45" s="115"/>
      <c r="H45" s="3"/>
      <c r="I45" s="3"/>
      <c r="J45" s="3"/>
      <c r="K45" s="3"/>
      <c r="L45" s="3"/>
      <c r="M45" s="3"/>
      <c r="N45" s="3"/>
      <c r="O45" s="3"/>
      <c r="P45" s="3"/>
      <c r="Q45" s="3"/>
      <c r="R45" s="3"/>
      <c r="S45" s="3"/>
      <c r="T45" s="3"/>
      <c r="U45" s="3"/>
      <c r="W45" s="3"/>
    </row>
    <row r="46" spans="3:23" x14ac:dyDescent="0.3">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3">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3">
      <c r="E48" s="28" t="s">
        <v>578</v>
      </c>
      <c r="G48" s="28" t="s">
        <v>171</v>
      </c>
      <c r="H48" s="3"/>
      <c r="I48" s="3"/>
      <c r="J48" s="79"/>
      <c r="K48" s="98">
        <f t="shared" ref="K48:S48" si="1">IF(K47 = "", K40, K47 * K40)</f>
        <v>469.51269004514205</v>
      </c>
      <c r="L48" s="98">
        <f t="shared" si="1"/>
        <v>466.25259872124116</v>
      </c>
      <c r="M48" s="98">
        <f t="shared" si="1"/>
        <v>463.93168385436053</v>
      </c>
      <c r="N48" s="98">
        <f t="shared" si="1"/>
        <v>461.67927273988693</v>
      </c>
      <c r="O48" s="98">
        <f t="shared" si="1"/>
        <v>459.25055619504798</v>
      </c>
      <c r="P48" s="98">
        <f t="shared" si="1"/>
        <v>0</v>
      </c>
      <c r="Q48" s="98">
        <f t="shared" si="1"/>
        <v>455.59409703629234</v>
      </c>
      <c r="R48" s="98">
        <f t="shared" si="1"/>
        <v>448.72210769912039</v>
      </c>
      <c r="S48" s="98">
        <f t="shared" si="1"/>
        <v>434.28683874881989</v>
      </c>
      <c r="T48" s="79"/>
      <c r="U48" s="79"/>
      <c r="W48" s="3"/>
    </row>
    <row r="49" spans="2:23" x14ac:dyDescent="0.3">
      <c r="E49" s="28"/>
      <c r="G49" s="28"/>
      <c r="H49" s="3"/>
      <c r="I49" s="3"/>
      <c r="J49" s="3"/>
      <c r="K49" s="3"/>
      <c r="L49" s="3"/>
      <c r="M49" s="3"/>
      <c r="N49" s="3"/>
      <c r="O49" s="3"/>
      <c r="P49" s="3"/>
      <c r="Q49" s="3"/>
      <c r="R49" s="3"/>
      <c r="S49" s="3"/>
      <c r="T49" s="3"/>
      <c r="U49" s="3"/>
      <c r="V49" s="3"/>
      <c r="W49" s="3"/>
    </row>
    <row r="50" spans="2:23" x14ac:dyDescent="0.3">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3">
      <c r="E51" s="32"/>
      <c r="F51" s="115"/>
      <c r="H51" s="3"/>
      <c r="J51" s="3"/>
      <c r="K51" s="3"/>
      <c r="L51" s="113"/>
      <c r="M51" s="113"/>
      <c r="N51" s="113"/>
      <c r="O51" s="113"/>
      <c r="P51" s="113"/>
      <c r="Q51" s="113"/>
      <c r="R51" s="113"/>
      <c r="S51" s="113"/>
      <c r="T51" s="113"/>
      <c r="U51" s="183"/>
    </row>
    <row r="52" spans="2:23" x14ac:dyDescent="0.3">
      <c r="D52" s="29" t="s">
        <v>579</v>
      </c>
      <c r="F52" s="115"/>
      <c r="H52" s="3"/>
      <c r="I52" s="3"/>
      <c r="J52" s="3"/>
      <c r="K52" s="3"/>
      <c r="L52" s="113"/>
      <c r="M52" s="113"/>
      <c r="N52" s="113"/>
      <c r="O52" s="113"/>
      <c r="P52" s="113"/>
      <c r="Q52" s="113"/>
      <c r="R52" s="113"/>
      <c r="S52" s="113"/>
      <c r="T52" s="113"/>
      <c r="U52" s="183"/>
    </row>
    <row r="53" spans="2:23" x14ac:dyDescent="0.3">
      <c r="D53" s="29"/>
      <c r="F53" s="115"/>
      <c r="H53" s="3"/>
      <c r="I53" s="3"/>
      <c r="J53" s="3"/>
      <c r="K53" s="3"/>
      <c r="L53" s="113"/>
      <c r="M53" s="113"/>
      <c r="N53" s="113"/>
      <c r="O53" s="113"/>
      <c r="P53" s="113"/>
      <c r="Q53" s="113"/>
      <c r="R53" s="113"/>
      <c r="S53" s="113"/>
      <c r="T53" s="113"/>
      <c r="U53" s="183"/>
    </row>
    <row r="54" spans="2:23" x14ac:dyDescent="0.3">
      <c r="E54" t="s">
        <v>580</v>
      </c>
      <c r="F54" s="177"/>
      <c r="G54" s="28" t="s">
        <v>276</v>
      </c>
      <c r="H54" s="3"/>
      <c r="I54" s="3"/>
      <c r="J54" s="79"/>
      <c r="K54" s="79"/>
      <c r="L54" s="120">
        <f>'Inputs by network level'!L33</f>
        <v>107288380.00847399</v>
      </c>
      <c r="M54" s="120">
        <f>'Inputs by network level'!M33</f>
        <v>42438496.13651748</v>
      </c>
      <c r="N54" s="120">
        <f>'Inputs by network level'!N33</f>
        <v>107160071.95118052</v>
      </c>
      <c r="O54" s="120">
        <f>'Inputs by network level'!O33</f>
        <v>67596937.402801484</v>
      </c>
      <c r="P54" s="120">
        <f>'Inputs by network level'!P33</f>
        <v>0</v>
      </c>
      <c r="Q54" s="120">
        <f>'Inputs by network level'!Q33</f>
        <v>122720933.33501378</v>
      </c>
      <c r="R54" s="120">
        <f>'Inputs by network level'!R33</f>
        <v>111420839.15663049</v>
      </c>
      <c r="S54" s="120">
        <f>'Inputs by network level'!S33</f>
        <v>61767446.814668365</v>
      </c>
      <c r="T54" s="79"/>
      <c r="U54" s="79"/>
      <c r="W54" s="3"/>
    </row>
    <row r="55" spans="2:23" x14ac:dyDescent="0.3">
      <c r="E55" t="s">
        <v>581</v>
      </c>
      <c r="F55" s="177"/>
      <c r="G55" s="28" t="s">
        <v>582</v>
      </c>
      <c r="H55" s="3"/>
      <c r="I55" s="3"/>
      <c r="J55" s="79"/>
      <c r="K55" s="79"/>
      <c r="L55" s="98">
        <f t="shared" ref="L55:S55" si="2">IF(L48 = 0, 0, L54 / (L48 * thousand))</f>
        <v>230.1078434795354</v>
      </c>
      <c r="M55" s="98">
        <f t="shared" si="2"/>
        <v>91.475744411196445</v>
      </c>
      <c r="N55" s="98">
        <f t="shared" si="2"/>
        <v>232.10934143789294</v>
      </c>
      <c r="O55" s="98">
        <f t="shared" si="2"/>
        <v>147.18966910535963</v>
      </c>
      <c r="P55" s="98">
        <f t="shared" si="2"/>
        <v>0</v>
      </c>
      <c r="Q55" s="98">
        <f t="shared" si="2"/>
        <v>269.36462551497436</v>
      </c>
      <c r="R55" s="98">
        <f t="shared" si="2"/>
        <v>248.30699723700934</v>
      </c>
      <c r="S55" s="98">
        <f t="shared" si="2"/>
        <v>142.22730532801856</v>
      </c>
      <c r="T55" s="79"/>
      <c r="U55" s="79"/>
      <c r="W55" s="3"/>
    </row>
    <row r="56" spans="2:23" x14ac:dyDescent="0.3">
      <c r="E56" t="s">
        <v>583</v>
      </c>
      <c r="F56" s="177"/>
      <c r="G56" s="28" t="s">
        <v>584</v>
      </c>
      <c r="H56" s="3"/>
      <c r="I56" s="3" t="s">
        <v>153</v>
      </c>
      <c r="J56" s="79"/>
      <c r="K56" s="79"/>
      <c r="L56" s="98">
        <f t="shared" ref="L56:S56" si="3">L55 * $H$25</f>
        <v>11.027391141184008</v>
      </c>
      <c r="M56" s="98">
        <f t="shared" si="3"/>
        <v>4.3837654479733201</v>
      </c>
      <c r="N56" s="98">
        <f t="shared" si="3"/>
        <v>11.123308344706246</v>
      </c>
      <c r="O56" s="98">
        <f t="shared" si="3"/>
        <v>7.0537276288480797</v>
      </c>
      <c r="P56" s="98">
        <f t="shared" si="3"/>
        <v>0</v>
      </c>
      <c r="Q56" s="98">
        <f t="shared" si="3"/>
        <v>12.908682469210778</v>
      </c>
      <c r="R56" s="98">
        <f t="shared" si="3"/>
        <v>11.899543884382707</v>
      </c>
      <c r="S56" s="98">
        <f t="shared" si="3"/>
        <v>6.8159177153305075</v>
      </c>
      <c r="T56" s="79"/>
      <c r="U56" s="79"/>
      <c r="W56" s="3" t="s">
        <v>585</v>
      </c>
    </row>
    <row r="57" spans="2:23" x14ac:dyDescent="0.3">
      <c r="H57" s="3"/>
      <c r="I57" s="3"/>
      <c r="J57" s="127"/>
      <c r="K57" s="127"/>
      <c r="L57" s="127"/>
      <c r="M57" s="127"/>
      <c r="N57" s="127"/>
      <c r="O57" s="127"/>
      <c r="P57" s="127"/>
      <c r="Q57" s="127"/>
      <c r="R57" s="127"/>
      <c r="S57" s="127"/>
      <c r="T57" s="127"/>
      <c r="U57" s="127"/>
      <c r="W57" s="3"/>
    </row>
    <row r="58" spans="2:23" x14ac:dyDescent="0.3">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3">
      <c r="J59" s="89"/>
      <c r="K59" s="89"/>
      <c r="L59" s="89"/>
      <c r="M59" s="89"/>
      <c r="N59" s="89"/>
      <c r="O59" s="89"/>
      <c r="P59" s="89"/>
      <c r="Q59" s="89"/>
      <c r="R59" s="89"/>
      <c r="S59" s="89"/>
      <c r="T59" s="89"/>
      <c r="U59" s="89"/>
    </row>
    <row r="60" spans="2:23" x14ac:dyDescent="0.3">
      <c r="C60" s="29" t="s">
        <v>587</v>
      </c>
      <c r="J60" s="89"/>
      <c r="K60" s="89"/>
      <c r="L60" s="89"/>
      <c r="M60" s="89"/>
      <c r="N60" s="89"/>
      <c r="O60" s="89"/>
      <c r="P60" s="89"/>
      <c r="Q60" s="89"/>
      <c r="R60" s="89"/>
      <c r="S60" s="89"/>
      <c r="T60" s="89"/>
      <c r="U60" s="89"/>
    </row>
    <row r="61" spans="2:23" x14ac:dyDescent="0.3">
      <c r="J61" s="89"/>
      <c r="K61" s="89"/>
      <c r="L61" s="89"/>
      <c r="M61" s="89"/>
      <c r="N61" s="89"/>
      <c r="O61" s="89"/>
      <c r="P61" s="89"/>
      <c r="Q61" s="89"/>
      <c r="R61" s="89"/>
      <c r="S61" s="89"/>
      <c r="T61" s="89"/>
      <c r="U61" s="89"/>
    </row>
    <row r="62" spans="2:23" x14ac:dyDescent="0.3">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3">
      <c r="D63" s="32"/>
      <c r="J63" s="89"/>
      <c r="K63" s="89"/>
      <c r="L63" s="89"/>
      <c r="M63" s="89"/>
      <c r="N63" s="89"/>
      <c r="O63" s="89"/>
      <c r="P63" s="89"/>
      <c r="Q63" s="89"/>
      <c r="R63" s="89"/>
      <c r="S63" s="89"/>
      <c r="T63" s="89"/>
      <c r="U63" s="89"/>
    </row>
    <row r="64" spans="2:23" x14ac:dyDescent="0.3">
      <c r="E64" t="s">
        <v>588</v>
      </c>
      <c r="G64" t="s">
        <v>171</v>
      </c>
      <c r="J64" s="79"/>
      <c r="K64" s="120">
        <f t="array" ref="K64:S64">TRANSPOSE('System peak demand'!H269:H277)</f>
        <v>3285.9843787816753</v>
      </c>
      <c r="L64" s="120">
        <v>3146.6499320529911</v>
      </c>
      <c r="M64" s="120">
        <v>3130.9865199278893</v>
      </c>
      <c r="N64" s="120">
        <v>3244.6028382008194</v>
      </c>
      <c r="O64" s="120">
        <v>3871.3501311233999</v>
      </c>
      <c r="P64" s="120">
        <v>0</v>
      </c>
      <c r="Q64" s="120">
        <v>3843.4337341429245</v>
      </c>
      <c r="R64" s="120">
        <v>3141.9562500941429</v>
      </c>
      <c r="S64" s="120">
        <v>2240.2617196335154</v>
      </c>
      <c r="T64" s="79"/>
      <c r="U64" s="79"/>
    </row>
    <row r="65" spans="3:24" x14ac:dyDescent="0.3">
      <c r="E65" s="28" t="s">
        <v>589</v>
      </c>
      <c r="F65" s="28"/>
      <c r="G65" s="28" t="s">
        <v>171</v>
      </c>
      <c r="H65" s="102"/>
      <c r="J65" s="98">
        <f>K64</f>
        <v>3285.9843787816753</v>
      </c>
      <c r="K65" s="79"/>
      <c r="L65" s="79"/>
      <c r="M65" s="79"/>
      <c r="N65" s="79"/>
      <c r="O65" s="79"/>
      <c r="P65" s="79"/>
      <c r="Q65" s="79"/>
      <c r="R65" s="79"/>
      <c r="S65" s="79"/>
      <c r="T65" s="79"/>
      <c r="U65" s="79"/>
      <c r="W65" s="63"/>
      <c r="X65" s="63"/>
    </row>
    <row r="66" spans="3:24" x14ac:dyDescent="0.3">
      <c r="J66" s="89"/>
      <c r="K66" s="89"/>
      <c r="L66" s="89"/>
      <c r="M66" s="89"/>
      <c r="N66" s="89"/>
      <c r="O66" s="89"/>
      <c r="P66" s="89"/>
      <c r="Q66" s="89"/>
      <c r="R66" s="89"/>
      <c r="S66" s="89"/>
      <c r="T66" s="89"/>
      <c r="U66" s="89"/>
      <c r="X66" s="63"/>
    </row>
    <row r="67" spans="3:24" x14ac:dyDescent="0.3">
      <c r="E67" s="28" t="s">
        <v>588</v>
      </c>
      <c r="F67" s="28"/>
      <c r="G67" s="28" t="s">
        <v>519</v>
      </c>
      <c r="H67" s="102"/>
      <c r="J67" s="98">
        <f t="shared" ref="J67:S67" si="4">SUM(J64:J65) * thousand</f>
        <v>3285984.3787816754</v>
      </c>
      <c r="K67" s="98">
        <f t="shared" si="4"/>
        <v>3285984.3787816754</v>
      </c>
      <c r="L67" s="98">
        <f t="shared" si="4"/>
        <v>3146649.9320529909</v>
      </c>
      <c r="M67" s="98">
        <f t="shared" si="4"/>
        <v>3130986.5199278891</v>
      </c>
      <c r="N67" s="98">
        <f t="shared" si="4"/>
        <v>3244602.8382008192</v>
      </c>
      <c r="O67" s="98">
        <f t="shared" si="4"/>
        <v>3871350.1311233998</v>
      </c>
      <c r="P67" s="98">
        <f t="shared" si="4"/>
        <v>0</v>
      </c>
      <c r="Q67" s="98">
        <f t="shared" si="4"/>
        <v>3843433.7341429247</v>
      </c>
      <c r="R67" s="98">
        <f t="shared" si="4"/>
        <v>3141956.2500941427</v>
      </c>
      <c r="S67" s="98">
        <f t="shared" si="4"/>
        <v>2240261.7196335155</v>
      </c>
      <c r="T67" s="79"/>
      <c r="U67" s="79"/>
      <c r="W67" s="63"/>
      <c r="X67" s="63"/>
    </row>
    <row r="68" spans="3:24" x14ac:dyDescent="0.3">
      <c r="J68" s="89"/>
      <c r="K68" s="89"/>
      <c r="L68" s="89"/>
      <c r="M68" s="89"/>
      <c r="N68" s="89"/>
      <c r="O68" s="89"/>
      <c r="P68" s="89"/>
      <c r="Q68" s="89"/>
      <c r="R68" s="89"/>
      <c r="S68" s="89"/>
      <c r="T68" s="89"/>
      <c r="U68" s="89"/>
    </row>
    <row r="69" spans="3:24" x14ac:dyDescent="0.3">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3">
      <c r="E70" s="32"/>
      <c r="J70" s="89"/>
      <c r="K70" s="89"/>
      <c r="L70" s="89"/>
      <c r="M70" s="89"/>
      <c r="N70" s="89"/>
      <c r="O70" s="89"/>
      <c r="P70" s="89"/>
      <c r="Q70" s="89"/>
      <c r="R70" s="89"/>
      <c r="S70" s="89"/>
      <c r="T70" s="89"/>
      <c r="U70" s="89"/>
      <c r="X70" s="63"/>
    </row>
    <row r="71" spans="3:24" x14ac:dyDescent="0.3">
      <c r="D71" s="29" t="s">
        <v>590</v>
      </c>
      <c r="J71" s="89"/>
      <c r="K71" s="89"/>
      <c r="L71" s="89"/>
      <c r="M71" s="89"/>
      <c r="N71" s="89"/>
      <c r="O71" s="89"/>
      <c r="P71" s="89"/>
      <c r="Q71" s="89"/>
      <c r="R71" s="89"/>
      <c r="S71" s="89"/>
      <c r="T71" s="89"/>
      <c r="U71" s="89"/>
      <c r="X71" s="63"/>
    </row>
    <row r="72" spans="3:24" x14ac:dyDescent="0.3">
      <c r="D72" s="29"/>
      <c r="J72" s="89"/>
      <c r="K72" s="89"/>
      <c r="L72" s="89"/>
      <c r="M72" s="89"/>
      <c r="N72" s="89"/>
      <c r="O72" s="89"/>
      <c r="P72" s="89"/>
      <c r="Q72" s="89"/>
      <c r="R72" s="89"/>
      <c r="S72" s="89"/>
      <c r="T72" s="89"/>
      <c r="U72" s="89"/>
      <c r="X72" s="63"/>
    </row>
    <row r="73" spans="3:24" x14ac:dyDescent="0.3">
      <c r="E73" s="28" t="s">
        <v>591</v>
      </c>
      <c r="F73" s="28"/>
      <c r="G73" s="28" t="s">
        <v>276</v>
      </c>
      <c r="J73" s="79"/>
      <c r="K73" s="79"/>
      <c r="L73" s="98">
        <f t="shared" ref="L73:S73" si="5">L67 * L55</f>
        <v>724068830.04974031</v>
      </c>
      <c r="M73" s="98">
        <f t="shared" si="5"/>
        <v>286409322.65182501</v>
      </c>
      <c r="N73" s="98">
        <f t="shared" si="5"/>
        <v>753102628.0023104</v>
      </c>
      <c r="O73" s="98">
        <f t="shared" si="5"/>
        <v>569822744.79104388</v>
      </c>
      <c r="P73" s="98">
        <f t="shared" si="5"/>
        <v>0</v>
      </c>
      <c r="Q73" s="98">
        <f t="shared" si="5"/>
        <v>1035285088.4890285</v>
      </c>
      <c r="R73" s="98">
        <f t="shared" si="5"/>
        <v>780169721.91093051</v>
      </c>
      <c r="S73" s="98">
        <f t="shared" si="5"/>
        <v>318626387.61298794</v>
      </c>
      <c r="T73" s="79"/>
      <c r="U73" s="79"/>
      <c r="X73" s="63"/>
    </row>
    <row r="74" spans="3:24" x14ac:dyDescent="0.3">
      <c r="E74" s="28" t="s">
        <v>592</v>
      </c>
      <c r="F74" s="28"/>
      <c r="G74" s="28" t="s">
        <v>276</v>
      </c>
      <c r="J74" s="79"/>
      <c r="K74" s="79"/>
      <c r="L74" s="79"/>
      <c r="M74" s="79"/>
      <c r="N74" s="79"/>
      <c r="O74" s="79"/>
      <c r="P74" s="79"/>
      <c r="Q74" s="79"/>
      <c r="R74" s="79"/>
      <c r="S74" s="79"/>
      <c r="T74" s="120">
        <f>'Service model assets'!H33</f>
        <v>1664135903.1959331</v>
      </c>
      <c r="U74" s="120">
        <f>'Service model assets'!H34</f>
        <v>41839908.963332735</v>
      </c>
      <c r="X74" s="63"/>
    </row>
    <row r="75" spans="3:24" x14ac:dyDescent="0.3">
      <c r="J75" s="89"/>
      <c r="K75" s="89"/>
      <c r="L75" s="89"/>
      <c r="M75" s="89"/>
      <c r="N75" s="89"/>
      <c r="O75" s="89"/>
      <c r="P75" s="89"/>
      <c r="Q75" s="89"/>
      <c r="R75" s="89"/>
      <c r="S75" s="89"/>
      <c r="T75" s="89"/>
      <c r="U75" s="89"/>
      <c r="X75" s="63"/>
    </row>
    <row r="76" spans="3:24" x14ac:dyDescent="0.3">
      <c r="E76" s="28" t="s">
        <v>593</v>
      </c>
      <c r="F76" s="28"/>
      <c r="G76" s="28" t="s">
        <v>276</v>
      </c>
      <c r="I76" t="s">
        <v>153</v>
      </c>
      <c r="J76" s="79"/>
      <c r="K76" s="98">
        <f t="shared" ref="K76:U76" si="6">K73 + K74</f>
        <v>0</v>
      </c>
      <c r="L76" s="98">
        <f t="shared" si="6"/>
        <v>724068830.04974031</v>
      </c>
      <c r="M76" s="98">
        <f t="shared" si="6"/>
        <v>286409322.65182501</v>
      </c>
      <c r="N76" s="98">
        <f t="shared" si="6"/>
        <v>753102628.0023104</v>
      </c>
      <c r="O76" s="98">
        <f t="shared" si="6"/>
        <v>569822744.79104388</v>
      </c>
      <c r="P76" s="98">
        <f t="shared" si="6"/>
        <v>0</v>
      </c>
      <c r="Q76" s="98">
        <f t="shared" si="6"/>
        <v>1035285088.4890285</v>
      </c>
      <c r="R76" s="98">
        <f t="shared" si="6"/>
        <v>780169721.91093051</v>
      </c>
      <c r="S76" s="98">
        <f t="shared" si="6"/>
        <v>318626387.61298794</v>
      </c>
      <c r="T76" s="98">
        <f t="shared" si="6"/>
        <v>1664135903.1959331</v>
      </c>
      <c r="U76" s="98">
        <f t="shared" si="6"/>
        <v>41839908.963332735</v>
      </c>
      <c r="W76" s="3" t="s">
        <v>594</v>
      </c>
      <c r="X76" s="63"/>
    </row>
    <row r="77" spans="3:24" x14ac:dyDescent="0.3">
      <c r="L77" s="63"/>
      <c r="M77" s="63"/>
      <c r="N77" s="63"/>
      <c r="O77" s="63"/>
      <c r="P77" s="63"/>
      <c r="Q77" s="63"/>
      <c r="R77" s="63"/>
      <c r="S77" s="63"/>
      <c r="T77" s="63"/>
      <c r="U77" s="63"/>
      <c r="X77" s="63"/>
    </row>
    <row r="78" spans="3:24" x14ac:dyDescent="0.3">
      <c r="E78" s="28" t="s">
        <v>595</v>
      </c>
      <c r="F78" s="28"/>
      <c r="G78" s="28" t="s">
        <v>166</v>
      </c>
      <c r="J78" s="180"/>
      <c r="K78" s="145">
        <f t="shared" ref="K78:U78" si="7">K76 / SUM($K$76:$U$76)</f>
        <v>0</v>
      </c>
      <c r="L78" s="145">
        <f t="shared" si="7"/>
        <v>0.11728735056560852</v>
      </c>
      <c r="M78" s="145">
        <f t="shared" si="7"/>
        <v>4.6393642754674919E-2</v>
      </c>
      <c r="N78" s="145">
        <f t="shared" si="7"/>
        <v>0.12199035268003486</v>
      </c>
      <c r="O78" s="145">
        <f t="shared" si="7"/>
        <v>9.2301998449475176E-2</v>
      </c>
      <c r="P78" s="145">
        <f t="shared" si="7"/>
        <v>0</v>
      </c>
      <c r="Q78" s="145">
        <f t="shared" si="7"/>
        <v>0.16769931264769167</v>
      </c>
      <c r="R78" s="145">
        <f t="shared" si="7"/>
        <v>0.12637478079004547</v>
      </c>
      <c r="S78" s="145">
        <f t="shared" si="7"/>
        <v>5.1612282247877964E-2</v>
      </c>
      <c r="T78" s="145">
        <f t="shared" si="7"/>
        <v>0.26956289646323933</v>
      </c>
      <c r="U78" s="145">
        <f t="shared" si="7"/>
        <v>6.7773834013521109E-3</v>
      </c>
      <c r="X78" s="63"/>
    </row>
    <row r="79" spans="3:24" x14ac:dyDescent="0.3">
      <c r="E79" s="32"/>
      <c r="L79" s="63"/>
      <c r="M79" s="63"/>
      <c r="N79" s="63"/>
      <c r="O79" s="63"/>
      <c r="P79" s="63"/>
      <c r="Q79" s="63"/>
      <c r="R79" s="63"/>
      <c r="S79" s="63"/>
      <c r="T79" s="63"/>
      <c r="U79" s="63"/>
    </row>
    <row r="80" spans="3:24" x14ac:dyDescent="0.3">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3">
      <c r="E81" s="32"/>
      <c r="L81" s="63"/>
      <c r="M81" s="63"/>
      <c r="N81" s="63"/>
      <c r="O81" s="63"/>
      <c r="P81" s="63"/>
      <c r="Q81" s="63"/>
      <c r="R81" s="63"/>
      <c r="S81" s="63"/>
      <c r="T81" s="63"/>
      <c r="U81" s="63"/>
    </row>
    <row r="82" spans="3:23" x14ac:dyDescent="0.3">
      <c r="D82" s="29" t="s">
        <v>596</v>
      </c>
      <c r="L82" s="63"/>
      <c r="M82" s="63"/>
      <c r="N82" s="63"/>
      <c r="O82" s="63"/>
      <c r="P82" s="63"/>
      <c r="Q82" s="63"/>
      <c r="R82" s="63"/>
      <c r="S82" s="63"/>
      <c r="T82" s="63"/>
      <c r="U82" s="63"/>
    </row>
    <row r="83" spans="3:23" x14ac:dyDescent="0.3">
      <c r="D83" s="29"/>
      <c r="L83" s="63"/>
      <c r="M83" s="63"/>
      <c r="N83" s="63"/>
      <c r="O83" s="63"/>
      <c r="P83" s="63"/>
      <c r="Q83" s="63"/>
      <c r="R83" s="63"/>
      <c r="S83" s="63"/>
      <c r="T83" s="63"/>
      <c r="U83" s="63"/>
    </row>
    <row r="84" spans="3:23" x14ac:dyDescent="0.3">
      <c r="E84" s="28" t="s">
        <v>168</v>
      </c>
      <c r="F84" s="28"/>
      <c r="G84" s="28" t="s">
        <v>166</v>
      </c>
      <c r="H84" s="25">
        <f>'Fixed inputs'!H39</f>
        <v>0.6</v>
      </c>
      <c r="L84" s="63"/>
      <c r="M84" s="63"/>
      <c r="N84" s="63"/>
      <c r="O84" s="63"/>
      <c r="P84" s="63"/>
      <c r="Q84" s="63"/>
      <c r="R84" s="63"/>
      <c r="S84" s="63"/>
      <c r="T84" s="63"/>
      <c r="U84" s="63"/>
    </row>
    <row r="85" spans="3:23" x14ac:dyDescent="0.3">
      <c r="F85" s="28"/>
      <c r="G85" s="28"/>
      <c r="H85" s="25"/>
      <c r="L85" s="63"/>
      <c r="M85" s="63"/>
      <c r="N85" s="63"/>
      <c r="O85" s="63"/>
      <c r="P85" s="63"/>
      <c r="Q85" s="63"/>
      <c r="R85" s="63"/>
      <c r="S85" s="63"/>
      <c r="T85" s="63"/>
      <c r="U85" s="63"/>
    </row>
    <row r="86" spans="3:23" x14ac:dyDescent="0.3">
      <c r="E86" s="28" t="s">
        <v>359</v>
      </c>
      <c r="F86" s="28"/>
      <c r="G86" s="28" t="s">
        <v>356</v>
      </c>
      <c r="H86" s="120">
        <f>'General inputs'!H102</f>
        <v>37915128.1440318</v>
      </c>
      <c r="L86" s="63"/>
      <c r="M86" s="63"/>
      <c r="N86" s="63"/>
      <c r="O86" s="63"/>
      <c r="P86" s="63"/>
      <c r="Q86" s="63"/>
      <c r="R86" s="63"/>
      <c r="S86" s="63"/>
      <c r="T86" s="63"/>
      <c r="U86" s="63"/>
    </row>
    <row r="87" spans="3:23" x14ac:dyDescent="0.3">
      <c r="E87" s="28" t="s">
        <v>360</v>
      </c>
      <c r="F87" s="28"/>
      <c r="G87" s="28" t="s">
        <v>356</v>
      </c>
      <c r="H87" s="120">
        <f>'General inputs'!H103</f>
        <v>131411604.64292556</v>
      </c>
      <c r="L87" s="63"/>
      <c r="M87" s="63"/>
      <c r="N87" s="63"/>
      <c r="O87" s="63"/>
      <c r="P87" s="63"/>
      <c r="Q87" s="63"/>
      <c r="R87" s="63"/>
      <c r="S87" s="63"/>
      <c r="T87" s="63"/>
      <c r="U87" s="63"/>
    </row>
    <row r="88" spans="3:23" x14ac:dyDescent="0.3">
      <c r="E88" s="28" t="s">
        <v>361</v>
      </c>
      <c r="F88" s="28"/>
      <c r="G88" s="28" t="s">
        <v>356</v>
      </c>
      <c r="H88" s="120">
        <f>'General inputs'!H104</f>
        <v>27046960</v>
      </c>
      <c r="J88" s="63"/>
      <c r="L88" s="63"/>
      <c r="M88" s="63"/>
      <c r="N88" s="63"/>
      <c r="O88" s="63"/>
      <c r="P88" s="63"/>
      <c r="Q88" s="63"/>
      <c r="R88" s="63"/>
      <c r="S88" s="63"/>
      <c r="T88" s="63"/>
      <c r="U88" s="63"/>
    </row>
    <row r="89" spans="3:23" x14ac:dyDescent="0.3">
      <c r="E89" s="28"/>
      <c r="F89" s="28"/>
      <c r="G89" s="28"/>
      <c r="H89" s="120"/>
      <c r="J89" s="63"/>
      <c r="L89" s="63"/>
      <c r="M89" s="63"/>
      <c r="N89" s="63"/>
      <c r="O89" s="63"/>
      <c r="P89" s="63"/>
      <c r="Q89" s="63"/>
      <c r="R89" s="63"/>
      <c r="S89" s="63"/>
      <c r="T89" s="63"/>
      <c r="U89" s="63"/>
    </row>
    <row r="90" spans="3:23" x14ac:dyDescent="0.3">
      <c r="E90" s="28" t="s">
        <v>597</v>
      </c>
      <c r="F90" s="28"/>
      <c r="G90" s="28" t="s">
        <v>356</v>
      </c>
      <c r="H90" s="98">
        <f>H86 + H87 * H84 + H88</f>
        <v>143809050.92978713</v>
      </c>
      <c r="L90" s="63"/>
      <c r="M90" s="63"/>
      <c r="N90" s="63"/>
      <c r="O90" s="63"/>
      <c r="P90" s="63"/>
      <c r="Q90" s="63"/>
      <c r="R90" s="63"/>
      <c r="S90" s="63"/>
      <c r="T90" s="63"/>
      <c r="U90" s="63"/>
    </row>
    <row r="91" spans="3:23" x14ac:dyDescent="0.3">
      <c r="E91" s="32"/>
      <c r="L91" s="63"/>
      <c r="M91" s="63"/>
      <c r="N91" s="63"/>
      <c r="O91" s="63"/>
      <c r="P91" s="63"/>
      <c r="Q91" s="63"/>
      <c r="R91" s="63"/>
      <c r="S91" s="63"/>
      <c r="T91" s="63"/>
      <c r="U91" s="63"/>
    </row>
    <row r="92" spans="3:23" x14ac:dyDescent="0.3">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3">
      <c r="E93" s="32"/>
      <c r="H93" s="63"/>
      <c r="L93" s="63"/>
      <c r="M93" s="63"/>
      <c r="N93" s="63"/>
      <c r="O93" s="63"/>
      <c r="P93" s="63"/>
      <c r="Q93" s="63"/>
      <c r="R93" s="63"/>
      <c r="S93" s="63"/>
      <c r="T93" s="63"/>
      <c r="U93" s="63"/>
    </row>
    <row r="94" spans="3:23" x14ac:dyDescent="0.3">
      <c r="D94" s="29" t="s">
        <v>598</v>
      </c>
      <c r="H94" s="63"/>
      <c r="L94" s="63"/>
      <c r="M94" s="63"/>
      <c r="N94" s="63"/>
      <c r="O94" s="63"/>
      <c r="P94" s="63"/>
      <c r="Q94" s="63"/>
      <c r="R94" s="63"/>
      <c r="S94" s="63"/>
      <c r="T94" s="63"/>
      <c r="U94" s="63"/>
    </row>
    <row r="95" spans="3:23" x14ac:dyDescent="0.3">
      <c r="D95" s="29" t="s">
        <v>599</v>
      </c>
      <c r="H95" s="63"/>
      <c r="L95" s="63"/>
      <c r="M95" s="63"/>
      <c r="N95" s="63"/>
      <c r="O95" s="63"/>
      <c r="P95" s="63"/>
      <c r="Q95" s="63"/>
      <c r="R95" s="63"/>
      <c r="S95" s="63"/>
      <c r="T95" s="63"/>
      <c r="U95" s="63"/>
    </row>
    <row r="96" spans="3:23" x14ac:dyDescent="0.3">
      <c r="D96" s="29"/>
      <c r="H96" s="63"/>
      <c r="L96" s="63"/>
      <c r="M96" s="63"/>
      <c r="N96" s="63"/>
      <c r="O96" s="63"/>
      <c r="P96" s="63"/>
      <c r="Q96" s="63"/>
      <c r="R96" s="63"/>
      <c r="S96" s="63"/>
      <c r="T96" s="63"/>
      <c r="U96" s="63"/>
    </row>
    <row r="97" spans="2:23" x14ac:dyDescent="0.3">
      <c r="E97" s="28" t="s">
        <v>600</v>
      </c>
      <c r="F97" s="28"/>
      <c r="G97" s="28" t="s">
        <v>356</v>
      </c>
      <c r="I97" t="s">
        <v>153</v>
      </c>
      <c r="J97" s="79"/>
      <c r="K97" s="98">
        <f t="shared" ref="K97:U97" si="8">K78 * $H$90</f>
        <v>0</v>
      </c>
      <c r="L97" s="98">
        <f t="shared" si="8"/>
        <v>16866982.570909392</v>
      </c>
      <c r="M97" s="98">
        <f t="shared" si="8"/>
        <v>6671825.7337253951</v>
      </c>
      <c r="N97" s="98">
        <f t="shared" si="8"/>
        <v>17543316.841505826</v>
      </c>
      <c r="O97" s="98">
        <f t="shared" si="8"/>
        <v>13273862.795941709</v>
      </c>
      <c r="P97" s="98">
        <f t="shared" si="8"/>
        <v>0</v>
      </c>
      <c r="Q97" s="98">
        <f t="shared" si="8"/>
        <v>24116678.993442185</v>
      </c>
      <c r="R97" s="98">
        <f t="shared" si="8"/>
        <v>18173837.286876332</v>
      </c>
      <c r="S97" s="98">
        <f t="shared" si="8"/>
        <v>7422313.3263876298</v>
      </c>
      <c r="T97" s="98">
        <f t="shared" si="8"/>
        <v>38765584.306262918</v>
      </c>
      <c r="U97" s="98">
        <f t="shared" si="8"/>
        <v>974649.07473573962</v>
      </c>
      <c r="W97" s="3" t="s">
        <v>601</v>
      </c>
    </row>
    <row r="98" spans="2:23" x14ac:dyDescent="0.3">
      <c r="E98" s="28" t="s">
        <v>355</v>
      </c>
      <c r="F98" s="28"/>
      <c r="G98" s="28" t="s">
        <v>356</v>
      </c>
      <c r="H98" s="63"/>
      <c r="I98" s="63"/>
      <c r="J98" s="120">
        <f>'General inputs'!$H$97</f>
        <v>18960271.583497114</v>
      </c>
      <c r="K98" s="79"/>
      <c r="L98" s="79"/>
      <c r="M98" s="79"/>
      <c r="N98" s="79"/>
      <c r="O98" s="79"/>
      <c r="P98" s="79"/>
      <c r="Q98" s="79"/>
      <c r="R98" s="79"/>
      <c r="S98" s="79"/>
      <c r="T98" s="79"/>
      <c r="U98" s="79"/>
    </row>
    <row r="99" spans="2:23" x14ac:dyDescent="0.3">
      <c r="J99" s="89"/>
      <c r="K99" s="89"/>
      <c r="L99" s="89"/>
      <c r="M99" s="89"/>
      <c r="N99" s="89"/>
      <c r="O99" s="89"/>
      <c r="P99" s="89"/>
      <c r="Q99" s="89"/>
      <c r="R99" s="89"/>
      <c r="S99" s="89"/>
      <c r="T99" s="89"/>
      <c r="U99" s="89"/>
    </row>
    <row r="100" spans="2:23" x14ac:dyDescent="0.3">
      <c r="E100" s="28" t="s">
        <v>602</v>
      </c>
      <c r="F100" s="28"/>
      <c r="G100" s="28" t="s">
        <v>603</v>
      </c>
      <c r="I100" t="s">
        <v>153</v>
      </c>
      <c r="J100" s="98">
        <f t="shared" ref="J100:S100" si="9">IF(J$67 = 0, 0, SUM(J97:J98) / J$67)</f>
        <v>5.7700431279977353</v>
      </c>
      <c r="K100" s="98">
        <f t="shared" si="9"/>
        <v>0</v>
      </c>
      <c r="L100" s="98">
        <f t="shared" si="9"/>
        <v>5.360298391980562</v>
      </c>
      <c r="M100" s="98">
        <f t="shared" si="9"/>
        <v>2.1309020946787904</v>
      </c>
      <c r="N100" s="98">
        <f t="shared" si="9"/>
        <v>5.4069227317923003</v>
      </c>
      <c r="O100" s="98">
        <f t="shared" si="9"/>
        <v>3.4287425178176432</v>
      </c>
      <c r="P100" s="98">
        <f t="shared" si="9"/>
        <v>0</v>
      </c>
      <c r="Q100" s="98">
        <f t="shared" si="9"/>
        <v>6.2747742413777141</v>
      </c>
      <c r="R100" s="98">
        <f t="shared" si="9"/>
        <v>5.7842426311097705</v>
      </c>
      <c r="S100" s="98">
        <f t="shared" si="9"/>
        <v>3.3131456299676656</v>
      </c>
      <c r="T100" s="79"/>
      <c r="U100" s="79"/>
      <c r="W100" s="3" t="s">
        <v>604</v>
      </c>
    </row>
    <row r="101" spans="2:23" x14ac:dyDescent="0.3">
      <c r="J101" s="89"/>
      <c r="K101" s="89"/>
      <c r="L101" s="89"/>
      <c r="M101" s="89"/>
      <c r="N101" s="89"/>
      <c r="O101" s="89"/>
      <c r="P101" s="89"/>
      <c r="Q101" s="89"/>
      <c r="R101" s="89"/>
      <c r="S101" s="89"/>
      <c r="T101" s="89"/>
      <c r="U101" s="89"/>
    </row>
    <row r="102" spans="2:23" x14ac:dyDescent="0.3">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3">
      <c r="B103" s="29"/>
      <c r="J103" s="89"/>
      <c r="K103" s="89"/>
      <c r="L103" s="89"/>
      <c r="M103" s="89"/>
      <c r="N103" s="89"/>
      <c r="O103" s="89"/>
      <c r="P103" s="89"/>
      <c r="Q103" s="89"/>
      <c r="R103" s="89"/>
      <c r="S103" s="89"/>
      <c r="T103" s="89"/>
      <c r="U103" s="89"/>
    </row>
    <row r="104" spans="2:23" x14ac:dyDescent="0.3">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3">
      <c r="B105" s="29"/>
      <c r="J105" s="89"/>
      <c r="K105" s="89"/>
      <c r="L105" s="89"/>
      <c r="M105" s="89"/>
      <c r="N105" s="89"/>
      <c r="O105" s="89"/>
      <c r="P105" s="89"/>
      <c r="Q105" s="89"/>
      <c r="R105" s="89"/>
      <c r="S105" s="89"/>
      <c r="T105" s="89"/>
      <c r="U105" s="89"/>
    </row>
    <row r="106" spans="2:23" x14ac:dyDescent="0.3">
      <c r="B106" s="29"/>
      <c r="D106" s="29" t="s">
        <v>606</v>
      </c>
      <c r="J106" s="89"/>
      <c r="K106" s="89"/>
      <c r="L106" s="89"/>
      <c r="M106" s="89"/>
      <c r="N106" s="89"/>
      <c r="O106" s="89"/>
      <c r="P106" s="89"/>
      <c r="Q106" s="89"/>
      <c r="R106" s="89"/>
      <c r="S106" s="89"/>
      <c r="T106" s="89"/>
      <c r="U106" s="89"/>
    </row>
    <row r="107" spans="2:23" x14ac:dyDescent="0.3">
      <c r="B107" s="29"/>
      <c r="D107" s="29"/>
      <c r="J107" s="89"/>
      <c r="K107" s="89"/>
      <c r="L107" s="89"/>
      <c r="M107" s="89"/>
      <c r="N107" s="89"/>
      <c r="O107" s="89"/>
      <c r="P107" s="89"/>
      <c r="Q107" s="89"/>
      <c r="R107" s="89"/>
      <c r="S107" s="89"/>
      <c r="T107" s="89"/>
      <c r="U107" s="89"/>
    </row>
    <row r="108" spans="2:23" x14ac:dyDescent="0.3">
      <c r="B108" s="29"/>
      <c r="E108" s="28" t="s">
        <v>593</v>
      </c>
      <c r="F108" s="28"/>
      <c r="G108" s="28" t="s">
        <v>276</v>
      </c>
      <c r="J108" s="79"/>
      <c r="K108" s="121">
        <f t="shared" ref="K108:U108" si="10">K76</f>
        <v>0</v>
      </c>
      <c r="L108" s="121">
        <f t="shared" si="10"/>
        <v>724068830.04974031</v>
      </c>
      <c r="M108" s="121">
        <f t="shared" si="10"/>
        <v>286409322.65182501</v>
      </c>
      <c r="N108" s="121">
        <f t="shared" si="10"/>
        <v>753102628.0023104</v>
      </c>
      <c r="O108" s="121">
        <f t="shared" si="10"/>
        <v>569822744.79104388</v>
      </c>
      <c r="P108" s="121">
        <f t="shared" si="10"/>
        <v>0</v>
      </c>
      <c r="Q108" s="121">
        <f t="shared" si="10"/>
        <v>1035285088.4890285</v>
      </c>
      <c r="R108" s="121">
        <f t="shared" si="10"/>
        <v>780169721.91093051</v>
      </c>
      <c r="S108" s="121">
        <f t="shared" si="10"/>
        <v>318626387.61298794</v>
      </c>
      <c r="T108" s="121">
        <f t="shared" si="10"/>
        <v>1664135903.1959331</v>
      </c>
      <c r="U108" s="121">
        <f t="shared" si="10"/>
        <v>41839908.963332735</v>
      </c>
    </row>
    <row r="109" spans="2:23" x14ac:dyDescent="0.3">
      <c r="B109" s="29"/>
    </row>
    <row r="110" spans="2:23" x14ac:dyDescent="0.3">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3">
      <c r="B111" s="29"/>
    </row>
    <row r="112" spans="2:23" x14ac:dyDescent="0.3">
      <c r="B112" s="29"/>
      <c r="D112" s="29" t="s">
        <v>607</v>
      </c>
    </row>
    <row r="113" spans="2:24" x14ac:dyDescent="0.3">
      <c r="B113" s="29"/>
      <c r="D113" s="29"/>
    </row>
    <row r="114" spans="2:24" x14ac:dyDescent="0.3">
      <c r="E114" t="s">
        <v>583</v>
      </c>
      <c r="F114" s="177"/>
      <c r="G114" s="28" t="s">
        <v>603</v>
      </c>
      <c r="H114" s="3"/>
      <c r="I114" s="3"/>
      <c r="J114" s="79"/>
      <c r="K114" s="79"/>
      <c r="L114" s="121">
        <f t="shared" ref="L114:S114" si="11">L56</f>
        <v>11.027391141184008</v>
      </c>
      <c r="M114" s="121">
        <f t="shared" si="11"/>
        <v>4.3837654479733201</v>
      </c>
      <c r="N114" s="121">
        <f t="shared" si="11"/>
        <v>11.123308344706246</v>
      </c>
      <c r="O114" s="121">
        <f t="shared" si="11"/>
        <v>7.0537276288480797</v>
      </c>
      <c r="P114" s="121">
        <f t="shared" si="11"/>
        <v>0</v>
      </c>
      <c r="Q114" s="121">
        <f t="shared" si="11"/>
        <v>12.908682469210778</v>
      </c>
      <c r="R114" s="121">
        <f t="shared" si="11"/>
        <v>11.899543884382707</v>
      </c>
      <c r="S114" s="121">
        <f t="shared" si="11"/>
        <v>6.8159177153305075</v>
      </c>
      <c r="T114" s="79"/>
      <c r="U114" s="79"/>
    </row>
    <row r="115" spans="2:24" x14ac:dyDescent="0.3">
      <c r="B115" s="29"/>
      <c r="E115" t="s">
        <v>602</v>
      </c>
      <c r="F115" s="28"/>
      <c r="G115" s="28" t="s">
        <v>603</v>
      </c>
      <c r="J115" s="121">
        <f t="shared" ref="J115:S115" si="12">J100</f>
        <v>5.7700431279977353</v>
      </c>
      <c r="K115" s="121">
        <f t="shared" si="12"/>
        <v>0</v>
      </c>
      <c r="L115" s="121">
        <f t="shared" si="12"/>
        <v>5.360298391980562</v>
      </c>
      <c r="M115" s="121">
        <f t="shared" si="12"/>
        <v>2.1309020946787904</v>
      </c>
      <c r="N115" s="121">
        <f t="shared" si="12"/>
        <v>5.4069227317923003</v>
      </c>
      <c r="O115" s="121">
        <f t="shared" si="12"/>
        <v>3.4287425178176432</v>
      </c>
      <c r="P115" s="121">
        <f t="shared" si="12"/>
        <v>0</v>
      </c>
      <c r="Q115" s="121">
        <f t="shared" si="12"/>
        <v>6.2747742413777141</v>
      </c>
      <c r="R115" s="121">
        <f t="shared" si="12"/>
        <v>5.7842426311097705</v>
      </c>
      <c r="S115" s="121">
        <f t="shared" si="12"/>
        <v>3.3131456299676656</v>
      </c>
      <c r="T115" s="79"/>
      <c r="U115" s="79"/>
    </row>
    <row r="116" spans="2:24" x14ac:dyDescent="0.3">
      <c r="B116" s="29"/>
    </row>
    <row r="117" spans="2:24" x14ac:dyDescent="0.3">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3">
      <c r="B118" s="29"/>
    </row>
    <row r="119" spans="2:24" x14ac:dyDescent="0.3">
      <c r="B119" s="29"/>
      <c r="D119" s="29" t="s">
        <v>608</v>
      </c>
    </row>
    <row r="120" spans="2:24" x14ac:dyDescent="0.3">
      <c r="B120" s="29"/>
      <c r="D120" s="29"/>
    </row>
    <row r="121" spans="2:24" x14ac:dyDescent="0.3">
      <c r="B121" s="29"/>
      <c r="C121" s="32"/>
      <c r="E121" t="s">
        <v>567</v>
      </c>
      <c r="F121" s="28"/>
      <c r="G121" s="28" t="s">
        <v>166</v>
      </c>
      <c r="H121" s="186">
        <f>H25</f>
        <v>4.792270865014963E-2</v>
      </c>
    </row>
    <row r="122" spans="2:24" x14ac:dyDescent="0.3">
      <c r="B122" s="29"/>
      <c r="C122" s="32"/>
      <c r="E122" t="s">
        <v>597</v>
      </c>
      <c r="F122" s="28"/>
      <c r="G122" s="28" t="s">
        <v>356</v>
      </c>
      <c r="H122" s="121">
        <f>H90</f>
        <v>143809050.92978713</v>
      </c>
    </row>
    <row r="123" spans="2:24" x14ac:dyDescent="0.3">
      <c r="E123" t="s">
        <v>593</v>
      </c>
      <c r="F123" s="28"/>
      <c r="G123" s="28" t="s">
        <v>276</v>
      </c>
      <c r="H123" s="121">
        <f>SUM(K76:U76)</f>
        <v>6173460535.6671324</v>
      </c>
      <c r="X123" s="63"/>
    </row>
    <row r="124" spans="2:24" x14ac:dyDescent="0.3">
      <c r="B124" s="29"/>
      <c r="C124" s="32"/>
    </row>
    <row r="125" spans="2:24" x14ac:dyDescent="0.3">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3">
      <c r="E127" t="s">
        <v>231</v>
      </c>
      <c r="G127" s="6" t="s">
        <v>54</v>
      </c>
      <c r="H127" s="187">
        <f t="array" ref="H127">SUM(IF(ISERROR(H23:U123), 1))</f>
        <v>0</v>
      </c>
    </row>
    <row r="129" spans="2:23" x14ac:dyDescent="0.3">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3">
      <c r="E131" t="s">
        <v>238</v>
      </c>
      <c r="G131" s="6" t="s">
        <v>54</v>
      </c>
      <c r="H131" s="103">
        <f>H127 + H129</f>
        <v>0</v>
      </c>
    </row>
    <row r="133" spans="2:23" x14ac:dyDescent="0.3">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84" width="24.5546875" hidden="1" customWidth="1"/>
    <col min="285" max="16384" width="8.6640625" hidden="1"/>
  </cols>
  <sheetData>
    <row r="1" spans="1:27" s="1" customFormat="1" x14ac:dyDescent="0.3">
      <c r="A1" s="1" t="str">
        <f ca="1">MID(CELL("filename",A1),FIND("]",CELL("filename",A1))+1,255)</f>
        <v>Initial unit rates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H241 &amp; IF(H241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6" spans="1:27" x14ac:dyDescent="0.3">
      <c r="H6" s="3"/>
      <c r="I6" s="3"/>
      <c r="J6" s="3"/>
      <c r="K6" s="3"/>
      <c r="L6" s="3"/>
      <c r="M6" s="3"/>
      <c r="N6" s="3"/>
      <c r="P6" s="3"/>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610</v>
      </c>
      <c r="E9" s="28"/>
    </row>
    <row r="11" spans="1:27" x14ac:dyDescent="0.3">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3">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3">
      <c r="C14" s="32"/>
      <c r="D14" s="32"/>
      <c r="E14" s="32"/>
      <c r="J14" s="63"/>
      <c r="L14" s="63"/>
    </row>
    <row r="15" spans="1:27" x14ac:dyDescent="0.3">
      <c r="D15" s="29" t="s">
        <v>612</v>
      </c>
    </row>
    <row r="17" spans="5:27" x14ac:dyDescent="0.3">
      <c r="E17" s="32" t="s">
        <v>613</v>
      </c>
      <c r="G17" s="28"/>
      <c r="H17" s="3"/>
      <c r="I17" s="3" t="s">
        <v>153</v>
      </c>
      <c r="AA17" t="s">
        <v>614</v>
      </c>
    </row>
    <row r="18" spans="5:27" x14ac:dyDescent="0.3">
      <c r="F18" s="190" t="s">
        <v>188</v>
      </c>
      <c r="G18" s="64" t="s">
        <v>584</v>
      </c>
      <c r="H18" s="83"/>
    </row>
    <row r="19" spans="5:27" x14ac:dyDescent="0.3">
      <c r="F19" s="191" t="s">
        <v>190</v>
      </c>
      <c r="G19" s="28" t="s">
        <v>584</v>
      </c>
      <c r="H19" s="79"/>
    </row>
    <row r="20" spans="5:27" x14ac:dyDescent="0.3">
      <c r="F20" s="191" t="s">
        <v>191</v>
      </c>
      <c r="G20" s="28" t="s">
        <v>584</v>
      </c>
      <c r="H20" s="194">
        <f t="array" ref="H20:H27">TRANSPOSE('Unit costs'!L114:S114)</f>
        <v>11.027391141184008</v>
      </c>
    </row>
    <row r="21" spans="5:27" x14ac:dyDescent="0.3">
      <c r="F21" s="191" t="s">
        <v>192</v>
      </c>
      <c r="G21" s="28" t="s">
        <v>584</v>
      </c>
      <c r="H21" s="194">
        <v>4.3837654479733201</v>
      </c>
    </row>
    <row r="22" spans="5:27" x14ac:dyDescent="0.3">
      <c r="F22" s="191" t="s">
        <v>193</v>
      </c>
      <c r="G22" s="28" t="s">
        <v>584</v>
      </c>
      <c r="H22" s="194">
        <v>11.123308344706246</v>
      </c>
    </row>
    <row r="23" spans="5:27" x14ac:dyDescent="0.3">
      <c r="F23" s="191" t="s">
        <v>194</v>
      </c>
      <c r="G23" s="28" t="s">
        <v>584</v>
      </c>
      <c r="H23" s="194">
        <v>7.0537276288480797</v>
      </c>
    </row>
    <row r="24" spans="5:27" x14ac:dyDescent="0.3">
      <c r="F24" s="191" t="s">
        <v>195</v>
      </c>
      <c r="G24" s="28" t="s">
        <v>584</v>
      </c>
      <c r="H24" s="194">
        <v>0</v>
      </c>
    </row>
    <row r="25" spans="5:27" x14ac:dyDescent="0.3">
      <c r="F25" s="191" t="s">
        <v>196</v>
      </c>
      <c r="G25" s="28" t="s">
        <v>584</v>
      </c>
      <c r="H25" s="194">
        <v>12.908682469210778</v>
      </c>
    </row>
    <row r="26" spans="5:27" x14ac:dyDescent="0.3">
      <c r="F26" s="191" t="s">
        <v>197</v>
      </c>
      <c r="G26" s="28" t="s">
        <v>584</v>
      </c>
      <c r="H26" s="194">
        <v>11.899543884382707</v>
      </c>
    </row>
    <row r="27" spans="5:27" x14ac:dyDescent="0.3">
      <c r="F27" s="192" t="s">
        <v>198</v>
      </c>
      <c r="G27" s="67" t="s">
        <v>584</v>
      </c>
      <c r="H27" s="195">
        <v>6.8159177153305075</v>
      </c>
    </row>
    <row r="28" spans="5:27" x14ac:dyDescent="0.3">
      <c r="F28" s="191"/>
      <c r="G28" s="28"/>
      <c r="H28" s="120"/>
    </row>
    <row r="29" spans="5:27" x14ac:dyDescent="0.3">
      <c r="E29" s="32" t="s">
        <v>615</v>
      </c>
      <c r="G29" s="28"/>
      <c r="H29" s="89"/>
    </row>
    <row r="30" spans="5:27" x14ac:dyDescent="0.3">
      <c r="F30" s="190" t="s">
        <v>188</v>
      </c>
      <c r="G30" s="64" t="s">
        <v>603</v>
      </c>
      <c r="H30" s="193">
        <f t="array" ref="H30:H39">TRANSPOSE('Unit costs'!J115:S115)</f>
        <v>5.7700431279977353</v>
      </c>
    </row>
    <row r="31" spans="5:27" x14ac:dyDescent="0.3">
      <c r="F31" s="191" t="s">
        <v>190</v>
      </c>
      <c r="G31" s="28" t="s">
        <v>603</v>
      </c>
      <c r="H31" s="194">
        <v>0</v>
      </c>
    </row>
    <row r="32" spans="5:27" x14ac:dyDescent="0.3">
      <c r="F32" s="191" t="s">
        <v>191</v>
      </c>
      <c r="G32" s="28" t="s">
        <v>603</v>
      </c>
      <c r="H32" s="194">
        <v>5.360298391980562</v>
      </c>
    </row>
    <row r="33" spans="5:16" x14ac:dyDescent="0.3">
      <c r="F33" s="191" t="s">
        <v>192</v>
      </c>
      <c r="G33" s="28" t="s">
        <v>603</v>
      </c>
      <c r="H33" s="194">
        <v>2.1309020946787904</v>
      </c>
      <c r="J33" s="63"/>
      <c r="K33" s="63"/>
      <c r="L33" s="63"/>
      <c r="M33" s="63"/>
      <c r="N33" s="63"/>
    </row>
    <row r="34" spans="5:16" x14ac:dyDescent="0.3">
      <c r="F34" s="191" t="s">
        <v>193</v>
      </c>
      <c r="G34" s="28" t="s">
        <v>603</v>
      </c>
      <c r="H34" s="194">
        <v>5.4069227317923003</v>
      </c>
      <c r="J34" s="63"/>
      <c r="K34" s="63"/>
      <c r="L34" s="63"/>
      <c r="M34" s="63"/>
      <c r="N34" s="63"/>
    </row>
    <row r="35" spans="5:16" x14ac:dyDescent="0.3">
      <c r="F35" s="191" t="s">
        <v>194</v>
      </c>
      <c r="G35" s="28" t="s">
        <v>603</v>
      </c>
      <c r="H35" s="194">
        <v>3.4287425178176432</v>
      </c>
      <c r="J35" s="63"/>
      <c r="K35" s="63"/>
      <c r="L35" s="63"/>
      <c r="M35" s="63"/>
      <c r="N35" s="63"/>
    </row>
    <row r="36" spans="5:16" x14ac:dyDescent="0.3">
      <c r="F36" s="191" t="s">
        <v>195</v>
      </c>
      <c r="G36" s="28" t="s">
        <v>603</v>
      </c>
      <c r="H36" s="194">
        <v>0</v>
      </c>
      <c r="J36" s="63"/>
      <c r="K36" s="63"/>
      <c r="L36" s="63"/>
      <c r="M36" s="63"/>
      <c r="N36" s="63"/>
    </row>
    <row r="37" spans="5:16" x14ac:dyDescent="0.3">
      <c r="F37" s="191" t="s">
        <v>196</v>
      </c>
      <c r="G37" s="28" t="s">
        <v>603</v>
      </c>
      <c r="H37" s="194">
        <v>6.2747742413777141</v>
      </c>
      <c r="J37" s="63"/>
      <c r="K37" s="63"/>
      <c r="L37" s="63"/>
      <c r="M37" s="63"/>
      <c r="N37" s="63"/>
      <c r="O37" s="63"/>
    </row>
    <row r="38" spans="5:16" x14ac:dyDescent="0.3">
      <c r="F38" s="191" t="s">
        <v>197</v>
      </c>
      <c r="G38" s="28" t="s">
        <v>603</v>
      </c>
      <c r="H38" s="194">
        <v>5.7842426311097705</v>
      </c>
      <c r="J38" s="63"/>
      <c r="K38" s="63"/>
      <c r="L38" s="63"/>
      <c r="M38" s="63"/>
      <c r="N38" s="63"/>
      <c r="O38" s="63"/>
    </row>
    <row r="39" spans="5:16" x14ac:dyDescent="0.3">
      <c r="F39" s="192" t="s">
        <v>198</v>
      </c>
      <c r="G39" s="67" t="s">
        <v>603</v>
      </c>
      <c r="H39" s="195">
        <v>3.3131456299676656</v>
      </c>
      <c r="J39" s="63"/>
      <c r="K39" s="63"/>
      <c r="L39" s="63"/>
      <c r="M39" s="63"/>
      <c r="N39" s="63"/>
      <c r="O39" s="63"/>
    </row>
    <row r="40" spans="5:16" x14ac:dyDescent="0.3">
      <c r="G40" s="28"/>
      <c r="H40" s="89"/>
      <c r="J40" s="63"/>
      <c r="K40" s="63"/>
      <c r="L40" s="63"/>
      <c r="M40" s="63"/>
      <c r="N40" s="63"/>
      <c r="O40" s="63"/>
    </row>
    <row r="41" spans="5:16" x14ac:dyDescent="0.3">
      <c r="E41" s="32" t="s">
        <v>616</v>
      </c>
      <c r="F41" s="32"/>
      <c r="H41" s="127"/>
      <c r="I41" s="3"/>
      <c r="J41" s="63"/>
      <c r="K41" s="63"/>
      <c r="L41" s="63"/>
      <c r="M41" s="63"/>
      <c r="N41" s="63"/>
      <c r="O41" s="63"/>
      <c r="P41" s="3"/>
    </row>
    <row r="42" spans="5:16" x14ac:dyDescent="0.3">
      <c r="E42" s="29" t="s">
        <v>617</v>
      </c>
      <c r="F42" s="29"/>
      <c r="H42" s="127"/>
      <c r="I42" s="3"/>
      <c r="J42" s="63"/>
      <c r="K42" s="63"/>
      <c r="L42" s="63"/>
      <c r="M42" s="63"/>
      <c r="N42" s="63"/>
      <c r="O42" s="63"/>
      <c r="P42" s="3"/>
    </row>
    <row r="43" spans="5:16" x14ac:dyDescent="0.3">
      <c r="F43" s="23" t="s">
        <v>188</v>
      </c>
      <c r="G43" s="23" t="s">
        <v>282</v>
      </c>
      <c r="H43" s="124">
        <f t="array" ref="H43:H52">TRANSPOSE('Load &amp; loss characteristics'!J29:S29)</f>
        <v>1</v>
      </c>
      <c r="I43" s="3"/>
      <c r="J43" s="63"/>
      <c r="K43" s="63"/>
      <c r="L43" s="63"/>
      <c r="M43" s="63"/>
      <c r="N43" s="63"/>
      <c r="O43" s="63"/>
    </row>
    <row r="44" spans="5:16" x14ac:dyDescent="0.3">
      <c r="F44" t="s">
        <v>190</v>
      </c>
      <c r="G44" t="s">
        <v>282</v>
      </c>
      <c r="H44" s="120">
        <v>1</v>
      </c>
      <c r="I44" s="3"/>
      <c r="J44" s="63"/>
      <c r="K44" s="63"/>
      <c r="L44" s="63"/>
      <c r="M44" s="63"/>
      <c r="N44" s="63"/>
      <c r="O44" s="63"/>
    </row>
    <row r="45" spans="5:16" x14ac:dyDescent="0.3">
      <c r="F45" t="s">
        <v>191</v>
      </c>
      <c r="G45" t="s">
        <v>282</v>
      </c>
      <c r="H45" s="120">
        <v>1.0069921140018139</v>
      </c>
      <c r="I45" s="3"/>
      <c r="J45" s="63"/>
      <c r="K45" s="63"/>
      <c r="L45" s="63"/>
      <c r="M45" s="63"/>
      <c r="N45" s="63"/>
      <c r="O45" s="63"/>
    </row>
    <row r="46" spans="5:16" x14ac:dyDescent="0.3">
      <c r="F46" t="s">
        <v>192</v>
      </c>
      <c r="G46" t="s">
        <v>282</v>
      </c>
      <c r="H46" s="120">
        <v>1.0120298017682567</v>
      </c>
      <c r="J46" s="63"/>
      <c r="K46" s="63"/>
      <c r="L46" s="63"/>
      <c r="M46" s="63"/>
      <c r="N46" s="63"/>
      <c r="O46" s="63"/>
    </row>
    <row r="47" spans="5:16" x14ac:dyDescent="0.3">
      <c r="F47" t="s">
        <v>193</v>
      </c>
      <c r="G47" t="s">
        <v>282</v>
      </c>
      <c r="H47" s="120">
        <v>1.0169672276140249</v>
      </c>
      <c r="I47" s="3"/>
      <c r="J47" s="63"/>
      <c r="K47" s="63"/>
      <c r="L47" s="63"/>
      <c r="M47" s="63"/>
      <c r="N47" s="63"/>
      <c r="O47" s="63"/>
    </row>
    <row r="48" spans="5:16" x14ac:dyDescent="0.3">
      <c r="F48" t="s">
        <v>194</v>
      </c>
      <c r="G48" t="s">
        <v>282</v>
      </c>
      <c r="H48" s="120">
        <v>1.022345392317251</v>
      </c>
      <c r="I48" s="3"/>
      <c r="J48" s="63"/>
      <c r="K48" s="63"/>
      <c r="L48" s="63"/>
      <c r="M48" s="63"/>
      <c r="N48" s="63"/>
      <c r="O48" s="63"/>
    </row>
    <row r="49" spans="4:25" x14ac:dyDescent="0.3">
      <c r="F49" t="s">
        <v>195</v>
      </c>
      <c r="G49" t="s">
        <v>282</v>
      </c>
      <c r="H49" s="120">
        <v>1.022345392317251</v>
      </c>
      <c r="I49" s="3"/>
      <c r="J49" s="63"/>
      <c r="K49" s="63"/>
      <c r="L49" s="63"/>
      <c r="M49" s="63"/>
      <c r="N49" s="63"/>
      <c r="O49" s="63"/>
    </row>
    <row r="50" spans="4:25" x14ac:dyDescent="0.3">
      <c r="F50" t="s">
        <v>196</v>
      </c>
      <c r="G50" t="s">
        <v>282</v>
      </c>
      <c r="H50" s="120">
        <v>1.030550424378613</v>
      </c>
      <c r="J50" s="63"/>
      <c r="K50" s="63"/>
      <c r="L50" s="63"/>
      <c r="M50" s="63"/>
      <c r="N50" s="63"/>
      <c r="O50" s="63"/>
    </row>
    <row r="51" spans="4:25" x14ac:dyDescent="0.3">
      <c r="F51" t="s">
        <v>197</v>
      </c>
      <c r="G51" t="s">
        <v>282</v>
      </c>
      <c r="H51" s="120">
        <v>1.0463328683595021</v>
      </c>
      <c r="I51" s="3"/>
      <c r="J51" s="63"/>
      <c r="K51" s="63"/>
      <c r="L51" s="63"/>
      <c r="M51" s="63"/>
      <c r="N51" s="63"/>
      <c r="O51" s="63"/>
    </row>
    <row r="52" spans="4:25" x14ac:dyDescent="0.3">
      <c r="F52" s="37" t="s">
        <v>198</v>
      </c>
      <c r="G52" s="37" t="s">
        <v>282</v>
      </c>
      <c r="H52" s="125">
        <v>1.0811119475731934</v>
      </c>
      <c r="I52" s="3"/>
      <c r="J52" s="63"/>
      <c r="K52" s="63"/>
      <c r="L52" s="63"/>
      <c r="M52" s="63"/>
      <c r="N52" s="63"/>
      <c r="O52" s="63"/>
    </row>
    <row r="53" spans="4:25" x14ac:dyDescent="0.3">
      <c r="G53" s="28"/>
      <c r="H53" s="3"/>
      <c r="I53" s="3"/>
      <c r="J53" s="63"/>
      <c r="K53" s="63"/>
      <c r="L53" s="63"/>
      <c r="M53" s="63"/>
      <c r="N53" s="63"/>
      <c r="O53" s="63"/>
    </row>
    <row r="54" spans="4:25" x14ac:dyDescent="0.3">
      <c r="E54" s="32" t="s">
        <v>407</v>
      </c>
      <c r="F54" s="32"/>
      <c r="J54" s="63"/>
      <c r="L54" s="63"/>
    </row>
    <row r="55" spans="4:25" x14ac:dyDescent="0.3">
      <c r="D55" s="32"/>
      <c r="E55" s="32"/>
      <c r="F55" s="190" t="s">
        <v>188</v>
      </c>
      <c r="G55" s="23" t="s">
        <v>282</v>
      </c>
      <c r="H55" s="23"/>
      <c r="I55" s="23"/>
      <c r="J55" s="193">
        <f t="array" ref="J55:Y64">TRANSPOSE('Load &amp; loss characteristics'!J145:S160)</f>
        <v>1.0811119475731934</v>
      </c>
      <c r="K55" s="193">
        <v>1.0811119475731934</v>
      </c>
      <c r="L55" s="193">
        <v>1.0811119475731934</v>
      </c>
      <c r="M55" s="193">
        <v>1.0811119475731934</v>
      </c>
      <c r="N55" s="193">
        <v>1.0811119475731934</v>
      </c>
      <c r="O55" s="193">
        <v>1.0463328683595021</v>
      </c>
      <c r="P55" s="193">
        <v>1.030550424378613</v>
      </c>
      <c r="Q55" s="193">
        <v>1.0811119475731934</v>
      </c>
      <c r="R55" s="193">
        <v>-1.0811119475731934</v>
      </c>
      <c r="S55" s="193">
        <v>-1.0463328683595021</v>
      </c>
      <c r="T55" s="193">
        <v>-1.0811119475731934</v>
      </c>
      <c r="U55" s="193">
        <v>-1.0811119475731934</v>
      </c>
      <c r="V55" s="193">
        <v>-1.0463328683595021</v>
      </c>
      <c r="W55" s="193">
        <v>-1.0463328683595021</v>
      </c>
      <c r="X55" s="193">
        <v>-1.030550424378613</v>
      </c>
      <c r="Y55" s="193">
        <v>-1.030550424378613</v>
      </c>
    </row>
    <row r="56" spans="4:25" x14ac:dyDescent="0.3">
      <c r="D56" s="32"/>
      <c r="E56" s="32"/>
      <c r="F56" s="191" t="s">
        <v>190</v>
      </c>
      <c r="G56" t="s">
        <v>282</v>
      </c>
      <c r="J56" s="194">
        <v>1.0811119475731934</v>
      </c>
      <c r="K56" s="194">
        <v>1.0811119475731934</v>
      </c>
      <c r="L56" s="194">
        <v>1.0811119475731934</v>
      </c>
      <c r="M56" s="194">
        <v>1.0811119475731934</v>
      </c>
      <c r="N56" s="194">
        <v>1.0811119475731934</v>
      </c>
      <c r="O56" s="194">
        <v>1.0463328683595021</v>
      </c>
      <c r="P56" s="194">
        <v>1.030550424378613</v>
      </c>
      <c r="Q56" s="194">
        <v>1.0811119475731934</v>
      </c>
      <c r="R56" s="194">
        <v>-1.0811119475731934</v>
      </c>
      <c r="S56" s="194">
        <v>-1.0463328683595021</v>
      </c>
      <c r="T56" s="194">
        <v>-1.0811119475731934</v>
      </c>
      <c r="U56" s="194">
        <v>-1.0811119475731934</v>
      </c>
      <c r="V56" s="194">
        <v>-1.0463328683595021</v>
      </c>
      <c r="W56" s="194">
        <v>-1.0463328683595021</v>
      </c>
      <c r="X56" s="194">
        <v>-1.030550424378613</v>
      </c>
      <c r="Y56" s="194">
        <v>-1.030550424378613</v>
      </c>
    </row>
    <row r="57" spans="4:25" x14ac:dyDescent="0.3">
      <c r="D57" s="32"/>
      <c r="E57" s="32"/>
      <c r="F57" s="191" t="s">
        <v>191</v>
      </c>
      <c r="G57" t="s">
        <v>282</v>
      </c>
      <c r="J57" s="194">
        <v>1.0811119475731934</v>
      </c>
      <c r="K57" s="194">
        <v>1.0811119475731934</v>
      </c>
      <c r="L57" s="194">
        <v>1.0811119475731934</v>
      </c>
      <c r="M57" s="194">
        <v>1.0811119475731934</v>
      </c>
      <c r="N57" s="194">
        <v>1.0811119475731934</v>
      </c>
      <c r="O57" s="194">
        <v>1.0463328683595021</v>
      </c>
      <c r="P57" s="194">
        <v>1.030550424378613</v>
      </c>
      <c r="Q57" s="194">
        <v>1.0811119475731934</v>
      </c>
      <c r="R57" s="194">
        <v>-1.0811119475731934</v>
      </c>
      <c r="S57" s="194">
        <v>-1.0463328683595021</v>
      </c>
      <c r="T57" s="194">
        <v>-1.0811119475731934</v>
      </c>
      <c r="U57" s="194">
        <v>-1.0811119475731934</v>
      </c>
      <c r="V57" s="194">
        <v>-1.0463328683595021</v>
      </c>
      <c r="W57" s="194">
        <v>-1.0463328683595021</v>
      </c>
      <c r="X57" s="194">
        <v>-1.030550424378613</v>
      </c>
      <c r="Y57" s="194">
        <v>-1.030550424378613</v>
      </c>
    </row>
    <row r="58" spans="4:25" x14ac:dyDescent="0.3">
      <c r="D58" s="32"/>
      <c r="E58" s="32"/>
      <c r="F58" s="191" t="s">
        <v>192</v>
      </c>
      <c r="G58" t="s">
        <v>282</v>
      </c>
      <c r="J58" s="194">
        <v>1.0811119475731934</v>
      </c>
      <c r="K58" s="194">
        <v>1.0811119475731934</v>
      </c>
      <c r="L58" s="194">
        <v>1.0811119475731934</v>
      </c>
      <c r="M58" s="194">
        <v>1.0811119475731934</v>
      </c>
      <c r="N58" s="194">
        <v>1.0811119475731934</v>
      </c>
      <c r="O58" s="194">
        <v>1.0463328683595021</v>
      </c>
      <c r="P58" s="194">
        <v>1.030550424378613</v>
      </c>
      <c r="Q58" s="194">
        <v>1.0811119475731934</v>
      </c>
      <c r="R58" s="194">
        <v>-1.0811119475731934</v>
      </c>
      <c r="S58" s="194">
        <v>-1.0463328683595021</v>
      </c>
      <c r="T58" s="194">
        <v>-1.0811119475731934</v>
      </c>
      <c r="U58" s="194">
        <v>-1.0811119475731934</v>
      </c>
      <c r="V58" s="194">
        <v>-1.0463328683595021</v>
      </c>
      <c r="W58" s="194">
        <v>-1.0463328683595021</v>
      </c>
      <c r="X58" s="194">
        <v>-1.030550424378613</v>
      </c>
      <c r="Y58" s="194">
        <v>-1.030550424378613</v>
      </c>
    </row>
    <row r="59" spans="4:25" x14ac:dyDescent="0.3">
      <c r="D59" s="32"/>
      <c r="E59" s="32"/>
      <c r="F59" s="191" t="s">
        <v>193</v>
      </c>
      <c r="G59" t="s">
        <v>282</v>
      </c>
      <c r="J59" s="194">
        <v>1.0811119475731934</v>
      </c>
      <c r="K59" s="194">
        <v>1.0811119475731934</v>
      </c>
      <c r="L59" s="194">
        <v>1.0811119475731934</v>
      </c>
      <c r="M59" s="194">
        <v>1.0811119475731934</v>
      </c>
      <c r="N59" s="194">
        <v>1.0811119475731934</v>
      </c>
      <c r="O59" s="194">
        <v>1.0463328683595021</v>
      </c>
      <c r="P59" s="194">
        <v>1.030550424378613</v>
      </c>
      <c r="Q59" s="194">
        <v>1.0811119475731934</v>
      </c>
      <c r="R59" s="194">
        <v>-1.0811119475731934</v>
      </c>
      <c r="S59" s="194">
        <v>-1.0463328683595021</v>
      </c>
      <c r="T59" s="194">
        <v>-1.0811119475731934</v>
      </c>
      <c r="U59" s="194">
        <v>-1.0811119475731934</v>
      </c>
      <c r="V59" s="194">
        <v>-1.0463328683595021</v>
      </c>
      <c r="W59" s="194">
        <v>-1.0463328683595021</v>
      </c>
      <c r="X59" s="194">
        <v>-1.030550424378613</v>
      </c>
      <c r="Y59" s="194">
        <v>-1.030550424378613</v>
      </c>
    </row>
    <row r="60" spans="4:25" x14ac:dyDescent="0.3">
      <c r="D60" s="32"/>
      <c r="E60" s="32"/>
      <c r="F60" s="191" t="s">
        <v>194</v>
      </c>
      <c r="G60" t="s">
        <v>282</v>
      </c>
      <c r="J60" s="194">
        <v>1.0811119475731934</v>
      </c>
      <c r="K60" s="194">
        <v>1.0811119475731934</v>
      </c>
      <c r="L60" s="194">
        <v>1.0811119475731934</v>
      </c>
      <c r="M60" s="194">
        <v>1.0811119475731934</v>
      </c>
      <c r="N60" s="194">
        <v>1.0811119475731934</v>
      </c>
      <c r="O60" s="194">
        <v>1.0463328683595021</v>
      </c>
      <c r="P60" s="194">
        <v>1.030550424378613</v>
      </c>
      <c r="Q60" s="194">
        <v>1.0811119475731934</v>
      </c>
      <c r="R60" s="194">
        <v>-1.0811119475731934</v>
      </c>
      <c r="S60" s="194">
        <v>-1.0463328683595021</v>
      </c>
      <c r="T60" s="194">
        <v>-1.0811119475731934</v>
      </c>
      <c r="U60" s="194">
        <v>-1.0811119475731934</v>
      </c>
      <c r="V60" s="194">
        <v>-1.0463328683595021</v>
      </c>
      <c r="W60" s="194">
        <v>-1.0463328683595021</v>
      </c>
      <c r="X60" s="194">
        <v>-1.030550424378613</v>
      </c>
      <c r="Y60" s="194">
        <v>-1.030550424378613</v>
      </c>
    </row>
    <row r="61" spans="4:25" x14ac:dyDescent="0.3">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3">
      <c r="D62" s="32"/>
      <c r="E62" s="32"/>
      <c r="F62" s="191" t="s">
        <v>196</v>
      </c>
      <c r="G62" t="s">
        <v>282</v>
      </c>
      <c r="J62" s="194">
        <v>1.0811119475731934</v>
      </c>
      <c r="K62" s="194">
        <v>1.0811119475731934</v>
      </c>
      <c r="L62" s="194">
        <v>1.0811119475731934</v>
      </c>
      <c r="M62" s="194">
        <v>1.0811119475731934</v>
      </c>
      <c r="N62" s="194">
        <v>1.0811119475731934</v>
      </c>
      <c r="O62" s="194">
        <v>1.0463328683595021</v>
      </c>
      <c r="P62" s="194">
        <v>1.030550424378613</v>
      </c>
      <c r="Q62" s="194">
        <v>1.0811119475731934</v>
      </c>
      <c r="R62" s="194">
        <v>-1.0811119475731934</v>
      </c>
      <c r="S62" s="194">
        <v>-1.0463328683595021</v>
      </c>
      <c r="T62" s="194">
        <v>-1.0811119475731934</v>
      </c>
      <c r="U62" s="194">
        <v>-1.0811119475731934</v>
      </c>
      <c r="V62" s="194">
        <v>-1.0463328683595021</v>
      </c>
      <c r="W62" s="194">
        <v>-1.0463328683595021</v>
      </c>
      <c r="X62" s="194">
        <v>0</v>
      </c>
      <c r="Y62" s="194">
        <v>0</v>
      </c>
    </row>
    <row r="63" spans="4:25" x14ac:dyDescent="0.3">
      <c r="D63" s="32"/>
      <c r="E63" s="32"/>
      <c r="F63" s="191" t="s">
        <v>197</v>
      </c>
      <c r="G63" t="s">
        <v>282</v>
      </c>
      <c r="J63" s="194">
        <v>1.0811119475731934</v>
      </c>
      <c r="K63" s="194">
        <v>1.0811119475731934</v>
      </c>
      <c r="L63" s="194">
        <v>1.0811119475731934</v>
      </c>
      <c r="M63" s="194">
        <v>1.0811119475731934</v>
      </c>
      <c r="N63" s="194">
        <v>1.0811119475731934</v>
      </c>
      <c r="O63" s="194">
        <v>1.0463328683595021</v>
      </c>
      <c r="P63" s="194">
        <v>0</v>
      </c>
      <c r="Q63" s="194">
        <v>1.0811119475731934</v>
      </c>
      <c r="R63" s="194">
        <v>-1.0811119475731934</v>
      </c>
      <c r="S63" s="194">
        <v>0</v>
      </c>
      <c r="T63" s="194">
        <v>-1.0811119475731934</v>
      </c>
      <c r="U63" s="194">
        <v>-1.0811119475731934</v>
      </c>
      <c r="V63" s="194">
        <v>0</v>
      </c>
      <c r="W63" s="194">
        <v>0</v>
      </c>
      <c r="X63" s="194">
        <v>0</v>
      </c>
      <c r="Y63" s="194">
        <v>0</v>
      </c>
    </row>
    <row r="64" spans="4:25" x14ac:dyDescent="0.3">
      <c r="D64" s="32"/>
      <c r="E64" s="32"/>
      <c r="F64" s="192" t="s">
        <v>198</v>
      </c>
      <c r="G64" s="37" t="s">
        <v>282</v>
      </c>
      <c r="H64" s="37"/>
      <c r="I64" s="37"/>
      <c r="J64" s="195">
        <v>1.0811119475731934</v>
      </c>
      <c r="K64" s="195">
        <v>1.0811119475731934</v>
      </c>
      <c r="L64" s="195">
        <v>1.0811119475731934</v>
      </c>
      <c r="M64" s="195">
        <v>1.0811119475731934</v>
      </c>
      <c r="N64" s="195">
        <v>1.0811119475731934</v>
      </c>
      <c r="O64" s="195">
        <v>0</v>
      </c>
      <c r="P64" s="195">
        <v>0</v>
      </c>
      <c r="Q64" s="195">
        <v>1.0811119475731934</v>
      </c>
      <c r="R64" s="195">
        <v>0</v>
      </c>
      <c r="S64" s="195">
        <v>0</v>
      </c>
      <c r="T64" s="195">
        <v>0</v>
      </c>
      <c r="U64" s="195">
        <v>0</v>
      </c>
      <c r="V64" s="195">
        <v>0</v>
      </c>
      <c r="W64" s="195">
        <v>0</v>
      </c>
      <c r="X64" s="195">
        <v>0</v>
      </c>
      <c r="Y64" s="195">
        <v>0</v>
      </c>
    </row>
    <row r="65" spans="3:25" x14ac:dyDescent="0.3">
      <c r="D65" s="32"/>
      <c r="E65" s="32"/>
      <c r="J65" s="163"/>
      <c r="K65" s="163"/>
      <c r="L65" s="163"/>
      <c r="M65" s="163"/>
      <c r="N65" s="163"/>
      <c r="O65" s="163"/>
      <c r="P65" s="163"/>
      <c r="Q65" s="163"/>
      <c r="R65" s="163"/>
      <c r="S65" s="163"/>
      <c r="T65" s="163"/>
      <c r="U65" s="163"/>
      <c r="V65" s="163"/>
      <c r="W65" s="163"/>
      <c r="X65" s="163"/>
      <c r="Y65" s="163"/>
    </row>
    <row r="66" spans="3:25" x14ac:dyDescent="0.3">
      <c r="E66" s="32" t="s">
        <v>415</v>
      </c>
      <c r="J66" s="163"/>
      <c r="K66" s="163"/>
      <c r="L66" s="163"/>
      <c r="M66" s="163"/>
      <c r="N66" s="163"/>
      <c r="O66" s="163"/>
      <c r="P66" s="163"/>
      <c r="Q66" s="163"/>
      <c r="R66" s="163"/>
      <c r="S66" s="163"/>
      <c r="T66" s="163"/>
      <c r="U66" s="163"/>
      <c r="V66" s="163"/>
      <c r="W66" s="163"/>
      <c r="X66" s="163"/>
      <c r="Y66" s="163"/>
    </row>
    <row r="67" spans="3:25" x14ac:dyDescent="0.3">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3">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3">
      <c r="D69" s="32"/>
      <c r="E69" s="32"/>
      <c r="F69" s="191" t="s">
        <v>191</v>
      </c>
      <c r="G69" s="28" t="s">
        <v>166</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3">
      <c r="D70" s="32"/>
      <c r="E70" s="32"/>
      <c r="F70" s="191" t="s">
        <v>192</v>
      </c>
      <c r="G70" s="28" t="s">
        <v>166</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3">
      <c r="D71" s="32"/>
      <c r="E71" s="32"/>
      <c r="F71" s="191" t="s">
        <v>193</v>
      </c>
      <c r="G71" s="28" t="s">
        <v>166</v>
      </c>
      <c r="J71" s="194">
        <v>0</v>
      </c>
      <c r="K71" s="194">
        <v>0</v>
      </c>
      <c r="L71" s="194">
        <v>0</v>
      </c>
      <c r="M71" s="194">
        <v>0</v>
      </c>
      <c r="N71" s="194">
        <v>0</v>
      </c>
      <c r="O71" s="194">
        <v>0</v>
      </c>
      <c r="P71" s="194">
        <v>0</v>
      </c>
      <c r="Q71" s="194">
        <v>0</v>
      </c>
      <c r="R71" s="194">
        <v>0</v>
      </c>
      <c r="S71" s="194">
        <v>0</v>
      </c>
      <c r="T71" s="194">
        <v>0</v>
      </c>
      <c r="U71" s="194">
        <v>0</v>
      </c>
      <c r="V71" s="194">
        <v>0</v>
      </c>
      <c r="W71" s="194">
        <v>0</v>
      </c>
      <c r="X71" s="194">
        <v>0</v>
      </c>
      <c r="Y71" s="194">
        <v>0</v>
      </c>
    </row>
    <row r="72" spans="3:25" x14ac:dyDescent="0.3">
      <c r="D72" s="32"/>
      <c r="E72" s="32"/>
      <c r="F72" s="191" t="s">
        <v>194</v>
      </c>
      <c r="G72" s="28" t="s">
        <v>166</v>
      </c>
      <c r="J72" s="194">
        <v>0</v>
      </c>
      <c r="K72" s="194">
        <v>0</v>
      </c>
      <c r="L72" s="194">
        <v>0</v>
      </c>
      <c r="M72" s="194">
        <v>0</v>
      </c>
      <c r="N72" s="194">
        <v>0</v>
      </c>
      <c r="O72" s="194">
        <v>0</v>
      </c>
      <c r="P72" s="194">
        <v>0.56999999999999995</v>
      </c>
      <c r="Q72" s="194">
        <v>0</v>
      </c>
      <c r="R72" s="194">
        <v>0</v>
      </c>
      <c r="S72" s="194">
        <v>0</v>
      </c>
      <c r="T72" s="194">
        <v>0</v>
      </c>
      <c r="U72" s="194">
        <v>0</v>
      </c>
      <c r="V72" s="194">
        <v>0</v>
      </c>
      <c r="W72" s="194">
        <v>0</v>
      </c>
      <c r="X72" s="194">
        <v>0.56999999999999995</v>
      </c>
      <c r="Y72" s="194">
        <v>0.56999999999999995</v>
      </c>
    </row>
    <row r="73" spans="3:25" x14ac:dyDescent="0.3">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3">
      <c r="D74" s="32"/>
      <c r="E74" s="32"/>
      <c r="F74" s="191" t="s">
        <v>196</v>
      </c>
      <c r="G74" s="28" t="s">
        <v>166</v>
      </c>
      <c r="J74" s="194">
        <v>0.3</v>
      </c>
      <c r="K74" s="194">
        <v>0.3</v>
      </c>
      <c r="L74" s="194">
        <v>0.3</v>
      </c>
      <c r="M74" s="194">
        <v>0.3</v>
      </c>
      <c r="N74" s="194">
        <v>0.3</v>
      </c>
      <c r="O74" s="194">
        <v>0.3</v>
      </c>
      <c r="P74" s="194">
        <v>0.91</v>
      </c>
      <c r="Q74" s="194">
        <v>0.3</v>
      </c>
      <c r="R74" s="194">
        <v>0.3</v>
      </c>
      <c r="S74" s="194">
        <v>0.3</v>
      </c>
      <c r="T74" s="194">
        <v>0.3</v>
      </c>
      <c r="U74" s="194">
        <v>0.3</v>
      </c>
      <c r="V74" s="194">
        <v>0.3</v>
      </c>
      <c r="W74" s="194">
        <v>0.3</v>
      </c>
      <c r="X74" s="194">
        <v>0.91</v>
      </c>
      <c r="Y74" s="194">
        <v>0.91</v>
      </c>
    </row>
    <row r="75" spans="3:25" x14ac:dyDescent="0.3">
      <c r="D75" s="32"/>
      <c r="E75" s="32"/>
      <c r="F75" s="191" t="s">
        <v>197</v>
      </c>
      <c r="G75" s="28" t="s">
        <v>166</v>
      </c>
      <c r="J75" s="194">
        <v>0.3</v>
      </c>
      <c r="K75" s="194">
        <v>0.3</v>
      </c>
      <c r="L75" s="194">
        <v>0.3</v>
      </c>
      <c r="M75" s="194">
        <v>0.3</v>
      </c>
      <c r="N75" s="194">
        <v>0.3</v>
      </c>
      <c r="O75" s="194">
        <v>0.97</v>
      </c>
      <c r="P75" s="194">
        <v>0</v>
      </c>
      <c r="Q75" s="194">
        <v>0.3</v>
      </c>
      <c r="R75" s="194">
        <v>0.3</v>
      </c>
      <c r="S75" s="194">
        <v>0.97</v>
      </c>
      <c r="T75" s="194">
        <v>0.3</v>
      </c>
      <c r="U75" s="194">
        <v>0.3</v>
      </c>
      <c r="V75" s="194">
        <v>0.97</v>
      </c>
      <c r="W75" s="194">
        <v>0.97</v>
      </c>
      <c r="X75" s="194">
        <v>0</v>
      </c>
      <c r="Y75" s="194">
        <v>0</v>
      </c>
    </row>
    <row r="76" spans="3:25" x14ac:dyDescent="0.3">
      <c r="D76" s="32"/>
      <c r="E76" s="32"/>
      <c r="F76" s="192" t="s">
        <v>198</v>
      </c>
      <c r="G76" s="67" t="s">
        <v>166</v>
      </c>
      <c r="H76" s="37"/>
      <c r="I76" s="37"/>
      <c r="J76" s="195">
        <v>0.97</v>
      </c>
      <c r="K76" s="195">
        <v>0.97</v>
      </c>
      <c r="L76" s="195">
        <v>0.97</v>
      </c>
      <c r="M76" s="195">
        <v>0.97</v>
      </c>
      <c r="N76" s="195">
        <v>0.97</v>
      </c>
      <c r="O76" s="195">
        <v>0</v>
      </c>
      <c r="P76" s="195">
        <v>0</v>
      </c>
      <c r="Q76" s="195">
        <v>0.97</v>
      </c>
      <c r="R76" s="195">
        <v>0.97</v>
      </c>
      <c r="S76" s="195">
        <v>0</v>
      </c>
      <c r="T76" s="195">
        <v>0.97</v>
      </c>
      <c r="U76" s="195">
        <v>0.97</v>
      </c>
      <c r="V76" s="195">
        <v>0</v>
      </c>
      <c r="W76" s="195">
        <v>0</v>
      </c>
      <c r="X76" s="195">
        <v>0</v>
      </c>
      <c r="Y76" s="195">
        <v>0</v>
      </c>
    </row>
    <row r="77" spans="3:25" x14ac:dyDescent="0.3">
      <c r="C77" s="32"/>
      <c r="D77" s="32"/>
      <c r="J77" s="163"/>
      <c r="K77" s="163"/>
      <c r="L77" s="163"/>
      <c r="M77" s="163"/>
      <c r="N77" s="163"/>
      <c r="O77" s="163"/>
      <c r="P77" s="163"/>
      <c r="Q77" s="163"/>
      <c r="R77" s="163"/>
      <c r="S77" s="163"/>
      <c r="T77" s="163"/>
      <c r="U77" s="163"/>
      <c r="V77" s="163"/>
      <c r="W77" s="163"/>
      <c r="X77" s="163"/>
      <c r="Y77" s="163"/>
    </row>
    <row r="78" spans="3:25" x14ac:dyDescent="0.3">
      <c r="E78" s="28" t="s">
        <v>471</v>
      </c>
      <c r="F78" s="28"/>
      <c r="G78" s="28" t="s">
        <v>282</v>
      </c>
      <c r="J78" s="194">
        <f>'Pseudo-load coefficients'!J267</f>
        <v>1.7580499187827967</v>
      </c>
      <c r="K78" s="194">
        <f>'Pseudo-load coefficients'!K267</f>
        <v>1.7580499187827967</v>
      </c>
      <c r="L78" s="194">
        <f>'Pseudo-load coefficients'!L267</f>
        <v>1.7906424194237678</v>
      </c>
      <c r="M78" s="194">
        <f>'Pseudo-load coefficients'!M267</f>
        <v>1.7906424194237678</v>
      </c>
      <c r="N78" s="194">
        <f>'Pseudo-load coefficients'!N267</f>
        <v>1.5675901610590639</v>
      </c>
      <c r="O78" s="194">
        <f>'Pseudo-load coefficients'!O267</f>
        <v>1.4625668788217323</v>
      </c>
      <c r="P78" s="194">
        <f>'Pseudo-load coefficients'!P267</f>
        <v>1.2355285468040647</v>
      </c>
      <c r="Q78" s="194">
        <f>'Pseudo-load coefficients'!Q267</f>
        <v>1.2789571219738787</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3">
      <c r="D79" s="32"/>
      <c r="J79" s="163"/>
      <c r="K79" s="163"/>
      <c r="L79" s="163"/>
      <c r="M79" s="163"/>
      <c r="N79" s="163"/>
      <c r="O79" s="163"/>
      <c r="P79" s="163"/>
      <c r="Q79" s="163"/>
      <c r="R79" s="163"/>
      <c r="S79" s="163"/>
      <c r="T79" s="163"/>
      <c r="U79" s="163"/>
      <c r="V79" s="163"/>
      <c r="W79" s="163"/>
      <c r="X79" s="163"/>
      <c r="Y79" s="163"/>
    </row>
    <row r="80" spans="3:25" x14ac:dyDescent="0.3">
      <c r="E80" s="32" t="s">
        <v>506</v>
      </c>
      <c r="J80" s="163"/>
      <c r="K80" s="163"/>
      <c r="L80" s="163"/>
      <c r="M80" s="163"/>
      <c r="N80" s="163"/>
      <c r="O80" s="163"/>
      <c r="P80" s="163"/>
      <c r="Q80" s="163"/>
      <c r="R80" s="163"/>
      <c r="S80" s="163"/>
      <c r="T80" s="163"/>
      <c r="U80" s="163"/>
      <c r="V80" s="163"/>
      <c r="W80" s="163"/>
      <c r="X80" s="163"/>
      <c r="Y80" s="163"/>
    </row>
    <row r="81" spans="5:25" x14ac:dyDescent="0.3">
      <c r="E81" s="32"/>
      <c r="F81" s="190" t="s">
        <v>188</v>
      </c>
      <c r="G81" s="64" t="s">
        <v>282</v>
      </c>
      <c r="H81" s="23"/>
      <c r="I81" s="23"/>
      <c r="J81" s="419">
        <f>'Pseudo-load coefficients'!J272</f>
        <v>12.739516679594283</v>
      </c>
      <c r="K81" s="419">
        <f>'Pseudo-load coefficients'!K272</f>
        <v>12.739516679594283</v>
      </c>
      <c r="L81" s="419">
        <f>'Pseudo-load coefficients'!L272</f>
        <v>14.692319269082892</v>
      </c>
      <c r="M81" s="419">
        <f>'Pseudo-load coefficients'!M272</f>
        <v>14.692319269082892</v>
      </c>
      <c r="N81" s="419">
        <f>'Pseudo-load coefficients'!N272</f>
        <v>12.948069589323378</v>
      </c>
      <c r="O81" s="419">
        <f>'Pseudo-load coefficients'!O272</f>
        <v>12.668584858444653</v>
      </c>
      <c r="P81" s="419">
        <f>'Pseudo-load coefficients'!P272</f>
        <v>11.033827455434016</v>
      </c>
      <c r="Q81" s="419">
        <f>'Pseudo-load coefficients'!Q272</f>
        <v>21.357687284353602</v>
      </c>
      <c r="R81" s="419">
        <f>'Pseudo-load coefficients'!R272</f>
        <v>9.9446573009791415</v>
      </c>
      <c r="S81" s="419">
        <f>'Pseudo-load coefficients'!S272</f>
        <v>9.9446573009791415</v>
      </c>
      <c r="T81" s="419">
        <f>'Pseudo-load coefficients'!T272</f>
        <v>9.9446573009791415</v>
      </c>
      <c r="U81" s="419">
        <f>'Pseudo-load coefficients'!U272</f>
        <v>9.9446573009791415</v>
      </c>
      <c r="V81" s="419">
        <f>'Pseudo-load coefficients'!V272</f>
        <v>9.9446573009791415</v>
      </c>
      <c r="W81" s="419">
        <f>'Pseudo-load coefficients'!W272</f>
        <v>9.9446573009791415</v>
      </c>
      <c r="X81" s="419">
        <f>'Pseudo-load coefficients'!X272</f>
        <v>9.9446573009791415</v>
      </c>
      <c r="Y81" s="419">
        <f>'Pseudo-load coefficients'!Y272</f>
        <v>9.9446573009791415</v>
      </c>
    </row>
    <row r="82" spans="5:25" x14ac:dyDescent="0.3">
      <c r="E82" s="32"/>
      <c r="F82" s="191" t="s">
        <v>190</v>
      </c>
      <c r="G82" s="28" t="s">
        <v>282</v>
      </c>
      <c r="J82" s="194">
        <f>'Pseudo-load coefficients'!J272</f>
        <v>12.739516679594283</v>
      </c>
      <c r="K82" s="194">
        <f>'Pseudo-load coefficients'!K272</f>
        <v>12.739516679594283</v>
      </c>
      <c r="L82" s="194">
        <f>'Pseudo-load coefficients'!L272</f>
        <v>14.692319269082892</v>
      </c>
      <c r="M82" s="194">
        <f>'Pseudo-load coefficients'!M272</f>
        <v>14.692319269082892</v>
      </c>
      <c r="N82" s="194">
        <f>'Pseudo-load coefficients'!N272</f>
        <v>12.948069589323378</v>
      </c>
      <c r="O82" s="194">
        <f>'Pseudo-load coefficients'!O272</f>
        <v>12.668584858444653</v>
      </c>
      <c r="P82" s="194">
        <f>'Pseudo-load coefficients'!P272</f>
        <v>11.033827455434016</v>
      </c>
      <c r="Q82" s="194">
        <f>'Pseudo-load coefficients'!Q272</f>
        <v>21.357687284353602</v>
      </c>
      <c r="R82" s="194">
        <f>'Pseudo-load coefficients'!R272</f>
        <v>9.9446573009791415</v>
      </c>
      <c r="S82" s="194">
        <f>'Pseudo-load coefficients'!S272</f>
        <v>9.9446573009791415</v>
      </c>
      <c r="T82" s="194">
        <f>'Pseudo-load coefficients'!T272</f>
        <v>9.9446573009791415</v>
      </c>
      <c r="U82" s="194">
        <f>'Pseudo-load coefficients'!U272</f>
        <v>9.9446573009791415</v>
      </c>
      <c r="V82" s="194">
        <f>'Pseudo-load coefficients'!V272</f>
        <v>9.9446573009791415</v>
      </c>
      <c r="W82" s="194">
        <f>'Pseudo-load coefficients'!W272</f>
        <v>9.9446573009791415</v>
      </c>
      <c r="X82" s="194">
        <f>'Pseudo-load coefficients'!X272</f>
        <v>9.9446573009791415</v>
      </c>
      <c r="Y82" s="194">
        <f>'Pseudo-load coefficients'!Y272</f>
        <v>9.9446573009791415</v>
      </c>
    </row>
    <row r="83" spans="5:25" x14ac:dyDescent="0.3">
      <c r="E83" s="32"/>
      <c r="F83" s="191" t="s">
        <v>191</v>
      </c>
      <c r="G83" s="28" t="s">
        <v>282</v>
      </c>
      <c r="J83" s="194">
        <f>'Pseudo-load coefficients'!J273</f>
        <v>9.669879848080198</v>
      </c>
      <c r="K83" s="194">
        <f>'Pseudo-load coefficients'!K273</f>
        <v>9.669879848080198</v>
      </c>
      <c r="L83" s="194">
        <f>'Pseudo-load coefficients'!L273</f>
        <v>11.152146945200252</v>
      </c>
      <c r="M83" s="194">
        <f>'Pseudo-load coefficients'!M273</f>
        <v>11.152146945200252</v>
      </c>
      <c r="N83" s="194">
        <f>'Pseudo-load coefficients'!N273</f>
        <v>9.8281811109748975</v>
      </c>
      <c r="O83" s="194">
        <f>'Pseudo-load coefficients'!O273</f>
        <v>9.6160393292306026</v>
      </c>
      <c r="P83" s="194">
        <f>'Pseudo-load coefficients'!P273</f>
        <v>8.3751831754651267</v>
      </c>
      <c r="Q83" s="194">
        <f>'Pseudo-load coefficients'!Q273</f>
        <v>14.159002507707637</v>
      </c>
      <c r="R83" s="194">
        <f>'Pseudo-load coefficients'!R273</f>
        <v>7.5484528690820278</v>
      </c>
      <c r="S83" s="194">
        <f>'Pseudo-load coefficients'!S273</f>
        <v>7.5484528690820278</v>
      </c>
      <c r="T83" s="194">
        <f>'Pseudo-load coefficients'!T273</f>
        <v>7.5484528690820278</v>
      </c>
      <c r="U83" s="194">
        <f>'Pseudo-load coefficients'!U273</f>
        <v>7.5484528690820278</v>
      </c>
      <c r="V83" s="194">
        <f>'Pseudo-load coefficients'!V273</f>
        <v>7.5484528690820278</v>
      </c>
      <c r="W83" s="194">
        <f>'Pseudo-load coefficients'!W273</f>
        <v>7.5484528690820278</v>
      </c>
      <c r="X83" s="194">
        <f>'Pseudo-load coefficients'!X273</f>
        <v>7.5484528690820278</v>
      </c>
      <c r="Y83" s="194">
        <f>'Pseudo-load coefficients'!Y273</f>
        <v>7.5484528690820278</v>
      </c>
    </row>
    <row r="84" spans="5:25" x14ac:dyDescent="0.3">
      <c r="E84" s="32"/>
      <c r="F84" s="191" t="s">
        <v>192</v>
      </c>
      <c r="G84" s="28" t="s">
        <v>282</v>
      </c>
      <c r="J84" s="194">
        <f>'Pseudo-load coefficients'!J274</f>
        <v>9.669879848080198</v>
      </c>
      <c r="K84" s="194">
        <f>'Pseudo-load coefficients'!K274</f>
        <v>9.669879848080198</v>
      </c>
      <c r="L84" s="194">
        <f>'Pseudo-load coefficients'!L274</f>
        <v>11.152146945200252</v>
      </c>
      <c r="M84" s="194">
        <f>'Pseudo-load coefficients'!M274</f>
        <v>11.152146945200252</v>
      </c>
      <c r="N84" s="194">
        <f>'Pseudo-load coefficients'!N274</f>
        <v>9.8281811109748975</v>
      </c>
      <c r="O84" s="194">
        <f>'Pseudo-load coefficients'!O274</f>
        <v>9.6160393292306026</v>
      </c>
      <c r="P84" s="194">
        <f>'Pseudo-load coefficients'!P274</f>
        <v>8.3751831754651267</v>
      </c>
      <c r="Q84" s="194">
        <f>'Pseudo-load coefficients'!Q274</f>
        <v>14.159002507707637</v>
      </c>
      <c r="R84" s="194">
        <f>'Pseudo-load coefficients'!R274</f>
        <v>7.5484528690820278</v>
      </c>
      <c r="S84" s="194">
        <f>'Pseudo-load coefficients'!S274</f>
        <v>7.5484528690820278</v>
      </c>
      <c r="T84" s="194">
        <f>'Pseudo-load coefficients'!T274</f>
        <v>7.5484528690820278</v>
      </c>
      <c r="U84" s="194">
        <f>'Pseudo-load coefficients'!U274</f>
        <v>7.5484528690820278</v>
      </c>
      <c r="V84" s="194">
        <f>'Pseudo-load coefficients'!V274</f>
        <v>7.5484528690820278</v>
      </c>
      <c r="W84" s="194">
        <f>'Pseudo-load coefficients'!W274</f>
        <v>7.5484528690820278</v>
      </c>
      <c r="X84" s="194">
        <f>'Pseudo-load coefficients'!X274</f>
        <v>7.5484528690820278</v>
      </c>
      <c r="Y84" s="194">
        <f>'Pseudo-load coefficients'!Y274</f>
        <v>7.5484528690820278</v>
      </c>
    </row>
    <row r="85" spans="5:25" x14ac:dyDescent="0.3">
      <c r="E85" s="32"/>
      <c r="F85" s="191" t="s">
        <v>193</v>
      </c>
      <c r="G85" s="28" t="s">
        <v>282</v>
      </c>
      <c r="J85" s="194">
        <f>'Pseudo-load coefficients'!J275</f>
        <v>6.9927865121203139</v>
      </c>
      <c r="K85" s="194">
        <f>'Pseudo-load coefficients'!K275</f>
        <v>6.9927865121203139</v>
      </c>
      <c r="L85" s="194">
        <f>'Pseudo-load coefficients'!L275</f>
        <v>8.0646899408023867</v>
      </c>
      <c r="M85" s="194">
        <f>'Pseudo-load coefficients'!M275</f>
        <v>8.0646899408023867</v>
      </c>
      <c r="N85" s="194">
        <f>'Pseudo-load coefficients'!N275</f>
        <v>7.1072622815624173</v>
      </c>
      <c r="O85" s="194">
        <f>'Pseudo-load coefficients'!O275</f>
        <v>6.953851669088964</v>
      </c>
      <c r="P85" s="194">
        <f>'Pseudo-load coefficients'!P275</f>
        <v>6.0565248861449765</v>
      </c>
      <c r="Q85" s="194">
        <f>'Pseudo-load coefficients'!Q275</f>
        <v>11.653604549497725</v>
      </c>
      <c r="R85" s="194">
        <f>'Pseudo-load coefficients'!R275</f>
        <v>5.4586737621949109</v>
      </c>
      <c r="S85" s="194">
        <f>'Pseudo-load coefficients'!S275</f>
        <v>5.4586737621949109</v>
      </c>
      <c r="T85" s="194">
        <f>'Pseudo-load coefficients'!T275</f>
        <v>5.4586737621949109</v>
      </c>
      <c r="U85" s="194">
        <f>'Pseudo-load coefficients'!U275</f>
        <v>5.4586737621949109</v>
      </c>
      <c r="V85" s="194">
        <f>'Pseudo-load coefficients'!V275</f>
        <v>5.4586737621949109</v>
      </c>
      <c r="W85" s="194">
        <f>'Pseudo-load coefficients'!W275</f>
        <v>5.4586737621949109</v>
      </c>
      <c r="X85" s="194">
        <f>'Pseudo-load coefficients'!X275</f>
        <v>5.4586737621949109</v>
      </c>
      <c r="Y85" s="194">
        <f>'Pseudo-load coefficients'!Y275</f>
        <v>5.4586737621949109</v>
      </c>
    </row>
    <row r="86" spans="5:25" x14ac:dyDescent="0.3">
      <c r="E86" s="32"/>
      <c r="F86" s="191" t="s">
        <v>194</v>
      </c>
      <c r="G86" s="28" t="s">
        <v>282</v>
      </c>
      <c r="J86" s="194">
        <f>'Pseudo-load coefficients'!J276</f>
        <v>6.9927865121203139</v>
      </c>
      <c r="K86" s="194">
        <f>'Pseudo-load coefficients'!K276</f>
        <v>6.9927865121203139</v>
      </c>
      <c r="L86" s="194">
        <f>'Pseudo-load coefficients'!L276</f>
        <v>8.0646899408023867</v>
      </c>
      <c r="M86" s="194">
        <f>'Pseudo-load coefficients'!M276</f>
        <v>8.0646899408023867</v>
      </c>
      <c r="N86" s="194">
        <f>'Pseudo-load coefficients'!N276</f>
        <v>7.1072622815624173</v>
      </c>
      <c r="O86" s="194">
        <f>'Pseudo-load coefficients'!O276</f>
        <v>6.953851669088964</v>
      </c>
      <c r="P86" s="194">
        <f>'Pseudo-load coefficients'!P276</f>
        <v>6.0565248861449765</v>
      </c>
      <c r="Q86" s="194">
        <f>'Pseudo-load coefficients'!Q276</f>
        <v>11.653604549497725</v>
      </c>
      <c r="R86" s="194">
        <f>'Pseudo-load coefficients'!R276</f>
        <v>5.4586737621949109</v>
      </c>
      <c r="S86" s="194">
        <f>'Pseudo-load coefficients'!S276</f>
        <v>5.4586737621949109</v>
      </c>
      <c r="T86" s="194">
        <f>'Pseudo-load coefficients'!T276</f>
        <v>5.4586737621949109</v>
      </c>
      <c r="U86" s="194">
        <f>'Pseudo-load coefficients'!U276</f>
        <v>5.4586737621949109</v>
      </c>
      <c r="V86" s="194">
        <f>'Pseudo-load coefficients'!V276</f>
        <v>5.4586737621949109</v>
      </c>
      <c r="W86" s="194">
        <f>'Pseudo-load coefficients'!W276</f>
        <v>5.4586737621949109</v>
      </c>
      <c r="X86" s="194">
        <f>'Pseudo-load coefficients'!X276</f>
        <v>5.4586737621949109</v>
      </c>
      <c r="Y86" s="194">
        <f>'Pseudo-load coefficients'!Y276</f>
        <v>5.4586737621949109</v>
      </c>
    </row>
    <row r="87" spans="5:25" x14ac:dyDescent="0.3">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3">
      <c r="E88" s="32"/>
      <c r="F88" s="191" t="s">
        <v>196</v>
      </c>
      <c r="G88" s="28" t="s">
        <v>282</v>
      </c>
      <c r="J88" s="194">
        <f>'Pseudo-load coefficients'!J278</f>
        <v>6.9927865121203139</v>
      </c>
      <c r="K88" s="194">
        <f>'Pseudo-load coefficients'!K278</f>
        <v>6.9927865121203139</v>
      </c>
      <c r="L88" s="194">
        <f>'Pseudo-load coefficients'!L278</f>
        <v>8.0646899408023867</v>
      </c>
      <c r="M88" s="194">
        <f>'Pseudo-load coefficients'!M278</f>
        <v>8.0646899408023867</v>
      </c>
      <c r="N88" s="194">
        <f>'Pseudo-load coefficients'!N278</f>
        <v>7.1072622815624173</v>
      </c>
      <c r="O88" s="194">
        <f>'Pseudo-load coefficients'!O278</f>
        <v>6.953851669088964</v>
      </c>
      <c r="P88" s="194">
        <f>'Pseudo-load coefficients'!P278</f>
        <v>6.0565248861449765</v>
      </c>
      <c r="Q88" s="194">
        <f>'Pseudo-load coefficients'!Q278</f>
        <v>11.653604549497725</v>
      </c>
      <c r="R88" s="194">
        <f>'Pseudo-load coefficients'!R278</f>
        <v>5.4586737621949109</v>
      </c>
      <c r="S88" s="194">
        <f>'Pseudo-load coefficients'!S278</f>
        <v>5.4586737621949109</v>
      </c>
      <c r="T88" s="194">
        <f>'Pseudo-load coefficients'!T278</f>
        <v>5.4586737621949109</v>
      </c>
      <c r="U88" s="194">
        <f>'Pseudo-load coefficients'!U278</f>
        <v>5.4586737621949109</v>
      </c>
      <c r="V88" s="194">
        <f>'Pseudo-load coefficients'!V278</f>
        <v>5.4586737621949109</v>
      </c>
      <c r="W88" s="194">
        <f>'Pseudo-load coefficients'!W278</f>
        <v>5.4586737621949109</v>
      </c>
      <c r="X88" s="194">
        <f>'Pseudo-load coefficients'!X278</f>
        <v>5.4586737621949109</v>
      </c>
      <c r="Y88" s="194">
        <f>'Pseudo-load coefficients'!Y278</f>
        <v>5.4586737621949109</v>
      </c>
    </row>
    <row r="89" spans="5:25" x14ac:dyDescent="0.3">
      <c r="E89" s="32"/>
      <c r="F89" s="191" t="s">
        <v>197</v>
      </c>
      <c r="G89" s="28" t="s">
        <v>282</v>
      </c>
      <c r="J89" s="194">
        <f>'Pseudo-load coefficients'!J279</f>
        <v>6.9927865121203139</v>
      </c>
      <c r="K89" s="194">
        <f>'Pseudo-load coefficients'!K279</f>
        <v>6.9927865121203139</v>
      </c>
      <c r="L89" s="194">
        <f>'Pseudo-load coefficients'!L279</f>
        <v>8.0646899408023867</v>
      </c>
      <c r="M89" s="194">
        <f>'Pseudo-load coefficients'!M279</f>
        <v>8.0646899408023867</v>
      </c>
      <c r="N89" s="194">
        <f>'Pseudo-load coefficients'!N279</f>
        <v>7.1072622815624173</v>
      </c>
      <c r="O89" s="194">
        <f>'Pseudo-load coefficients'!O279</f>
        <v>6.953851669088964</v>
      </c>
      <c r="P89" s="194">
        <f>'Pseudo-load coefficients'!P279</f>
        <v>6.0565248861449765</v>
      </c>
      <c r="Q89" s="194">
        <f>'Pseudo-load coefficients'!Q279</f>
        <v>11.653604549497725</v>
      </c>
      <c r="R89" s="194">
        <f>'Pseudo-load coefficients'!R279</f>
        <v>5.4586737621949109</v>
      </c>
      <c r="S89" s="194">
        <f>'Pseudo-load coefficients'!S279</f>
        <v>5.4586737621949109</v>
      </c>
      <c r="T89" s="194">
        <f>'Pseudo-load coefficients'!T279</f>
        <v>5.4586737621949109</v>
      </c>
      <c r="U89" s="194">
        <f>'Pseudo-load coefficients'!U279</f>
        <v>5.4586737621949109</v>
      </c>
      <c r="V89" s="194">
        <f>'Pseudo-load coefficients'!V279</f>
        <v>5.4586737621949109</v>
      </c>
      <c r="W89" s="194">
        <f>'Pseudo-load coefficients'!W279</f>
        <v>5.4586737621949109</v>
      </c>
      <c r="X89" s="194">
        <f>'Pseudo-load coefficients'!X279</f>
        <v>5.4586737621949109</v>
      </c>
      <c r="Y89" s="194">
        <f>'Pseudo-load coefficients'!Y279</f>
        <v>5.4586737621949109</v>
      </c>
    </row>
    <row r="90" spans="5:25" x14ac:dyDescent="0.3">
      <c r="E90" s="32"/>
      <c r="F90" s="192" t="s">
        <v>198</v>
      </c>
      <c r="G90" s="67" t="s">
        <v>282</v>
      </c>
      <c r="H90" s="37"/>
      <c r="I90" s="37"/>
      <c r="J90" s="195">
        <f>'Pseudo-load coefficients'!J280</f>
        <v>6.9927865121203139</v>
      </c>
      <c r="K90" s="195">
        <f>'Pseudo-load coefficients'!K280</f>
        <v>6.9927865121203139</v>
      </c>
      <c r="L90" s="195">
        <f>'Pseudo-load coefficients'!L280</f>
        <v>8.0646899408023867</v>
      </c>
      <c r="M90" s="195">
        <f>'Pseudo-load coefficients'!M280</f>
        <v>8.0646899408023867</v>
      </c>
      <c r="N90" s="195">
        <f>'Pseudo-load coefficients'!N280</f>
        <v>7.1072622815624173</v>
      </c>
      <c r="O90" s="195">
        <f>'Pseudo-load coefficients'!O280</f>
        <v>6.953851669088964</v>
      </c>
      <c r="P90" s="195">
        <f>'Pseudo-load coefficients'!P280</f>
        <v>6.0565248861449765</v>
      </c>
      <c r="Q90" s="195">
        <f>'Pseudo-load coefficients'!Q280</f>
        <v>11.653604549497725</v>
      </c>
      <c r="R90" s="195">
        <f>'Pseudo-load coefficients'!R280</f>
        <v>5.4586737621949109</v>
      </c>
      <c r="S90" s="195">
        <f>'Pseudo-load coefficients'!S280</f>
        <v>5.4586737621949109</v>
      </c>
      <c r="T90" s="195">
        <f>'Pseudo-load coefficients'!T280</f>
        <v>5.4586737621949109</v>
      </c>
      <c r="U90" s="195">
        <f>'Pseudo-load coefficients'!U280</f>
        <v>5.4586737621949109</v>
      </c>
      <c r="V90" s="195">
        <f>'Pseudo-load coefficients'!V280</f>
        <v>5.4586737621949109</v>
      </c>
      <c r="W90" s="195">
        <f>'Pseudo-load coefficients'!W280</f>
        <v>5.4586737621949109</v>
      </c>
      <c r="X90" s="195">
        <f>'Pseudo-load coefficients'!X280</f>
        <v>5.4586737621949109</v>
      </c>
      <c r="Y90" s="195">
        <f>'Pseudo-load coefficients'!Y280</f>
        <v>5.4586737621949109</v>
      </c>
    </row>
    <row r="91" spans="5:25" x14ac:dyDescent="0.3">
      <c r="E91" s="32"/>
      <c r="J91" s="163"/>
      <c r="K91" s="163"/>
      <c r="L91" s="163"/>
      <c r="M91" s="163"/>
      <c r="N91" s="163"/>
      <c r="O91" s="163"/>
      <c r="P91" s="163"/>
      <c r="Q91" s="163"/>
      <c r="R91" s="163"/>
      <c r="S91" s="163"/>
      <c r="T91" s="163"/>
      <c r="U91" s="163"/>
      <c r="V91" s="163"/>
      <c r="W91" s="163"/>
      <c r="X91" s="163"/>
      <c r="Y91" s="163"/>
    </row>
    <row r="92" spans="5:25" x14ac:dyDescent="0.3">
      <c r="E92" s="32" t="s">
        <v>509</v>
      </c>
      <c r="J92" s="163"/>
      <c r="K92" s="163"/>
      <c r="L92" s="163"/>
      <c r="M92" s="163"/>
      <c r="N92" s="163"/>
      <c r="O92" s="163"/>
      <c r="P92" s="163"/>
      <c r="Q92" s="163"/>
      <c r="R92" s="163"/>
      <c r="S92" s="163"/>
      <c r="T92" s="163"/>
      <c r="U92" s="163"/>
      <c r="V92" s="163"/>
      <c r="W92" s="163"/>
      <c r="X92" s="163"/>
      <c r="Y92" s="163"/>
    </row>
    <row r="93" spans="5:25" x14ac:dyDescent="0.3">
      <c r="E93" s="32"/>
      <c r="F93" s="190" t="s">
        <v>188</v>
      </c>
      <c r="G93" s="64" t="s">
        <v>282</v>
      </c>
      <c r="H93" s="23"/>
      <c r="I93" s="23"/>
      <c r="J93" s="419">
        <f>'Pseudo-load coefficients'!J283</f>
        <v>0.49274064217162228</v>
      </c>
      <c r="K93" s="419">
        <f>'Pseudo-load coefficients'!K283</f>
        <v>0.49274064217162228</v>
      </c>
      <c r="L93" s="419">
        <f>'Pseudo-load coefficients'!L283</f>
        <v>0.56827138844555924</v>
      </c>
      <c r="M93" s="419">
        <f>'Pseudo-load coefficients'!M283</f>
        <v>0.56827138844555924</v>
      </c>
      <c r="N93" s="419">
        <f>'Pseudo-load coefficients'!N283</f>
        <v>0.50080707806956148</v>
      </c>
      <c r="O93" s="419">
        <f>'Pseudo-load coefficients'!O283</f>
        <v>0.48999713219532509</v>
      </c>
      <c r="P93" s="419">
        <f>'Pseudo-load coefficients'!P283</f>
        <v>0.42676777798877852</v>
      </c>
      <c r="Q93" s="419">
        <f>'Pseudo-load coefficients'!Q283</f>
        <v>0.51525663972351798</v>
      </c>
      <c r="R93" s="419">
        <f>'Pseudo-load coefficients'!R283</f>
        <v>0.38464071659092403</v>
      </c>
      <c r="S93" s="419">
        <f>'Pseudo-load coefficients'!S283</f>
        <v>0.38464071659092403</v>
      </c>
      <c r="T93" s="419">
        <f>'Pseudo-load coefficients'!T283</f>
        <v>0.38464071659092403</v>
      </c>
      <c r="U93" s="419">
        <f>'Pseudo-load coefficients'!U283</f>
        <v>0.38464071659092403</v>
      </c>
      <c r="V93" s="419">
        <f>'Pseudo-load coefficients'!V283</f>
        <v>0.38464071659092403</v>
      </c>
      <c r="W93" s="419">
        <f>'Pseudo-load coefficients'!W283</f>
        <v>0.38464071659092403</v>
      </c>
      <c r="X93" s="419">
        <f>'Pseudo-load coefficients'!X283</f>
        <v>0.38464071659092403</v>
      </c>
      <c r="Y93" s="419">
        <f>'Pseudo-load coefficients'!Y283</f>
        <v>0.38464071659092403</v>
      </c>
    </row>
    <row r="94" spans="5:25" x14ac:dyDescent="0.3">
      <c r="E94" s="32"/>
      <c r="F94" s="191" t="s">
        <v>190</v>
      </c>
      <c r="G94" s="28" t="s">
        <v>282</v>
      </c>
      <c r="J94" s="194">
        <f>'Pseudo-load coefficients'!J283</f>
        <v>0.49274064217162228</v>
      </c>
      <c r="K94" s="194">
        <f>'Pseudo-load coefficients'!K283</f>
        <v>0.49274064217162228</v>
      </c>
      <c r="L94" s="194">
        <f>'Pseudo-load coefficients'!L283</f>
        <v>0.56827138844555924</v>
      </c>
      <c r="M94" s="194">
        <f>'Pseudo-load coefficients'!M283</f>
        <v>0.56827138844555924</v>
      </c>
      <c r="N94" s="194">
        <f>'Pseudo-load coefficients'!N283</f>
        <v>0.50080707806956148</v>
      </c>
      <c r="O94" s="194">
        <f>'Pseudo-load coefficients'!O283</f>
        <v>0.48999713219532509</v>
      </c>
      <c r="P94" s="194">
        <f>'Pseudo-load coefficients'!P283</f>
        <v>0.42676777798877852</v>
      </c>
      <c r="Q94" s="194">
        <f>'Pseudo-load coefficients'!Q283</f>
        <v>0.51525663972351798</v>
      </c>
      <c r="R94" s="194">
        <f>'Pseudo-load coefficients'!R283</f>
        <v>0.38464071659092403</v>
      </c>
      <c r="S94" s="194">
        <f>'Pseudo-load coefficients'!S283</f>
        <v>0.38464071659092403</v>
      </c>
      <c r="T94" s="194">
        <f>'Pseudo-load coefficients'!T283</f>
        <v>0.38464071659092403</v>
      </c>
      <c r="U94" s="194">
        <f>'Pseudo-load coefficients'!U283</f>
        <v>0.38464071659092403</v>
      </c>
      <c r="V94" s="194">
        <f>'Pseudo-load coefficients'!V283</f>
        <v>0.38464071659092403</v>
      </c>
      <c r="W94" s="194">
        <f>'Pseudo-load coefficients'!W283</f>
        <v>0.38464071659092403</v>
      </c>
      <c r="X94" s="194">
        <f>'Pseudo-load coefficients'!X283</f>
        <v>0.38464071659092403</v>
      </c>
      <c r="Y94" s="194">
        <f>'Pseudo-load coefficients'!Y283</f>
        <v>0.38464071659092403</v>
      </c>
    </row>
    <row r="95" spans="5:25" x14ac:dyDescent="0.3">
      <c r="E95" s="32"/>
      <c r="F95" s="191" t="s">
        <v>191</v>
      </c>
      <c r="G95" s="28" t="s">
        <v>282</v>
      </c>
      <c r="J95" s="194">
        <f>'Pseudo-load coefficients'!J284</f>
        <v>0.98669692737491799</v>
      </c>
      <c r="K95" s="194">
        <f>'Pseudo-load coefficients'!K284</f>
        <v>0.98669692737491799</v>
      </c>
      <c r="L95" s="194">
        <f>'Pseudo-load coefficients'!L284</f>
        <v>1.1379447622244545</v>
      </c>
      <c r="M95" s="194">
        <f>'Pseudo-load coefficients'!M284</f>
        <v>1.1379447622244545</v>
      </c>
      <c r="N95" s="194">
        <f>'Pseudo-load coefficients'!N284</f>
        <v>1.0028496999172551</v>
      </c>
      <c r="O95" s="194">
        <f>'Pseudo-load coefficients'!O284</f>
        <v>0.98120313889442146</v>
      </c>
      <c r="P95" s="194">
        <f>'Pseudo-load coefficients'!P284</f>
        <v>0.8545884370087794</v>
      </c>
      <c r="Q95" s="194">
        <f>'Pseudo-load coefficients'!Q284</f>
        <v>0.88474988794630338</v>
      </c>
      <c r="R95" s="194">
        <f>'Pseudo-load coefficients'!R284</f>
        <v>0.77023038231817431</v>
      </c>
      <c r="S95" s="194">
        <f>'Pseudo-load coefficients'!S284</f>
        <v>0.77023038231817431</v>
      </c>
      <c r="T95" s="194">
        <f>'Pseudo-load coefficients'!T284</f>
        <v>0.77023038231817431</v>
      </c>
      <c r="U95" s="194">
        <f>'Pseudo-load coefficients'!U284</f>
        <v>0.77023038231817431</v>
      </c>
      <c r="V95" s="194">
        <f>'Pseudo-load coefficients'!V284</f>
        <v>0.77023038231817431</v>
      </c>
      <c r="W95" s="194">
        <f>'Pseudo-load coefficients'!W284</f>
        <v>0.77023038231817431</v>
      </c>
      <c r="X95" s="194">
        <f>'Pseudo-load coefficients'!X284</f>
        <v>0.77023038231817431</v>
      </c>
      <c r="Y95" s="194">
        <f>'Pseudo-load coefficients'!Y284</f>
        <v>0.77023038231817431</v>
      </c>
    </row>
    <row r="96" spans="5:25" x14ac:dyDescent="0.3">
      <c r="E96" s="32"/>
      <c r="F96" s="191" t="s">
        <v>192</v>
      </c>
      <c r="G96" s="28" t="s">
        <v>282</v>
      </c>
      <c r="J96" s="194">
        <f>'Pseudo-load coefficients'!J285</f>
        <v>0.98669692737491799</v>
      </c>
      <c r="K96" s="194">
        <f>'Pseudo-load coefficients'!K285</f>
        <v>0.98669692737491799</v>
      </c>
      <c r="L96" s="194">
        <f>'Pseudo-load coefficients'!L285</f>
        <v>1.1379447622244545</v>
      </c>
      <c r="M96" s="194">
        <f>'Pseudo-load coefficients'!M285</f>
        <v>1.1379447622244545</v>
      </c>
      <c r="N96" s="194">
        <f>'Pseudo-load coefficients'!N285</f>
        <v>1.0028496999172551</v>
      </c>
      <c r="O96" s="194">
        <f>'Pseudo-load coefficients'!O285</f>
        <v>0.98120313889442146</v>
      </c>
      <c r="P96" s="194">
        <f>'Pseudo-load coefficients'!P285</f>
        <v>0.8545884370087794</v>
      </c>
      <c r="Q96" s="194">
        <f>'Pseudo-load coefficients'!Q285</f>
        <v>0.88474988794630338</v>
      </c>
      <c r="R96" s="194">
        <f>'Pseudo-load coefficients'!R285</f>
        <v>0.77023038231817431</v>
      </c>
      <c r="S96" s="194">
        <f>'Pseudo-load coefficients'!S285</f>
        <v>0.77023038231817431</v>
      </c>
      <c r="T96" s="194">
        <f>'Pseudo-load coefficients'!T285</f>
        <v>0.77023038231817431</v>
      </c>
      <c r="U96" s="194">
        <f>'Pseudo-load coefficients'!U285</f>
        <v>0.77023038231817431</v>
      </c>
      <c r="V96" s="194">
        <f>'Pseudo-load coefficients'!V285</f>
        <v>0.77023038231817431</v>
      </c>
      <c r="W96" s="194">
        <f>'Pseudo-load coefficients'!W285</f>
        <v>0.77023038231817431</v>
      </c>
      <c r="X96" s="194">
        <f>'Pseudo-load coefficients'!X285</f>
        <v>0.77023038231817431</v>
      </c>
      <c r="Y96" s="194">
        <f>'Pseudo-load coefficients'!Y285</f>
        <v>0.77023038231817431</v>
      </c>
    </row>
    <row r="97" spans="3:25" x14ac:dyDescent="0.3">
      <c r="E97" s="32"/>
      <c r="F97" s="191" t="s">
        <v>193</v>
      </c>
      <c r="G97" s="28" t="s">
        <v>282</v>
      </c>
      <c r="J97" s="194">
        <f>'Pseudo-load coefficients'!J286</f>
        <v>1.7800183921076809</v>
      </c>
      <c r="K97" s="194">
        <f>'Pseudo-load coefficients'!K286</f>
        <v>1.7800183921076809</v>
      </c>
      <c r="L97" s="194">
        <f>'Pseudo-load coefficients'!L286</f>
        <v>2.0528721127682932</v>
      </c>
      <c r="M97" s="194">
        <f>'Pseudo-load coefficients'!M286</f>
        <v>2.0528721127682932</v>
      </c>
      <c r="N97" s="194">
        <f>'Pseudo-load coefficients'!N286</f>
        <v>1.8091582742854704</v>
      </c>
      <c r="O97" s="194">
        <f>'Pseudo-load coefficients'!O286</f>
        <v>1.77010750228293</v>
      </c>
      <c r="P97" s="194">
        <f>'Pseudo-load coefficients'!P286</f>
        <v>1.5416923812717775</v>
      </c>
      <c r="Q97" s="194">
        <f>'Pseudo-load coefficients'!Q286</f>
        <v>1.0779807947309659</v>
      </c>
      <c r="R97" s="194">
        <f>'Pseudo-load coefficients'!R286</f>
        <v>1.3895089856355953</v>
      </c>
      <c r="S97" s="194">
        <f>'Pseudo-load coefficients'!S286</f>
        <v>1.3895089856355953</v>
      </c>
      <c r="T97" s="194">
        <f>'Pseudo-load coefficients'!T286</f>
        <v>1.3895089856355953</v>
      </c>
      <c r="U97" s="194">
        <f>'Pseudo-load coefficients'!U286</f>
        <v>1.3895089856355953</v>
      </c>
      <c r="V97" s="194">
        <f>'Pseudo-load coefficients'!V286</f>
        <v>1.3895089856355953</v>
      </c>
      <c r="W97" s="194">
        <f>'Pseudo-load coefficients'!W286</f>
        <v>1.3895089856355953</v>
      </c>
      <c r="X97" s="194">
        <f>'Pseudo-load coefficients'!X286</f>
        <v>1.3895089856355953</v>
      </c>
      <c r="Y97" s="194">
        <f>'Pseudo-load coefficients'!Y286</f>
        <v>1.3895089856355953</v>
      </c>
    </row>
    <row r="98" spans="3:25" x14ac:dyDescent="0.3">
      <c r="E98" s="32"/>
      <c r="F98" s="191" t="s">
        <v>194</v>
      </c>
      <c r="G98" s="28" t="s">
        <v>282</v>
      </c>
      <c r="J98" s="194">
        <f>'Pseudo-load coefficients'!J287</f>
        <v>1.7800183921076809</v>
      </c>
      <c r="K98" s="194">
        <f>'Pseudo-load coefficients'!K287</f>
        <v>1.7800183921076809</v>
      </c>
      <c r="L98" s="194">
        <f>'Pseudo-load coefficients'!L287</f>
        <v>2.0528721127682932</v>
      </c>
      <c r="M98" s="194">
        <f>'Pseudo-load coefficients'!M287</f>
        <v>2.0528721127682932</v>
      </c>
      <c r="N98" s="194">
        <f>'Pseudo-load coefficients'!N287</f>
        <v>1.8091582742854704</v>
      </c>
      <c r="O98" s="194">
        <f>'Pseudo-load coefficients'!O287</f>
        <v>1.77010750228293</v>
      </c>
      <c r="P98" s="194">
        <f>'Pseudo-load coefficients'!P287</f>
        <v>1.5416923812717775</v>
      </c>
      <c r="Q98" s="194">
        <f>'Pseudo-load coefficients'!Q287</f>
        <v>1.0779807947309659</v>
      </c>
      <c r="R98" s="194">
        <f>'Pseudo-load coefficients'!R287</f>
        <v>1.3895089856355953</v>
      </c>
      <c r="S98" s="194">
        <f>'Pseudo-load coefficients'!S287</f>
        <v>1.3895089856355953</v>
      </c>
      <c r="T98" s="194">
        <f>'Pseudo-load coefficients'!T287</f>
        <v>1.3895089856355953</v>
      </c>
      <c r="U98" s="194">
        <f>'Pseudo-load coefficients'!U287</f>
        <v>1.3895089856355953</v>
      </c>
      <c r="V98" s="194">
        <f>'Pseudo-load coefficients'!V287</f>
        <v>1.3895089856355953</v>
      </c>
      <c r="W98" s="194">
        <f>'Pseudo-load coefficients'!W287</f>
        <v>1.3895089856355953</v>
      </c>
      <c r="X98" s="194">
        <f>'Pseudo-load coefficients'!X287</f>
        <v>1.3895089856355953</v>
      </c>
      <c r="Y98" s="194">
        <f>'Pseudo-load coefficients'!Y287</f>
        <v>1.3895089856355953</v>
      </c>
    </row>
    <row r="99" spans="3:25" x14ac:dyDescent="0.3">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3">
      <c r="E100" s="32"/>
      <c r="F100" s="191" t="s">
        <v>196</v>
      </c>
      <c r="G100" s="28" t="s">
        <v>282</v>
      </c>
      <c r="J100" s="194">
        <f>'Pseudo-load coefficients'!J289</f>
        <v>1.7800183921076809</v>
      </c>
      <c r="K100" s="194">
        <f>'Pseudo-load coefficients'!K289</f>
        <v>1.7800183921076809</v>
      </c>
      <c r="L100" s="194">
        <f>'Pseudo-load coefficients'!L289</f>
        <v>2.0528721127682932</v>
      </c>
      <c r="M100" s="194">
        <f>'Pseudo-load coefficients'!M289</f>
        <v>2.0528721127682932</v>
      </c>
      <c r="N100" s="194">
        <f>'Pseudo-load coefficients'!N289</f>
        <v>1.8091582742854704</v>
      </c>
      <c r="O100" s="194">
        <f>'Pseudo-load coefficients'!O289</f>
        <v>1.77010750228293</v>
      </c>
      <c r="P100" s="194">
        <f>'Pseudo-load coefficients'!P289</f>
        <v>1.5416923812717775</v>
      </c>
      <c r="Q100" s="194">
        <f>'Pseudo-load coefficients'!Q289</f>
        <v>1.0779807947309659</v>
      </c>
      <c r="R100" s="194">
        <f>'Pseudo-load coefficients'!R289</f>
        <v>1.3895089856355953</v>
      </c>
      <c r="S100" s="194">
        <f>'Pseudo-load coefficients'!S289</f>
        <v>1.3895089856355953</v>
      </c>
      <c r="T100" s="194">
        <f>'Pseudo-load coefficients'!T289</f>
        <v>1.3895089856355953</v>
      </c>
      <c r="U100" s="194">
        <f>'Pseudo-load coefficients'!U289</f>
        <v>1.3895089856355953</v>
      </c>
      <c r="V100" s="194">
        <f>'Pseudo-load coefficients'!V289</f>
        <v>1.3895089856355953</v>
      </c>
      <c r="W100" s="194">
        <f>'Pseudo-load coefficients'!W289</f>
        <v>1.3895089856355953</v>
      </c>
      <c r="X100" s="194">
        <f>'Pseudo-load coefficients'!X289</f>
        <v>1.3895089856355953</v>
      </c>
      <c r="Y100" s="194">
        <f>'Pseudo-load coefficients'!Y289</f>
        <v>1.3895089856355953</v>
      </c>
    </row>
    <row r="101" spans="3:25" x14ac:dyDescent="0.3">
      <c r="E101" s="32"/>
      <c r="F101" s="191" t="s">
        <v>197</v>
      </c>
      <c r="G101" s="28" t="s">
        <v>282</v>
      </c>
      <c r="J101" s="194">
        <f>'Pseudo-load coefficients'!J290</f>
        <v>1.7800183921076809</v>
      </c>
      <c r="K101" s="194">
        <f>'Pseudo-load coefficients'!K290</f>
        <v>1.7800183921076809</v>
      </c>
      <c r="L101" s="194">
        <f>'Pseudo-load coefficients'!L290</f>
        <v>2.0528721127682932</v>
      </c>
      <c r="M101" s="194">
        <f>'Pseudo-load coefficients'!M290</f>
        <v>2.0528721127682932</v>
      </c>
      <c r="N101" s="194">
        <f>'Pseudo-load coefficients'!N290</f>
        <v>1.8091582742854704</v>
      </c>
      <c r="O101" s="194">
        <f>'Pseudo-load coefficients'!O290</f>
        <v>1.77010750228293</v>
      </c>
      <c r="P101" s="194">
        <f>'Pseudo-load coefficients'!P290</f>
        <v>1.5416923812717775</v>
      </c>
      <c r="Q101" s="194">
        <f>'Pseudo-load coefficients'!Q290</f>
        <v>1.0779807947309659</v>
      </c>
      <c r="R101" s="194">
        <f>'Pseudo-load coefficients'!R290</f>
        <v>1.3895089856355953</v>
      </c>
      <c r="S101" s="194">
        <f>'Pseudo-load coefficients'!S290</f>
        <v>1.3895089856355953</v>
      </c>
      <c r="T101" s="194">
        <f>'Pseudo-load coefficients'!T290</f>
        <v>1.3895089856355953</v>
      </c>
      <c r="U101" s="194">
        <f>'Pseudo-load coefficients'!U290</f>
        <v>1.3895089856355953</v>
      </c>
      <c r="V101" s="194">
        <f>'Pseudo-load coefficients'!V290</f>
        <v>1.3895089856355953</v>
      </c>
      <c r="W101" s="194">
        <f>'Pseudo-load coefficients'!W290</f>
        <v>1.3895089856355953</v>
      </c>
      <c r="X101" s="194">
        <f>'Pseudo-load coefficients'!X290</f>
        <v>1.3895089856355953</v>
      </c>
      <c r="Y101" s="194">
        <f>'Pseudo-load coefficients'!Y290</f>
        <v>1.3895089856355953</v>
      </c>
    </row>
    <row r="102" spans="3:25" x14ac:dyDescent="0.3">
      <c r="E102" s="32"/>
      <c r="F102" s="192" t="s">
        <v>198</v>
      </c>
      <c r="G102" s="67" t="s">
        <v>282</v>
      </c>
      <c r="H102" s="37"/>
      <c r="I102" s="37"/>
      <c r="J102" s="195">
        <f>'Pseudo-load coefficients'!J291</f>
        <v>1.7800183921076809</v>
      </c>
      <c r="K102" s="195">
        <f>'Pseudo-load coefficients'!K291</f>
        <v>1.7800183921076809</v>
      </c>
      <c r="L102" s="195">
        <f>'Pseudo-load coefficients'!L291</f>
        <v>2.0528721127682932</v>
      </c>
      <c r="M102" s="195">
        <f>'Pseudo-load coefficients'!M291</f>
        <v>2.0528721127682932</v>
      </c>
      <c r="N102" s="195">
        <f>'Pseudo-load coefficients'!N291</f>
        <v>1.8091582742854704</v>
      </c>
      <c r="O102" s="195">
        <f>'Pseudo-load coefficients'!O291</f>
        <v>1.77010750228293</v>
      </c>
      <c r="P102" s="195">
        <f>'Pseudo-load coefficients'!P291</f>
        <v>1.5416923812717775</v>
      </c>
      <c r="Q102" s="195">
        <f>'Pseudo-load coefficients'!Q291</f>
        <v>1.0779807947309659</v>
      </c>
      <c r="R102" s="195">
        <f>'Pseudo-load coefficients'!R291</f>
        <v>1.3895089856355953</v>
      </c>
      <c r="S102" s="195">
        <f>'Pseudo-load coefficients'!S291</f>
        <v>1.3895089856355953</v>
      </c>
      <c r="T102" s="195">
        <f>'Pseudo-load coefficients'!T291</f>
        <v>1.3895089856355953</v>
      </c>
      <c r="U102" s="195">
        <f>'Pseudo-load coefficients'!U291</f>
        <v>1.3895089856355953</v>
      </c>
      <c r="V102" s="195">
        <f>'Pseudo-load coefficients'!V291</f>
        <v>1.3895089856355953</v>
      </c>
      <c r="W102" s="195">
        <f>'Pseudo-load coefficients'!W291</f>
        <v>1.3895089856355953</v>
      </c>
      <c r="X102" s="195">
        <f>'Pseudo-load coefficients'!X291</f>
        <v>1.3895089856355953</v>
      </c>
      <c r="Y102" s="195">
        <f>'Pseudo-load coefficients'!Y291</f>
        <v>1.3895089856355953</v>
      </c>
    </row>
    <row r="103" spans="3:25" x14ac:dyDescent="0.3">
      <c r="E103" s="32"/>
      <c r="J103" s="163"/>
      <c r="K103" s="163"/>
      <c r="L103" s="163"/>
      <c r="M103" s="163"/>
      <c r="N103" s="163"/>
      <c r="O103" s="163"/>
      <c r="P103" s="163"/>
      <c r="Q103" s="163"/>
      <c r="R103" s="163"/>
      <c r="S103" s="163"/>
      <c r="T103" s="163"/>
      <c r="U103" s="163"/>
      <c r="V103" s="163"/>
      <c r="W103" s="163"/>
      <c r="X103" s="163"/>
      <c r="Y103" s="163"/>
    </row>
    <row r="104" spans="3:25" x14ac:dyDescent="0.3">
      <c r="E104" s="32" t="s">
        <v>512</v>
      </c>
      <c r="J104" s="163"/>
      <c r="K104" s="163"/>
      <c r="L104" s="163"/>
      <c r="M104" s="163"/>
      <c r="N104" s="163"/>
      <c r="O104" s="163"/>
      <c r="P104" s="163"/>
      <c r="Q104" s="163"/>
      <c r="R104" s="163"/>
      <c r="S104" s="163"/>
      <c r="T104" s="163"/>
      <c r="U104" s="163"/>
      <c r="V104" s="163"/>
      <c r="W104" s="163"/>
      <c r="X104" s="163"/>
      <c r="Y104" s="163"/>
    </row>
    <row r="105" spans="3:25" x14ac:dyDescent="0.3">
      <c r="C105" s="32"/>
      <c r="E105" s="32"/>
      <c r="F105" s="190" t="s">
        <v>188</v>
      </c>
      <c r="G105" s="64" t="s">
        <v>282</v>
      </c>
      <c r="H105" s="23"/>
      <c r="I105" s="23"/>
      <c r="J105" s="419">
        <f>'Pseudo-load coefficients'!J294</f>
        <v>0</v>
      </c>
      <c r="K105" s="419">
        <f>'Pseudo-load coefficients'!K294</f>
        <v>0</v>
      </c>
      <c r="L105" s="419">
        <f>'Pseudo-load coefficients'!L294</f>
        <v>0</v>
      </c>
      <c r="M105" s="419">
        <f>'Pseudo-load coefficients'!M294</f>
        <v>0</v>
      </c>
      <c r="N105" s="419">
        <f>'Pseudo-load coefficients'!N294</f>
        <v>0</v>
      </c>
      <c r="O105" s="419">
        <f>'Pseudo-load coefficients'!O294</f>
        <v>0</v>
      </c>
      <c r="P105" s="419">
        <f>'Pseudo-load coefficients'!P294</f>
        <v>0</v>
      </c>
      <c r="Q105" s="419">
        <f>'Pseudo-load coefficients'!Q294</f>
        <v>0</v>
      </c>
      <c r="R105" s="419">
        <f>'Pseudo-load coefficients'!R294</f>
        <v>0</v>
      </c>
      <c r="S105" s="419">
        <f>'Pseudo-load coefficients'!S294</f>
        <v>0</v>
      </c>
      <c r="T105" s="419">
        <f>'Pseudo-load coefficients'!T294</f>
        <v>0</v>
      </c>
      <c r="U105" s="419">
        <f>'Pseudo-load coefficients'!U294</f>
        <v>0</v>
      </c>
      <c r="V105" s="419">
        <f>'Pseudo-load coefficients'!V294</f>
        <v>0</v>
      </c>
      <c r="W105" s="419">
        <f>'Pseudo-load coefficients'!W294</f>
        <v>0</v>
      </c>
      <c r="X105" s="419">
        <f>'Pseudo-load coefficients'!X294</f>
        <v>0</v>
      </c>
      <c r="Y105" s="419">
        <f>'Pseudo-load coefficients'!Y294</f>
        <v>0</v>
      </c>
    </row>
    <row r="106" spans="3:25" x14ac:dyDescent="0.3">
      <c r="C106" s="32"/>
      <c r="E106" s="32"/>
      <c r="F106" s="191" t="s">
        <v>190</v>
      </c>
      <c r="G106" s="28" t="s">
        <v>282</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3">
      <c r="C107" s="32"/>
      <c r="E107" s="32"/>
      <c r="F107" s="191" t="s">
        <v>191</v>
      </c>
      <c r="G107" s="28" t="s">
        <v>282</v>
      </c>
      <c r="J107" s="194">
        <f>'Pseudo-load coefficients'!J295</f>
        <v>0.21180010270239361</v>
      </c>
      <c r="K107" s="194">
        <f>'Pseudo-load coefficients'!K295</f>
        <v>0.21180010270239361</v>
      </c>
      <c r="L107" s="194">
        <f>'Pseudo-load coefficients'!L295</f>
        <v>0.2442663099701845</v>
      </c>
      <c r="M107" s="194">
        <f>'Pseudo-load coefficients'!M295</f>
        <v>0.2442663099701845</v>
      </c>
      <c r="N107" s="194">
        <f>'Pseudo-load coefficients'!N295</f>
        <v>0.215267387122238</v>
      </c>
      <c r="O107" s="194">
        <f>'Pseudo-load coefficients'!O295</f>
        <v>0.21062082978473076</v>
      </c>
      <c r="P107" s="194">
        <f>'Pseudo-load coefficients'!P295</f>
        <v>0.18344226449380813</v>
      </c>
      <c r="Q107" s="194">
        <f>'Pseudo-load coefficients'!Q295</f>
        <v>0.13371413796565465</v>
      </c>
      <c r="R107" s="194">
        <f>'Pseudo-load coefficients'!R295</f>
        <v>0.16533432866109088</v>
      </c>
      <c r="S107" s="194">
        <f>'Pseudo-load coefficients'!S295</f>
        <v>0.16533432866109088</v>
      </c>
      <c r="T107" s="194">
        <f>'Pseudo-load coefficients'!T295</f>
        <v>0.16533432866109088</v>
      </c>
      <c r="U107" s="194">
        <f>'Pseudo-load coefficients'!U295</f>
        <v>0.16533432866109088</v>
      </c>
      <c r="V107" s="194">
        <f>'Pseudo-load coefficients'!V295</f>
        <v>0.16533432866109088</v>
      </c>
      <c r="W107" s="194">
        <f>'Pseudo-load coefficients'!W295</f>
        <v>0.16533432866109088</v>
      </c>
      <c r="X107" s="194">
        <f>'Pseudo-load coefficients'!X295</f>
        <v>0.16533432866109088</v>
      </c>
      <c r="Y107" s="194">
        <f>'Pseudo-load coefficients'!Y295</f>
        <v>0.16533432866109088</v>
      </c>
    </row>
    <row r="108" spans="3:25" x14ac:dyDescent="0.3">
      <c r="C108" s="32"/>
      <c r="E108" s="32"/>
      <c r="F108" s="191" t="s">
        <v>192</v>
      </c>
      <c r="G108" s="28" t="s">
        <v>282</v>
      </c>
      <c r="J108" s="194">
        <f>'Pseudo-load coefficients'!J296</f>
        <v>0.21180010270239361</v>
      </c>
      <c r="K108" s="194">
        <f>'Pseudo-load coefficients'!K296</f>
        <v>0.21180010270239361</v>
      </c>
      <c r="L108" s="194">
        <f>'Pseudo-load coefficients'!L296</f>
        <v>0.2442663099701845</v>
      </c>
      <c r="M108" s="194">
        <f>'Pseudo-load coefficients'!M296</f>
        <v>0.2442663099701845</v>
      </c>
      <c r="N108" s="194">
        <f>'Pseudo-load coefficients'!N296</f>
        <v>0.215267387122238</v>
      </c>
      <c r="O108" s="194">
        <f>'Pseudo-load coefficients'!O296</f>
        <v>0.21062082978473076</v>
      </c>
      <c r="P108" s="194">
        <f>'Pseudo-load coefficients'!P296</f>
        <v>0.18344226449380813</v>
      </c>
      <c r="Q108" s="194">
        <f>'Pseudo-load coefficients'!Q296</f>
        <v>0.13371413796565465</v>
      </c>
      <c r="R108" s="194">
        <f>'Pseudo-load coefficients'!R296</f>
        <v>0.16533432866109088</v>
      </c>
      <c r="S108" s="194">
        <f>'Pseudo-load coefficients'!S296</f>
        <v>0.16533432866109088</v>
      </c>
      <c r="T108" s="194">
        <f>'Pseudo-load coefficients'!T296</f>
        <v>0.16533432866109088</v>
      </c>
      <c r="U108" s="194">
        <f>'Pseudo-load coefficients'!U296</f>
        <v>0.16533432866109088</v>
      </c>
      <c r="V108" s="194">
        <f>'Pseudo-load coefficients'!V296</f>
        <v>0.16533432866109088</v>
      </c>
      <c r="W108" s="194">
        <f>'Pseudo-load coefficients'!W296</f>
        <v>0.16533432866109088</v>
      </c>
      <c r="X108" s="194">
        <f>'Pseudo-load coefficients'!X296</f>
        <v>0.16533432866109088</v>
      </c>
      <c r="Y108" s="194">
        <f>'Pseudo-load coefficients'!Y296</f>
        <v>0.16533432866109088</v>
      </c>
    </row>
    <row r="109" spans="3:25" x14ac:dyDescent="0.3">
      <c r="C109" s="32"/>
      <c r="E109" s="32"/>
      <c r="F109" s="191" t="s">
        <v>193</v>
      </c>
      <c r="G109" s="28" t="s">
        <v>282</v>
      </c>
      <c r="J109" s="194">
        <f>'Pseudo-load coefficients'!J297</f>
        <v>0.22807920222508446</v>
      </c>
      <c r="K109" s="194">
        <f>'Pseudo-load coefficients'!K297</f>
        <v>0.22807920222508446</v>
      </c>
      <c r="L109" s="194">
        <f>'Pseudo-load coefficients'!L297</f>
        <v>0.26304078419993732</v>
      </c>
      <c r="M109" s="194">
        <f>'Pseudo-load coefficients'!M297</f>
        <v>0.26304078419993732</v>
      </c>
      <c r="N109" s="194">
        <f>'Pseudo-load coefficients'!N297</f>
        <v>0.23181298447672374</v>
      </c>
      <c r="O109" s="194">
        <f>'Pseudo-load coefficients'!O297</f>
        <v>0.22680928959126423</v>
      </c>
      <c r="P109" s="194">
        <f>'Pseudo-load coefficients'!P297</f>
        <v>0.1975417613413549</v>
      </c>
      <c r="Q109" s="194">
        <f>'Pseudo-load coefficients'!Q297</f>
        <v>0.14399149728588273</v>
      </c>
      <c r="R109" s="194">
        <f>'Pseudo-load coefficients'!R297</f>
        <v>0.17804203728091658</v>
      </c>
      <c r="S109" s="194">
        <f>'Pseudo-load coefficients'!S297</f>
        <v>0.17804203728091658</v>
      </c>
      <c r="T109" s="194">
        <f>'Pseudo-load coefficients'!T297</f>
        <v>0.17804203728091658</v>
      </c>
      <c r="U109" s="194">
        <f>'Pseudo-load coefficients'!U297</f>
        <v>0.17804203728091658</v>
      </c>
      <c r="V109" s="194">
        <f>'Pseudo-load coefficients'!V297</f>
        <v>0.17804203728091658</v>
      </c>
      <c r="W109" s="194">
        <f>'Pseudo-load coefficients'!W297</f>
        <v>0.17804203728091658</v>
      </c>
      <c r="X109" s="194">
        <f>'Pseudo-load coefficients'!X297</f>
        <v>0.17804203728091658</v>
      </c>
      <c r="Y109" s="194">
        <f>'Pseudo-load coefficients'!Y297</f>
        <v>0.17804203728091658</v>
      </c>
    </row>
    <row r="110" spans="3:25" x14ac:dyDescent="0.3">
      <c r="C110" s="32"/>
      <c r="E110" s="32"/>
      <c r="F110" s="191" t="s">
        <v>194</v>
      </c>
      <c r="G110" s="28" t="s">
        <v>282</v>
      </c>
      <c r="J110" s="194">
        <f>'Pseudo-load coefficients'!J298</f>
        <v>0.22807920222508446</v>
      </c>
      <c r="K110" s="194">
        <f>'Pseudo-load coefficients'!K298</f>
        <v>0.22807920222508446</v>
      </c>
      <c r="L110" s="194">
        <f>'Pseudo-load coefficients'!L298</f>
        <v>0.26304078419993732</v>
      </c>
      <c r="M110" s="194">
        <f>'Pseudo-load coefficients'!M298</f>
        <v>0.26304078419993732</v>
      </c>
      <c r="N110" s="194">
        <f>'Pseudo-load coefficients'!N298</f>
        <v>0.23181298447672374</v>
      </c>
      <c r="O110" s="194">
        <f>'Pseudo-load coefficients'!O298</f>
        <v>0.22680928959126423</v>
      </c>
      <c r="P110" s="194">
        <f>'Pseudo-load coefficients'!P298</f>
        <v>0.1975417613413549</v>
      </c>
      <c r="Q110" s="194">
        <f>'Pseudo-load coefficients'!Q298</f>
        <v>0.14399149728588273</v>
      </c>
      <c r="R110" s="194">
        <f>'Pseudo-load coefficients'!R298</f>
        <v>0.17804203728091658</v>
      </c>
      <c r="S110" s="194">
        <f>'Pseudo-load coefficients'!S298</f>
        <v>0.17804203728091658</v>
      </c>
      <c r="T110" s="194">
        <f>'Pseudo-load coefficients'!T298</f>
        <v>0.17804203728091658</v>
      </c>
      <c r="U110" s="194">
        <f>'Pseudo-load coefficients'!U298</f>
        <v>0.17804203728091658</v>
      </c>
      <c r="V110" s="194">
        <f>'Pseudo-load coefficients'!V298</f>
        <v>0.17804203728091658</v>
      </c>
      <c r="W110" s="194">
        <f>'Pseudo-load coefficients'!W298</f>
        <v>0.17804203728091658</v>
      </c>
      <c r="X110" s="194">
        <f>'Pseudo-load coefficients'!X298</f>
        <v>0.17804203728091658</v>
      </c>
      <c r="Y110" s="194">
        <f>'Pseudo-load coefficients'!Y298</f>
        <v>0.17804203728091658</v>
      </c>
    </row>
    <row r="111" spans="3:25" x14ac:dyDescent="0.3">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3">
      <c r="C112" s="32"/>
      <c r="E112" s="32"/>
      <c r="F112" s="191" t="s">
        <v>196</v>
      </c>
      <c r="G112" s="28" t="s">
        <v>282</v>
      </c>
      <c r="J112" s="194">
        <f>'Pseudo-load coefficients'!J300</f>
        <v>0.22807920222508446</v>
      </c>
      <c r="K112" s="194">
        <f>'Pseudo-load coefficients'!K300</f>
        <v>0.22807920222508446</v>
      </c>
      <c r="L112" s="194">
        <f>'Pseudo-load coefficients'!L300</f>
        <v>0.26304078419993732</v>
      </c>
      <c r="M112" s="194">
        <f>'Pseudo-load coefficients'!M300</f>
        <v>0.26304078419993732</v>
      </c>
      <c r="N112" s="194">
        <f>'Pseudo-load coefficients'!N300</f>
        <v>0.23181298447672374</v>
      </c>
      <c r="O112" s="194">
        <f>'Pseudo-load coefficients'!O300</f>
        <v>0.22680928959126423</v>
      </c>
      <c r="P112" s="194">
        <f>'Pseudo-load coefficients'!P300</f>
        <v>0.1975417613413549</v>
      </c>
      <c r="Q112" s="194">
        <f>'Pseudo-load coefficients'!Q300</f>
        <v>0.14399149728588273</v>
      </c>
      <c r="R112" s="194">
        <f>'Pseudo-load coefficients'!R300</f>
        <v>0.17804203728091658</v>
      </c>
      <c r="S112" s="194">
        <f>'Pseudo-load coefficients'!S300</f>
        <v>0.17804203728091658</v>
      </c>
      <c r="T112" s="194">
        <f>'Pseudo-load coefficients'!T300</f>
        <v>0.17804203728091658</v>
      </c>
      <c r="U112" s="194">
        <f>'Pseudo-load coefficients'!U300</f>
        <v>0.17804203728091658</v>
      </c>
      <c r="V112" s="194">
        <f>'Pseudo-load coefficients'!V300</f>
        <v>0.17804203728091658</v>
      </c>
      <c r="W112" s="194">
        <f>'Pseudo-load coefficients'!W300</f>
        <v>0.17804203728091658</v>
      </c>
      <c r="X112" s="194">
        <f>'Pseudo-load coefficients'!X300</f>
        <v>0.17804203728091658</v>
      </c>
      <c r="Y112" s="194">
        <f>'Pseudo-load coefficients'!Y300</f>
        <v>0.17804203728091658</v>
      </c>
    </row>
    <row r="113" spans="2:27" x14ac:dyDescent="0.3">
      <c r="C113" s="32"/>
      <c r="E113" s="32"/>
      <c r="F113" s="191" t="s">
        <v>197</v>
      </c>
      <c r="G113" s="28" t="s">
        <v>282</v>
      </c>
      <c r="J113" s="194">
        <f>'Pseudo-load coefficients'!J301</f>
        <v>0.22807920222508446</v>
      </c>
      <c r="K113" s="194">
        <f>'Pseudo-load coefficients'!K301</f>
        <v>0.22807920222508446</v>
      </c>
      <c r="L113" s="194">
        <f>'Pseudo-load coefficients'!L301</f>
        <v>0.26304078419993732</v>
      </c>
      <c r="M113" s="194">
        <f>'Pseudo-load coefficients'!M301</f>
        <v>0.26304078419993732</v>
      </c>
      <c r="N113" s="194">
        <f>'Pseudo-load coefficients'!N301</f>
        <v>0.23181298447672374</v>
      </c>
      <c r="O113" s="194">
        <f>'Pseudo-load coefficients'!O301</f>
        <v>0.22680928959126423</v>
      </c>
      <c r="P113" s="194">
        <f>'Pseudo-load coefficients'!P301</f>
        <v>0.1975417613413549</v>
      </c>
      <c r="Q113" s="194">
        <f>'Pseudo-load coefficients'!Q301</f>
        <v>0.14399149728588273</v>
      </c>
      <c r="R113" s="194">
        <f>'Pseudo-load coefficients'!R301</f>
        <v>0.17804203728091658</v>
      </c>
      <c r="S113" s="194">
        <f>'Pseudo-load coefficients'!S301</f>
        <v>0.17804203728091658</v>
      </c>
      <c r="T113" s="194">
        <f>'Pseudo-load coefficients'!T301</f>
        <v>0.17804203728091658</v>
      </c>
      <c r="U113" s="194">
        <f>'Pseudo-load coefficients'!U301</f>
        <v>0.17804203728091658</v>
      </c>
      <c r="V113" s="194">
        <f>'Pseudo-load coefficients'!V301</f>
        <v>0.17804203728091658</v>
      </c>
      <c r="W113" s="194">
        <f>'Pseudo-load coefficients'!W301</f>
        <v>0.17804203728091658</v>
      </c>
      <c r="X113" s="194">
        <f>'Pseudo-load coefficients'!X301</f>
        <v>0.17804203728091658</v>
      </c>
      <c r="Y113" s="194">
        <f>'Pseudo-load coefficients'!Y301</f>
        <v>0.17804203728091658</v>
      </c>
    </row>
    <row r="114" spans="2:27" x14ac:dyDescent="0.3">
      <c r="C114" s="32"/>
      <c r="E114" s="32"/>
      <c r="F114" s="192" t="s">
        <v>198</v>
      </c>
      <c r="G114" s="67" t="s">
        <v>282</v>
      </c>
      <c r="H114" s="37"/>
      <c r="I114" s="37"/>
      <c r="J114" s="195">
        <f>'Pseudo-load coefficients'!J302</f>
        <v>0.22807920222508446</v>
      </c>
      <c r="K114" s="195">
        <f>'Pseudo-load coefficients'!K302</f>
        <v>0.22807920222508446</v>
      </c>
      <c r="L114" s="195">
        <f>'Pseudo-load coefficients'!L302</f>
        <v>0.26304078419993732</v>
      </c>
      <c r="M114" s="195">
        <f>'Pseudo-load coefficients'!M302</f>
        <v>0.26304078419993732</v>
      </c>
      <c r="N114" s="195">
        <f>'Pseudo-load coefficients'!N302</f>
        <v>0.23181298447672374</v>
      </c>
      <c r="O114" s="195">
        <f>'Pseudo-load coefficients'!O302</f>
        <v>0.22680928959126423</v>
      </c>
      <c r="P114" s="195">
        <f>'Pseudo-load coefficients'!P302</f>
        <v>0.1975417613413549</v>
      </c>
      <c r="Q114" s="195">
        <f>'Pseudo-load coefficients'!Q302</f>
        <v>0.14399149728588273</v>
      </c>
      <c r="R114" s="195">
        <f>'Pseudo-load coefficients'!R302</f>
        <v>0.17804203728091658</v>
      </c>
      <c r="S114" s="195">
        <f>'Pseudo-load coefficients'!S302</f>
        <v>0.17804203728091658</v>
      </c>
      <c r="T114" s="195">
        <f>'Pseudo-load coefficients'!T302</f>
        <v>0.17804203728091658</v>
      </c>
      <c r="U114" s="195">
        <f>'Pseudo-load coefficients'!U302</f>
        <v>0.17804203728091658</v>
      </c>
      <c r="V114" s="195">
        <f>'Pseudo-load coefficients'!V302</f>
        <v>0.17804203728091658</v>
      </c>
      <c r="W114" s="195">
        <f>'Pseudo-load coefficients'!W302</f>
        <v>0.17804203728091658</v>
      </c>
      <c r="X114" s="195">
        <f>'Pseudo-load coefficients'!X302</f>
        <v>0.17804203728091658</v>
      </c>
      <c r="Y114" s="195">
        <f>'Pseudo-load coefficients'!Y302</f>
        <v>0.17804203728091658</v>
      </c>
    </row>
    <row r="115" spans="2:27" x14ac:dyDescent="0.3">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3">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3">
      <c r="J117" s="89"/>
      <c r="K117" s="89"/>
      <c r="L117" s="89"/>
      <c r="M117" s="89"/>
      <c r="N117" s="89"/>
      <c r="O117" s="89"/>
      <c r="P117" s="89"/>
      <c r="Q117" s="89"/>
      <c r="R117" s="89"/>
      <c r="S117" s="89"/>
      <c r="T117" s="89"/>
      <c r="U117" s="89"/>
      <c r="V117" s="89"/>
      <c r="W117" s="89"/>
      <c r="X117" s="89"/>
      <c r="Y117" s="89"/>
    </row>
    <row r="118" spans="2:27" x14ac:dyDescent="0.3">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3">
      <c r="C119" s="32"/>
      <c r="D119" s="32"/>
      <c r="E119" s="32"/>
      <c r="J119" s="89"/>
      <c r="K119" s="89"/>
      <c r="L119" s="89"/>
      <c r="M119" s="89"/>
      <c r="N119" s="89"/>
      <c r="O119" s="89"/>
      <c r="P119" s="89"/>
      <c r="Q119" s="89"/>
      <c r="R119" s="89"/>
      <c r="S119" s="89"/>
      <c r="T119" s="89"/>
      <c r="U119" s="89"/>
      <c r="V119" s="89"/>
      <c r="W119" s="89"/>
      <c r="X119" s="89"/>
      <c r="Y119" s="89"/>
    </row>
    <row r="120" spans="2:27" x14ac:dyDescent="0.3">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3">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3">
      <c r="E122" s="32" t="s">
        <v>620</v>
      </c>
      <c r="J122" s="89"/>
      <c r="K122" s="89"/>
      <c r="L122" s="89"/>
      <c r="M122" s="89"/>
      <c r="N122" s="89"/>
      <c r="O122" s="89"/>
      <c r="P122" s="89"/>
      <c r="Q122" s="89"/>
      <c r="R122" s="89"/>
      <c r="S122" s="89"/>
      <c r="T122" s="89"/>
      <c r="U122" s="89"/>
      <c r="V122" s="89"/>
      <c r="W122" s="89"/>
      <c r="X122" s="89"/>
      <c r="Y122" s="89"/>
    </row>
    <row r="123" spans="2:27" x14ac:dyDescent="0.3">
      <c r="E123" s="32"/>
      <c r="F123" s="190" t="s">
        <v>188</v>
      </c>
      <c r="G123" s="23" t="s">
        <v>268</v>
      </c>
      <c r="H123" s="258"/>
      <c r="I123" s="258"/>
      <c r="J123" s="266">
        <f t="shared" ref="J123:Y123" si="0">hundred * $H18 * J55 / $H43 * J$78 * (1 - J67) / hours_in_year</f>
        <v>0</v>
      </c>
      <c r="K123" s="266">
        <f t="shared" si="0"/>
        <v>0</v>
      </c>
      <c r="L123" s="266">
        <f t="shared" si="0"/>
        <v>0</v>
      </c>
      <c r="M123" s="266">
        <f t="shared" si="0"/>
        <v>0</v>
      </c>
      <c r="N123" s="266">
        <f t="shared" si="0"/>
        <v>0</v>
      </c>
      <c r="O123" s="266">
        <f t="shared" si="0"/>
        <v>0</v>
      </c>
      <c r="P123" s="266">
        <f t="shared" si="0"/>
        <v>0</v>
      </c>
      <c r="Q123" s="266">
        <f t="shared" si="0"/>
        <v>0</v>
      </c>
      <c r="R123" s="266">
        <f t="shared" si="0"/>
        <v>0</v>
      </c>
      <c r="S123" s="266">
        <f t="shared" si="0"/>
        <v>0</v>
      </c>
      <c r="T123" s="266">
        <f t="shared" si="0"/>
        <v>0</v>
      </c>
      <c r="U123" s="266">
        <f t="shared" si="0"/>
        <v>0</v>
      </c>
      <c r="V123" s="266">
        <f t="shared" si="0"/>
        <v>0</v>
      </c>
      <c r="W123" s="266">
        <f t="shared" si="0"/>
        <v>0</v>
      </c>
      <c r="X123" s="266">
        <f t="shared" si="0"/>
        <v>0</v>
      </c>
      <c r="Y123" s="266">
        <f t="shared" si="0"/>
        <v>0</v>
      </c>
      <c r="Z123" s="259"/>
      <c r="AA123" s="259"/>
    </row>
    <row r="124" spans="2:27" x14ac:dyDescent="0.3">
      <c r="E124" s="32"/>
      <c r="F124" s="191" t="s">
        <v>190</v>
      </c>
      <c r="G124" t="s">
        <v>268</v>
      </c>
      <c r="H124" s="259"/>
      <c r="I124" s="259"/>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59"/>
      <c r="AA124" s="259"/>
    </row>
    <row r="125" spans="2:27" x14ac:dyDescent="0.3">
      <c r="E125" s="32"/>
      <c r="F125" s="191" t="s">
        <v>191</v>
      </c>
      <c r="G125" t="s">
        <v>268</v>
      </c>
      <c r="H125" s="259"/>
      <c r="I125" s="259"/>
      <c r="J125" s="267">
        <f t="shared" ref="J125:Y125" si="2">hundred * $H20 * J57 / $H45 * J$78 * (1 - J69) / hours_in_year</f>
        <v>0.23759892582135297</v>
      </c>
      <c r="K125" s="267">
        <f t="shared" si="2"/>
        <v>0.23759892582135297</v>
      </c>
      <c r="L125" s="267">
        <f t="shared" si="2"/>
        <v>0.24200377409067181</v>
      </c>
      <c r="M125" s="267">
        <f t="shared" si="2"/>
        <v>0.24200377409067181</v>
      </c>
      <c r="N125" s="267">
        <f t="shared" si="2"/>
        <v>0.21185845431148512</v>
      </c>
      <c r="O125" s="267">
        <f t="shared" si="2"/>
        <v>0.19130583023060949</v>
      </c>
      <c r="P125" s="267">
        <f t="shared" si="2"/>
        <v>0.1591712527038516</v>
      </c>
      <c r="Q125" s="267">
        <f t="shared" si="2"/>
        <v>0.17284994874488899</v>
      </c>
      <c r="R125" s="267">
        <f t="shared" si="2"/>
        <v>-0.1351491350062784</v>
      </c>
      <c r="S125" s="267">
        <f t="shared" si="2"/>
        <v>-0.13080142385333421</v>
      </c>
      <c r="T125" s="267">
        <f t="shared" si="2"/>
        <v>-0.1351491350062784</v>
      </c>
      <c r="U125" s="267">
        <f t="shared" si="2"/>
        <v>-0.1351491350062784</v>
      </c>
      <c r="V125" s="267">
        <f t="shared" si="2"/>
        <v>-0.13080142385333421</v>
      </c>
      <c r="W125" s="267">
        <f t="shared" si="2"/>
        <v>-0.13080142385333421</v>
      </c>
      <c r="X125" s="267">
        <f t="shared" si="2"/>
        <v>-0.12882847030574812</v>
      </c>
      <c r="Y125" s="267">
        <f t="shared" si="2"/>
        <v>-0.12882847030574812</v>
      </c>
      <c r="Z125" s="259"/>
      <c r="AA125" s="259"/>
    </row>
    <row r="126" spans="2:27" x14ac:dyDescent="0.3">
      <c r="E126" s="32"/>
      <c r="F126" s="191" t="s">
        <v>192</v>
      </c>
      <c r="G126" t="s">
        <v>268</v>
      </c>
      <c r="H126" s="259"/>
      <c r="I126" s="259"/>
      <c r="J126" s="267">
        <f t="shared" ref="J126:Y126" si="3">hundred * $H21 * J58 / $H46 * J$78 * (1 - J70) / hours_in_year</f>
        <v>9.3983533861856941E-2</v>
      </c>
      <c r="K126" s="267">
        <f t="shared" si="3"/>
        <v>9.3983533861856941E-2</v>
      </c>
      <c r="L126" s="267">
        <f t="shared" si="3"/>
        <v>9.5725895301601555E-2</v>
      </c>
      <c r="M126" s="267">
        <f t="shared" si="3"/>
        <v>9.5725895301601555E-2</v>
      </c>
      <c r="N126" s="267">
        <f t="shared" si="3"/>
        <v>8.3801751821365844E-2</v>
      </c>
      <c r="O126" s="267">
        <f t="shared" si="3"/>
        <v>7.5672050752315811E-2</v>
      </c>
      <c r="P126" s="267">
        <f t="shared" si="3"/>
        <v>6.2961045663878237E-2</v>
      </c>
      <c r="Q126" s="267">
        <f t="shared" si="3"/>
        <v>6.8371727501411003E-2</v>
      </c>
      <c r="R126" s="267">
        <f t="shared" si="3"/>
        <v>-5.3458967721990151E-2</v>
      </c>
      <c r="S126" s="267">
        <f t="shared" si="3"/>
        <v>-5.1739207176138467E-2</v>
      </c>
      <c r="T126" s="267">
        <f t="shared" si="3"/>
        <v>-5.3458967721990151E-2</v>
      </c>
      <c r="U126" s="267">
        <f t="shared" si="3"/>
        <v>-5.3458967721990151E-2</v>
      </c>
      <c r="V126" s="267">
        <f t="shared" si="3"/>
        <v>-5.1739207176138467E-2</v>
      </c>
      <c r="W126" s="267">
        <f t="shared" si="3"/>
        <v>-5.1739207176138467E-2</v>
      </c>
      <c r="X126" s="267">
        <f t="shared" si="3"/>
        <v>-5.0958794781989669E-2</v>
      </c>
      <c r="Y126" s="267">
        <f t="shared" si="3"/>
        <v>-5.0958794781989669E-2</v>
      </c>
      <c r="Z126" s="259"/>
      <c r="AA126" s="259"/>
    </row>
    <row r="127" spans="2:27" x14ac:dyDescent="0.3">
      <c r="E127" s="32"/>
      <c r="F127" s="191" t="s">
        <v>193</v>
      </c>
      <c r="G127" t="s">
        <v>268</v>
      </c>
      <c r="H127" s="259"/>
      <c r="I127" s="259"/>
      <c r="J127" s="267">
        <f t="shared" ref="J127:Y127" si="4">hundred * $H22 * J59 / $H47 * J$78 * (1 - J71) / hours_in_year</f>
        <v>0.23731477709448481</v>
      </c>
      <c r="K127" s="267">
        <f t="shared" si="4"/>
        <v>0.23731477709448481</v>
      </c>
      <c r="L127" s="267">
        <f t="shared" si="4"/>
        <v>0.24171435752842324</v>
      </c>
      <c r="M127" s="267">
        <f t="shared" si="4"/>
        <v>0.24171435752842324</v>
      </c>
      <c r="N127" s="267">
        <f t="shared" si="4"/>
        <v>0.21160508906641606</v>
      </c>
      <c r="O127" s="267">
        <f t="shared" si="4"/>
        <v>0.19107704422951721</v>
      </c>
      <c r="P127" s="267">
        <f t="shared" si="4"/>
        <v>0.15898089700820414</v>
      </c>
      <c r="Q127" s="267">
        <f t="shared" si="4"/>
        <v>0.17264323445649182</v>
      </c>
      <c r="R127" s="267">
        <f t="shared" si="4"/>
        <v>-0.13498750778293714</v>
      </c>
      <c r="S127" s="267">
        <f t="shared" si="4"/>
        <v>-0.13064499613409269</v>
      </c>
      <c r="T127" s="267">
        <f t="shared" si="4"/>
        <v>-0.13498750778293714</v>
      </c>
      <c r="U127" s="267">
        <f t="shared" si="4"/>
        <v>-0.13498750778293714</v>
      </c>
      <c r="V127" s="267">
        <f t="shared" si="4"/>
        <v>-0.13064499613409269</v>
      </c>
      <c r="W127" s="267">
        <f t="shared" si="4"/>
        <v>-0.13064499613409269</v>
      </c>
      <c r="X127" s="267">
        <f t="shared" si="4"/>
        <v>-0.12867440207629294</v>
      </c>
      <c r="Y127" s="267">
        <f t="shared" si="4"/>
        <v>-0.12867440207629294</v>
      </c>
      <c r="Z127" s="259"/>
      <c r="AA127" s="259"/>
    </row>
    <row r="128" spans="2:27" x14ac:dyDescent="0.3">
      <c r="E128" s="32"/>
      <c r="F128" s="191" t="s">
        <v>194</v>
      </c>
      <c r="G128" t="s">
        <v>268</v>
      </c>
      <c r="H128" s="259"/>
      <c r="I128" s="259"/>
      <c r="J128" s="267">
        <f t="shared" ref="J128:Y128" si="5">hundred * $H23 * J60 / $H48 * J$78 * (1 - J72) / hours_in_year</f>
        <v>0.14969896753451145</v>
      </c>
      <c r="K128" s="267">
        <f t="shared" si="5"/>
        <v>0.14969896753451145</v>
      </c>
      <c r="L128" s="267">
        <f t="shared" si="5"/>
        <v>0.15247423781733668</v>
      </c>
      <c r="M128" s="267">
        <f t="shared" si="5"/>
        <v>0.15247423781733668</v>
      </c>
      <c r="N128" s="267">
        <f t="shared" si="5"/>
        <v>0.13348120899221913</v>
      </c>
      <c r="O128" s="267">
        <f t="shared" si="5"/>
        <v>0.1205320485766314</v>
      </c>
      <c r="P128" s="267">
        <f t="shared" si="5"/>
        <v>4.3122846648762078E-2</v>
      </c>
      <c r="Q128" s="267">
        <f t="shared" si="5"/>
        <v>0.1089039387533194</v>
      </c>
      <c r="R128" s="267">
        <f t="shared" si="5"/>
        <v>-8.5150578453515702E-2</v>
      </c>
      <c r="S128" s="267">
        <f t="shared" si="5"/>
        <v>-8.2411307354186766E-2</v>
      </c>
      <c r="T128" s="267">
        <f t="shared" si="5"/>
        <v>-8.5150578453515702E-2</v>
      </c>
      <c r="U128" s="267">
        <f t="shared" si="5"/>
        <v>-8.5150578453515702E-2</v>
      </c>
      <c r="V128" s="267">
        <f t="shared" si="5"/>
        <v>-8.2411307354186766E-2</v>
      </c>
      <c r="W128" s="267">
        <f t="shared" si="5"/>
        <v>-8.2411307354186766E-2</v>
      </c>
      <c r="X128" s="267">
        <f t="shared" si="5"/>
        <v>-3.4902347469273558E-2</v>
      </c>
      <c r="Y128" s="267">
        <f t="shared" si="5"/>
        <v>-3.4902347469273558E-2</v>
      </c>
      <c r="Z128" s="259"/>
      <c r="AA128" s="259"/>
    </row>
    <row r="129" spans="4:27" x14ac:dyDescent="0.3">
      <c r="E129" s="32"/>
      <c r="F129" s="191" t="s">
        <v>195</v>
      </c>
      <c r="G129" t="s">
        <v>268</v>
      </c>
      <c r="H129" s="259"/>
      <c r="I129" s="259"/>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59"/>
      <c r="AA129" s="259"/>
    </row>
    <row r="130" spans="4:27" x14ac:dyDescent="0.3">
      <c r="E130" s="32"/>
      <c r="F130" s="191" t="s">
        <v>196</v>
      </c>
      <c r="G130" t="s">
        <v>268</v>
      </c>
      <c r="H130" s="259"/>
      <c r="I130" s="259"/>
      <c r="J130" s="267">
        <f t="shared" ref="J130:Y130" si="7">hundred * $H25 * J62 / $H50 * J$78 * (1 - J74) / hours_in_year</f>
        <v>0.19024290751452377</v>
      </c>
      <c r="K130" s="267">
        <f t="shared" si="7"/>
        <v>0.19024290751452377</v>
      </c>
      <c r="L130" s="267">
        <f t="shared" si="7"/>
        <v>0.19376982220497824</v>
      </c>
      <c r="M130" s="267">
        <f t="shared" si="7"/>
        <v>0.19376982220497824</v>
      </c>
      <c r="N130" s="267">
        <f t="shared" si="7"/>
        <v>0.16963278849187316</v>
      </c>
      <c r="O130" s="267">
        <f t="shared" si="7"/>
        <v>0.15317652317551114</v>
      </c>
      <c r="P130" s="267">
        <f t="shared" si="7"/>
        <v>1.6386005848293587E-2</v>
      </c>
      <c r="Q130" s="267">
        <f t="shared" si="7"/>
        <v>0.13839909713097223</v>
      </c>
      <c r="R130" s="267">
        <f t="shared" si="7"/>
        <v>-0.10821246056894696</v>
      </c>
      <c r="S130" s="267">
        <f t="shared" si="7"/>
        <v>-0.10473129495378197</v>
      </c>
      <c r="T130" s="267">
        <f t="shared" si="7"/>
        <v>-0.10821246056894696</v>
      </c>
      <c r="U130" s="267">
        <f t="shared" si="7"/>
        <v>-0.10821246056894696</v>
      </c>
      <c r="V130" s="267">
        <f t="shared" si="7"/>
        <v>-0.10473129495378197</v>
      </c>
      <c r="W130" s="267">
        <f t="shared" si="7"/>
        <v>-0.10473129495378197</v>
      </c>
      <c r="X130" s="267">
        <f t="shared" si="7"/>
        <v>0</v>
      </c>
      <c r="Y130" s="267">
        <f t="shared" si="7"/>
        <v>0</v>
      </c>
      <c r="Z130" s="259"/>
      <c r="AA130" s="259"/>
    </row>
    <row r="131" spans="4:27" x14ac:dyDescent="0.3">
      <c r="E131" s="32"/>
      <c r="F131" s="191" t="s">
        <v>197</v>
      </c>
      <c r="G131" t="s">
        <v>268</v>
      </c>
      <c r="H131" s="259"/>
      <c r="I131" s="259"/>
      <c r="J131" s="267">
        <f t="shared" ref="J131:Y131" si="8">hundred * $H26 * J63 / $H51 * J$78 * (1 - J75) / hours_in_year</f>
        <v>0.1727254171136402</v>
      </c>
      <c r="K131" s="267">
        <f t="shared" si="8"/>
        <v>0.1727254171136402</v>
      </c>
      <c r="L131" s="267">
        <f t="shared" si="8"/>
        <v>0.17592757491805905</v>
      </c>
      <c r="M131" s="267">
        <f t="shared" si="8"/>
        <v>0.17592757491805905</v>
      </c>
      <c r="N131" s="267">
        <f t="shared" si="8"/>
        <v>0.15401306956040839</v>
      </c>
      <c r="O131" s="267">
        <f t="shared" si="8"/>
        <v>5.9602324515013226E-3</v>
      </c>
      <c r="P131" s="267">
        <f t="shared" si="8"/>
        <v>0</v>
      </c>
      <c r="Q131" s="267">
        <f t="shared" si="8"/>
        <v>0.12565536393662083</v>
      </c>
      <c r="R131" s="267">
        <f t="shared" si="8"/>
        <v>-9.8248300726994336E-2</v>
      </c>
      <c r="S131" s="267">
        <f t="shared" si="8"/>
        <v>0</v>
      </c>
      <c r="T131" s="267">
        <f t="shared" si="8"/>
        <v>-9.8248300726994336E-2</v>
      </c>
      <c r="U131" s="267">
        <f t="shared" si="8"/>
        <v>-9.8248300726994336E-2</v>
      </c>
      <c r="V131" s="267">
        <f t="shared" si="8"/>
        <v>0</v>
      </c>
      <c r="W131" s="267">
        <f t="shared" si="8"/>
        <v>0</v>
      </c>
      <c r="X131" s="267">
        <f t="shared" si="8"/>
        <v>0</v>
      </c>
      <c r="Y131" s="267">
        <f t="shared" si="8"/>
        <v>0</v>
      </c>
      <c r="Z131" s="259"/>
      <c r="AA131" s="259"/>
    </row>
    <row r="132" spans="4:27" x14ac:dyDescent="0.3">
      <c r="E132" s="32"/>
      <c r="F132" s="192" t="s">
        <v>198</v>
      </c>
      <c r="G132" s="37" t="s">
        <v>268</v>
      </c>
      <c r="H132" s="261"/>
      <c r="I132" s="261"/>
      <c r="J132" s="268">
        <f t="shared" ref="J132:Y132" si="9">hundred * $H27 * J64 / $H52 * J$78 * (1 - J76) / hours_in_year</f>
        <v>4.1036724609133683E-3</v>
      </c>
      <c r="K132" s="268">
        <f t="shared" si="9"/>
        <v>4.1036724609133683E-3</v>
      </c>
      <c r="L132" s="268">
        <f t="shared" si="9"/>
        <v>4.1797504754701202E-3</v>
      </c>
      <c r="M132" s="268">
        <f t="shared" si="9"/>
        <v>4.1797504754701202E-3</v>
      </c>
      <c r="N132" s="268">
        <f t="shared" si="9"/>
        <v>3.6590977908014678E-3</v>
      </c>
      <c r="O132" s="268">
        <f t="shared" si="9"/>
        <v>0</v>
      </c>
      <c r="P132" s="268">
        <f t="shared" si="9"/>
        <v>0</v>
      </c>
      <c r="Q132" s="268">
        <f t="shared" si="9"/>
        <v>2.9853652413732493E-3</v>
      </c>
      <c r="R132" s="268">
        <f t="shared" si="9"/>
        <v>0</v>
      </c>
      <c r="S132" s="268">
        <f t="shared" si="9"/>
        <v>0</v>
      </c>
      <c r="T132" s="268">
        <f t="shared" si="9"/>
        <v>0</v>
      </c>
      <c r="U132" s="268">
        <f t="shared" si="9"/>
        <v>0</v>
      </c>
      <c r="V132" s="268">
        <f t="shared" si="9"/>
        <v>0</v>
      </c>
      <c r="W132" s="268">
        <f t="shared" si="9"/>
        <v>0</v>
      </c>
      <c r="X132" s="268">
        <f t="shared" si="9"/>
        <v>0</v>
      </c>
      <c r="Y132" s="268">
        <f t="shared" si="9"/>
        <v>0</v>
      </c>
      <c r="Z132" s="259"/>
      <c r="AA132" s="259"/>
    </row>
    <row r="133" spans="4:27" x14ac:dyDescent="0.3">
      <c r="E133" s="32"/>
      <c r="F133" s="191"/>
      <c r="J133" s="89"/>
      <c r="K133" s="89"/>
      <c r="L133" s="89"/>
      <c r="M133" s="89"/>
      <c r="N133" s="89"/>
      <c r="O133" s="89"/>
      <c r="P133" s="89"/>
      <c r="Q133" s="89"/>
      <c r="R133" s="89"/>
      <c r="S133" s="89"/>
      <c r="T133" s="89"/>
      <c r="U133" s="89"/>
      <c r="V133" s="89"/>
      <c r="W133" s="89"/>
      <c r="X133" s="89"/>
      <c r="Y133" s="89"/>
    </row>
    <row r="134" spans="4:27" x14ac:dyDescent="0.3">
      <c r="E134" s="32" t="s">
        <v>621</v>
      </c>
      <c r="J134" s="89"/>
      <c r="K134" s="89"/>
      <c r="L134" s="89"/>
      <c r="M134" s="89"/>
      <c r="N134" s="89"/>
      <c r="O134" s="89"/>
      <c r="P134" s="89"/>
      <c r="Q134" s="89"/>
      <c r="R134" s="89"/>
      <c r="S134" s="89"/>
      <c r="T134" s="89"/>
      <c r="U134" s="89"/>
      <c r="V134" s="89"/>
      <c r="W134" s="89"/>
      <c r="X134" s="89"/>
      <c r="Y134" s="89"/>
    </row>
    <row r="135" spans="4:27" x14ac:dyDescent="0.3">
      <c r="D135" s="32"/>
      <c r="E135" s="32"/>
      <c r="F135" s="190" t="s">
        <v>188</v>
      </c>
      <c r="G135" s="23" t="s">
        <v>268</v>
      </c>
      <c r="H135" s="258"/>
      <c r="I135" s="258"/>
      <c r="J135" s="266">
        <f t="shared" ref="J135:Y135" si="10">hundred * $H30 * J55 / $H43 * J$78 / hours_in_year</f>
        <v>0.12519207058743018</v>
      </c>
      <c r="K135" s="266">
        <f t="shared" si="10"/>
        <v>0.12519207058743018</v>
      </c>
      <c r="L135" s="266">
        <f t="shared" si="10"/>
        <v>0.12751300732379448</v>
      </c>
      <c r="M135" s="266">
        <f t="shared" si="10"/>
        <v>0.12751300732379448</v>
      </c>
      <c r="N135" s="266">
        <f t="shared" si="10"/>
        <v>0.1116292865172696</v>
      </c>
      <c r="O135" s="266">
        <f t="shared" si="10"/>
        <v>0.10080000538396801</v>
      </c>
      <c r="P135" s="266">
        <f t="shared" si="10"/>
        <v>8.3868134652145127E-2</v>
      </c>
      <c r="Q135" s="266">
        <f t="shared" si="10"/>
        <v>9.107550848346091E-2</v>
      </c>
      <c r="R135" s="266">
        <f t="shared" si="10"/>
        <v>-7.1210759859485759E-2</v>
      </c>
      <c r="S135" s="266">
        <f t="shared" si="10"/>
        <v>-6.8919928957487497E-2</v>
      </c>
      <c r="T135" s="266">
        <f t="shared" si="10"/>
        <v>-7.1210759859485759E-2</v>
      </c>
      <c r="U135" s="266">
        <f t="shared" si="10"/>
        <v>-7.1210759859485759E-2</v>
      </c>
      <c r="V135" s="266">
        <f t="shared" si="10"/>
        <v>-6.8919928957487497E-2</v>
      </c>
      <c r="W135" s="266">
        <f t="shared" si="10"/>
        <v>-6.8919928957487497E-2</v>
      </c>
      <c r="X135" s="266">
        <f t="shared" si="10"/>
        <v>-6.78803697972713E-2</v>
      </c>
      <c r="Y135" s="266">
        <f t="shared" si="10"/>
        <v>-6.78803697972713E-2</v>
      </c>
      <c r="Z135" s="259"/>
      <c r="AA135" s="259"/>
    </row>
    <row r="136" spans="4:27" x14ac:dyDescent="0.3">
      <c r="D136" s="32"/>
      <c r="E136" s="32"/>
      <c r="F136" s="191" t="s">
        <v>190</v>
      </c>
      <c r="G136" t="s">
        <v>268</v>
      </c>
      <c r="H136" s="259"/>
      <c r="I136" s="259"/>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59"/>
      <c r="AA136" s="259"/>
    </row>
    <row r="137" spans="4:27" x14ac:dyDescent="0.3">
      <c r="D137" s="32"/>
      <c r="E137" s="32"/>
      <c r="F137" s="191" t="s">
        <v>191</v>
      </c>
      <c r="G137" t="s">
        <v>268</v>
      </c>
      <c r="H137" s="259"/>
      <c r="I137" s="259"/>
      <c r="J137" s="267">
        <f t="shared" ref="J137:Y137" si="12">hundred * $H32 * J57 / $H45 * J$78 / hours_in_year</f>
        <v>0.11549432895873146</v>
      </c>
      <c r="K137" s="267">
        <f t="shared" si="12"/>
        <v>0.11549432895873146</v>
      </c>
      <c r="L137" s="267">
        <f t="shared" si="12"/>
        <v>0.11763547919024604</v>
      </c>
      <c r="M137" s="267">
        <f t="shared" si="12"/>
        <v>0.11763547919024604</v>
      </c>
      <c r="N137" s="267">
        <f t="shared" si="12"/>
        <v>0.1029821575596537</v>
      </c>
      <c r="O137" s="267">
        <f t="shared" si="12"/>
        <v>9.2991744015669259E-2</v>
      </c>
      <c r="P137" s="267">
        <f t="shared" si="12"/>
        <v>7.737146519919115E-2</v>
      </c>
      <c r="Q137" s="267">
        <f t="shared" si="12"/>
        <v>8.4020534907014277E-2</v>
      </c>
      <c r="R137" s="267">
        <f t="shared" si="12"/>
        <v>-6.5694567443622481E-2</v>
      </c>
      <c r="S137" s="267">
        <f t="shared" si="12"/>
        <v>-6.3581190961048514E-2</v>
      </c>
      <c r="T137" s="267">
        <f t="shared" si="12"/>
        <v>-6.5694567443622481E-2</v>
      </c>
      <c r="U137" s="267">
        <f t="shared" si="12"/>
        <v>-6.5694567443622481E-2</v>
      </c>
      <c r="V137" s="267">
        <f t="shared" si="12"/>
        <v>-6.3581190961048514E-2</v>
      </c>
      <c r="W137" s="267">
        <f t="shared" si="12"/>
        <v>-6.3581190961048514E-2</v>
      </c>
      <c r="X137" s="267">
        <f t="shared" si="12"/>
        <v>-6.2622159074614284E-2</v>
      </c>
      <c r="Y137" s="267">
        <f t="shared" si="12"/>
        <v>-6.2622159074614284E-2</v>
      </c>
      <c r="Z137" s="259"/>
      <c r="AA137" s="259"/>
    </row>
    <row r="138" spans="4:27" x14ac:dyDescent="0.3">
      <c r="D138" s="32"/>
      <c r="E138" s="32"/>
      <c r="F138" s="191" t="s">
        <v>192</v>
      </c>
      <c r="G138" t="s">
        <v>268</v>
      </c>
      <c r="H138" s="259"/>
      <c r="I138" s="259"/>
      <c r="J138" s="267">
        <f t="shared" ref="J138:Y138" si="13">hundred * $H33 * J58 / $H46 * J$78 / hours_in_year</f>
        <v>4.5684403408064102E-2</v>
      </c>
      <c r="K138" s="267">
        <f t="shared" si="13"/>
        <v>4.5684403408064102E-2</v>
      </c>
      <c r="L138" s="267">
        <f t="shared" si="13"/>
        <v>4.653134690577241E-2</v>
      </c>
      <c r="M138" s="267">
        <f t="shared" si="13"/>
        <v>4.653134690577241E-2</v>
      </c>
      <c r="N138" s="267">
        <f t="shared" si="13"/>
        <v>4.0735146670873496E-2</v>
      </c>
      <c r="O138" s="267">
        <f t="shared" si="13"/>
        <v>3.6783384825321265E-2</v>
      </c>
      <c r="P138" s="267">
        <f t="shared" si="13"/>
        <v>3.0604699471398739E-2</v>
      </c>
      <c r="Q138" s="267">
        <f t="shared" si="13"/>
        <v>3.3234774779503866E-2</v>
      </c>
      <c r="R138" s="267">
        <f t="shared" si="13"/>
        <v>-2.5985839719326144E-2</v>
      </c>
      <c r="S138" s="267">
        <f t="shared" si="13"/>
        <v>-2.5149882277489124E-2</v>
      </c>
      <c r="T138" s="267">
        <f t="shared" si="13"/>
        <v>-2.5985839719326144E-2</v>
      </c>
      <c r="U138" s="267">
        <f t="shared" si="13"/>
        <v>-2.5985839719326144E-2</v>
      </c>
      <c r="V138" s="267">
        <f t="shared" si="13"/>
        <v>-2.5149882277489124E-2</v>
      </c>
      <c r="W138" s="267">
        <f t="shared" si="13"/>
        <v>-2.5149882277489124E-2</v>
      </c>
      <c r="X138" s="267">
        <f t="shared" si="13"/>
        <v>-2.477053205331739E-2</v>
      </c>
      <c r="Y138" s="267">
        <f t="shared" si="13"/>
        <v>-2.477053205331739E-2</v>
      </c>
      <c r="Z138" s="259"/>
      <c r="AA138" s="259"/>
    </row>
    <row r="139" spans="4:27" x14ac:dyDescent="0.3">
      <c r="D139" s="32"/>
      <c r="E139" s="32"/>
      <c r="F139" s="191" t="s">
        <v>193</v>
      </c>
      <c r="G139" t="s">
        <v>268</v>
      </c>
      <c r="H139" s="259"/>
      <c r="I139" s="259"/>
      <c r="J139" s="267">
        <f t="shared" ref="J139:Y139" si="14">hundred * $H34 * J59 / $H47 * J$78 / hours_in_year</f>
        <v>0.11535620726301812</v>
      </c>
      <c r="K139" s="267">
        <f t="shared" si="14"/>
        <v>0.11535620726301812</v>
      </c>
      <c r="L139" s="267">
        <f t="shared" si="14"/>
        <v>0.11749479685537907</v>
      </c>
      <c r="M139" s="267">
        <f t="shared" si="14"/>
        <v>0.11749479685537907</v>
      </c>
      <c r="N139" s="267">
        <f t="shared" si="14"/>
        <v>0.10285899938939029</v>
      </c>
      <c r="O139" s="267">
        <f t="shared" si="14"/>
        <v>9.2880533556362874E-2</v>
      </c>
      <c r="P139" s="267">
        <f t="shared" si="14"/>
        <v>7.7278935305563581E-2</v>
      </c>
      <c r="Q139" s="267">
        <f t="shared" si="14"/>
        <v>8.3920053274186696E-2</v>
      </c>
      <c r="R139" s="267">
        <f t="shared" si="14"/>
        <v>-6.561600215702984E-2</v>
      </c>
      <c r="S139" s="267">
        <f t="shared" si="14"/>
        <v>-6.3505153098495526E-2</v>
      </c>
      <c r="T139" s="267">
        <f t="shared" si="14"/>
        <v>-6.561600215702984E-2</v>
      </c>
      <c r="U139" s="267">
        <f t="shared" si="14"/>
        <v>-6.561600215702984E-2</v>
      </c>
      <c r="V139" s="267">
        <f t="shared" si="14"/>
        <v>-6.3505153098495526E-2</v>
      </c>
      <c r="W139" s="267">
        <f t="shared" si="14"/>
        <v>-6.3505153098495526E-2</v>
      </c>
      <c r="X139" s="267">
        <f t="shared" si="14"/>
        <v>-6.2547268135131812E-2</v>
      </c>
      <c r="Y139" s="267">
        <f t="shared" si="14"/>
        <v>-6.2547268135131812E-2</v>
      </c>
      <c r="Z139" s="259"/>
      <c r="AA139" s="259"/>
    </row>
    <row r="140" spans="4:27" x14ac:dyDescent="0.3">
      <c r="D140" s="32"/>
      <c r="E140" s="32"/>
      <c r="F140" s="191" t="s">
        <v>194</v>
      </c>
      <c r="G140" t="s">
        <v>268</v>
      </c>
      <c r="H140" s="259"/>
      <c r="I140" s="259"/>
      <c r="J140" s="267">
        <f t="shared" ref="J140:Y140" si="15">hundred * $H35 * J60 / $H48 * J$78 / hours_in_year</f>
        <v>7.27670873992627E-2</v>
      </c>
      <c r="K140" s="267">
        <f t="shared" si="15"/>
        <v>7.27670873992627E-2</v>
      </c>
      <c r="L140" s="267">
        <f t="shared" si="15"/>
        <v>7.4116116978777777E-2</v>
      </c>
      <c r="M140" s="267">
        <f t="shared" si="15"/>
        <v>7.4116116978777777E-2</v>
      </c>
      <c r="N140" s="267">
        <f t="shared" si="15"/>
        <v>6.4883806220352364E-2</v>
      </c>
      <c r="O140" s="267">
        <f t="shared" si="15"/>
        <v>5.8589356076660409E-2</v>
      </c>
      <c r="P140" s="267">
        <f t="shared" si="15"/>
        <v>4.8747814902412263E-2</v>
      </c>
      <c r="Q140" s="267">
        <f t="shared" si="15"/>
        <v>5.2937054676478058E-2</v>
      </c>
      <c r="R140" s="267">
        <f t="shared" si="15"/>
        <v>-4.1390797054069839E-2</v>
      </c>
      <c r="S140" s="267">
        <f t="shared" si="15"/>
        <v>-4.0059266297525445E-2</v>
      </c>
      <c r="T140" s="267">
        <f t="shared" si="15"/>
        <v>-4.1390797054069839E-2</v>
      </c>
      <c r="U140" s="267">
        <f t="shared" si="15"/>
        <v>-4.1390797054069839E-2</v>
      </c>
      <c r="V140" s="267">
        <f t="shared" si="15"/>
        <v>-4.0059266297525445E-2</v>
      </c>
      <c r="W140" s="267">
        <f t="shared" si="15"/>
        <v>-4.0059266297525445E-2</v>
      </c>
      <c r="X140" s="267">
        <f t="shared" si="15"/>
        <v>-3.9455029208760886E-2</v>
      </c>
      <c r="Y140" s="267">
        <f t="shared" si="15"/>
        <v>-3.9455029208760886E-2</v>
      </c>
      <c r="Z140" s="259"/>
      <c r="AA140" s="259"/>
    </row>
    <row r="141" spans="4:27" x14ac:dyDescent="0.3">
      <c r="D141" s="32"/>
      <c r="E141" s="32"/>
      <c r="F141" s="191" t="s">
        <v>195</v>
      </c>
      <c r="G141" t="s">
        <v>268</v>
      </c>
      <c r="H141" s="259"/>
      <c r="I141" s="259"/>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59"/>
      <c r="AA141" s="259"/>
    </row>
    <row r="142" spans="4:27" x14ac:dyDescent="0.3">
      <c r="D142" s="32"/>
      <c r="E142" s="32"/>
      <c r="F142" s="191" t="s">
        <v>196</v>
      </c>
      <c r="G142" t="s">
        <v>268</v>
      </c>
      <c r="H142" s="259"/>
      <c r="I142" s="259"/>
      <c r="J142" s="267">
        <f t="shared" ref="J142:Y142" si="17">hundred * $H37 * J62 / $H50 * J$78 / hours_in_year</f>
        <v>0.13210724072445837</v>
      </c>
      <c r="K142" s="267">
        <f t="shared" si="17"/>
        <v>0.13210724072445837</v>
      </c>
      <c r="L142" s="267">
        <f t="shared" si="17"/>
        <v>0.13455637785190122</v>
      </c>
      <c r="M142" s="267">
        <f t="shared" si="17"/>
        <v>0.13455637785190122</v>
      </c>
      <c r="N142" s="267">
        <f t="shared" si="17"/>
        <v>0.1177952961129244</v>
      </c>
      <c r="O142" s="267">
        <f t="shared" si="17"/>
        <v>0.1063678435367582</v>
      </c>
      <c r="P142" s="267">
        <f t="shared" si="17"/>
        <v>8.8500715753116257E-2</v>
      </c>
      <c r="Q142" s="267">
        <f t="shared" si="17"/>
        <v>9.6106199592924213E-2</v>
      </c>
      <c r="R142" s="267">
        <f t="shared" si="17"/>
        <v>-7.5144192046562669E-2</v>
      </c>
      <c r="S142" s="267">
        <f t="shared" si="17"/>
        <v>-7.2726823694004253E-2</v>
      </c>
      <c r="T142" s="267">
        <f t="shared" si="17"/>
        <v>-7.5144192046562669E-2</v>
      </c>
      <c r="U142" s="267">
        <f t="shared" si="17"/>
        <v>-7.5144192046562669E-2</v>
      </c>
      <c r="V142" s="267">
        <f t="shared" si="17"/>
        <v>-7.2726823694004253E-2</v>
      </c>
      <c r="W142" s="267">
        <f t="shared" si="17"/>
        <v>-7.2726823694004253E-2</v>
      </c>
      <c r="X142" s="267">
        <f t="shared" si="17"/>
        <v>0</v>
      </c>
      <c r="Y142" s="267">
        <f t="shared" si="17"/>
        <v>0</v>
      </c>
      <c r="Z142" s="259"/>
      <c r="AA142" s="259"/>
    </row>
    <row r="143" spans="4:27" x14ac:dyDescent="0.3">
      <c r="D143" s="32"/>
      <c r="E143" s="32"/>
      <c r="F143" s="191" t="s">
        <v>197</v>
      </c>
      <c r="G143" t="s">
        <v>268</v>
      </c>
      <c r="H143" s="259"/>
      <c r="I143" s="259"/>
      <c r="J143" s="267">
        <f t="shared" ref="J143:Y143" si="18">hundred * $H38 * J63 / $H51 * J$78 / hours_in_year</f>
        <v>0.1199428591371908</v>
      </c>
      <c r="K143" s="267">
        <f t="shared" si="18"/>
        <v>0.1199428591371908</v>
      </c>
      <c r="L143" s="267">
        <f t="shared" si="18"/>
        <v>0.12216648070307637</v>
      </c>
      <c r="M143" s="267">
        <f t="shared" si="18"/>
        <v>0.12216648070307637</v>
      </c>
      <c r="N143" s="267">
        <f t="shared" si="18"/>
        <v>0.10694875262866933</v>
      </c>
      <c r="O143" s="267">
        <f t="shared" si="18"/>
        <v>9.6573535289153231E-2</v>
      </c>
      <c r="P143" s="267">
        <f t="shared" si="18"/>
        <v>0</v>
      </c>
      <c r="Q143" s="267">
        <f t="shared" si="18"/>
        <v>8.7256779392037465E-2</v>
      </c>
      <c r="R143" s="267">
        <f t="shared" si="18"/>
        <v>-6.8224945068814893E-2</v>
      </c>
      <c r="S143" s="267">
        <f t="shared" si="18"/>
        <v>0</v>
      </c>
      <c r="T143" s="267">
        <f t="shared" si="18"/>
        <v>-6.8224945068814893E-2</v>
      </c>
      <c r="U143" s="267">
        <f t="shared" si="18"/>
        <v>-6.8224945068814893E-2</v>
      </c>
      <c r="V143" s="267">
        <f t="shared" si="18"/>
        <v>0</v>
      </c>
      <c r="W143" s="267">
        <f t="shared" si="18"/>
        <v>0</v>
      </c>
      <c r="X143" s="267">
        <f t="shared" si="18"/>
        <v>0</v>
      </c>
      <c r="Y143" s="267">
        <f t="shared" si="18"/>
        <v>0</v>
      </c>
      <c r="Z143" s="259"/>
      <c r="AA143" s="259"/>
    </row>
    <row r="144" spans="4:27" x14ac:dyDescent="0.3">
      <c r="D144" s="32"/>
      <c r="E144" s="32"/>
      <c r="F144" s="192" t="s">
        <v>198</v>
      </c>
      <c r="G144" s="37" t="s">
        <v>268</v>
      </c>
      <c r="H144" s="261"/>
      <c r="I144" s="261"/>
      <c r="J144" s="268">
        <f t="shared" ref="J144:Y144" si="19">hundred * $H39 * J64 / $H52 * J$78 / hours_in_year</f>
        <v>6.6491728375345116E-2</v>
      </c>
      <c r="K144" s="268">
        <f t="shared" si="19"/>
        <v>6.6491728375345116E-2</v>
      </c>
      <c r="L144" s="268">
        <f t="shared" si="19"/>
        <v>6.7724419026810312E-2</v>
      </c>
      <c r="M144" s="268">
        <f t="shared" si="19"/>
        <v>6.7724419026810312E-2</v>
      </c>
      <c r="N144" s="268">
        <f t="shared" si="19"/>
        <v>5.9288293284168334E-2</v>
      </c>
      <c r="O144" s="268">
        <f t="shared" si="19"/>
        <v>0</v>
      </c>
      <c r="P144" s="268">
        <f t="shared" si="19"/>
        <v>0</v>
      </c>
      <c r="Q144" s="268">
        <f t="shared" si="19"/>
        <v>4.8371817346846785E-2</v>
      </c>
      <c r="R144" s="268">
        <f t="shared" si="19"/>
        <v>0</v>
      </c>
      <c r="S144" s="268">
        <f t="shared" si="19"/>
        <v>0</v>
      </c>
      <c r="T144" s="268">
        <f t="shared" si="19"/>
        <v>0</v>
      </c>
      <c r="U144" s="268">
        <f t="shared" si="19"/>
        <v>0</v>
      </c>
      <c r="V144" s="268">
        <f t="shared" si="19"/>
        <v>0</v>
      </c>
      <c r="W144" s="268">
        <f t="shared" si="19"/>
        <v>0</v>
      </c>
      <c r="X144" s="268">
        <f t="shared" si="19"/>
        <v>0</v>
      </c>
      <c r="Y144" s="268">
        <f t="shared" si="19"/>
        <v>0</v>
      </c>
      <c r="Z144" s="259"/>
      <c r="AA144" s="259"/>
    </row>
    <row r="145" spans="3:27" x14ac:dyDescent="0.3">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3">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3">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3">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3">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3">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3">
      <c r="E151" s="32" t="s">
        <v>620</v>
      </c>
      <c r="J151" s="163"/>
      <c r="K151" s="163"/>
      <c r="L151" s="163"/>
      <c r="M151" s="163"/>
      <c r="N151" s="163"/>
      <c r="O151" s="163"/>
      <c r="P151" s="163"/>
      <c r="Q151" s="163"/>
      <c r="R151" s="163"/>
      <c r="S151" s="163"/>
      <c r="T151" s="163"/>
      <c r="U151" s="163"/>
      <c r="V151" s="163"/>
      <c r="W151" s="163"/>
      <c r="X151" s="163"/>
      <c r="Y151" s="163"/>
    </row>
    <row r="152" spans="3:27" x14ac:dyDescent="0.3">
      <c r="E152" s="32"/>
      <c r="F152" s="190" t="s">
        <v>188</v>
      </c>
      <c r="G152" s="23" t="s">
        <v>268</v>
      </c>
      <c r="H152" s="258"/>
      <c r="I152" s="258"/>
      <c r="J152" s="266">
        <f t="shared" ref="J152:Y152" si="20">hundred * $H18 * J55 / $H43 * J81 * (1 - J67) / hours_in_year</f>
        <v>0</v>
      </c>
      <c r="K152" s="266">
        <f t="shared" si="20"/>
        <v>0</v>
      </c>
      <c r="L152" s="266">
        <f t="shared" si="20"/>
        <v>0</v>
      </c>
      <c r="M152" s="266">
        <f t="shared" si="20"/>
        <v>0</v>
      </c>
      <c r="N152" s="266">
        <f t="shared" si="20"/>
        <v>0</v>
      </c>
      <c r="O152" s="266">
        <f t="shared" si="20"/>
        <v>0</v>
      </c>
      <c r="P152" s="266">
        <f t="shared" si="20"/>
        <v>0</v>
      </c>
      <c r="Q152" s="266">
        <f t="shared" si="20"/>
        <v>0</v>
      </c>
      <c r="R152" s="266">
        <f t="shared" si="20"/>
        <v>0</v>
      </c>
      <c r="S152" s="266">
        <f t="shared" si="20"/>
        <v>0</v>
      </c>
      <c r="T152" s="266">
        <f t="shared" si="20"/>
        <v>0</v>
      </c>
      <c r="U152" s="266">
        <f t="shared" si="20"/>
        <v>0</v>
      </c>
      <c r="V152" s="266">
        <f t="shared" si="20"/>
        <v>0</v>
      </c>
      <c r="W152" s="266">
        <f t="shared" si="20"/>
        <v>0</v>
      </c>
      <c r="X152" s="266">
        <f t="shared" si="20"/>
        <v>0</v>
      </c>
      <c r="Y152" s="266">
        <f t="shared" si="20"/>
        <v>0</v>
      </c>
      <c r="Z152" s="259"/>
      <c r="AA152" s="259"/>
    </row>
    <row r="153" spans="3:27" x14ac:dyDescent="0.3">
      <c r="E153" s="32"/>
      <c r="F153" s="191" t="s">
        <v>190</v>
      </c>
      <c r="G153" t="s">
        <v>268</v>
      </c>
      <c r="H153" s="259"/>
      <c r="I153" s="259"/>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59"/>
      <c r="AA153" s="259"/>
    </row>
    <row r="154" spans="3:27" x14ac:dyDescent="0.3">
      <c r="E154" s="32"/>
      <c r="F154" s="191" t="s">
        <v>191</v>
      </c>
      <c r="G154" t="s">
        <v>268</v>
      </c>
      <c r="H154" s="259"/>
      <c r="I154" s="259"/>
      <c r="J154" s="267">
        <f t="shared" ref="J154:Y154" si="22">hundred * $H20 * J57 / $H45 * J83 * (1 - J69) / hours_in_year</f>
        <v>1.3068758970826815</v>
      </c>
      <c r="K154" s="267">
        <f t="shared" si="22"/>
        <v>1.3068758970826815</v>
      </c>
      <c r="L154" s="267">
        <f t="shared" si="22"/>
        <v>1.5072030131067242</v>
      </c>
      <c r="M154" s="267">
        <f t="shared" si="22"/>
        <v>1.5072030131067242</v>
      </c>
      <c r="N154" s="267">
        <f t="shared" si="22"/>
        <v>1.3282701758333015</v>
      </c>
      <c r="O154" s="267">
        <f t="shared" si="22"/>
        <v>1.2577916360930235</v>
      </c>
      <c r="P154" s="267">
        <f t="shared" si="22"/>
        <v>1.0789620370256103</v>
      </c>
      <c r="Q154" s="267">
        <f t="shared" si="22"/>
        <v>1.9135769414684138</v>
      </c>
      <c r="R154" s="267">
        <f t="shared" si="22"/>
        <v>-1.0201668758920965</v>
      </c>
      <c r="S154" s="267">
        <f t="shared" si="22"/>
        <v>-0.98734838316571494</v>
      </c>
      <c r="T154" s="267">
        <f t="shared" si="22"/>
        <v>-1.0201668758920965</v>
      </c>
      <c r="U154" s="267">
        <f t="shared" si="22"/>
        <v>-1.0201668758920965</v>
      </c>
      <c r="V154" s="267">
        <f t="shared" si="22"/>
        <v>-0.98734838316571494</v>
      </c>
      <c r="W154" s="267">
        <f t="shared" si="22"/>
        <v>-0.98734838316571494</v>
      </c>
      <c r="X154" s="267">
        <f t="shared" si="22"/>
        <v>-0.97245563629887333</v>
      </c>
      <c r="Y154" s="267">
        <f t="shared" si="22"/>
        <v>-0.97245563629887333</v>
      </c>
      <c r="Z154" s="259"/>
      <c r="AA154" s="259"/>
    </row>
    <row r="155" spans="3:27" x14ac:dyDescent="0.3">
      <c r="E155" s="32"/>
      <c r="F155" s="191" t="s">
        <v>192</v>
      </c>
      <c r="G155" t="s">
        <v>268</v>
      </c>
      <c r="H155" s="259"/>
      <c r="I155" s="259"/>
      <c r="J155" s="267">
        <f t="shared" ref="J155:Y155" si="23">hundred * $H21 * J58 / $H46 * J84 * (1 - J70) / hours_in_year</f>
        <v>0.51694179467404233</v>
      </c>
      <c r="K155" s="267">
        <f t="shared" si="23"/>
        <v>0.51694179467404233</v>
      </c>
      <c r="L155" s="267">
        <f t="shared" si="23"/>
        <v>0.59618226357435145</v>
      </c>
      <c r="M155" s="267">
        <f t="shared" si="23"/>
        <v>0.59618226357435145</v>
      </c>
      <c r="N155" s="267">
        <f t="shared" si="23"/>
        <v>0.5254044167774804</v>
      </c>
      <c r="O155" s="267">
        <f t="shared" si="23"/>
        <v>0.4975262510689577</v>
      </c>
      <c r="P155" s="267">
        <f t="shared" si="23"/>
        <v>0.42678924070009994</v>
      </c>
      <c r="Q155" s="267">
        <f t="shared" si="23"/>
        <v>0.75692565803512024</v>
      </c>
      <c r="R155" s="267">
        <f t="shared" si="23"/>
        <v>-0.40353249827922011</v>
      </c>
      <c r="S155" s="267">
        <f t="shared" si="23"/>
        <v>-0.39055096685275187</v>
      </c>
      <c r="T155" s="267">
        <f t="shared" si="23"/>
        <v>-0.40353249827922011</v>
      </c>
      <c r="U155" s="267">
        <f t="shared" si="23"/>
        <v>-0.40353249827922011</v>
      </c>
      <c r="V155" s="267">
        <f t="shared" si="23"/>
        <v>-0.39055096685275187</v>
      </c>
      <c r="W155" s="267">
        <f t="shared" si="23"/>
        <v>-0.39055096685275187</v>
      </c>
      <c r="X155" s="267">
        <f t="shared" si="23"/>
        <v>-0.3846600606770722</v>
      </c>
      <c r="Y155" s="267">
        <f t="shared" si="23"/>
        <v>-0.3846600606770722</v>
      </c>
      <c r="Z155" s="259"/>
      <c r="AA155" s="259"/>
    </row>
    <row r="156" spans="3:27" x14ac:dyDescent="0.3">
      <c r="E156" s="32"/>
      <c r="F156" s="191" t="s">
        <v>193</v>
      </c>
      <c r="G156" t="s">
        <v>268</v>
      </c>
      <c r="H156" s="259"/>
      <c r="I156" s="259"/>
      <c r="J156" s="267">
        <f t="shared" ref="J156:Y156" si="24">hundred * $H22 * J59 / $H47 * J85 * (1 - J71) / hours_in_year</f>
        <v>0.94393882372925886</v>
      </c>
      <c r="K156" s="267">
        <f t="shared" si="24"/>
        <v>0.94393882372925886</v>
      </c>
      <c r="L156" s="267">
        <f t="shared" si="24"/>
        <v>1.0886323961510371</v>
      </c>
      <c r="M156" s="267">
        <f t="shared" si="24"/>
        <v>1.0886323961510371</v>
      </c>
      <c r="N156" s="267">
        <f t="shared" si="24"/>
        <v>0.95939162254778243</v>
      </c>
      <c r="O156" s="267">
        <f t="shared" si="24"/>
        <v>0.90848592442518172</v>
      </c>
      <c r="P156" s="267">
        <f t="shared" si="24"/>
        <v>0.779319718384893</v>
      </c>
      <c r="Q156" s="267">
        <f t="shared" si="24"/>
        <v>1.5730910348245959</v>
      </c>
      <c r="R156" s="267">
        <f t="shared" si="24"/>
        <v>-0.73685276695880042</v>
      </c>
      <c r="S156" s="267">
        <f t="shared" si="24"/>
        <v>-0.71314841255922734</v>
      </c>
      <c r="T156" s="267">
        <f t="shared" si="24"/>
        <v>-0.73685276695880042</v>
      </c>
      <c r="U156" s="267">
        <f t="shared" si="24"/>
        <v>-0.73685276695880042</v>
      </c>
      <c r="V156" s="267">
        <f t="shared" si="24"/>
        <v>-0.71314841255922734</v>
      </c>
      <c r="W156" s="267">
        <f t="shared" si="24"/>
        <v>-0.71314841255922734</v>
      </c>
      <c r="X156" s="267">
        <f t="shared" si="24"/>
        <v>-0.70239158247997857</v>
      </c>
      <c r="Y156" s="267">
        <f t="shared" si="24"/>
        <v>-0.70239158247997857</v>
      </c>
      <c r="Z156" s="259"/>
      <c r="AA156" s="259"/>
    </row>
    <row r="157" spans="3:27" x14ac:dyDescent="0.3">
      <c r="E157" s="32"/>
      <c r="F157" s="191" t="s">
        <v>194</v>
      </c>
      <c r="G157" t="s">
        <v>268</v>
      </c>
      <c r="H157" s="259"/>
      <c r="I157" s="259"/>
      <c r="J157" s="267">
        <f t="shared" ref="J157:Y157" si="25">hundred * $H23 * J60 / $H48 * J86 * (1 - J72) / hours_in_year</f>
        <v>0.59543981650898714</v>
      </c>
      <c r="K157" s="267">
        <f t="shared" si="25"/>
        <v>0.59543981650898714</v>
      </c>
      <c r="L157" s="267">
        <f t="shared" si="25"/>
        <v>0.68671301350757252</v>
      </c>
      <c r="M157" s="267">
        <f t="shared" si="25"/>
        <v>0.68671301350757252</v>
      </c>
      <c r="N157" s="267">
        <f t="shared" si="25"/>
        <v>0.6051874944958936</v>
      </c>
      <c r="O157" s="267">
        <f t="shared" si="25"/>
        <v>0.57307600719671525</v>
      </c>
      <c r="P157" s="267">
        <f t="shared" si="25"/>
        <v>0.21138693603253439</v>
      </c>
      <c r="Q157" s="267">
        <f t="shared" si="25"/>
        <v>0.99231116845825351</v>
      </c>
      <c r="R157" s="267">
        <f t="shared" si="25"/>
        <v>-0.46480922843992545</v>
      </c>
      <c r="S157" s="267">
        <f t="shared" si="25"/>
        <v>-0.4498564411624798</v>
      </c>
      <c r="T157" s="267">
        <f t="shared" si="25"/>
        <v>-0.46480922843992545</v>
      </c>
      <c r="U157" s="267">
        <f t="shared" si="25"/>
        <v>-0.46480922843992545</v>
      </c>
      <c r="V157" s="267">
        <f t="shared" si="25"/>
        <v>-0.4498564411624798</v>
      </c>
      <c r="W157" s="267">
        <f t="shared" si="25"/>
        <v>-0.4498564411624798</v>
      </c>
      <c r="X157" s="267">
        <f t="shared" si="25"/>
        <v>-0.19052052836953348</v>
      </c>
      <c r="Y157" s="267">
        <f t="shared" si="25"/>
        <v>-0.19052052836953348</v>
      </c>
      <c r="Z157" s="259"/>
      <c r="AA157" s="259"/>
    </row>
    <row r="158" spans="3:27" x14ac:dyDescent="0.3">
      <c r="E158" s="32"/>
      <c r="F158" s="191" t="s">
        <v>195</v>
      </c>
      <c r="G158" t="s">
        <v>268</v>
      </c>
      <c r="H158" s="259"/>
      <c r="I158" s="259"/>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59"/>
      <c r="AA158" s="259"/>
    </row>
    <row r="159" spans="3:27" x14ac:dyDescent="0.3">
      <c r="E159" s="32"/>
      <c r="F159" s="191" t="s">
        <v>196</v>
      </c>
      <c r="G159" t="s">
        <v>268</v>
      </c>
      <c r="H159" s="259"/>
      <c r="I159" s="259"/>
      <c r="J159" s="267">
        <f t="shared" ref="J159:Y159" si="27">hundred * $H25 * J62 / $H50 * J88 * (1 - J74) / hours_in_year</f>
        <v>0.75670663470988364</v>
      </c>
      <c r="K159" s="267">
        <f t="shared" si="27"/>
        <v>0.75670663470988364</v>
      </c>
      <c r="L159" s="267">
        <f t="shared" si="27"/>
        <v>0.87269994221986147</v>
      </c>
      <c r="M159" s="267">
        <f t="shared" si="27"/>
        <v>0.87269994221986147</v>
      </c>
      <c r="N159" s="267">
        <f t="shared" si="27"/>
        <v>0.76909433939673699</v>
      </c>
      <c r="O159" s="267">
        <f t="shared" si="27"/>
        <v>0.7282858902202054</v>
      </c>
      <c r="P159" s="267">
        <f t="shared" si="27"/>
        <v>8.0323722556970997E-2</v>
      </c>
      <c r="Q159" s="267">
        <f t="shared" si="27"/>
        <v>1.2610652227986234</v>
      </c>
      <c r="R159" s="267">
        <f t="shared" si="27"/>
        <v>-0.59069651925026201</v>
      </c>
      <c r="S159" s="267">
        <f t="shared" si="27"/>
        <v>-0.571693971844906</v>
      </c>
      <c r="T159" s="267">
        <f t="shared" si="27"/>
        <v>-0.59069651925026201</v>
      </c>
      <c r="U159" s="267">
        <f t="shared" si="27"/>
        <v>-0.59069651925026201</v>
      </c>
      <c r="V159" s="267">
        <f t="shared" si="27"/>
        <v>-0.571693971844906</v>
      </c>
      <c r="W159" s="267">
        <f t="shared" si="27"/>
        <v>-0.571693971844906</v>
      </c>
      <c r="X159" s="267">
        <f t="shared" si="27"/>
        <v>0</v>
      </c>
      <c r="Y159" s="267">
        <f t="shared" si="27"/>
        <v>0</v>
      </c>
      <c r="Z159" s="259"/>
      <c r="AA159" s="259"/>
    </row>
    <row r="160" spans="3:27" x14ac:dyDescent="0.3">
      <c r="E160" s="32"/>
      <c r="F160" s="191" t="s">
        <v>197</v>
      </c>
      <c r="G160" t="s">
        <v>268</v>
      </c>
      <c r="H160" s="259"/>
      <c r="I160" s="259"/>
      <c r="J160" s="267">
        <f t="shared" ref="J160:Y160" si="28">hundred * $H26 * J63 / $H51 * J89 * (1 - J75) / hours_in_year</f>
        <v>0.6870293921624665</v>
      </c>
      <c r="K160" s="267">
        <f t="shared" si="28"/>
        <v>0.6870293921624665</v>
      </c>
      <c r="L160" s="267">
        <f t="shared" si="28"/>
        <v>0.79234208257391903</v>
      </c>
      <c r="M160" s="267">
        <f t="shared" si="28"/>
        <v>0.79234208257391903</v>
      </c>
      <c r="N160" s="267">
        <f t="shared" si="28"/>
        <v>0.69827644198456829</v>
      </c>
      <c r="O160" s="267">
        <f t="shared" si="28"/>
        <v>2.8338240788291821E-2</v>
      </c>
      <c r="P160" s="267">
        <f t="shared" si="28"/>
        <v>0</v>
      </c>
      <c r="Q160" s="267">
        <f t="shared" si="28"/>
        <v>1.1449468443325219</v>
      </c>
      <c r="R160" s="267">
        <f t="shared" si="28"/>
        <v>-0.5363054213586792</v>
      </c>
      <c r="S160" s="267">
        <f t="shared" si="28"/>
        <v>0</v>
      </c>
      <c r="T160" s="267">
        <f t="shared" si="28"/>
        <v>-0.5363054213586792</v>
      </c>
      <c r="U160" s="267">
        <f t="shared" si="28"/>
        <v>-0.5363054213586792</v>
      </c>
      <c r="V160" s="267">
        <f t="shared" si="28"/>
        <v>0</v>
      </c>
      <c r="W160" s="267">
        <f t="shared" si="28"/>
        <v>0</v>
      </c>
      <c r="X160" s="267">
        <f t="shared" si="28"/>
        <v>0</v>
      </c>
      <c r="Y160" s="267">
        <f t="shared" si="28"/>
        <v>0</v>
      </c>
      <c r="Z160" s="259"/>
      <c r="AA160" s="259"/>
    </row>
    <row r="161" spans="3:27" x14ac:dyDescent="0.3">
      <c r="E161" s="32"/>
      <c r="F161" s="192" t="s">
        <v>198</v>
      </c>
      <c r="G161" s="37" t="s">
        <v>268</v>
      </c>
      <c r="H161" s="261"/>
      <c r="I161" s="261"/>
      <c r="J161" s="268">
        <f t="shared" ref="J161:Y161" si="29">hundred * $H27 * J64 / $H52 * J90 * (1 - J76) / hours_in_year</f>
        <v>1.63226909135223E-2</v>
      </c>
      <c r="K161" s="268">
        <f t="shared" si="29"/>
        <v>1.63226909135223E-2</v>
      </c>
      <c r="L161" s="268">
        <f t="shared" si="29"/>
        <v>1.8824747615124239E-2</v>
      </c>
      <c r="M161" s="268">
        <f t="shared" si="29"/>
        <v>1.8824747615124239E-2</v>
      </c>
      <c r="N161" s="268">
        <f t="shared" si="29"/>
        <v>1.6589902360411524E-2</v>
      </c>
      <c r="O161" s="268">
        <f t="shared" si="29"/>
        <v>0</v>
      </c>
      <c r="P161" s="268">
        <f t="shared" si="29"/>
        <v>0</v>
      </c>
      <c r="Q161" s="268">
        <f t="shared" si="29"/>
        <v>2.720205811519788E-2</v>
      </c>
      <c r="R161" s="268">
        <f t="shared" si="29"/>
        <v>0</v>
      </c>
      <c r="S161" s="268">
        <f t="shared" si="29"/>
        <v>0</v>
      </c>
      <c r="T161" s="268">
        <f t="shared" si="29"/>
        <v>0</v>
      </c>
      <c r="U161" s="268">
        <f t="shared" si="29"/>
        <v>0</v>
      </c>
      <c r="V161" s="268">
        <f t="shared" si="29"/>
        <v>0</v>
      </c>
      <c r="W161" s="268">
        <f t="shared" si="29"/>
        <v>0</v>
      </c>
      <c r="X161" s="268">
        <f t="shared" si="29"/>
        <v>0</v>
      </c>
      <c r="Y161" s="268">
        <f t="shared" si="29"/>
        <v>0</v>
      </c>
      <c r="Z161" s="259"/>
      <c r="AA161" s="259"/>
    </row>
    <row r="162" spans="3:27" x14ac:dyDescent="0.3">
      <c r="E162" s="32"/>
      <c r="F162" s="191"/>
      <c r="J162" s="163"/>
      <c r="K162" s="163"/>
      <c r="L162" s="163"/>
      <c r="M162" s="163"/>
      <c r="N162" s="163"/>
      <c r="O162" s="163"/>
      <c r="P162" s="163"/>
      <c r="Q162" s="163"/>
      <c r="R162" s="163"/>
      <c r="S162" s="163"/>
      <c r="T162" s="163"/>
      <c r="U162" s="163"/>
      <c r="V162" s="163"/>
      <c r="W162" s="163"/>
      <c r="X162" s="163"/>
      <c r="Y162" s="163"/>
    </row>
    <row r="163" spans="3:27" x14ac:dyDescent="0.3">
      <c r="E163" s="32" t="s">
        <v>621</v>
      </c>
      <c r="J163" s="163"/>
      <c r="K163" s="163"/>
      <c r="L163" s="163"/>
      <c r="M163" s="163"/>
      <c r="N163" s="163"/>
      <c r="O163" s="163"/>
      <c r="P163" s="163"/>
      <c r="Q163" s="163"/>
      <c r="R163" s="163"/>
      <c r="S163" s="163"/>
      <c r="T163" s="163"/>
      <c r="U163" s="163"/>
      <c r="V163" s="163"/>
      <c r="W163" s="163"/>
      <c r="X163" s="163"/>
      <c r="Y163" s="163"/>
    </row>
    <row r="164" spans="3:27" x14ac:dyDescent="0.3">
      <c r="D164" s="32"/>
      <c r="E164" s="32"/>
      <c r="F164" s="190" t="s">
        <v>188</v>
      </c>
      <c r="G164" s="23" t="s">
        <v>268</v>
      </c>
      <c r="H164" s="258"/>
      <c r="I164" s="258"/>
      <c r="J164" s="266">
        <f t="shared" ref="J164:Y164" si="30">hundred * $H30 * J55 / $H43 * J81 / hours_in_year</f>
        <v>0.90719066299650186</v>
      </c>
      <c r="K164" s="266">
        <f t="shared" si="30"/>
        <v>0.90719066299650186</v>
      </c>
      <c r="L164" s="266">
        <f t="shared" si="30"/>
        <v>1.0462512192495572</v>
      </c>
      <c r="M164" s="266">
        <f t="shared" si="30"/>
        <v>1.0462512192495572</v>
      </c>
      <c r="N164" s="266">
        <f t="shared" si="30"/>
        <v>0.92204187416921746</v>
      </c>
      <c r="O164" s="266">
        <f t="shared" si="30"/>
        <v>0.87311796843590728</v>
      </c>
      <c r="P164" s="266">
        <f t="shared" si="30"/>
        <v>0.74898028795414595</v>
      </c>
      <c r="Q164" s="266">
        <f t="shared" si="30"/>
        <v>1.5208971403600968</v>
      </c>
      <c r="R164" s="266">
        <f t="shared" si="30"/>
        <v>-0.70816660294490741</v>
      </c>
      <c r="S164" s="266">
        <f t="shared" si="30"/>
        <v>-0.68538507469004173</v>
      </c>
      <c r="T164" s="266">
        <f t="shared" si="30"/>
        <v>-0.70816660294490741</v>
      </c>
      <c r="U164" s="266">
        <f t="shared" si="30"/>
        <v>-0.70816660294490741</v>
      </c>
      <c r="V164" s="266">
        <f t="shared" si="30"/>
        <v>-0.68538507469004173</v>
      </c>
      <c r="W164" s="266">
        <f t="shared" si="30"/>
        <v>-0.68538507469004173</v>
      </c>
      <c r="X164" s="266">
        <f t="shared" si="30"/>
        <v>-0.67504701509759801</v>
      </c>
      <c r="Y164" s="266">
        <f t="shared" si="30"/>
        <v>-0.67504701509759801</v>
      </c>
      <c r="Z164" s="259"/>
      <c r="AA164" s="259"/>
    </row>
    <row r="165" spans="3:27" x14ac:dyDescent="0.3">
      <c r="D165" s="32"/>
      <c r="E165" s="32"/>
      <c r="F165" s="191" t="s">
        <v>190</v>
      </c>
      <c r="G165" t="s">
        <v>268</v>
      </c>
      <c r="H165" s="259"/>
      <c r="I165" s="259"/>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59"/>
      <c r="AA165" s="259"/>
    </row>
    <row r="166" spans="3:27" x14ac:dyDescent="0.3">
      <c r="D166" s="32"/>
      <c r="E166" s="32"/>
      <c r="F166" s="191" t="s">
        <v>191</v>
      </c>
      <c r="G166" t="s">
        <v>268</v>
      </c>
      <c r="H166" s="259"/>
      <c r="I166" s="259"/>
      <c r="J166" s="267">
        <f t="shared" ref="J166:Y166" si="32">hundred * $H32 * J57 / $H45 * J83 / hours_in_year</f>
        <v>0.63525857385143047</v>
      </c>
      <c r="K166" s="267">
        <f t="shared" si="32"/>
        <v>0.63525857385143047</v>
      </c>
      <c r="L166" s="267">
        <f t="shared" si="32"/>
        <v>0.73263546963264636</v>
      </c>
      <c r="M166" s="267">
        <f t="shared" si="32"/>
        <v>0.73263546963264636</v>
      </c>
      <c r="N166" s="267">
        <f t="shared" si="32"/>
        <v>0.6456581068430769</v>
      </c>
      <c r="O166" s="267">
        <f t="shared" si="32"/>
        <v>0.6113992328807637</v>
      </c>
      <c r="P166" s="267">
        <f t="shared" si="32"/>
        <v>0.52447205309301026</v>
      </c>
      <c r="Q166" s="267">
        <f t="shared" si="32"/>
        <v>0.93016954517701911</v>
      </c>
      <c r="R166" s="267">
        <f t="shared" si="32"/>
        <v>-0.49589234610291494</v>
      </c>
      <c r="S166" s="267">
        <f t="shared" si="32"/>
        <v>-0.47993962332957901</v>
      </c>
      <c r="T166" s="267">
        <f t="shared" si="32"/>
        <v>-0.49589234610291494</v>
      </c>
      <c r="U166" s="267">
        <f t="shared" si="32"/>
        <v>-0.49589234610291494</v>
      </c>
      <c r="V166" s="267">
        <f t="shared" si="32"/>
        <v>-0.47993962332957901</v>
      </c>
      <c r="W166" s="267">
        <f t="shared" si="32"/>
        <v>-0.47993962332957901</v>
      </c>
      <c r="X166" s="267">
        <f t="shared" si="32"/>
        <v>-0.47270041633488324</v>
      </c>
      <c r="Y166" s="267">
        <f t="shared" si="32"/>
        <v>-0.47270041633488324</v>
      </c>
      <c r="Z166" s="259"/>
      <c r="AA166" s="259"/>
    </row>
    <row r="167" spans="3:27" x14ac:dyDescent="0.3">
      <c r="D167" s="32"/>
      <c r="E167" s="32"/>
      <c r="F167" s="191" t="s">
        <v>192</v>
      </c>
      <c r="G167" t="s">
        <v>268</v>
      </c>
      <c r="H167" s="259"/>
      <c r="I167" s="259"/>
      <c r="J167" s="267">
        <f t="shared" ref="J167:Y167" si="33">hundred * $H33 * J58 / $H46 * J84 / hours_in_year</f>
        <v>0.25127994783735391</v>
      </c>
      <c r="K167" s="267">
        <f t="shared" si="33"/>
        <v>0.25127994783735391</v>
      </c>
      <c r="L167" s="267">
        <f t="shared" si="33"/>
        <v>0.28979790304434644</v>
      </c>
      <c r="M167" s="267">
        <f t="shared" si="33"/>
        <v>0.28979790304434644</v>
      </c>
      <c r="N167" s="267">
        <f t="shared" si="33"/>
        <v>0.25539353908230245</v>
      </c>
      <c r="O167" s="267">
        <f t="shared" si="33"/>
        <v>0.24184225710585511</v>
      </c>
      <c r="P167" s="267">
        <f t="shared" si="33"/>
        <v>0.20745774330026345</v>
      </c>
      <c r="Q167" s="267">
        <f t="shared" si="33"/>
        <v>0.36793356975082758</v>
      </c>
      <c r="R167" s="267">
        <f t="shared" si="33"/>
        <v>-0.19615288638485318</v>
      </c>
      <c r="S167" s="267">
        <f t="shared" si="33"/>
        <v>-0.18984270103458803</v>
      </c>
      <c r="T167" s="267">
        <f t="shared" si="33"/>
        <v>-0.19615288638485318</v>
      </c>
      <c r="U167" s="267">
        <f t="shared" si="33"/>
        <v>-0.19615288638485318</v>
      </c>
      <c r="V167" s="267">
        <f t="shared" si="33"/>
        <v>-0.18984270103458803</v>
      </c>
      <c r="W167" s="267">
        <f t="shared" si="33"/>
        <v>-0.18984270103458803</v>
      </c>
      <c r="X167" s="267">
        <f t="shared" si="33"/>
        <v>-0.186979193746552</v>
      </c>
      <c r="Y167" s="267">
        <f t="shared" si="33"/>
        <v>-0.186979193746552</v>
      </c>
      <c r="Z167" s="259"/>
      <c r="AA167" s="259"/>
    </row>
    <row r="168" spans="3:27" x14ac:dyDescent="0.3">
      <c r="D168" s="32"/>
      <c r="E168" s="32"/>
      <c r="F168" s="191" t="s">
        <v>193</v>
      </c>
      <c r="G168" t="s">
        <v>268</v>
      </c>
      <c r="H168" s="259"/>
      <c r="I168" s="259"/>
      <c r="J168" s="267">
        <f t="shared" ref="J168:Y168" si="34">hundred * $H34 * J59 / $H47 * J85 / hours_in_year</f>
        <v>0.45883869486293571</v>
      </c>
      <c r="K168" s="267">
        <f t="shared" si="34"/>
        <v>0.45883869486293571</v>
      </c>
      <c r="L168" s="267">
        <f t="shared" si="34"/>
        <v>0.52917271255146625</v>
      </c>
      <c r="M168" s="267">
        <f t="shared" si="34"/>
        <v>0.52917271255146625</v>
      </c>
      <c r="N168" s="267">
        <f t="shared" si="34"/>
        <v>0.4663501371975764</v>
      </c>
      <c r="O168" s="267">
        <f t="shared" si="34"/>
        <v>0.44160541486972332</v>
      </c>
      <c r="P168" s="267">
        <f t="shared" si="34"/>
        <v>0.37881908602080849</v>
      </c>
      <c r="Q168" s="267">
        <f t="shared" si="34"/>
        <v>0.7646629412570155</v>
      </c>
      <c r="R168" s="267">
        <f t="shared" si="34"/>
        <v>-0.35817634935470344</v>
      </c>
      <c r="S168" s="267">
        <f t="shared" si="34"/>
        <v>-0.34665391298292841</v>
      </c>
      <c r="T168" s="267">
        <f t="shared" si="34"/>
        <v>-0.35817634935470344</v>
      </c>
      <c r="U168" s="267">
        <f t="shared" si="34"/>
        <v>-0.35817634935470344</v>
      </c>
      <c r="V168" s="267">
        <f t="shared" si="34"/>
        <v>-0.34665391298292841</v>
      </c>
      <c r="W168" s="267">
        <f t="shared" si="34"/>
        <v>-0.34665391298292841</v>
      </c>
      <c r="X168" s="267">
        <f t="shared" si="34"/>
        <v>-0.34142513146621378</v>
      </c>
      <c r="Y168" s="267">
        <f t="shared" si="34"/>
        <v>-0.34142513146621378</v>
      </c>
      <c r="Z168" s="259"/>
      <c r="AA168" s="259"/>
    </row>
    <row r="169" spans="3:27" x14ac:dyDescent="0.3">
      <c r="D169" s="32"/>
      <c r="E169" s="32"/>
      <c r="F169" s="191" t="s">
        <v>194</v>
      </c>
      <c r="G169" t="s">
        <v>268</v>
      </c>
      <c r="H169" s="259"/>
      <c r="I169" s="259"/>
      <c r="J169" s="267">
        <f t="shared" ref="J169:Y169" si="35">hundred * $H35 * J60 / $H48 * J86 / hours_in_year</f>
        <v>0.28943700736560884</v>
      </c>
      <c r="K169" s="267">
        <f t="shared" si="35"/>
        <v>0.28943700736560884</v>
      </c>
      <c r="L169" s="267">
        <f t="shared" si="35"/>
        <v>0.33380394464375013</v>
      </c>
      <c r="M169" s="267">
        <f t="shared" si="35"/>
        <v>0.33380394464375013</v>
      </c>
      <c r="N169" s="267">
        <f t="shared" si="35"/>
        <v>0.29417525070619538</v>
      </c>
      <c r="O169" s="267">
        <f t="shared" si="35"/>
        <v>0.27856619580552661</v>
      </c>
      <c r="P169" s="267">
        <f t="shared" si="35"/>
        <v>0.23896036628643727</v>
      </c>
      <c r="Q169" s="267">
        <f t="shared" si="35"/>
        <v>0.48235198085664538</v>
      </c>
      <c r="R169" s="267">
        <f t="shared" si="35"/>
        <v>-0.22593885787538545</v>
      </c>
      <c r="S169" s="267">
        <f t="shared" si="35"/>
        <v>-0.21867046587108102</v>
      </c>
      <c r="T169" s="267">
        <f t="shared" si="35"/>
        <v>-0.22593885787538545</v>
      </c>
      <c r="U169" s="267">
        <f t="shared" si="35"/>
        <v>-0.22593885787538545</v>
      </c>
      <c r="V169" s="267">
        <f t="shared" si="35"/>
        <v>-0.21867046587108102</v>
      </c>
      <c r="W169" s="267">
        <f t="shared" si="35"/>
        <v>-0.21867046587108102</v>
      </c>
      <c r="X169" s="267">
        <f t="shared" si="35"/>
        <v>-0.2153721327284969</v>
      </c>
      <c r="Y169" s="267">
        <f t="shared" si="35"/>
        <v>-0.2153721327284969</v>
      </c>
      <c r="Z169" s="259"/>
      <c r="AA169" s="259"/>
    </row>
    <row r="170" spans="3:27" x14ac:dyDescent="0.3">
      <c r="D170" s="32"/>
      <c r="E170" s="32"/>
      <c r="F170" s="191" t="s">
        <v>195</v>
      </c>
      <c r="G170" t="s">
        <v>268</v>
      </c>
      <c r="H170" s="259"/>
      <c r="I170" s="259"/>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59"/>
      <c r="AA170" s="259"/>
    </row>
    <row r="171" spans="3:27" x14ac:dyDescent="0.3">
      <c r="D171" s="32"/>
      <c r="E171" s="32"/>
      <c r="F171" s="191" t="s">
        <v>196</v>
      </c>
      <c r="G171" t="s">
        <v>268</v>
      </c>
      <c r="H171" s="259"/>
      <c r="I171" s="259"/>
      <c r="J171" s="267">
        <f t="shared" ref="J171:Y171" si="37">hundred * $H37 * J62 / $H50 * J88 / hours_in_year</f>
        <v>0.5254672926073819</v>
      </c>
      <c r="K171" s="267">
        <f t="shared" si="37"/>
        <v>0.5254672926073819</v>
      </c>
      <c r="L171" s="267">
        <f t="shared" si="37"/>
        <v>0.60601460970763654</v>
      </c>
      <c r="M171" s="267">
        <f t="shared" si="37"/>
        <v>0.60601460970763654</v>
      </c>
      <c r="N171" s="267">
        <f t="shared" si="37"/>
        <v>0.53406948181101743</v>
      </c>
      <c r="O171" s="267">
        <f t="shared" si="37"/>
        <v>0.50573154433209022</v>
      </c>
      <c r="P171" s="267">
        <f t="shared" si="37"/>
        <v>0.43382792634526929</v>
      </c>
      <c r="Q171" s="267">
        <f t="shared" si="37"/>
        <v>0.87570069830215347</v>
      </c>
      <c r="R171" s="267">
        <f t="shared" si="37"/>
        <v>-0.41018762950590709</v>
      </c>
      <c r="S171" s="267">
        <f t="shared" si="37"/>
        <v>-0.39699200430623616</v>
      </c>
      <c r="T171" s="267">
        <f t="shared" si="37"/>
        <v>-0.41018762950590709</v>
      </c>
      <c r="U171" s="267">
        <f t="shared" si="37"/>
        <v>-0.41018762950590709</v>
      </c>
      <c r="V171" s="267">
        <f t="shared" si="37"/>
        <v>-0.39699200430623616</v>
      </c>
      <c r="W171" s="267">
        <f t="shared" si="37"/>
        <v>-0.39699200430623616</v>
      </c>
      <c r="X171" s="267">
        <f t="shared" si="37"/>
        <v>0</v>
      </c>
      <c r="Y171" s="267">
        <f t="shared" si="37"/>
        <v>0</v>
      </c>
      <c r="Z171" s="259"/>
      <c r="AA171" s="259"/>
    </row>
    <row r="172" spans="3:27" x14ac:dyDescent="0.3">
      <c r="D172" s="32"/>
      <c r="E172" s="32"/>
      <c r="F172" s="191" t="s">
        <v>197</v>
      </c>
      <c r="G172" t="s">
        <v>268</v>
      </c>
      <c r="H172" s="259"/>
      <c r="I172" s="259"/>
      <c r="J172" s="267">
        <f t="shared" ref="J172:Y172" si="38">hundred * $H38 * J63 / $H51 * J89 / hours_in_year</f>
        <v>0.47708247566735817</v>
      </c>
      <c r="K172" s="267">
        <f t="shared" si="38"/>
        <v>0.47708247566735817</v>
      </c>
      <c r="L172" s="267">
        <f t="shared" si="38"/>
        <v>0.5502130282082669</v>
      </c>
      <c r="M172" s="267">
        <f t="shared" si="38"/>
        <v>0.5502130282082669</v>
      </c>
      <c r="N172" s="267">
        <f t="shared" si="38"/>
        <v>0.48489257874925595</v>
      </c>
      <c r="O172" s="267">
        <f t="shared" si="38"/>
        <v>0.45916398715477424</v>
      </c>
      <c r="P172" s="267">
        <f t="shared" si="38"/>
        <v>0</v>
      </c>
      <c r="Q172" s="267">
        <f t="shared" si="38"/>
        <v>0.79506653024317364</v>
      </c>
      <c r="R172" s="267">
        <f t="shared" si="38"/>
        <v>-0.37241771757432895</v>
      </c>
      <c r="S172" s="267">
        <f t="shared" si="38"/>
        <v>0</v>
      </c>
      <c r="T172" s="267">
        <f t="shared" si="38"/>
        <v>-0.37241771757432895</v>
      </c>
      <c r="U172" s="267">
        <f t="shared" si="38"/>
        <v>-0.37241771757432895</v>
      </c>
      <c r="V172" s="267">
        <f t="shared" si="38"/>
        <v>0</v>
      </c>
      <c r="W172" s="267">
        <f t="shared" si="38"/>
        <v>0</v>
      </c>
      <c r="X172" s="267">
        <f t="shared" si="38"/>
        <v>0</v>
      </c>
      <c r="Y172" s="267">
        <f t="shared" si="38"/>
        <v>0</v>
      </c>
      <c r="Z172" s="259"/>
      <c r="AA172" s="259"/>
    </row>
    <row r="173" spans="3:27" x14ac:dyDescent="0.3">
      <c r="D173" s="32"/>
      <c r="E173" s="32"/>
      <c r="F173" s="192" t="s">
        <v>198</v>
      </c>
      <c r="G173" s="37" t="s">
        <v>268</v>
      </c>
      <c r="H173" s="261"/>
      <c r="I173" s="261"/>
      <c r="J173" s="268">
        <f t="shared" ref="J173:Y173" si="39">hundred * $H39 * J64 / $H52 * J90 / hours_in_year</f>
        <v>0.26447625655169238</v>
      </c>
      <c r="K173" s="268">
        <f t="shared" si="39"/>
        <v>0.26447625655169238</v>
      </c>
      <c r="L173" s="268">
        <f t="shared" si="39"/>
        <v>0.30501703463942487</v>
      </c>
      <c r="M173" s="268">
        <f t="shared" si="39"/>
        <v>0.30501703463942487</v>
      </c>
      <c r="N173" s="268">
        <f t="shared" si="39"/>
        <v>0.2688058786437505</v>
      </c>
      <c r="O173" s="268">
        <f t="shared" si="39"/>
        <v>0</v>
      </c>
      <c r="P173" s="268">
        <f t="shared" si="39"/>
        <v>0</v>
      </c>
      <c r="Q173" s="268">
        <f t="shared" si="39"/>
        <v>0.44075444048561291</v>
      </c>
      <c r="R173" s="268">
        <f t="shared" si="39"/>
        <v>0</v>
      </c>
      <c r="S173" s="268">
        <f t="shared" si="39"/>
        <v>0</v>
      </c>
      <c r="T173" s="268">
        <f t="shared" si="39"/>
        <v>0</v>
      </c>
      <c r="U173" s="268">
        <f t="shared" si="39"/>
        <v>0</v>
      </c>
      <c r="V173" s="268">
        <f t="shared" si="39"/>
        <v>0</v>
      </c>
      <c r="W173" s="268">
        <f t="shared" si="39"/>
        <v>0</v>
      </c>
      <c r="X173" s="268">
        <f t="shared" si="39"/>
        <v>0</v>
      </c>
      <c r="Y173" s="268">
        <f t="shared" si="39"/>
        <v>0</v>
      </c>
      <c r="Z173" s="259"/>
      <c r="AA173" s="259"/>
    </row>
    <row r="174" spans="3:27" x14ac:dyDescent="0.3">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3">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3">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3">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3">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3">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3">
      <c r="E180" s="32" t="s">
        <v>620</v>
      </c>
      <c r="J180" s="163"/>
      <c r="K180" s="163"/>
      <c r="L180" s="163"/>
      <c r="M180" s="163"/>
      <c r="N180" s="163"/>
      <c r="O180" s="163"/>
      <c r="P180" s="163"/>
      <c r="Q180" s="163"/>
      <c r="R180" s="163"/>
      <c r="S180" s="163"/>
      <c r="T180" s="163"/>
      <c r="U180" s="163"/>
      <c r="V180" s="163"/>
      <c r="W180" s="163"/>
      <c r="X180" s="163"/>
      <c r="Y180" s="163"/>
    </row>
    <row r="181" spans="4:27" x14ac:dyDescent="0.3">
      <c r="E181" s="32"/>
      <c r="F181" s="190" t="s">
        <v>188</v>
      </c>
      <c r="G181" s="23" t="s">
        <v>268</v>
      </c>
      <c r="H181" s="258"/>
      <c r="I181" s="258"/>
      <c r="J181" s="266">
        <f t="shared" ref="J181:Y181" si="40">hundred * $H18 * J55 / $H43 * J93 * (1 - J67) / hours_in_year</f>
        <v>0</v>
      </c>
      <c r="K181" s="266">
        <f t="shared" si="40"/>
        <v>0</v>
      </c>
      <c r="L181" s="266">
        <f t="shared" si="40"/>
        <v>0</v>
      </c>
      <c r="M181" s="266">
        <f t="shared" si="40"/>
        <v>0</v>
      </c>
      <c r="N181" s="266">
        <f t="shared" si="40"/>
        <v>0</v>
      </c>
      <c r="O181" s="266">
        <f t="shared" si="40"/>
        <v>0</v>
      </c>
      <c r="P181" s="266">
        <f t="shared" si="40"/>
        <v>0</v>
      </c>
      <c r="Q181" s="266">
        <f t="shared" si="40"/>
        <v>0</v>
      </c>
      <c r="R181" s="266">
        <f t="shared" si="40"/>
        <v>0</v>
      </c>
      <c r="S181" s="266">
        <f t="shared" si="40"/>
        <v>0</v>
      </c>
      <c r="T181" s="266">
        <f t="shared" si="40"/>
        <v>0</v>
      </c>
      <c r="U181" s="266">
        <f t="shared" si="40"/>
        <v>0</v>
      </c>
      <c r="V181" s="266">
        <f t="shared" si="40"/>
        <v>0</v>
      </c>
      <c r="W181" s="266">
        <f t="shared" si="40"/>
        <v>0</v>
      </c>
      <c r="X181" s="266">
        <f t="shared" si="40"/>
        <v>0</v>
      </c>
      <c r="Y181" s="266">
        <f t="shared" si="40"/>
        <v>0</v>
      </c>
      <c r="Z181" s="259"/>
      <c r="AA181" s="259"/>
    </row>
    <row r="182" spans="4:27" x14ac:dyDescent="0.3">
      <c r="E182" s="32"/>
      <c r="F182" s="191" t="s">
        <v>190</v>
      </c>
      <c r="G182" t="s">
        <v>268</v>
      </c>
      <c r="H182" s="259"/>
      <c r="I182" s="259"/>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59"/>
      <c r="AA182" s="259"/>
    </row>
    <row r="183" spans="4:27" x14ac:dyDescent="0.3">
      <c r="E183" s="32"/>
      <c r="F183" s="191" t="s">
        <v>191</v>
      </c>
      <c r="G183" t="s">
        <v>268</v>
      </c>
      <c r="H183" s="259"/>
      <c r="I183" s="259"/>
      <c r="J183" s="267">
        <f t="shared" ref="J183:Y183" si="42">hundred * $H20 * J57 / $H45 * J95 * (1 - J69) / hours_in_year</f>
        <v>0.13335123624807285</v>
      </c>
      <c r="K183" s="267">
        <f t="shared" si="42"/>
        <v>0.13335123624807285</v>
      </c>
      <c r="L183" s="267">
        <f t="shared" si="42"/>
        <v>0.15379225029956017</v>
      </c>
      <c r="M183" s="267">
        <f t="shared" si="42"/>
        <v>0.15379225029956017</v>
      </c>
      <c r="N183" s="267">
        <f t="shared" si="42"/>
        <v>0.1355342694851229</v>
      </c>
      <c r="O183" s="267">
        <f t="shared" si="42"/>
        <v>0.12834276765675118</v>
      </c>
      <c r="P183" s="267">
        <f t="shared" si="42"/>
        <v>0.11009532108082125</v>
      </c>
      <c r="Q183" s="267">
        <f t="shared" si="42"/>
        <v>0.11957318205284463</v>
      </c>
      <c r="R183" s="267">
        <f t="shared" si="42"/>
        <v>-0.10409596992585636</v>
      </c>
      <c r="S183" s="267">
        <f t="shared" si="42"/>
        <v>-0.10074723070231517</v>
      </c>
      <c r="T183" s="267">
        <f t="shared" si="42"/>
        <v>-0.10409596992585636</v>
      </c>
      <c r="U183" s="267">
        <f t="shared" si="42"/>
        <v>-0.10409596992585636</v>
      </c>
      <c r="V183" s="267">
        <f t="shared" si="42"/>
        <v>-0.10074723070231517</v>
      </c>
      <c r="W183" s="267">
        <f t="shared" si="42"/>
        <v>-0.10074723070231517</v>
      </c>
      <c r="X183" s="267">
        <f t="shared" si="42"/>
        <v>-9.9227601937061954E-2</v>
      </c>
      <c r="Y183" s="267">
        <f t="shared" si="42"/>
        <v>-9.9227601937061954E-2</v>
      </c>
      <c r="Z183" s="259"/>
      <c r="AA183" s="259"/>
    </row>
    <row r="184" spans="4:27" x14ac:dyDescent="0.3">
      <c r="E184" s="32"/>
      <c r="F184" s="191" t="s">
        <v>192</v>
      </c>
      <c r="G184" t="s">
        <v>268</v>
      </c>
      <c r="H184" s="259"/>
      <c r="I184" s="259"/>
      <c r="J184" s="267">
        <f t="shared" ref="J184:Y184" si="43">hundred * $H21 * J58 / $H46 * J96 * (1 - J70) / hours_in_year</f>
        <v>5.2747799191922608E-2</v>
      </c>
      <c r="K184" s="267">
        <f t="shared" si="43"/>
        <v>5.2747799191922608E-2</v>
      </c>
      <c r="L184" s="267">
        <f t="shared" si="43"/>
        <v>6.0833352313164876E-2</v>
      </c>
      <c r="M184" s="267">
        <f t="shared" si="43"/>
        <v>6.0833352313164876E-2</v>
      </c>
      <c r="N184" s="267">
        <f t="shared" si="43"/>
        <v>5.3611309737884055E-2</v>
      </c>
      <c r="O184" s="267">
        <f t="shared" si="43"/>
        <v>5.076667248513584E-2</v>
      </c>
      <c r="P184" s="267">
        <f t="shared" si="43"/>
        <v>4.3548796784591698E-2</v>
      </c>
      <c r="Q184" s="267">
        <f t="shared" si="43"/>
        <v>4.7297815701755841E-2</v>
      </c>
      <c r="R184" s="267">
        <f t="shared" si="43"/>
        <v>-4.1175721146843411E-2</v>
      </c>
      <c r="S184" s="267">
        <f t="shared" si="43"/>
        <v>-3.9851109324116354E-2</v>
      </c>
      <c r="T184" s="267">
        <f t="shared" si="43"/>
        <v>-4.1175721146843411E-2</v>
      </c>
      <c r="U184" s="267">
        <f t="shared" si="43"/>
        <v>-4.1175721146843411E-2</v>
      </c>
      <c r="V184" s="267">
        <f t="shared" si="43"/>
        <v>-3.9851109324116354E-2</v>
      </c>
      <c r="W184" s="267">
        <f t="shared" si="43"/>
        <v>-3.9851109324116354E-2</v>
      </c>
      <c r="X184" s="267">
        <f t="shared" si="43"/>
        <v>-3.9250011987405291E-2</v>
      </c>
      <c r="Y184" s="267">
        <f t="shared" si="43"/>
        <v>-3.9250011987405291E-2</v>
      </c>
      <c r="Z184" s="259"/>
      <c r="AA184" s="259"/>
    </row>
    <row r="185" spans="4:27" x14ac:dyDescent="0.3">
      <c r="E185" s="32"/>
      <c r="F185" s="191" t="s">
        <v>193</v>
      </c>
      <c r="G185" t="s">
        <v>268</v>
      </c>
      <c r="H185" s="259"/>
      <c r="I185" s="259"/>
      <c r="J185" s="267">
        <f t="shared" ref="J185:Y185" si="44">hundred * $H22 * J59 / $H47 * J97 * (1 - J71) / hours_in_year</f>
        <v>0.24028024655840682</v>
      </c>
      <c r="K185" s="267">
        <f t="shared" si="44"/>
        <v>0.24028024655840682</v>
      </c>
      <c r="L185" s="267">
        <f t="shared" si="44"/>
        <v>0.27711209029968459</v>
      </c>
      <c r="M185" s="267">
        <f t="shared" si="44"/>
        <v>0.27711209029968459</v>
      </c>
      <c r="N185" s="267">
        <f t="shared" si="44"/>
        <v>0.24421376663067509</v>
      </c>
      <c r="O185" s="267">
        <f t="shared" si="44"/>
        <v>0.23125568779268185</v>
      </c>
      <c r="P185" s="267">
        <f t="shared" si="44"/>
        <v>0.19837634534572224</v>
      </c>
      <c r="Q185" s="267">
        <f t="shared" si="44"/>
        <v>0.14551394091860301</v>
      </c>
      <c r="R185" s="267">
        <f t="shared" si="44"/>
        <v>-0.18756635501294602</v>
      </c>
      <c r="S185" s="267">
        <f t="shared" si="44"/>
        <v>-0.18153239605664942</v>
      </c>
      <c r="T185" s="267">
        <f t="shared" si="44"/>
        <v>-0.18756635501294602</v>
      </c>
      <c r="U185" s="267">
        <f t="shared" si="44"/>
        <v>-0.18756635501294602</v>
      </c>
      <c r="V185" s="267">
        <f t="shared" si="44"/>
        <v>-0.18153239605664942</v>
      </c>
      <c r="W185" s="267">
        <f t="shared" si="44"/>
        <v>-0.18153239605664942</v>
      </c>
      <c r="X185" s="267">
        <f t="shared" si="44"/>
        <v>-0.17879423790629656</v>
      </c>
      <c r="Y185" s="267">
        <f t="shared" si="44"/>
        <v>-0.17879423790629656</v>
      </c>
      <c r="Z185" s="259"/>
      <c r="AA185" s="259"/>
    </row>
    <row r="186" spans="4:27" x14ac:dyDescent="0.3">
      <c r="E186" s="32"/>
      <c r="F186" s="191" t="s">
        <v>194</v>
      </c>
      <c r="G186" t="s">
        <v>268</v>
      </c>
      <c r="H186" s="259"/>
      <c r="I186" s="259"/>
      <c r="J186" s="267">
        <f t="shared" ref="J186:Y186" si="45">hundred * $H23 * J60 / $H48 * J98 * (1 - J72) / hours_in_year</f>
        <v>0.15156959574586595</v>
      </c>
      <c r="K186" s="267">
        <f t="shared" si="45"/>
        <v>0.15156959574586595</v>
      </c>
      <c r="L186" s="267">
        <f t="shared" si="45"/>
        <v>0.17480324789331109</v>
      </c>
      <c r="M186" s="267">
        <f t="shared" si="45"/>
        <v>0.17480324789331109</v>
      </c>
      <c r="N186" s="267">
        <f t="shared" si="45"/>
        <v>0.15405087356937203</v>
      </c>
      <c r="O186" s="267">
        <f t="shared" si="45"/>
        <v>0.14587687342059041</v>
      </c>
      <c r="P186" s="267">
        <f t="shared" si="45"/>
        <v>5.3808683181879341E-2</v>
      </c>
      <c r="Q186" s="267">
        <f t="shared" si="45"/>
        <v>9.1790688233122308E-2</v>
      </c>
      <c r="R186" s="267">
        <f t="shared" si="45"/>
        <v>-0.11831749389322878</v>
      </c>
      <c r="S186" s="267">
        <f t="shared" si="45"/>
        <v>-0.11451125208661933</v>
      </c>
      <c r="T186" s="267">
        <f t="shared" si="45"/>
        <v>-0.11831749389322878</v>
      </c>
      <c r="U186" s="267">
        <f t="shared" si="45"/>
        <v>-0.11831749389322878</v>
      </c>
      <c r="V186" s="267">
        <f t="shared" si="45"/>
        <v>-0.11451125208661933</v>
      </c>
      <c r="W186" s="267">
        <f t="shared" si="45"/>
        <v>-0.11451125208661933</v>
      </c>
      <c r="X186" s="267">
        <f t="shared" si="45"/>
        <v>-4.8497125428331379E-2</v>
      </c>
      <c r="Y186" s="267">
        <f t="shared" si="45"/>
        <v>-4.8497125428331379E-2</v>
      </c>
      <c r="Z186" s="259"/>
      <c r="AA186" s="259"/>
    </row>
    <row r="187" spans="4:27" x14ac:dyDescent="0.3">
      <c r="E187" s="32"/>
      <c r="F187" s="191" t="s">
        <v>195</v>
      </c>
      <c r="G187" t="s">
        <v>268</v>
      </c>
      <c r="H187" s="259"/>
      <c r="I187" s="259"/>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59"/>
      <c r="AA187" s="259"/>
    </row>
    <row r="188" spans="4:27" x14ac:dyDescent="0.3">
      <c r="E188" s="32"/>
      <c r="F188" s="191" t="s">
        <v>196</v>
      </c>
      <c r="G188" t="s">
        <v>268</v>
      </c>
      <c r="H188" s="259"/>
      <c r="I188" s="259"/>
      <c r="J188" s="267">
        <f t="shared" ref="J188:Y188" si="47">hundred * $H25 * J62 / $H50 * J100 * (1 - J74) / hours_in_year</f>
        <v>0.19262017006795279</v>
      </c>
      <c r="K188" s="267">
        <f t="shared" si="47"/>
        <v>0.19262017006795279</v>
      </c>
      <c r="L188" s="267">
        <f t="shared" si="47"/>
        <v>0.22214634255602975</v>
      </c>
      <c r="M188" s="267">
        <f t="shared" si="47"/>
        <v>0.22214634255602975</v>
      </c>
      <c r="N188" s="267">
        <f t="shared" si="47"/>
        <v>0.19577346841910059</v>
      </c>
      <c r="O188" s="267">
        <f t="shared" si="47"/>
        <v>0.18538565092149586</v>
      </c>
      <c r="P188" s="267">
        <f t="shared" si="47"/>
        <v>2.0446456248327541E-2</v>
      </c>
      <c r="Q188" s="267">
        <f t="shared" si="47"/>
        <v>0.11665095424390674</v>
      </c>
      <c r="R188" s="267">
        <f t="shared" si="47"/>
        <v>-0.15036218631828935</v>
      </c>
      <c r="S188" s="267">
        <f t="shared" si="47"/>
        <v>-0.14552507541553195</v>
      </c>
      <c r="T188" s="267">
        <f t="shared" si="47"/>
        <v>-0.15036218631828935</v>
      </c>
      <c r="U188" s="267">
        <f t="shared" si="47"/>
        <v>-0.15036218631828935</v>
      </c>
      <c r="V188" s="267">
        <f t="shared" si="47"/>
        <v>-0.14552507541553195</v>
      </c>
      <c r="W188" s="267">
        <f t="shared" si="47"/>
        <v>-0.14552507541553195</v>
      </c>
      <c r="X188" s="267">
        <f t="shared" si="47"/>
        <v>0</v>
      </c>
      <c r="Y188" s="267">
        <f t="shared" si="47"/>
        <v>0</v>
      </c>
      <c r="Z188" s="259"/>
      <c r="AA188" s="259"/>
    </row>
    <row r="189" spans="4:27" x14ac:dyDescent="0.3">
      <c r="E189" s="32"/>
      <c r="F189" s="191" t="s">
        <v>197</v>
      </c>
      <c r="G189" t="s">
        <v>268</v>
      </c>
      <c r="H189" s="259"/>
      <c r="I189" s="259"/>
      <c r="J189" s="267">
        <f t="shared" ref="J189:Y189" si="48">hundred * $H26 * J63 / $H51 * J101 * (1 - J75) / hours_in_year</f>
        <v>0.17488378228737636</v>
      </c>
      <c r="K189" s="267">
        <f t="shared" si="48"/>
        <v>0.17488378228737636</v>
      </c>
      <c r="L189" s="267">
        <f t="shared" si="48"/>
        <v>0.20169119668931951</v>
      </c>
      <c r="M189" s="267">
        <f t="shared" si="48"/>
        <v>0.20169119668931951</v>
      </c>
      <c r="N189" s="267">
        <f t="shared" si="48"/>
        <v>0.177746726194729</v>
      </c>
      <c r="O189" s="267">
        <f t="shared" si="48"/>
        <v>7.2135177751680843E-3</v>
      </c>
      <c r="P189" s="267">
        <f t="shared" si="48"/>
        <v>0</v>
      </c>
      <c r="Q189" s="267">
        <f t="shared" si="48"/>
        <v>0.10590978129865228</v>
      </c>
      <c r="R189" s="267">
        <f t="shared" si="48"/>
        <v>-0.13651689668358682</v>
      </c>
      <c r="S189" s="267">
        <f t="shared" si="48"/>
        <v>0</v>
      </c>
      <c r="T189" s="267">
        <f t="shared" si="48"/>
        <v>-0.13651689668358682</v>
      </c>
      <c r="U189" s="267">
        <f t="shared" si="48"/>
        <v>-0.13651689668358682</v>
      </c>
      <c r="V189" s="267">
        <f t="shared" si="48"/>
        <v>0</v>
      </c>
      <c r="W189" s="267">
        <f t="shared" si="48"/>
        <v>0</v>
      </c>
      <c r="X189" s="267">
        <f t="shared" si="48"/>
        <v>0</v>
      </c>
      <c r="Y189" s="267">
        <f t="shared" si="48"/>
        <v>0</v>
      </c>
      <c r="Z189" s="259"/>
      <c r="AA189" s="259"/>
    </row>
    <row r="190" spans="4:27" x14ac:dyDescent="0.3">
      <c r="E190" s="32"/>
      <c r="F190" s="192" t="s">
        <v>198</v>
      </c>
      <c r="G190" s="37" t="s">
        <v>268</v>
      </c>
      <c r="H190" s="261"/>
      <c r="I190" s="261"/>
      <c r="J190" s="268">
        <f t="shared" ref="J190:Y190" si="49">hundred * $H27 * J64 / $H52 * J102 * (1 - J76) / hours_in_year</f>
        <v>4.1549516754729029E-3</v>
      </c>
      <c r="K190" s="268">
        <f t="shared" si="49"/>
        <v>4.1549516754729029E-3</v>
      </c>
      <c r="L190" s="268">
        <f t="shared" si="49"/>
        <v>4.7918518495634896E-3</v>
      </c>
      <c r="M190" s="268">
        <f t="shared" si="49"/>
        <v>4.7918518495634896E-3</v>
      </c>
      <c r="N190" s="268">
        <f t="shared" si="49"/>
        <v>4.2229705244996975E-3</v>
      </c>
      <c r="O190" s="268">
        <f t="shared" si="49"/>
        <v>0</v>
      </c>
      <c r="P190" s="268">
        <f t="shared" si="49"/>
        <v>0</v>
      </c>
      <c r="Q190" s="268">
        <f t="shared" si="49"/>
        <v>2.5162426012304302E-3</v>
      </c>
      <c r="R190" s="268">
        <f t="shared" si="49"/>
        <v>0</v>
      </c>
      <c r="S190" s="268">
        <f t="shared" si="49"/>
        <v>0</v>
      </c>
      <c r="T190" s="268">
        <f t="shared" si="49"/>
        <v>0</v>
      </c>
      <c r="U190" s="268">
        <f t="shared" si="49"/>
        <v>0</v>
      </c>
      <c r="V190" s="268">
        <f t="shared" si="49"/>
        <v>0</v>
      </c>
      <c r="W190" s="268">
        <f t="shared" si="49"/>
        <v>0</v>
      </c>
      <c r="X190" s="268">
        <f t="shared" si="49"/>
        <v>0</v>
      </c>
      <c r="Y190" s="268">
        <f t="shared" si="49"/>
        <v>0</v>
      </c>
      <c r="Z190" s="259"/>
      <c r="AA190" s="259"/>
    </row>
    <row r="191" spans="4:27" x14ac:dyDescent="0.3">
      <c r="E191" s="32"/>
      <c r="F191" s="191"/>
      <c r="J191" s="163"/>
      <c r="K191" s="163"/>
      <c r="L191" s="163"/>
      <c r="M191" s="163"/>
      <c r="N191" s="163"/>
      <c r="O191" s="163"/>
      <c r="P191" s="163"/>
      <c r="Q191" s="163"/>
      <c r="R191" s="163"/>
      <c r="S191" s="163"/>
      <c r="T191" s="163"/>
      <c r="U191" s="163"/>
      <c r="V191" s="163"/>
      <c r="W191" s="163"/>
      <c r="X191" s="163"/>
      <c r="Y191" s="163"/>
    </row>
    <row r="192" spans="4:27" x14ac:dyDescent="0.3">
      <c r="E192" s="32" t="s">
        <v>621</v>
      </c>
      <c r="J192" s="163"/>
      <c r="K192" s="163"/>
      <c r="L192" s="163"/>
      <c r="M192" s="163"/>
      <c r="N192" s="163"/>
      <c r="O192" s="163"/>
      <c r="P192" s="163"/>
      <c r="Q192" s="163"/>
      <c r="R192" s="163"/>
      <c r="S192" s="163"/>
      <c r="T192" s="163"/>
      <c r="U192" s="163"/>
      <c r="V192" s="163"/>
      <c r="W192" s="163"/>
      <c r="X192" s="163"/>
      <c r="Y192" s="163"/>
    </row>
    <row r="193" spans="3:27" x14ac:dyDescent="0.3">
      <c r="D193" s="32"/>
      <c r="E193" s="32"/>
      <c r="F193" s="190" t="s">
        <v>188</v>
      </c>
      <c r="G193" s="23" t="s">
        <v>268</v>
      </c>
      <c r="H193" s="258"/>
      <c r="I193" s="258"/>
      <c r="J193" s="266">
        <f t="shared" ref="J193:Y193" si="50">hundred * $H30 * J55 / $H43 * J93 / hours_in_year</f>
        <v>3.5088435542692191E-2</v>
      </c>
      <c r="K193" s="266">
        <f t="shared" si="50"/>
        <v>3.5088435542692191E-2</v>
      </c>
      <c r="L193" s="266">
        <f t="shared" si="50"/>
        <v>4.0467037377613271E-2</v>
      </c>
      <c r="M193" s="266">
        <f t="shared" si="50"/>
        <v>4.0467037377613271E-2</v>
      </c>
      <c r="N193" s="266">
        <f t="shared" si="50"/>
        <v>3.5662852572342273E-2</v>
      </c>
      <c r="O193" s="266">
        <f t="shared" si="50"/>
        <v>3.3770567540274417E-2</v>
      </c>
      <c r="P193" s="266">
        <f t="shared" si="50"/>
        <v>2.8969154587438064E-2</v>
      </c>
      <c r="Q193" s="266">
        <f t="shared" si="50"/>
        <v>3.6691816837357005E-2</v>
      </c>
      <c r="R193" s="266">
        <f t="shared" si="50"/>
        <v>-2.7390557701336807E-2</v>
      </c>
      <c r="S193" s="266">
        <f t="shared" si="50"/>
        <v>-2.6509410861603567E-2</v>
      </c>
      <c r="T193" s="266">
        <f t="shared" si="50"/>
        <v>-2.7390557701336807E-2</v>
      </c>
      <c r="U193" s="266">
        <f t="shared" si="50"/>
        <v>-2.7390557701336807E-2</v>
      </c>
      <c r="V193" s="266">
        <f t="shared" si="50"/>
        <v>-2.6509410861603567E-2</v>
      </c>
      <c r="W193" s="266">
        <f t="shared" si="50"/>
        <v>-2.6509410861603567E-2</v>
      </c>
      <c r="X193" s="266">
        <f t="shared" si="50"/>
        <v>-2.6109554081279348E-2</v>
      </c>
      <c r="Y193" s="266">
        <f t="shared" si="50"/>
        <v>-2.6109554081279348E-2</v>
      </c>
      <c r="Z193" s="259"/>
      <c r="AA193" s="259"/>
    </row>
    <row r="194" spans="3:27" x14ac:dyDescent="0.3">
      <c r="D194" s="32"/>
      <c r="E194" s="32"/>
      <c r="F194" s="191" t="s">
        <v>190</v>
      </c>
      <c r="G194" t="s">
        <v>268</v>
      </c>
      <c r="H194" s="259"/>
      <c r="I194" s="259"/>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59"/>
      <c r="AA194" s="259"/>
    </row>
    <row r="195" spans="3:27" x14ac:dyDescent="0.3">
      <c r="D195" s="32"/>
      <c r="E195" s="32"/>
      <c r="F195" s="191" t="s">
        <v>191</v>
      </c>
      <c r="G195" t="s">
        <v>268</v>
      </c>
      <c r="H195" s="259"/>
      <c r="I195" s="259"/>
      <c r="J195" s="267">
        <f t="shared" ref="J195:Y195" si="52">hundred * $H32 * J57 / $H45 * J95 / hours_in_year</f>
        <v>6.4820627841846626E-2</v>
      </c>
      <c r="K195" s="267">
        <f t="shared" si="52"/>
        <v>6.4820627841846626E-2</v>
      </c>
      <c r="L195" s="267">
        <f t="shared" si="52"/>
        <v>7.4756788929071366E-2</v>
      </c>
      <c r="M195" s="267">
        <f t="shared" si="52"/>
        <v>7.4756788929071366E-2</v>
      </c>
      <c r="N195" s="267">
        <f t="shared" si="52"/>
        <v>6.588177724703069E-2</v>
      </c>
      <c r="O195" s="267">
        <f t="shared" si="52"/>
        <v>6.2386064145626412E-2</v>
      </c>
      <c r="P195" s="267">
        <f t="shared" si="52"/>
        <v>5.3516173045689772E-2</v>
      </c>
      <c r="Q195" s="267">
        <f t="shared" si="52"/>
        <v>5.8123261184425859E-2</v>
      </c>
      <c r="R195" s="267">
        <f t="shared" si="52"/>
        <v>-5.0599951798328428E-2</v>
      </c>
      <c r="S195" s="267">
        <f t="shared" si="52"/>
        <v>-4.8972165022173247E-2</v>
      </c>
      <c r="T195" s="267">
        <f t="shared" si="52"/>
        <v>-5.0599951798328428E-2</v>
      </c>
      <c r="U195" s="267">
        <f t="shared" si="52"/>
        <v>-5.0599951798328428E-2</v>
      </c>
      <c r="V195" s="267">
        <f t="shared" si="52"/>
        <v>-4.8972165022173247E-2</v>
      </c>
      <c r="W195" s="267">
        <f t="shared" si="52"/>
        <v>-4.8972165022173247E-2</v>
      </c>
      <c r="X195" s="267">
        <f t="shared" si="52"/>
        <v>-4.8233489525629683E-2</v>
      </c>
      <c r="Y195" s="267">
        <f t="shared" si="52"/>
        <v>-4.8233489525629683E-2</v>
      </c>
      <c r="Z195" s="259"/>
      <c r="AA195" s="259"/>
    </row>
    <row r="196" spans="3:27" x14ac:dyDescent="0.3">
      <c r="D196" s="32"/>
      <c r="E196" s="32"/>
      <c r="F196" s="191" t="s">
        <v>192</v>
      </c>
      <c r="G196" t="s">
        <v>268</v>
      </c>
      <c r="H196" s="259"/>
      <c r="I196" s="259"/>
      <c r="J196" s="267">
        <f t="shared" ref="J196:Y196" si="53">hundred * $H33 * J58 / $H46 * J96 / hours_in_year</f>
        <v>2.5640148206316209E-2</v>
      </c>
      <c r="K196" s="267">
        <f t="shared" si="53"/>
        <v>2.5640148206316209E-2</v>
      </c>
      <c r="L196" s="267">
        <f t="shared" si="53"/>
        <v>2.9570450200611373E-2</v>
      </c>
      <c r="M196" s="267">
        <f t="shared" si="53"/>
        <v>2.9570450200611373E-2</v>
      </c>
      <c r="N196" s="267">
        <f t="shared" si="53"/>
        <v>2.6059891564624117E-2</v>
      </c>
      <c r="O196" s="267">
        <f t="shared" si="53"/>
        <v>2.4677143433497507E-2</v>
      </c>
      <c r="P196" s="267">
        <f t="shared" si="53"/>
        <v>2.116861027132038E-2</v>
      </c>
      <c r="Q196" s="267">
        <f t="shared" si="53"/>
        <v>2.2990968779864406E-2</v>
      </c>
      <c r="R196" s="267">
        <f t="shared" si="53"/>
        <v>-2.0015083261875375E-2</v>
      </c>
      <c r="S196" s="267">
        <f t="shared" si="53"/>
        <v>-1.9371203441847524E-2</v>
      </c>
      <c r="T196" s="267">
        <f t="shared" si="53"/>
        <v>-2.0015083261875375E-2</v>
      </c>
      <c r="U196" s="267">
        <f t="shared" si="53"/>
        <v>-2.0015083261875375E-2</v>
      </c>
      <c r="V196" s="267">
        <f t="shared" si="53"/>
        <v>-1.9371203441847524E-2</v>
      </c>
      <c r="W196" s="267">
        <f t="shared" si="53"/>
        <v>-1.9371203441847524E-2</v>
      </c>
      <c r="X196" s="267">
        <f t="shared" si="53"/>
        <v>-1.9079016373651246E-2</v>
      </c>
      <c r="Y196" s="267">
        <f t="shared" si="53"/>
        <v>-1.9079016373651246E-2</v>
      </c>
      <c r="Z196" s="259"/>
      <c r="AA196" s="259"/>
    </row>
    <row r="197" spans="3:27" x14ac:dyDescent="0.3">
      <c r="D197" s="32"/>
      <c r="E197" s="32"/>
      <c r="F197" s="191" t="s">
        <v>193</v>
      </c>
      <c r="G197" t="s">
        <v>268</v>
      </c>
      <c r="H197" s="259"/>
      <c r="I197" s="259"/>
      <c r="J197" s="267">
        <f t="shared" ref="J197:Y197" si="54">hundred * $H34 * J59 / $H47 * J97 / hours_in_year</f>
        <v>0.11679769065609037</v>
      </c>
      <c r="K197" s="267">
        <f t="shared" si="54"/>
        <v>0.11679769065609037</v>
      </c>
      <c r="L197" s="267">
        <f t="shared" si="54"/>
        <v>0.13470126097951074</v>
      </c>
      <c r="M197" s="267">
        <f t="shared" si="54"/>
        <v>0.13470126097951074</v>
      </c>
      <c r="N197" s="267">
        <f t="shared" si="54"/>
        <v>0.1187097332279238</v>
      </c>
      <c r="O197" s="267">
        <f t="shared" si="54"/>
        <v>0.112410947933273</v>
      </c>
      <c r="P197" s="267">
        <f t="shared" si="54"/>
        <v>9.6428646753295738E-2</v>
      </c>
      <c r="Q197" s="267">
        <f t="shared" si="54"/>
        <v>7.0732790152303798E-2</v>
      </c>
      <c r="R197" s="267">
        <f t="shared" si="54"/>
        <v>-9.1174024598677572E-2</v>
      </c>
      <c r="S197" s="267">
        <f t="shared" si="54"/>
        <v>-8.8240980864523699E-2</v>
      </c>
      <c r="T197" s="267">
        <f t="shared" si="54"/>
        <v>-9.1174024598677572E-2</v>
      </c>
      <c r="U197" s="267">
        <f t="shared" si="54"/>
        <v>-9.1174024598677572E-2</v>
      </c>
      <c r="V197" s="267">
        <f t="shared" si="54"/>
        <v>-8.8240980864523699E-2</v>
      </c>
      <c r="W197" s="267">
        <f t="shared" si="54"/>
        <v>-8.8240980864523699E-2</v>
      </c>
      <c r="X197" s="267">
        <f t="shared" si="54"/>
        <v>-8.6909991100724601E-2</v>
      </c>
      <c r="Y197" s="267">
        <f t="shared" si="54"/>
        <v>-8.6909991100724601E-2</v>
      </c>
      <c r="Z197" s="259"/>
      <c r="AA197" s="259"/>
    </row>
    <row r="198" spans="3:27" x14ac:dyDescent="0.3">
      <c r="D198" s="32"/>
      <c r="E198" s="32"/>
      <c r="F198" s="191" t="s">
        <v>194</v>
      </c>
      <c r="G198" t="s">
        <v>268</v>
      </c>
      <c r="H198" s="259"/>
      <c r="I198" s="259"/>
      <c r="J198" s="267">
        <f t="shared" ref="J198:Y198" si="55">hundred * $H35 * J60 / $H48 * J98 / hours_in_year</f>
        <v>7.3676380020240725E-2</v>
      </c>
      <c r="K198" s="267">
        <f t="shared" si="55"/>
        <v>7.3676380020240725E-2</v>
      </c>
      <c r="L198" s="267">
        <f t="shared" si="55"/>
        <v>8.4970012997551997E-2</v>
      </c>
      <c r="M198" s="267">
        <f t="shared" si="55"/>
        <v>8.4970012997551997E-2</v>
      </c>
      <c r="N198" s="267">
        <f t="shared" si="55"/>
        <v>7.4882502969641121E-2</v>
      </c>
      <c r="O198" s="267">
        <f t="shared" si="55"/>
        <v>7.0909207809199515E-2</v>
      </c>
      <c r="P198" s="267">
        <f t="shared" si="55"/>
        <v>6.0827517934002102E-2</v>
      </c>
      <c r="Q198" s="267">
        <f t="shared" si="55"/>
        <v>4.4618484302894328E-2</v>
      </c>
      <c r="R198" s="267">
        <f t="shared" si="55"/>
        <v>-5.7512884429249372E-2</v>
      </c>
      <c r="S198" s="267">
        <f t="shared" si="55"/>
        <v>-5.566271047838077E-2</v>
      </c>
      <c r="T198" s="267">
        <f t="shared" si="55"/>
        <v>-5.7512884429249372E-2</v>
      </c>
      <c r="U198" s="267">
        <f t="shared" si="55"/>
        <v>-5.7512884429249372E-2</v>
      </c>
      <c r="V198" s="267">
        <f t="shared" si="55"/>
        <v>-5.566271047838077E-2</v>
      </c>
      <c r="W198" s="267">
        <f t="shared" si="55"/>
        <v>-5.566271047838077E-2</v>
      </c>
      <c r="X198" s="267">
        <f t="shared" si="55"/>
        <v>-5.4823117614088125E-2</v>
      </c>
      <c r="Y198" s="267">
        <f t="shared" si="55"/>
        <v>-5.4823117614088125E-2</v>
      </c>
      <c r="Z198" s="259"/>
      <c r="AA198" s="259"/>
    </row>
    <row r="199" spans="3:27" x14ac:dyDescent="0.3">
      <c r="D199" s="32"/>
      <c r="E199" s="32"/>
      <c r="F199" s="191" t="s">
        <v>195</v>
      </c>
      <c r="G199" t="s">
        <v>268</v>
      </c>
      <c r="H199" s="259"/>
      <c r="I199" s="259"/>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59"/>
      <c r="AA199" s="259"/>
    </row>
    <row r="200" spans="3:27" x14ac:dyDescent="0.3">
      <c r="D200" s="32"/>
      <c r="E200" s="32"/>
      <c r="F200" s="191" t="s">
        <v>196</v>
      </c>
      <c r="G200" t="s">
        <v>268</v>
      </c>
      <c r="H200" s="259"/>
      <c r="I200" s="259"/>
      <c r="J200" s="267">
        <f t="shared" ref="J200:Y200" si="57">hundred * $H37 * J62 / $H50 * J100 / hours_in_year</f>
        <v>0.13375804390295326</v>
      </c>
      <c r="K200" s="267">
        <f t="shared" si="57"/>
        <v>0.13375804390295326</v>
      </c>
      <c r="L200" s="267">
        <f t="shared" si="57"/>
        <v>0.15426141628889348</v>
      </c>
      <c r="M200" s="267">
        <f t="shared" si="57"/>
        <v>0.15426141628889348</v>
      </c>
      <c r="N200" s="267">
        <f t="shared" si="57"/>
        <v>0.13594773680553529</v>
      </c>
      <c r="O200" s="267">
        <f t="shared" si="57"/>
        <v>0.12873429623796487</v>
      </c>
      <c r="P200" s="267">
        <f t="shared" si="57"/>
        <v>0.11043118312936552</v>
      </c>
      <c r="Q200" s="267">
        <f t="shared" si="57"/>
        <v>8.1003995861769956E-2</v>
      </c>
      <c r="R200" s="267">
        <f t="shared" si="57"/>
        <v>-0.10441353006702567</v>
      </c>
      <c r="S200" s="267">
        <f t="shared" si="57"/>
        <v>-0.10105457501955463</v>
      </c>
      <c r="T200" s="267">
        <f t="shared" si="57"/>
        <v>-0.10441353006702567</v>
      </c>
      <c r="U200" s="267">
        <f t="shared" si="57"/>
        <v>-0.10441353006702567</v>
      </c>
      <c r="V200" s="267">
        <f t="shared" si="57"/>
        <v>-0.10105457501955463</v>
      </c>
      <c r="W200" s="267">
        <f t="shared" si="57"/>
        <v>-0.10105457501955463</v>
      </c>
      <c r="X200" s="267">
        <f t="shared" si="57"/>
        <v>0</v>
      </c>
      <c r="Y200" s="267">
        <f t="shared" si="57"/>
        <v>0</v>
      </c>
      <c r="Z200" s="259"/>
      <c r="AA200" s="259"/>
    </row>
    <row r="201" spans="3:27" x14ac:dyDescent="0.3">
      <c r="D201" s="32"/>
      <c r="E201" s="32"/>
      <c r="F201" s="191" t="s">
        <v>197</v>
      </c>
      <c r="G201" t="s">
        <v>268</v>
      </c>
      <c r="H201" s="259"/>
      <c r="I201" s="259"/>
      <c r="J201" s="267">
        <f t="shared" ref="J201:Y201" si="58">hundred * $H38 * J63 / $H51 * J101 / hours_in_year</f>
        <v>0.12144165702302676</v>
      </c>
      <c r="K201" s="267">
        <f t="shared" si="58"/>
        <v>0.12144165702302676</v>
      </c>
      <c r="L201" s="267">
        <f t="shared" si="58"/>
        <v>0.14005708712691878</v>
      </c>
      <c r="M201" s="267">
        <f t="shared" si="58"/>
        <v>0.14005708712691878</v>
      </c>
      <c r="N201" s="267">
        <f t="shared" si="58"/>
        <v>0.12342972388391817</v>
      </c>
      <c r="O201" s="267">
        <f t="shared" si="58"/>
        <v>0.11688049402228494</v>
      </c>
      <c r="P201" s="267">
        <f t="shared" si="58"/>
        <v>0</v>
      </c>
      <c r="Q201" s="267">
        <f t="shared" si="58"/>
        <v>7.3545180505757576E-2</v>
      </c>
      <c r="R201" s="267">
        <f t="shared" si="58"/>
        <v>-9.4799174217613191E-2</v>
      </c>
      <c r="S201" s="267">
        <f t="shared" si="58"/>
        <v>0</v>
      </c>
      <c r="T201" s="267">
        <f t="shared" si="58"/>
        <v>-9.4799174217613191E-2</v>
      </c>
      <c r="U201" s="267">
        <f t="shared" si="58"/>
        <v>-9.4799174217613191E-2</v>
      </c>
      <c r="V201" s="267">
        <f t="shared" si="58"/>
        <v>0</v>
      </c>
      <c r="W201" s="267">
        <f t="shared" si="58"/>
        <v>0</v>
      </c>
      <c r="X201" s="267">
        <f t="shared" si="58"/>
        <v>0</v>
      </c>
      <c r="Y201" s="267">
        <f t="shared" si="58"/>
        <v>0</v>
      </c>
      <c r="Z201" s="259"/>
      <c r="AA201" s="259"/>
    </row>
    <row r="202" spans="3:27" x14ac:dyDescent="0.3">
      <c r="D202" s="32"/>
      <c r="E202" s="32"/>
      <c r="F202" s="192" t="s">
        <v>198</v>
      </c>
      <c r="G202" s="37" t="s">
        <v>268</v>
      </c>
      <c r="H202" s="261"/>
      <c r="I202" s="261"/>
      <c r="J202" s="268">
        <f t="shared" ref="J202:Y202" si="59">hundred * $H39 * J64 / $H52 * J102 / hours_in_year</f>
        <v>6.7322604532804031E-2</v>
      </c>
      <c r="K202" s="268">
        <f t="shared" si="59"/>
        <v>6.7322604532804031E-2</v>
      </c>
      <c r="L202" s="268">
        <f t="shared" si="59"/>
        <v>7.7642286179232411E-2</v>
      </c>
      <c r="M202" s="268">
        <f t="shared" si="59"/>
        <v>7.7642286179232411E-2</v>
      </c>
      <c r="N202" s="268">
        <f t="shared" si="59"/>
        <v>6.842471267544234E-2</v>
      </c>
      <c r="O202" s="268">
        <f t="shared" si="59"/>
        <v>0</v>
      </c>
      <c r="P202" s="268">
        <f t="shared" si="59"/>
        <v>0</v>
      </c>
      <c r="Q202" s="268">
        <f t="shared" si="59"/>
        <v>4.077063195493117E-2</v>
      </c>
      <c r="R202" s="268">
        <f t="shared" si="59"/>
        <v>0</v>
      </c>
      <c r="S202" s="268">
        <f t="shared" si="59"/>
        <v>0</v>
      </c>
      <c r="T202" s="268">
        <f t="shared" si="59"/>
        <v>0</v>
      </c>
      <c r="U202" s="268">
        <f t="shared" si="59"/>
        <v>0</v>
      </c>
      <c r="V202" s="268">
        <f t="shared" si="59"/>
        <v>0</v>
      </c>
      <c r="W202" s="268">
        <f t="shared" si="59"/>
        <v>0</v>
      </c>
      <c r="X202" s="268">
        <f t="shared" si="59"/>
        <v>0</v>
      </c>
      <c r="Y202" s="268">
        <f t="shared" si="59"/>
        <v>0</v>
      </c>
      <c r="Z202" s="259"/>
      <c r="AA202" s="259"/>
    </row>
    <row r="203" spans="3:27" x14ac:dyDescent="0.3">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3">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3">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3">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3">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3">
      <c r="C208" s="32"/>
      <c r="D208" s="32"/>
      <c r="E208" s="32"/>
    </row>
    <row r="209" spans="3:27" x14ac:dyDescent="0.3">
      <c r="E209" s="32" t="s">
        <v>620</v>
      </c>
      <c r="J209" s="163"/>
      <c r="K209" s="163"/>
      <c r="L209" s="163"/>
      <c r="M209" s="163"/>
      <c r="N209" s="163"/>
      <c r="O209" s="163"/>
      <c r="P209" s="163"/>
      <c r="Q209" s="163"/>
      <c r="R209" s="163"/>
      <c r="S209" s="163"/>
      <c r="T209" s="163"/>
      <c r="U209" s="163"/>
      <c r="V209" s="163"/>
      <c r="W209" s="163"/>
      <c r="X209" s="163"/>
      <c r="Y209" s="163"/>
    </row>
    <row r="210" spans="3:27" x14ac:dyDescent="0.3">
      <c r="E210" s="32"/>
      <c r="F210" s="190" t="s">
        <v>188</v>
      </c>
      <c r="G210" s="23" t="s">
        <v>268</v>
      </c>
      <c r="H210" s="258"/>
      <c r="I210" s="258"/>
      <c r="J210" s="266">
        <f t="shared" ref="J210:Y210" si="60">hundred * $H18 * J55 / $H43 * J105 * (1 - J67) / hours_in_year</f>
        <v>0</v>
      </c>
      <c r="K210" s="266">
        <f t="shared" si="60"/>
        <v>0</v>
      </c>
      <c r="L210" s="266">
        <f t="shared" si="60"/>
        <v>0</v>
      </c>
      <c r="M210" s="266">
        <f t="shared" si="60"/>
        <v>0</v>
      </c>
      <c r="N210" s="266">
        <f t="shared" si="60"/>
        <v>0</v>
      </c>
      <c r="O210" s="266">
        <f t="shared" si="60"/>
        <v>0</v>
      </c>
      <c r="P210" s="266">
        <f t="shared" si="60"/>
        <v>0</v>
      </c>
      <c r="Q210" s="266">
        <f t="shared" si="60"/>
        <v>0</v>
      </c>
      <c r="R210" s="266">
        <f t="shared" si="60"/>
        <v>0</v>
      </c>
      <c r="S210" s="266">
        <f t="shared" si="60"/>
        <v>0</v>
      </c>
      <c r="T210" s="266">
        <f t="shared" si="60"/>
        <v>0</v>
      </c>
      <c r="U210" s="266">
        <f t="shared" si="60"/>
        <v>0</v>
      </c>
      <c r="V210" s="266">
        <f t="shared" si="60"/>
        <v>0</v>
      </c>
      <c r="W210" s="266">
        <f t="shared" si="60"/>
        <v>0</v>
      </c>
      <c r="X210" s="266">
        <f t="shared" si="60"/>
        <v>0</v>
      </c>
      <c r="Y210" s="266">
        <f t="shared" si="60"/>
        <v>0</v>
      </c>
      <c r="Z210" s="259"/>
      <c r="AA210" s="259"/>
    </row>
    <row r="211" spans="3:27" x14ac:dyDescent="0.3">
      <c r="E211" s="32"/>
      <c r="F211" s="191" t="s">
        <v>190</v>
      </c>
      <c r="G211" t="s">
        <v>268</v>
      </c>
      <c r="H211" s="259"/>
      <c r="I211" s="259"/>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59"/>
      <c r="AA211" s="259"/>
    </row>
    <row r="212" spans="3:27" x14ac:dyDescent="0.3">
      <c r="E212" s="32"/>
      <c r="F212" s="191" t="s">
        <v>191</v>
      </c>
      <c r="G212" t="s">
        <v>268</v>
      </c>
      <c r="H212" s="259"/>
      <c r="I212" s="259"/>
      <c r="J212" s="267">
        <f t="shared" ref="J212:Y212" si="62">hundred * $H20 * J57 / $H45 * J107 * (1 - J69) / hours_in_year</f>
        <v>2.8624600674469421E-2</v>
      </c>
      <c r="K212" s="267">
        <f t="shared" si="62"/>
        <v>2.8624600674469421E-2</v>
      </c>
      <c r="L212" s="267">
        <f t="shared" si="62"/>
        <v>3.3012380503645918E-2</v>
      </c>
      <c r="M212" s="267">
        <f t="shared" si="62"/>
        <v>3.3012380503645918E-2</v>
      </c>
      <c r="N212" s="267">
        <f t="shared" si="62"/>
        <v>2.9093201164632137E-2</v>
      </c>
      <c r="O212" s="267">
        <f t="shared" si="62"/>
        <v>2.7549504429013525E-2</v>
      </c>
      <c r="P212" s="267">
        <f t="shared" si="62"/>
        <v>2.3632586324159755E-2</v>
      </c>
      <c r="Q212" s="267">
        <f t="shared" si="62"/>
        <v>1.8071350084168398E-2</v>
      </c>
      <c r="R212" s="267">
        <f t="shared" si="62"/>
        <v>-2.2344791505390173E-2</v>
      </c>
      <c r="S212" s="267">
        <f t="shared" si="62"/>
        <v>-2.1625965600705808E-2</v>
      </c>
      <c r="T212" s="267">
        <f t="shared" si="62"/>
        <v>-2.2344791505390173E-2</v>
      </c>
      <c r="U212" s="267">
        <f t="shared" si="62"/>
        <v>-2.2344791505390173E-2</v>
      </c>
      <c r="V212" s="267">
        <f t="shared" si="62"/>
        <v>-2.1625965600705808E-2</v>
      </c>
      <c r="W212" s="267">
        <f t="shared" si="62"/>
        <v>-2.1625965600705808E-2</v>
      </c>
      <c r="X212" s="267">
        <f t="shared" si="62"/>
        <v>-2.129976865043615E-2</v>
      </c>
      <c r="Y212" s="267">
        <f t="shared" si="62"/>
        <v>-2.129976865043615E-2</v>
      </c>
      <c r="Z212" s="259"/>
      <c r="AA212" s="259"/>
    </row>
    <row r="213" spans="3:27" x14ac:dyDescent="0.3">
      <c r="E213" s="32"/>
      <c r="F213" s="191" t="s">
        <v>192</v>
      </c>
      <c r="G213" t="s">
        <v>268</v>
      </c>
      <c r="H213" s="259"/>
      <c r="I213" s="259"/>
      <c r="J213" s="267">
        <f t="shared" ref="J213:Y213" si="63">hundred * $H21 * J58 / $H46 * J108 * (1 - J70) / hours_in_year</f>
        <v>1.1322614853881459E-2</v>
      </c>
      <c r="K213" s="267">
        <f t="shared" si="63"/>
        <v>1.1322614853881459E-2</v>
      </c>
      <c r="L213" s="267">
        <f t="shared" si="63"/>
        <v>1.3058224780265734E-2</v>
      </c>
      <c r="M213" s="267">
        <f t="shared" si="63"/>
        <v>1.3058224780265734E-2</v>
      </c>
      <c r="N213" s="267">
        <f t="shared" si="63"/>
        <v>1.150797229976488E-2</v>
      </c>
      <c r="O213" s="267">
        <f t="shared" si="63"/>
        <v>1.089735474784238E-2</v>
      </c>
      <c r="P213" s="267">
        <f t="shared" si="63"/>
        <v>9.3479967106834382E-3</v>
      </c>
      <c r="Q213" s="267">
        <f t="shared" si="63"/>
        <v>7.1482197854796699E-3</v>
      </c>
      <c r="R213" s="267">
        <f t="shared" si="63"/>
        <v>-8.8386025392301684E-3</v>
      </c>
      <c r="S213" s="267">
        <f t="shared" si="63"/>
        <v>-8.5542670839239485E-3</v>
      </c>
      <c r="T213" s="267">
        <f t="shared" si="63"/>
        <v>-8.8386025392301684E-3</v>
      </c>
      <c r="U213" s="267">
        <f t="shared" si="63"/>
        <v>-8.8386025392301684E-3</v>
      </c>
      <c r="V213" s="267">
        <f t="shared" si="63"/>
        <v>-8.5542670839239485E-3</v>
      </c>
      <c r="W213" s="267">
        <f t="shared" si="63"/>
        <v>-8.5542670839239485E-3</v>
      </c>
      <c r="X213" s="267">
        <f t="shared" si="63"/>
        <v>-8.4252381246585628E-3</v>
      </c>
      <c r="Y213" s="267">
        <f t="shared" si="63"/>
        <v>-8.4252381246585628E-3</v>
      </c>
      <c r="Z213" s="259"/>
      <c r="AA213" s="259"/>
    </row>
    <row r="214" spans="3:27" x14ac:dyDescent="0.3">
      <c r="E214" s="32"/>
      <c r="F214" s="191" t="s">
        <v>193</v>
      </c>
      <c r="G214" t="s">
        <v>268</v>
      </c>
      <c r="H214" s="259"/>
      <c r="I214" s="259"/>
      <c r="J214" s="267">
        <f t="shared" ref="J214:Y214" si="64">hundred * $H22 * J59 / $H47 * J109 * (1 - J71) / hours_in_year</f>
        <v>3.0787843085484688E-2</v>
      </c>
      <c r="K214" s="267">
        <f t="shared" si="64"/>
        <v>3.0787843085484688E-2</v>
      </c>
      <c r="L214" s="267">
        <f t="shared" si="64"/>
        <v>3.5507219904418935E-2</v>
      </c>
      <c r="M214" s="267">
        <f t="shared" si="64"/>
        <v>3.5507219904418935E-2</v>
      </c>
      <c r="N214" s="267">
        <f t="shared" si="64"/>
        <v>3.1291857046237638E-2</v>
      </c>
      <c r="O214" s="267">
        <f t="shared" si="64"/>
        <v>2.9631498761827024E-2</v>
      </c>
      <c r="P214" s="267">
        <f t="shared" si="64"/>
        <v>2.54185680256966E-2</v>
      </c>
      <c r="Q214" s="267">
        <f t="shared" si="64"/>
        <v>1.943705336055487E-2</v>
      </c>
      <c r="R214" s="267">
        <f t="shared" si="64"/>
        <v>-2.4033450893147713E-2</v>
      </c>
      <c r="S214" s="267">
        <f t="shared" si="64"/>
        <v>-2.3260301272271331E-2</v>
      </c>
      <c r="T214" s="267">
        <f t="shared" si="64"/>
        <v>-2.4033450893147713E-2</v>
      </c>
      <c r="U214" s="267">
        <f t="shared" si="64"/>
        <v>-2.4033450893147713E-2</v>
      </c>
      <c r="V214" s="267">
        <f t="shared" si="64"/>
        <v>-2.3260301272271331E-2</v>
      </c>
      <c r="W214" s="267">
        <f t="shared" si="64"/>
        <v>-2.3260301272271331E-2</v>
      </c>
      <c r="X214" s="267">
        <f t="shared" si="64"/>
        <v>-2.2909452691566998E-2</v>
      </c>
      <c r="Y214" s="267">
        <f t="shared" si="64"/>
        <v>-2.2909452691566998E-2</v>
      </c>
      <c r="Z214" s="259"/>
      <c r="AA214" s="259"/>
    </row>
    <row r="215" spans="3:27" x14ac:dyDescent="0.3">
      <c r="E215" s="32"/>
      <c r="F215" s="191" t="s">
        <v>194</v>
      </c>
      <c r="G215" t="s">
        <v>268</v>
      </c>
      <c r="H215" s="259"/>
      <c r="I215" s="259"/>
      <c r="J215" s="267">
        <f t="shared" ref="J215:Y215" si="65">hundred * $H23 * J60 / $H48 * J110 * (1 - J72) / hours_in_year</f>
        <v>1.9421076002682326E-2</v>
      </c>
      <c r="K215" s="267">
        <f t="shared" si="65"/>
        <v>1.9421076002682326E-2</v>
      </c>
      <c r="L215" s="267">
        <f t="shared" si="65"/>
        <v>2.2398074931491055E-2</v>
      </c>
      <c r="M215" s="267">
        <f t="shared" si="65"/>
        <v>2.2398074931491055E-2</v>
      </c>
      <c r="N215" s="267">
        <f t="shared" si="65"/>
        <v>1.9739009721228881E-2</v>
      </c>
      <c r="O215" s="267">
        <f t="shared" si="65"/>
        <v>1.8691650075290431E-2</v>
      </c>
      <c r="P215" s="267">
        <f t="shared" si="65"/>
        <v>6.8946711940282785E-3</v>
      </c>
      <c r="Q215" s="267">
        <f t="shared" si="65"/>
        <v>1.2260959286280749E-2</v>
      </c>
      <c r="R215" s="267">
        <f t="shared" si="65"/>
        <v>-1.5160382463512454E-2</v>
      </c>
      <c r="S215" s="267">
        <f t="shared" si="65"/>
        <v>-1.4672677056323195E-2</v>
      </c>
      <c r="T215" s="267">
        <f t="shared" si="65"/>
        <v>-1.5160382463512454E-2</v>
      </c>
      <c r="U215" s="267">
        <f t="shared" si="65"/>
        <v>-1.5160382463512454E-2</v>
      </c>
      <c r="V215" s="267">
        <f t="shared" si="65"/>
        <v>-1.4672677056323195E-2</v>
      </c>
      <c r="W215" s="267">
        <f t="shared" si="65"/>
        <v>-1.4672677056323195E-2</v>
      </c>
      <c r="X215" s="267">
        <f t="shared" si="65"/>
        <v>-6.2140850493159067E-3</v>
      </c>
      <c r="Y215" s="267">
        <f t="shared" si="65"/>
        <v>-6.2140850493159067E-3</v>
      </c>
      <c r="Z215" s="259"/>
      <c r="AA215" s="259"/>
    </row>
    <row r="216" spans="3:27" x14ac:dyDescent="0.3">
      <c r="E216" s="32"/>
      <c r="F216" s="191" t="s">
        <v>195</v>
      </c>
      <c r="G216" t="s">
        <v>268</v>
      </c>
      <c r="H216" s="259"/>
      <c r="I216" s="259"/>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59"/>
      <c r="AA216" s="259"/>
    </row>
    <row r="217" spans="3:27" x14ac:dyDescent="0.3">
      <c r="E217" s="32"/>
      <c r="F217" s="191" t="s">
        <v>196</v>
      </c>
      <c r="G217" t="s">
        <v>268</v>
      </c>
      <c r="H217" s="259"/>
      <c r="I217" s="259"/>
      <c r="J217" s="267">
        <f t="shared" ref="J217:Y217" si="67">hundred * $H25 * J62 / $H50 * J112 * (1 - J74) / hours_in_year</f>
        <v>2.4681011677378829E-2</v>
      </c>
      <c r="K217" s="267">
        <f t="shared" si="67"/>
        <v>2.4681011677378829E-2</v>
      </c>
      <c r="L217" s="267">
        <f t="shared" si="67"/>
        <v>2.8464290488260602E-2</v>
      </c>
      <c r="M217" s="267">
        <f t="shared" si="67"/>
        <v>2.8464290488260602E-2</v>
      </c>
      <c r="N217" s="267">
        <f t="shared" si="67"/>
        <v>2.508505344205738E-2</v>
      </c>
      <c r="O217" s="267">
        <f t="shared" si="67"/>
        <v>2.3754030606440449E-2</v>
      </c>
      <c r="P217" s="267">
        <f t="shared" si="67"/>
        <v>2.619866991333048E-3</v>
      </c>
      <c r="Q217" s="267">
        <f t="shared" si="67"/>
        <v>1.5581674222312219E-2</v>
      </c>
      <c r="R217" s="267">
        <f t="shared" si="67"/>
        <v>-1.9266366938876168E-2</v>
      </c>
      <c r="S217" s="267">
        <f t="shared" si="67"/>
        <v>-1.8646573120639921E-2</v>
      </c>
      <c r="T217" s="267">
        <f t="shared" si="67"/>
        <v>-1.9266366938876168E-2</v>
      </c>
      <c r="U217" s="267">
        <f t="shared" si="67"/>
        <v>-1.9266366938876168E-2</v>
      </c>
      <c r="V217" s="267">
        <f t="shared" si="67"/>
        <v>-1.8646573120639921E-2</v>
      </c>
      <c r="W217" s="267">
        <f t="shared" si="67"/>
        <v>-1.8646573120639921E-2</v>
      </c>
      <c r="X217" s="267">
        <f t="shared" si="67"/>
        <v>0</v>
      </c>
      <c r="Y217" s="267">
        <f t="shared" si="67"/>
        <v>0</v>
      </c>
      <c r="Z217" s="259"/>
      <c r="AA217" s="259"/>
    </row>
    <row r="218" spans="3:27" x14ac:dyDescent="0.3">
      <c r="E218" s="32"/>
      <c r="F218" s="191" t="s">
        <v>197</v>
      </c>
      <c r="G218" t="s">
        <v>268</v>
      </c>
      <c r="H218" s="259"/>
      <c r="I218" s="259"/>
      <c r="J218" s="267">
        <f t="shared" ref="J218:Y218" si="68">hundred * $H26 * J63 / $H51 * J113 * (1 - J75) / hours_in_year</f>
        <v>2.2408394049783054E-2</v>
      </c>
      <c r="K218" s="267">
        <f t="shared" si="68"/>
        <v>2.2408394049783054E-2</v>
      </c>
      <c r="L218" s="267">
        <f t="shared" si="68"/>
        <v>2.5843310069539858E-2</v>
      </c>
      <c r="M218" s="267">
        <f t="shared" si="68"/>
        <v>2.5843310069539858E-2</v>
      </c>
      <c r="N218" s="267">
        <f t="shared" si="68"/>
        <v>2.2775231811291225E-2</v>
      </c>
      <c r="O218" s="267">
        <f t="shared" si="68"/>
        <v>9.2429010098524559E-4</v>
      </c>
      <c r="P218" s="267">
        <f t="shared" si="68"/>
        <v>0</v>
      </c>
      <c r="Q218" s="267">
        <f t="shared" si="68"/>
        <v>1.4146919927473595E-2</v>
      </c>
      <c r="R218" s="267">
        <f t="shared" si="68"/>
        <v>-1.7492327620822229E-2</v>
      </c>
      <c r="S218" s="267">
        <f t="shared" si="68"/>
        <v>0</v>
      </c>
      <c r="T218" s="267">
        <f t="shared" si="68"/>
        <v>-1.7492327620822229E-2</v>
      </c>
      <c r="U218" s="267">
        <f t="shared" si="68"/>
        <v>-1.7492327620822229E-2</v>
      </c>
      <c r="V218" s="267">
        <f t="shared" si="68"/>
        <v>0</v>
      </c>
      <c r="W218" s="267">
        <f t="shared" si="68"/>
        <v>0</v>
      </c>
      <c r="X218" s="267">
        <f t="shared" si="68"/>
        <v>0</v>
      </c>
      <c r="Y218" s="267">
        <f t="shared" si="68"/>
        <v>0</v>
      </c>
      <c r="Z218" s="259"/>
      <c r="AA218" s="259"/>
    </row>
    <row r="219" spans="3:27" x14ac:dyDescent="0.3">
      <c r="E219" s="32"/>
      <c r="F219" s="192" t="s">
        <v>198</v>
      </c>
      <c r="G219" s="37" t="s">
        <v>268</v>
      </c>
      <c r="H219" s="261"/>
      <c r="I219" s="261"/>
      <c r="J219" s="268">
        <f t="shared" ref="J219:Y219" si="69">hundred * $H27 * J64 / $H52 * J114 * (1 - J76) / hours_in_year</f>
        <v>5.323866695015082E-4</v>
      </c>
      <c r="K219" s="268">
        <f t="shared" si="69"/>
        <v>5.323866695015082E-4</v>
      </c>
      <c r="L219" s="268">
        <f t="shared" si="69"/>
        <v>6.1399463728862441E-4</v>
      </c>
      <c r="M219" s="268">
        <f t="shared" si="69"/>
        <v>6.1399463728862441E-4</v>
      </c>
      <c r="N219" s="268">
        <f t="shared" si="69"/>
        <v>5.4110213271867764E-4</v>
      </c>
      <c r="O219" s="268">
        <f t="shared" si="69"/>
        <v>0</v>
      </c>
      <c r="P219" s="268">
        <f t="shared" si="69"/>
        <v>0</v>
      </c>
      <c r="Q219" s="268">
        <f t="shared" si="69"/>
        <v>3.361076017834978E-4</v>
      </c>
      <c r="R219" s="268">
        <f t="shared" si="69"/>
        <v>0</v>
      </c>
      <c r="S219" s="268">
        <f t="shared" si="69"/>
        <v>0</v>
      </c>
      <c r="T219" s="268">
        <f t="shared" si="69"/>
        <v>0</v>
      </c>
      <c r="U219" s="268">
        <f t="shared" si="69"/>
        <v>0</v>
      </c>
      <c r="V219" s="268">
        <f t="shared" si="69"/>
        <v>0</v>
      </c>
      <c r="W219" s="268">
        <f t="shared" si="69"/>
        <v>0</v>
      </c>
      <c r="X219" s="268">
        <f t="shared" si="69"/>
        <v>0</v>
      </c>
      <c r="Y219" s="268">
        <f t="shared" si="69"/>
        <v>0</v>
      </c>
      <c r="Z219" s="259"/>
      <c r="AA219" s="259"/>
    </row>
    <row r="220" spans="3:27" x14ac:dyDescent="0.3">
      <c r="E220" s="32"/>
      <c r="F220" s="191"/>
      <c r="J220" s="163"/>
      <c r="K220" s="163"/>
      <c r="L220" s="163"/>
      <c r="M220" s="163"/>
      <c r="N220" s="163"/>
      <c r="O220" s="163"/>
      <c r="P220" s="163"/>
      <c r="Q220" s="163"/>
      <c r="R220" s="163"/>
      <c r="S220" s="163"/>
      <c r="T220" s="163"/>
      <c r="U220" s="163"/>
      <c r="V220" s="163"/>
      <c r="W220" s="163"/>
      <c r="X220" s="163"/>
      <c r="Y220" s="163"/>
    </row>
    <row r="221" spans="3:27" x14ac:dyDescent="0.3">
      <c r="E221" s="32" t="s">
        <v>621</v>
      </c>
      <c r="J221" s="163"/>
      <c r="K221" s="163"/>
      <c r="L221" s="163"/>
      <c r="M221" s="163"/>
      <c r="N221" s="163"/>
      <c r="O221" s="163"/>
      <c r="P221" s="163"/>
      <c r="Q221" s="163"/>
      <c r="R221" s="163"/>
      <c r="S221" s="163"/>
      <c r="T221" s="163"/>
      <c r="U221" s="163"/>
      <c r="V221" s="163"/>
      <c r="W221" s="163"/>
      <c r="X221" s="163"/>
      <c r="Y221" s="163"/>
    </row>
    <row r="222" spans="3:27" x14ac:dyDescent="0.3">
      <c r="C222" s="32"/>
      <c r="E222" s="32"/>
      <c r="F222" s="190" t="s">
        <v>188</v>
      </c>
      <c r="G222" s="23" t="s">
        <v>268</v>
      </c>
      <c r="H222" s="258"/>
      <c r="I222" s="258"/>
      <c r="J222" s="266">
        <f t="shared" ref="J222:Y222" si="70">hundred * $H30 * J55 / $H43 * J105 / hours_in_year</f>
        <v>0</v>
      </c>
      <c r="K222" s="266">
        <f t="shared" si="70"/>
        <v>0</v>
      </c>
      <c r="L222" s="266">
        <f t="shared" si="70"/>
        <v>0</v>
      </c>
      <c r="M222" s="266">
        <f t="shared" si="70"/>
        <v>0</v>
      </c>
      <c r="N222" s="266">
        <f t="shared" si="70"/>
        <v>0</v>
      </c>
      <c r="O222" s="266">
        <f t="shared" si="70"/>
        <v>0</v>
      </c>
      <c r="P222" s="266">
        <f t="shared" si="70"/>
        <v>0</v>
      </c>
      <c r="Q222" s="266">
        <f t="shared" si="70"/>
        <v>0</v>
      </c>
      <c r="R222" s="266">
        <f t="shared" si="70"/>
        <v>0</v>
      </c>
      <c r="S222" s="266">
        <f t="shared" si="70"/>
        <v>0</v>
      </c>
      <c r="T222" s="266">
        <f t="shared" si="70"/>
        <v>0</v>
      </c>
      <c r="U222" s="266">
        <f t="shared" si="70"/>
        <v>0</v>
      </c>
      <c r="V222" s="266">
        <f t="shared" si="70"/>
        <v>0</v>
      </c>
      <c r="W222" s="266">
        <f t="shared" si="70"/>
        <v>0</v>
      </c>
      <c r="X222" s="266">
        <f t="shared" si="70"/>
        <v>0</v>
      </c>
      <c r="Y222" s="266">
        <f t="shared" si="70"/>
        <v>0</v>
      </c>
      <c r="Z222" s="259"/>
      <c r="AA222" s="259"/>
    </row>
    <row r="223" spans="3:27" x14ac:dyDescent="0.3">
      <c r="C223" s="32"/>
      <c r="E223" s="32"/>
      <c r="F223" s="191" t="s">
        <v>190</v>
      </c>
      <c r="G223" t="s">
        <v>268</v>
      </c>
      <c r="H223" s="259"/>
      <c r="I223" s="259"/>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59"/>
      <c r="AA223" s="259"/>
    </row>
    <row r="224" spans="3:27" x14ac:dyDescent="0.3">
      <c r="C224" s="32"/>
      <c r="E224" s="32"/>
      <c r="F224" s="191" t="s">
        <v>191</v>
      </c>
      <c r="G224" t="s">
        <v>268</v>
      </c>
      <c r="H224" s="259"/>
      <c r="I224" s="259"/>
      <c r="J224" s="267">
        <f t="shared" ref="J224:Y224" si="72">hundred * $H32 * J57 / $H45 * J107 / hours_in_year</f>
        <v>1.3914116131548564E-2</v>
      </c>
      <c r="K224" s="267">
        <f t="shared" si="72"/>
        <v>1.3914116131548564E-2</v>
      </c>
      <c r="L224" s="267">
        <f t="shared" si="72"/>
        <v>1.6046969574541083E-2</v>
      </c>
      <c r="M224" s="267">
        <f t="shared" si="72"/>
        <v>1.6046969574541083E-2</v>
      </c>
      <c r="N224" s="267">
        <f t="shared" si="72"/>
        <v>1.4141897881714254E-2</v>
      </c>
      <c r="O224" s="267">
        <f t="shared" si="72"/>
        <v>1.3391523198917461E-2</v>
      </c>
      <c r="P224" s="267">
        <f t="shared" si="72"/>
        <v>1.1487550668138721E-2</v>
      </c>
      <c r="Q224" s="267">
        <f t="shared" si="72"/>
        <v>8.7842924547505401E-3</v>
      </c>
      <c r="R224" s="267">
        <f t="shared" si="72"/>
        <v>-1.086156720497208E-2</v>
      </c>
      <c r="S224" s="267">
        <f t="shared" si="72"/>
        <v>-1.0512153523017575E-2</v>
      </c>
      <c r="T224" s="267">
        <f t="shared" si="72"/>
        <v>-1.086156720497208E-2</v>
      </c>
      <c r="U224" s="267">
        <f t="shared" si="72"/>
        <v>-1.086156720497208E-2</v>
      </c>
      <c r="V224" s="267">
        <f t="shared" si="72"/>
        <v>-1.0512153523017575E-2</v>
      </c>
      <c r="W224" s="267">
        <f t="shared" si="72"/>
        <v>-1.0512153523017575E-2</v>
      </c>
      <c r="X224" s="267">
        <f t="shared" si="72"/>
        <v>-1.0353592629909392E-2</v>
      </c>
      <c r="Y224" s="267">
        <f t="shared" si="72"/>
        <v>-1.0353592629909392E-2</v>
      </c>
      <c r="Z224" s="259"/>
      <c r="AA224" s="259"/>
    </row>
    <row r="225" spans="2:27" x14ac:dyDescent="0.3">
      <c r="C225" s="32"/>
      <c r="E225" s="32"/>
      <c r="F225" s="191" t="s">
        <v>192</v>
      </c>
      <c r="G225" t="s">
        <v>268</v>
      </c>
      <c r="H225" s="259"/>
      <c r="I225" s="259"/>
      <c r="J225" s="267">
        <f t="shared" ref="J225:Y225" si="73">hundred * $H33 * J58 / $H46 * J108 / hours_in_year</f>
        <v>5.5038035213612162E-3</v>
      </c>
      <c r="K225" s="267">
        <f t="shared" si="73"/>
        <v>5.5038035213612162E-3</v>
      </c>
      <c r="L225" s="267">
        <f t="shared" si="73"/>
        <v>6.3474651797164527E-3</v>
      </c>
      <c r="M225" s="267">
        <f t="shared" si="73"/>
        <v>6.3474651797164527E-3</v>
      </c>
      <c r="N225" s="267">
        <f t="shared" si="73"/>
        <v>5.5939038185566104E-3</v>
      </c>
      <c r="O225" s="267">
        <f t="shared" si="73"/>
        <v>5.2970890742730535E-3</v>
      </c>
      <c r="P225" s="267">
        <f t="shared" si="73"/>
        <v>4.5439624925770012E-3</v>
      </c>
      <c r="Q225" s="267">
        <f t="shared" si="73"/>
        <v>3.4746741573833647E-3</v>
      </c>
      <c r="R225" s="267">
        <f t="shared" si="73"/>
        <v>-4.2963513646894986E-3</v>
      </c>
      <c r="S225" s="267">
        <f t="shared" si="73"/>
        <v>-4.1581389022541312E-3</v>
      </c>
      <c r="T225" s="267">
        <f t="shared" si="73"/>
        <v>-4.2963513646894986E-3</v>
      </c>
      <c r="U225" s="267">
        <f t="shared" si="73"/>
        <v>-4.2963513646894986E-3</v>
      </c>
      <c r="V225" s="267">
        <f t="shared" si="73"/>
        <v>-4.1581389022541312E-3</v>
      </c>
      <c r="W225" s="267">
        <f t="shared" si="73"/>
        <v>-4.1581389022541312E-3</v>
      </c>
      <c r="X225" s="267">
        <f t="shared" si="73"/>
        <v>-4.0954192876132643E-3</v>
      </c>
      <c r="Y225" s="267">
        <f t="shared" si="73"/>
        <v>-4.0954192876132643E-3</v>
      </c>
      <c r="Z225" s="259"/>
      <c r="AA225" s="259"/>
    </row>
    <row r="226" spans="2:27" x14ac:dyDescent="0.3">
      <c r="C226" s="32"/>
      <c r="E226" s="32"/>
      <c r="F226" s="191" t="s">
        <v>193</v>
      </c>
      <c r="G226" t="s">
        <v>268</v>
      </c>
      <c r="H226" s="259"/>
      <c r="I226" s="259"/>
      <c r="J226" s="267">
        <f t="shared" ref="J226:Y226" si="74">hundred * $H34 * J59 / $H47 * J109 / hours_in_year</f>
        <v>1.4965645425174789E-2</v>
      </c>
      <c r="K226" s="267">
        <f t="shared" si="74"/>
        <v>1.4965645425174789E-2</v>
      </c>
      <c r="L226" s="267">
        <f t="shared" si="74"/>
        <v>1.7259684663449907E-2</v>
      </c>
      <c r="M226" s="267">
        <f t="shared" si="74"/>
        <v>1.7259684663449907E-2</v>
      </c>
      <c r="N226" s="267">
        <f t="shared" si="74"/>
        <v>1.5210641289452232E-2</v>
      </c>
      <c r="O226" s="267">
        <f t="shared" si="74"/>
        <v>1.4403558659654243E-2</v>
      </c>
      <c r="P226" s="267">
        <f t="shared" si="74"/>
        <v>1.235569751450394E-2</v>
      </c>
      <c r="Q226" s="267">
        <f t="shared" si="74"/>
        <v>9.4481463965044379E-3</v>
      </c>
      <c r="R226" s="267">
        <f t="shared" si="74"/>
        <v>-1.1682406702266609E-2</v>
      </c>
      <c r="S226" s="267">
        <f t="shared" si="74"/>
        <v>-1.1306586835492656E-2</v>
      </c>
      <c r="T226" s="267">
        <f t="shared" si="74"/>
        <v>-1.1682406702266609E-2</v>
      </c>
      <c r="U226" s="267">
        <f t="shared" si="74"/>
        <v>-1.1682406702266609E-2</v>
      </c>
      <c r="V226" s="267">
        <f t="shared" si="74"/>
        <v>-1.1306586835492656E-2</v>
      </c>
      <c r="W226" s="267">
        <f t="shared" si="74"/>
        <v>-1.1306586835492656E-2</v>
      </c>
      <c r="X226" s="267">
        <f t="shared" si="74"/>
        <v>-1.1136043045134623E-2</v>
      </c>
      <c r="Y226" s="267">
        <f t="shared" si="74"/>
        <v>-1.1136043045134623E-2</v>
      </c>
      <c r="Z226" s="259"/>
      <c r="AA226" s="259"/>
    </row>
    <row r="227" spans="2:27" x14ac:dyDescent="0.3">
      <c r="C227" s="32"/>
      <c r="E227" s="32"/>
      <c r="F227" s="191" t="s">
        <v>194</v>
      </c>
      <c r="G227" t="s">
        <v>268</v>
      </c>
      <c r="H227" s="259"/>
      <c r="I227" s="259"/>
      <c r="J227" s="267">
        <f t="shared" ref="J227:Y227" si="75">hundred * $H35 * J60 / $H48 * J110 / hours_in_year</f>
        <v>9.4403799715526253E-3</v>
      </c>
      <c r="K227" s="267">
        <f t="shared" si="75"/>
        <v>9.4403799715526253E-3</v>
      </c>
      <c r="L227" s="267">
        <f t="shared" si="75"/>
        <v>1.0887467715762985E-2</v>
      </c>
      <c r="M227" s="267">
        <f t="shared" si="75"/>
        <v>1.0887467715762985E-2</v>
      </c>
      <c r="N227" s="267">
        <f t="shared" si="75"/>
        <v>9.5949241949743139E-3</v>
      </c>
      <c r="O227" s="267">
        <f t="shared" si="75"/>
        <v>9.0858137304890198E-3</v>
      </c>
      <c r="P227" s="267">
        <f t="shared" si="75"/>
        <v>7.7940159636732285E-3</v>
      </c>
      <c r="Q227" s="267">
        <f t="shared" si="75"/>
        <v>5.9599228416716199E-3</v>
      </c>
      <c r="R227" s="267">
        <f t="shared" si="75"/>
        <v>-7.3693018321875558E-3</v>
      </c>
      <c r="S227" s="267">
        <f t="shared" si="75"/>
        <v>-7.1322333835901908E-3</v>
      </c>
      <c r="T227" s="267">
        <f t="shared" si="75"/>
        <v>-7.3693018321875558E-3</v>
      </c>
      <c r="U227" s="267">
        <f t="shared" si="75"/>
        <v>-7.3693018321875558E-3</v>
      </c>
      <c r="V227" s="267">
        <f t="shared" si="75"/>
        <v>-7.1322333835901908E-3</v>
      </c>
      <c r="W227" s="267">
        <f t="shared" si="75"/>
        <v>-7.1322333835901908E-3</v>
      </c>
      <c r="X227" s="267">
        <f t="shared" si="75"/>
        <v>-7.0246537813058582E-3</v>
      </c>
      <c r="Y227" s="267">
        <f t="shared" si="75"/>
        <v>-7.0246537813058582E-3</v>
      </c>
      <c r="Z227" s="259"/>
      <c r="AA227" s="259"/>
    </row>
    <row r="228" spans="2:27" x14ac:dyDescent="0.3">
      <c r="C228" s="32"/>
      <c r="E228" s="32"/>
      <c r="F228" s="191" t="s">
        <v>195</v>
      </c>
      <c r="G228" t="s">
        <v>268</v>
      </c>
      <c r="H228" s="259"/>
      <c r="I228" s="259"/>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59"/>
      <c r="AA228" s="259"/>
    </row>
    <row r="229" spans="2:27" x14ac:dyDescent="0.3">
      <c r="C229" s="32"/>
      <c r="E229" s="32"/>
      <c r="F229" s="191" t="s">
        <v>196</v>
      </c>
      <c r="G229" t="s">
        <v>268</v>
      </c>
      <c r="H229" s="259"/>
      <c r="I229" s="259"/>
      <c r="J229" s="267">
        <f t="shared" ref="J229:Y229" si="77">hundred * $H37 * J62 / $H50 * J112 / hours_in_year</f>
        <v>1.713882737382855E-2</v>
      </c>
      <c r="K229" s="267">
        <f t="shared" si="77"/>
        <v>1.713882737382855E-2</v>
      </c>
      <c r="L229" s="267">
        <f t="shared" si="77"/>
        <v>1.9765987203998536E-2</v>
      </c>
      <c r="M229" s="267">
        <f t="shared" si="77"/>
        <v>1.9765987203998536E-2</v>
      </c>
      <c r="N229" s="267">
        <f t="shared" si="77"/>
        <v>1.741939942440578E-2</v>
      </c>
      <c r="O229" s="267">
        <f t="shared" si="77"/>
        <v>1.6495119216266226E-2</v>
      </c>
      <c r="P229" s="267">
        <f t="shared" si="77"/>
        <v>1.4149885338597235E-2</v>
      </c>
      <c r="Q229" s="267">
        <f t="shared" si="77"/>
        <v>1.082012472512248E-2</v>
      </c>
      <c r="R229" s="267">
        <f t="shared" si="77"/>
        <v>-1.3378825041798466E-2</v>
      </c>
      <c r="S229" s="267">
        <f t="shared" si="77"/>
        <v>-1.2948431855450552E-2</v>
      </c>
      <c r="T229" s="267">
        <f t="shared" si="77"/>
        <v>-1.3378825041798466E-2</v>
      </c>
      <c r="U229" s="267">
        <f t="shared" si="77"/>
        <v>-1.3378825041798466E-2</v>
      </c>
      <c r="V229" s="267">
        <f t="shared" si="77"/>
        <v>-1.2948431855450552E-2</v>
      </c>
      <c r="W229" s="267">
        <f t="shared" si="77"/>
        <v>-1.2948431855450552E-2</v>
      </c>
      <c r="X229" s="267">
        <f t="shared" si="77"/>
        <v>0</v>
      </c>
      <c r="Y229" s="267">
        <f t="shared" si="77"/>
        <v>0</v>
      </c>
      <c r="Z229" s="259"/>
      <c r="AA229" s="259"/>
    </row>
    <row r="230" spans="2:27" x14ac:dyDescent="0.3">
      <c r="C230" s="32"/>
      <c r="E230" s="32"/>
      <c r="F230" s="191" t="s">
        <v>197</v>
      </c>
      <c r="G230" t="s">
        <v>268</v>
      </c>
      <c r="H230" s="259"/>
      <c r="I230" s="259"/>
      <c r="J230" s="267">
        <f t="shared" ref="J230:Y230" si="78">hundred * $H38 * J63 / $H51 * J113 / hours_in_year</f>
        <v>1.5560691043145513E-2</v>
      </c>
      <c r="K230" s="267">
        <f t="shared" si="78"/>
        <v>1.5560691043145513E-2</v>
      </c>
      <c r="L230" s="267">
        <f t="shared" si="78"/>
        <v>1.7945943052898719E-2</v>
      </c>
      <c r="M230" s="267">
        <f t="shared" si="78"/>
        <v>1.7945943052898719E-2</v>
      </c>
      <c r="N230" s="267">
        <f t="shared" si="78"/>
        <v>1.581542813216252E-2</v>
      </c>
      <c r="O230" s="267">
        <f t="shared" si="78"/>
        <v>1.4976255273807216E-2</v>
      </c>
      <c r="P230" s="267">
        <f t="shared" si="78"/>
        <v>0</v>
      </c>
      <c r="Q230" s="267">
        <f t="shared" si="78"/>
        <v>9.8238119927057579E-3</v>
      </c>
      <c r="R230" s="267">
        <f t="shared" si="78"/>
        <v>-1.2146908213430429E-2</v>
      </c>
      <c r="S230" s="267">
        <f t="shared" si="78"/>
        <v>0</v>
      </c>
      <c r="T230" s="267">
        <f t="shared" si="78"/>
        <v>-1.2146908213430429E-2</v>
      </c>
      <c r="U230" s="267">
        <f t="shared" si="78"/>
        <v>-1.2146908213430429E-2</v>
      </c>
      <c r="V230" s="267">
        <f t="shared" si="78"/>
        <v>0</v>
      </c>
      <c r="W230" s="267">
        <f t="shared" si="78"/>
        <v>0</v>
      </c>
      <c r="X230" s="267">
        <f t="shared" si="78"/>
        <v>0</v>
      </c>
      <c r="Y230" s="267">
        <f t="shared" si="78"/>
        <v>0</v>
      </c>
      <c r="Z230" s="259"/>
      <c r="AA230" s="259"/>
    </row>
    <row r="231" spans="2:27" x14ac:dyDescent="0.3">
      <c r="C231" s="32"/>
      <c r="E231" s="32"/>
      <c r="F231" s="192" t="s">
        <v>198</v>
      </c>
      <c r="G231" s="37" t="s">
        <v>268</v>
      </c>
      <c r="H231" s="261"/>
      <c r="I231" s="261"/>
      <c r="J231" s="268">
        <f t="shared" ref="J231:Y231" si="79">hundred * $H39 * J64 / $H52 * J114 / hours_in_year</f>
        <v>8.6262512801204335E-3</v>
      </c>
      <c r="K231" s="268">
        <f t="shared" si="79"/>
        <v>8.6262512801204335E-3</v>
      </c>
      <c r="L231" s="268">
        <f t="shared" si="79"/>
        <v>9.9485436606768264E-3</v>
      </c>
      <c r="M231" s="268">
        <f t="shared" si="79"/>
        <v>9.9485436606768264E-3</v>
      </c>
      <c r="N231" s="268">
        <f t="shared" si="79"/>
        <v>8.7674677681372094E-3</v>
      </c>
      <c r="O231" s="268">
        <f t="shared" si="79"/>
        <v>0</v>
      </c>
      <c r="P231" s="268">
        <f t="shared" si="79"/>
        <v>0</v>
      </c>
      <c r="Q231" s="268">
        <f t="shared" si="79"/>
        <v>5.445945205310769E-3</v>
      </c>
      <c r="R231" s="268">
        <f t="shared" si="79"/>
        <v>0</v>
      </c>
      <c r="S231" s="268">
        <f t="shared" si="79"/>
        <v>0</v>
      </c>
      <c r="T231" s="268">
        <f t="shared" si="79"/>
        <v>0</v>
      </c>
      <c r="U231" s="268">
        <f t="shared" si="79"/>
        <v>0</v>
      </c>
      <c r="V231" s="268">
        <f t="shared" si="79"/>
        <v>0</v>
      </c>
      <c r="W231" s="268">
        <f t="shared" si="79"/>
        <v>0</v>
      </c>
      <c r="X231" s="268">
        <f t="shared" si="79"/>
        <v>0</v>
      </c>
      <c r="Y231" s="268">
        <f t="shared" si="79"/>
        <v>0</v>
      </c>
      <c r="Z231" s="259"/>
      <c r="AA231" s="259"/>
    </row>
    <row r="232" spans="2:27" x14ac:dyDescent="0.3">
      <c r="J232" s="14"/>
      <c r="K232" s="14"/>
      <c r="L232" s="14"/>
      <c r="M232" s="14"/>
      <c r="N232" s="14"/>
      <c r="O232" s="14"/>
      <c r="P232" s="14"/>
      <c r="Q232" s="14"/>
      <c r="R232" s="14"/>
      <c r="S232" s="14"/>
      <c r="T232" s="14"/>
      <c r="U232" s="14"/>
      <c r="V232" s="14"/>
      <c r="W232" s="14"/>
      <c r="X232" s="14"/>
      <c r="Y232" s="14"/>
    </row>
    <row r="233" spans="2:27" x14ac:dyDescent="0.3">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3">
      <c r="C234" s="32"/>
      <c r="D234" s="32"/>
      <c r="E234" s="32"/>
      <c r="J234" s="164"/>
      <c r="K234" s="14"/>
      <c r="L234" s="164"/>
      <c r="M234" s="14"/>
      <c r="N234" s="14"/>
      <c r="O234" s="14"/>
      <c r="P234" s="14"/>
      <c r="Q234" s="14"/>
      <c r="R234" s="14"/>
      <c r="S234" s="14"/>
      <c r="T234" s="14"/>
      <c r="U234" s="14"/>
      <c r="V234" s="14"/>
      <c r="W234" s="14"/>
      <c r="X234" s="14"/>
      <c r="Y234" s="14"/>
    </row>
    <row r="235" spans="2:27" x14ac:dyDescent="0.3">
      <c r="D235" s="32" t="s">
        <v>628</v>
      </c>
      <c r="E235" s="32"/>
      <c r="J235" s="164"/>
      <c r="K235" s="14"/>
      <c r="L235" s="164"/>
      <c r="M235" s="14"/>
      <c r="N235" s="14"/>
      <c r="O235" s="14"/>
      <c r="P235" s="14"/>
      <c r="Q235" s="14"/>
      <c r="R235" s="14"/>
      <c r="S235" s="14"/>
      <c r="T235" s="14"/>
      <c r="U235" s="14"/>
      <c r="V235" s="14"/>
      <c r="W235" s="14"/>
      <c r="X235" s="14"/>
      <c r="Y235" s="14"/>
    </row>
    <row r="236" spans="2:27" x14ac:dyDescent="0.3">
      <c r="C236" s="32"/>
      <c r="D236" s="32"/>
      <c r="E236" s="32"/>
      <c r="J236" s="164"/>
      <c r="K236" s="14"/>
      <c r="L236" s="164"/>
      <c r="M236" s="14"/>
      <c r="N236" s="14"/>
      <c r="O236" s="14"/>
      <c r="P236" s="14"/>
      <c r="Q236" s="14"/>
      <c r="R236" s="14"/>
      <c r="S236" s="14"/>
      <c r="T236" s="14"/>
      <c r="U236" s="14"/>
      <c r="V236" s="14"/>
      <c r="W236" s="14"/>
      <c r="X236" s="14"/>
      <c r="Y236" s="14"/>
    </row>
    <row r="237" spans="2:27" x14ac:dyDescent="0.3">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3">
      <c r="C238" s="32"/>
      <c r="D238" s="32"/>
      <c r="E238" s="32"/>
      <c r="J238" s="63"/>
      <c r="L238" s="63"/>
    </row>
    <row r="239" spans="2:27" x14ac:dyDescent="0.3">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3">
      <c r="C240" s="32"/>
      <c r="D240" s="32"/>
      <c r="E240" s="32"/>
      <c r="J240" s="164"/>
      <c r="K240" s="14"/>
      <c r="L240" s="164"/>
      <c r="M240" s="14"/>
      <c r="N240" s="14"/>
      <c r="O240" s="14"/>
      <c r="P240" s="14"/>
      <c r="Q240" s="14"/>
      <c r="R240" s="14"/>
      <c r="S240" s="14"/>
      <c r="T240" s="14"/>
      <c r="U240" s="14"/>
      <c r="V240" s="14"/>
      <c r="W240" s="14"/>
      <c r="X240" s="14"/>
      <c r="Y240" s="14"/>
    </row>
    <row r="241" spans="2:27" x14ac:dyDescent="0.3">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3">
      <c r="C242" s="32"/>
      <c r="D242" s="32"/>
      <c r="E242" s="32"/>
      <c r="J242" s="63"/>
      <c r="L242" s="63"/>
    </row>
    <row r="243" spans="2:27" x14ac:dyDescent="0.3">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Service model charges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H48 &amp; IF(H48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631</v>
      </c>
      <c r="D9"/>
      <c r="F9" s="29"/>
    </row>
    <row r="10" spans="1:27" x14ac:dyDescent="0.3">
      <c r="C10" s="29" t="s">
        <v>632</v>
      </c>
      <c r="D10"/>
      <c r="E10"/>
      <c r="F10" s="29"/>
    </row>
    <row r="11" spans="1:27" x14ac:dyDescent="0.3">
      <c r="C11" s="29" t="s">
        <v>633</v>
      </c>
    </row>
    <row r="13" spans="1:27" x14ac:dyDescent="0.3">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3">
      <c r="C14" s="88"/>
    </row>
    <row r="15" spans="1:27" x14ac:dyDescent="0.3">
      <c r="B15" s="2"/>
      <c r="C15" s="29" t="s">
        <v>635</v>
      </c>
    </row>
    <row r="16" spans="1:27" x14ac:dyDescent="0.3">
      <c r="C16" s="88"/>
    </row>
    <row r="17" spans="2:27" x14ac:dyDescent="0.3">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3">
      <c r="C18" s="88"/>
    </row>
    <row r="19" spans="2:27" x14ac:dyDescent="0.3">
      <c r="D19"/>
      <c r="E19" s="28" t="s">
        <v>567</v>
      </c>
      <c r="F19" s="28"/>
      <c r="G19" s="28" t="s">
        <v>166</v>
      </c>
      <c r="H19" s="179">
        <f>'Unit costs'!$H$121</f>
        <v>4.792270865014963E-2</v>
      </c>
      <c r="I19" s="3"/>
      <c r="J19" s="3"/>
      <c r="K19" s="3"/>
      <c r="L19" s="3"/>
      <c r="M19" s="3"/>
      <c r="N19" s="3"/>
      <c r="P19" s="3"/>
    </row>
    <row r="20" spans="2:27" x14ac:dyDescent="0.3">
      <c r="C20" s="88"/>
      <c r="E20" t="s">
        <v>597</v>
      </c>
      <c r="G20" t="s">
        <v>356</v>
      </c>
      <c r="H20" s="120">
        <f>'Unit costs'!$H$122</f>
        <v>143809050.92978713</v>
      </c>
    </row>
    <row r="21" spans="2:27" x14ac:dyDescent="0.3">
      <c r="C21" s="88"/>
      <c r="E21" t="s">
        <v>636</v>
      </c>
      <c r="G21" t="s">
        <v>356</v>
      </c>
      <c r="H21" s="120">
        <f>'Unit costs'!$H$123</f>
        <v>6173460535.6671324</v>
      </c>
    </row>
    <row r="22" spans="2:27" x14ac:dyDescent="0.3">
      <c r="D22" s="88"/>
      <c r="E22"/>
    </row>
    <row r="23" spans="2:27" x14ac:dyDescent="0.3">
      <c r="D23"/>
      <c r="E23" s="32" t="s">
        <v>637</v>
      </c>
      <c r="H23" s="63"/>
      <c r="J23" s="63"/>
      <c r="K23" s="63"/>
      <c r="L23" s="63"/>
      <c r="M23" s="63"/>
      <c r="N23" s="63"/>
    </row>
    <row r="24" spans="2:27" x14ac:dyDescent="0.3">
      <c r="D24"/>
      <c r="E24" s="29" t="s">
        <v>638</v>
      </c>
      <c r="H24" s="63"/>
    </row>
    <row r="25" spans="2:27" x14ac:dyDescent="0.3">
      <c r="E25" s="88"/>
      <c r="F25" s="23" t="s">
        <v>375</v>
      </c>
      <c r="G25" s="23" t="s">
        <v>260</v>
      </c>
      <c r="H25" s="174"/>
      <c r="I25" s="23"/>
      <c r="J25" s="124">
        <f>'Inputs by customer type'!J187</f>
        <v>586.26947268314552</v>
      </c>
      <c r="K25" s="124">
        <f>'Inputs by customer type'!K187</f>
        <v>0</v>
      </c>
      <c r="L25" s="124">
        <f>'Inputs by customer type'!L187</f>
        <v>586.26947268314552</v>
      </c>
      <c r="M25" s="124">
        <f>'Inputs by customer type'!M187</f>
        <v>0</v>
      </c>
      <c r="N25" s="124">
        <f>'Inputs by customer type'!N187</f>
        <v>2741.3031426249267</v>
      </c>
      <c r="O25" s="124">
        <f>'Inputs by customer type'!O187</f>
        <v>8847.8085665497201</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3">
      <c r="E26" s="88"/>
      <c r="F26" t="s">
        <v>376</v>
      </c>
      <c r="G26" t="s">
        <v>260</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19455.151334465525</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1310.0462107208873</v>
      </c>
      <c r="Y26" s="120">
        <f>'Inputs by customer type'!Y188</f>
        <v>1310.0462107208873</v>
      </c>
    </row>
    <row r="27" spans="2:27" x14ac:dyDescent="0.3">
      <c r="E27" s="88"/>
      <c r="F27" s="37" t="s">
        <v>552</v>
      </c>
      <c r="G27" s="37" t="s">
        <v>263</v>
      </c>
      <c r="H27" s="37"/>
      <c r="I27" s="37"/>
      <c r="J27" s="81"/>
      <c r="K27" s="81"/>
      <c r="L27" s="81"/>
      <c r="M27" s="81"/>
      <c r="N27" s="81"/>
      <c r="O27" s="81"/>
      <c r="P27" s="81"/>
      <c r="Q27" s="125">
        <f>'Inputs by customer type'!Q190</f>
        <v>925.70157191985481</v>
      </c>
      <c r="R27" s="81"/>
      <c r="S27" s="81"/>
      <c r="T27" s="81"/>
      <c r="U27" s="81"/>
      <c r="V27" s="81"/>
      <c r="W27" s="81"/>
      <c r="X27" s="81"/>
      <c r="Y27" s="81"/>
    </row>
    <row r="28" spans="2:27" x14ac:dyDescent="0.3">
      <c r="D28" s="88"/>
      <c r="E28"/>
    </row>
    <row r="29" spans="2:27" x14ac:dyDescent="0.3">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3">
      <c r="C30" s="88"/>
    </row>
    <row r="31" spans="2:27" x14ac:dyDescent="0.3">
      <c r="C31" s="29" t="s">
        <v>640</v>
      </c>
    </row>
    <row r="32" spans="2:27" x14ac:dyDescent="0.3">
      <c r="C32" s="88"/>
    </row>
    <row r="33" spans="2:27" x14ac:dyDescent="0.3">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3">
      <c r="C34" s="88"/>
    </row>
    <row r="35" spans="2:27" x14ac:dyDescent="0.3">
      <c r="D35"/>
      <c r="E35" t="s">
        <v>641</v>
      </c>
      <c r="G35" t="s">
        <v>276</v>
      </c>
      <c r="H35" s="98">
        <f>IF(H21 &lt;&gt; 0, H20  /H21, 0)</f>
        <v>2.3294722643634178E-2</v>
      </c>
      <c r="I35" t="s">
        <v>153</v>
      </c>
      <c r="J35" s="63"/>
      <c r="K35" s="63"/>
      <c r="L35" s="63"/>
      <c r="M35" s="63"/>
      <c r="N35" s="63"/>
      <c r="O35" s="63"/>
      <c r="P35" s="63"/>
      <c r="Q35" s="63"/>
      <c r="R35" s="63"/>
      <c r="S35" s="63"/>
      <c r="T35" s="63"/>
      <c r="U35" s="63"/>
      <c r="V35" s="63"/>
      <c r="W35" s="63"/>
      <c r="X35" s="63"/>
      <c r="Y35" s="63"/>
      <c r="AA35" t="s">
        <v>642</v>
      </c>
    </row>
    <row r="36" spans="2:27" x14ac:dyDescent="0.3">
      <c r="D36" s="88"/>
      <c r="E36"/>
      <c r="J36" s="63"/>
      <c r="K36" s="63"/>
      <c r="L36" s="63"/>
      <c r="M36" s="63"/>
      <c r="N36" s="63"/>
      <c r="O36" s="63"/>
      <c r="P36" s="63"/>
      <c r="Q36" s="63"/>
      <c r="R36" s="63"/>
      <c r="S36" s="63"/>
      <c r="T36" s="63"/>
      <c r="U36" s="63"/>
      <c r="V36" s="63"/>
      <c r="W36" s="63"/>
      <c r="X36" s="63"/>
      <c r="Y36" s="63"/>
    </row>
    <row r="37" spans="2:27" x14ac:dyDescent="0.3">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3">
      <c r="C38" s="88"/>
    </row>
    <row r="39" spans="2:27" x14ac:dyDescent="0.3">
      <c r="D39"/>
      <c r="E39" s="29" t="s">
        <v>643</v>
      </c>
      <c r="H39" s="63"/>
      <c r="J39" s="63"/>
      <c r="K39" s="63"/>
      <c r="L39" s="63"/>
      <c r="M39" s="63"/>
      <c r="N39" s="63"/>
      <c r="O39" s="63"/>
      <c r="P39" s="63"/>
      <c r="Q39" s="63"/>
      <c r="R39" s="63"/>
      <c r="S39" s="63"/>
      <c r="T39" s="63"/>
      <c r="U39" s="63"/>
      <c r="V39" s="63"/>
      <c r="W39" s="63"/>
      <c r="X39" s="63"/>
      <c r="Y39" s="63"/>
    </row>
    <row r="40" spans="2:27" x14ac:dyDescent="0.3">
      <c r="D40"/>
      <c r="E40" s="29"/>
      <c r="H40" s="63"/>
      <c r="J40" s="63"/>
      <c r="K40" s="63"/>
      <c r="L40" s="63"/>
      <c r="M40" s="63"/>
      <c r="N40" s="63"/>
      <c r="O40" s="63"/>
      <c r="P40" s="63"/>
      <c r="Q40" s="63"/>
      <c r="R40" s="63"/>
      <c r="S40" s="63"/>
      <c r="T40" s="63"/>
      <c r="U40" s="63"/>
      <c r="V40" s="63"/>
      <c r="W40" s="63"/>
      <c r="X40" s="63"/>
      <c r="Y40" s="63"/>
    </row>
    <row r="41" spans="2:27" x14ac:dyDescent="0.3">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3">
      <c r="D42"/>
      <c r="E42" s="88"/>
      <c r="F42" s="23" t="s">
        <v>375</v>
      </c>
      <c r="G42" s="23" t="s">
        <v>269</v>
      </c>
      <c r="H42" s="174"/>
      <c r="I42" s="23"/>
      <c r="J42" s="101">
        <f t="shared" ref="J42:K42" si="0">J25 * $H$35 / days_in_year * hundred</f>
        <v>3.7416396604338464</v>
      </c>
      <c r="K42" s="101">
        <f t="shared" si="0"/>
        <v>0</v>
      </c>
      <c r="L42" s="101">
        <f t="shared" ref="L42:M42" si="1">L25 * $H$35 / days_in_year * hundred</f>
        <v>3.7416396604338464</v>
      </c>
      <c r="M42" s="101">
        <f t="shared" si="1"/>
        <v>0</v>
      </c>
      <c r="N42" s="101">
        <f t="shared" ref="N42:P42" si="2">N25 * $H$35 / days_in_year * hundred</f>
        <v>17.49531407933436</v>
      </c>
      <c r="O42" s="101">
        <f t="shared" si="2"/>
        <v>56.467738784040058</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3">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124.16502858254897</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8.3608666107087686</v>
      </c>
      <c r="Y43" s="121">
        <f t="shared" si="13"/>
        <v>8.3608666107087686</v>
      </c>
    </row>
    <row r="44" spans="2:27" x14ac:dyDescent="0.3">
      <c r="D44"/>
      <c r="E44" s="88"/>
      <c r="F44" s="37" t="s">
        <v>552</v>
      </c>
      <c r="G44" s="37" t="s">
        <v>268</v>
      </c>
      <c r="H44" s="261"/>
      <c r="I44" s="261"/>
      <c r="J44" s="262"/>
      <c r="K44" s="262"/>
      <c r="L44" s="262"/>
      <c r="M44" s="262"/>
      <c r="N44" s="262"/>
      <c r="O44" s="262"/>
      <c r="P44" s="262"/>
      <c r="Q44" s="269">
        <f t="shared" ref="Q44" si="14">Q27*$H$35/ten</f>
        <v>2.1563961368649194</v>
      </c>
      <c r="R44" s="262"/>
      <c r="S44" s="262"/>
      <c r="T44" s="262"/>
      <c r="U44" s="262"/>
      <c r="V44" s="262"/>
      <c r="W44" s="262"/>
      <c r="X44" s="262"/>
      <c r="Y44" s="262"/>
      <c r="Z44" s="259"/>
      <c r="AA44" s="259"/>
    </row>
    <row r="45" spans="2:27" x14ac:dyDescent="0.3">
      <c r="D45" s="88"/>
      <c r="E45"/>
    </row>
    <row r="46" spans="2:27" x14ac:dyDescent="0.3">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3">
      <c r="E48" t="s">
        <v>231</v>
      </c>
      <c r="G48" s="6" t="s">
        <v>54</v>
      </c>
      <c r="H48" s="103">
        <f t="array" ref="H48">SUM(IF(ISERROR(H19:Y45), 1))</f>
        <v>0</v>
      </c>
    </row>
    <row r="50" spans="2:27" x14ac:dyDescent="0.3">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Unit rate charges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H223 &amp; IF(H223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646</v>
      </c>
      <c r="D9"/>
    </row>
    <row r="10" spans="1:27" x14ac:dyDescent="0.3">
      <c r="C10" s="29" t="s">
        <v>647</v>
      </c>
      <c r="D10"/>
      <c r="E10"/>
    </row>
    <row r="11" spans="1:27" x14ac:dyDescent="0.3">
      <c r="C11" s="29" t="s">
        <v>648</v>
      </c>
      <c r="D11"/>
      <c r="E11"/>
    </row>
    <row r="12" spans="1:27" x14ac:dyDescent="0.3">
      <c r="C12" s="29" t="s">
        <v>649</v>
      </c>
    </row>
    <row r="13" spans="1:27" x14ac:dyDescent="0.3">
      <c r="C13" s="29" t="s">
        <v>650</v>
      </c>
      <c r="D13"/>
    </row>
    <row r="15" spans="1:27" x14ac:dyDescent="0.3">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3">
      <c r="C17" s="29" t="s">
        <v>652</v>
      </c>
    </row>
    <row r="19" spans="3:27" x14ac:dyDescent="0.3">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3">
      <c r="C20" s="32"/>
      <c r="D20"/>
      <c r="E20" s="32"/>
    </row>
    <row r="21" spans="3:27" x14ac:dyDescent="0.3">
      <c r="D21"/>
      <c r="E21" s="32" t="s">
        <v>620</v>
      </c>
    </row>
    <row r="22" spans="3:27" x14ac:dyDescent="0.3">
      <c r="D22"/>
      <c r="F22" s="23" t="s">
        <v>188</v>
      </c>
      <c r="G22" s="23" t="s">
        <v>268</v>
      </c>
      <c r="H22" s="258"/>
      <c r="I22" s="258"/>
      <c r="J22" s="270">
        <f>'Initial unit rates'!J152</f>
        <v>0</v>
      </c>
      <c r="K22" s="270">
        <f>'Initial unit rates'!K152</f>
        <v>0</v>
      </c>
      <c r="L22" s="270">
        <f>'Initial unit rates'!L152</f>
        <v>0</v>
      </c>
      <c r="M22" s="270">
        <f>'Initial unit rates'!M152</f>
        <v>0</v>
      </c>
      <c r="N22" s="270">
        <f>'Initial unit rates'!N152</f>
        <v>0</v>
      </c>
      <c r="O22" s="270">
        <f>'Initial unit rates'!O152</f>
        <v>0</v>
      </c>
      <c r="P22" s="270">
        <f>'Initial unit rates'!P152</f>
        <v>0</v>
      </c>
      <c r="Q22" s="270">
        <f>'Initial unit rates'!Q152</f>
        <v>0</v>
      </c>
      <c r="R22" s="270">
        <f>'Initial unit rates'!R152</f>
        <v>0</v>
      </c>
      <c r="S22" s="270">
        <f>'Initial unit rates'!S152</f>
        <v>0</v>
      </c>
      <c r="T22" s="270">
        <f>'Initial unit rates'!T152</f>
        <v>0</v>
      </c>
      <c r="U22" s="270">
        <f>'Initial unit rates'!U152</f>
        <v>0</v>
      </c>
      <c r="V22" s="270">
        <f>'Initial unit rates'!V152</f>
        <v>0</v>
      </c>
      <c r="W22" s="270">
        <f>'Initial unit rates'!W152</f>
        <v>0</v>
      </c>
      <c r="X22" s="270">
        <f>'Initial unit rates'!X152</f>
        <v>0</v>
      </c>
      <c r="Y22" s="270">
        <f>'Initial unit rates'!Y152</f>
        <v>0</v>
      </c>
      <c r="Z22" s="259"/>
      <c r="AA22" s="259"/>
    </row>
    <row r="23" spans="3:27" x14ac:dyDescent="0.3">
      <c r="D23"/>
      <c r="F23" t="s">
        <v>190</v>
      </c>
      <c r="G23" t="s">
        <v>268</v>
      </c>
      <c r="H23" s="259"/>
      <c r="I23" s="259"/>
      <c r="J23" s="271">
        <f>'Initial unit rates'!J153</f>
        <v>0</v>
      </c>
      <c r="K23" s="271">
        <f>'Initial unit rates'!K153</f>
        <v>0</v>
      </c>
      <c r="L23" s="271">
        <f>'Initial unit rates'!L153</f>
        <v>0</v>
      </c>
      <c r="M23" s="271">
        <f>'Initial unit rates'!M153</f>
        <v>0</v>
      </c>
      <c r="N23" s="271">
        <f>'Initial unit rates'!N153</f>
        <v>0</v>
      </c>
      <c r="O23" s="271">
        <f>'Initial unit rates'!O153</f>
        <v>0</v>
      </c>
      <c r="P23" s="271">
        <f>'Initial unit rates'!P153</f>
        <v>0</v>
      </c>
      <c r="Q23" s="271">
        <f>'Initial unit rates'!Q153</f>
        <v>0</v>
      </c>
      <c r="R23" s="271">
        <f>'Initial unit rates'!R153</f>
        <v>0</v>
      </c>
      <c r="S23" s="271">
        <f>'Initial unit rates'!S153</f>
        <v>0</v>
      </c>
      <c r="T23" s="271">
        <f>'Initial unit rates'!T153</f>
        <v>0</v>
      </c>
      <c r="U23" s="271">
        <f>'Initial unit rates'!U153</f>
        <v>0</v>
      </c>
      <c r="V23" s="271">
        <f>'Initial unit rates'!V153</f>
        <v>0</v>
      </c>
      <c r="W23" s="271">
        <f>'Initial unit rates'!W153</f>
        <v>0</v>
      </c>
      <c r="X23" s="271">
        <f>'Initial unit rates'!X153</f>
        <v>0</v>
      </c>
      <c r="Y23" s="271">
        <f>'Initial unit rates'!Y153</f>
        <v>0</v>
      </c>
      <c r="Z23" s="259"/>
      <c r="AA23" s="259"/>
    </row>
    <row r="24" spans="3:27" x14ac:dyDescent="0.3">
      <c r="D24"/>
      <c r="F24" t="s">
        <v>191</v>
      </c>
      <c r="G24" t="s">
        <v>268</v>
      </c>
      <c r="H24" s="259"/>
      <c r="I24" s="259"/>
      <c r="J24" s="271">
        <f>'Initial unit rates'!J154</f>
        <v>1.3068758970826815</v>
      </c>
      <c r="K24" s="271">
        <f>'Initial unit rates'!K154</f>
        <v>1.3068758970826815</v>
      </c>
      <c r="L24" s="271">
        <f>'Initial unit rates'!L154</f>
        <v>1.5072030131067242</v>
      </c>
      <c r="M24" s="271">
        <f>'Initial unit rates'!M154</f>
        <v>1.5072030131067242</v>
      </c>
      <c r="N24" s="271">
        <f>'Initial unit rates'!N154</f>
        <v>1.3282701758333015</v>
      </c>
      <c r="O24" s="271">
        <f>'Initial unit rates'!O154</f>
        <v>1.2577916360930235</v>
      </c>
      <c r="P24" s="271">
        <f>'Initial unit rates'!P154</f>
        <v>1.0789620370256103</v>
      </c>
      <c r="Q24" s="271">
        <f>'Initial unit rates'!Q154</f>
        <v>1.9135769414684138</v>
      </c>
      <c r="R24" s="271">
        <f>'Initial unit rates'!R154</f>
        <v>-1.0201668758920965</v>
      </c>
      <c r="S24" s="271">
        <f>'Initial unit rates'!S154</f>
        <v>-0.98734838316571494</v>
      </c>
      <c r="T24" s="271">
        <f>'Initial unit rates'!T154</f>
        <v>-1.0201668758920965</v>
      </c>
      <c r="U24" s="271">
        <f>'Initial unit rates'!U154</f>
        <v>-1.0201668758920965</v>
      </c>
      <c r="V24" s="271">
        <f>'Initial unit rates'!V154</f>
        <v>-0.98734838316571494</v>
      </c>
      <c r="W24" s="271">
        <f>'Initial unit rates'!W154</f>
        <v>-0.98734838316571494</v>
      </c>
      <c r="X24" s="271">
        <f>'Initial unit rates'!X154</f>
        <v>-0.97245563629887333</v>
      </c>
      <c r="Y24" s="271">
        <f>'Initial unit rates'!Y154</f>
        <v>-0.97245563629887333</v>
      </c>
      <c r="Z24" s="259"/>
      <c r="AA24" s="259"/>
    </row>
    <row r="25" spans="3:27" x14ac:dyDescent="0.3">
      <c r="D25"/>
      <c r="F25" t="s">
        <v>192</v>
      </c>
      <c r="G25" t="s">
        <v>268</v>
      </c>
      <c r="H25" s="259"/>
      <c r="I25" s="259"/>
      <c r="J25" s="271">
        <f>'Initial unit rates'!J155</f>
        <v>0.51694179467404233</v>
      </c>
      <c r="K25" s="271">
        <f>'Initial unit rates'!K155</f>
        <v>0.51694179467404233</v>
      </c>
      <c r="L25" s="271">
        <f>'Initial unit rates'!L155</f>
        <v>0.59618226357435145</v>
      </c>
      <c r="M25" s="271">
        <f>'Initial unit rates'!M155</f>
        <v>0.59618226357435145</v>
      </c>
      <c r="N25" s="271">
        <f>'Initial unit rates'!N155</f>
        <v>0.5254044167774804</v>
      </c>
      <c r="O25" s="271">
        <f>'Initial unit rates'!O155</f>
        <v>0.4975262510689577</v>
      </c>
      <c r="P25" s="271">
        <f>'Initial unit rates'!P155</f>
        <v>0.42678924070009994</v>
      </c>
      <c r="Q25" s="271">
        <f>'Initial unit rates'!Q155</f>
        <v>0.75692565803512024</v>
      </c>
      <c r="R25" s="271">
        <f>'Initial unit rates'!R155</f>
        <v>-0.40353249827922011</v>
      </c>
      <c r="S25" s="271">
        <f>'Initial unit rates'!S155</f>
        <v>-0.39055096685275187</v>
      </c>
      <c r="T25" s="271">
        <f>'Initial unit rates'!T155</f>
        <v>-0.40353249827922011</v>
      </c>
      <c r="U25" s="271">
        <f>'Initial unit rates'!U155</f>
        <v>-0.40353249827922011</v>
      </c>
      <c r="V25" s="271">
        <f>'Initial unit rates'!V155</f>
        <v>-0.39055096685275187</v>
      </c>
      <c r="W25" s="271">
        <f>'Initial unit rates'!W155</f>
        <v>-0.39055096685275187</v>
      </c>
      <c r="X25" s="271">
        <f>'Initial unit rates'!X155</f>
        <v>-0.3846600606770722</v>
      </c>
      <c r="Y25" s="271">
        <f>'Initial unit rates'!Y155</f>
        <v>-0.3846600606770722</v>
      </c>
      <c r="Z25" s="259"/>
      <c r="AA25" s="259"/>
    </row>
    <row r="26" spans="3:27" x14ac:dyDescent="0.3">
      <c r="D26"/>
      <c r="F26" t="s">
        <v>193</v>
      </c>
      <c r="G26" t="s">
        <v>268</v>
      </c>
      <c r="H26" s="259"/>
      <c r="I26" s="259"/>
      <c r="J26" s="271">
        <f>'Initial unit rates'!J156</f>
        <v>0.94393882372925886</v>
      </c>
      <c r="K26" s="271">
        <f>'Initial unit rates'!K156</f>
        <v>0.94393882372925886</v>
      </c>
      <c r="L26" s="271">
        <f>'Initial unit rates'!L156</f>
        <v>1.0886323961510371</v>
      </c>
      <c r="M26" s="271">
        <f>'Initial unit rates'!M156</f>
        <v>1.0886323961510371</v>
      </c>
      <c r="N26" s="271">
        <f>'Initial unit rates'!N156</f>
        <v>0.95939162254778243</v>
      </c>
      <c r="O26" s="271">
        <f>'Initial unit rates'!O156</f>
        <v>0.90848592442518172</v>
      </c>
      <c r="P26" s="271">
        <f>'Initial unit rates'!P156</f>
        <v>0.779319718384893</v>
      </c>
      <c r="Q26" s="271">
        <f>'Initial unit rates'!Q156</f>
        <v>1.5730910348245959</v>
      </c>
      <c r="R26" s="271">
        <f>'Initial unit rates'!R156</f>
        <v>-0.73685276695880042</v>
      </c>
      <c r="S26" s="271">
        <f>'Initial unit rates'!S156</f>
        <v>-0.71314841255922734</v>
      </c>
      <c r="T26" s="271">
        <f>'Initial unit rates'!T156</f>
        <v>-0.73685276695880042</v>
      </c>
      <c r="U26" s="271">
        <f>'Initial unit rates'!U156</f>
        <v>-0.73685276695880042</v>
      </c>
      <c r="V26" s="271">
        <f>'Initial unit rates'!V156</f>
        <v>-0.71314841255922734</v>
      </c>
      <c r="W26" s="271">
        <f>'Initial unit rates'!W156</f>
        <v>-0.71314841255922734</v>
      </c>
      <c r="X26" s="271">
        <f>'Initial unit rates'!X156</f>
        <v>-0.70239158247997857</v>
      </c>
      <c r="Y26" s="271">
        <f>'Initial unit rates'!Y156</f>
        <v>-0.70239158247997857</v>
      </c>
      <c r="Z26" s="259"/>
      <c r="AA26" s="259"/>
    </row>
    <row r="27" spans="3:27" x14ac:dyDescent="0.3">
      <c r="D27"/>
      <c r="F27" t="s">
        <v>194</v>
      </c>
      <c r="G27" t="s">
        <v>268</v>
      </c>
      <c r="H27" s="259"/>
      <c r="I27" s="259"/>
      <c r="J27" s="271">
        <f>'Initial unit rates'!J157</f>
        <v>0.59543981650898714</v>
      </c>
      <c r="K27" s="271">
        <f>'Initial unit rates'!K157</f>
        <v>0.59543981650898714</v>
      </c>
      <c r="L27" s="271">
        <f>'Initial unit rates'!L157</f>
        <v>0.68671301350757252</v>
      </c>
      <c r="M27" s="271">
        <f>'Initial unit rates'!M157</f>
        <v>0.68671301350757252</v>
      </c>
      <c r="N27" s="271">
        <f>'Initial unit rates'!N157</f>
        <v>0.6051874944958936</v>
      </c>
      <c r="O27" s="271">
        <f>'Initial unit rates'!O157</f>
        <v>0.57307600719671525</v>
      </c>
      <c r="P27" s="271">
        <f>'Initial unit rates'!P157</f>
        <v>0.21138693603253439</v>
      </c>
      <c r="Q27" s="271">
        <f>'Initial unit rates'!Q157</f>
        <v>0.99231116845825351</v>
      </c>
      <c r="R27" s="271">
        <f>'Initial unit rates'!R157</f>
        <v>-0.46480922843992545</v>
      </c>
      <c r="S27" s="271">
        <f>'Initial unit rates'!S157</f>
        <v>-0.4498564411624798</v>
      </c>
      <c r="T27" s="271">
        <f>'Initial unit rates'!T157</f>
        <v>-0.46480922843992545</v>
      </c>
      <c r="U27" s="271">
        <f>'Initial unit rates'!U157</f>
        <v>-0.46480922843992545</v>
      </c>
      <c r="V27" s="271">
        <f>'Initial unit rates'!V157</f>
        <v>-0.4498564411624798</v>
      </c>
      <c r="W27" s="271">
        <f>'Initial unit rates'!W157</f>
        <v>-0.4498564411624798</v>
      </c>
      <c r="X27" s="271">
        <f>'Initial unit rates'!X157</f>
        <v>-0.19052052836953348</v>
      </c>
      <c r="Y27" s="271">
        <f>'Initial unit rates'!Y157</f>
        <v>-0.19052052836953348</v>
      </c>
      <c r="Z27" s="259"/>
      <c r="AA27" s="259"/>
    </row>
    <row r="28" spans="3:27" x14ac:dyDescent="0.3">
      <c r="D28"/>
      <c r="F28" t="s">
        <v>195</v>
      </c>
      <c r="G28" t="s">
        <v>268</v>
      </c>
      <c r="H28" s="259"/>
      <c r="I28" s="259"/>
      <c r="J28" s="271">
        <f>'Initial unit rates'!J158</f>
        <v>0</v>
      </c>
      <c r="K28" s="271">
        <f>'Initial unit rates'!K158</f>
        <v>0</v>
      </c>
      <c r="L28" s="271">
        <f>'Initial unit rates'!L158</f>
        <v>0</v>
      </c>
      <c r="M28" s="271">
        <f>'Initial unit rates'!M158</f>
        <v>0</v>
      </c>
      <c r="N28" s="271">
        <f>'Initial unit rates'!N158</f>
        <v>0</v>
      </c>
      <c r="O28" s="271">
        <f>'Initial unit rates'!O158</f>
        <v>0</v>
      </c>
      <c r="P28" s="271">
        <f>'Initial unit rates'!P158</f>
        <v>0</v>
      </c>
      <c r="Q28" s="271">
        <f>'Initial unit rates'!Q158</f>
        <v>0</v>
      </c>
      <c r="R28" s="271">
        <f>'Initial unit rates'!R158</f>
        <v>0</v>
      </c>
      <c r="S28" s="271">
        <f>'Initial unit rates'!S158</f>
        <v>0</v>
      </c>
      <c r="T28" s="271">
        <f>'Initial unit rates'!T158</f>
        <v>0</v>
      </c>
      <c r="U28" s="271">
        <f>'Initial unit rates'!U158</f>
        <v>0</v>
      </c>
      <c r="V28" s="271">
        <f>'Initial unit rates'!V158</f>
        <v>0</v>
      </c>
      <c r="W28" s="271">
        <f>'Initial unit rates'!W158</f>
        <v>0</v>
      </c>
      <c r="X28" s="271">
        <f>'Initial unit rates'!X158</f>
        <v>0</v>
      </c>
      <c r="Y28" s="271">
        <f>'Initial unit rates'!Y158</f>
        <v>0</v>
      </c>
      <c r="Z28" s="259"/>
      <c r="AA28" s="259"/>
    </row>
    <row r="29" spans="3:27" x14ac:dyDescent="0.3">
      <c r="D29"/>
      <c r="F29" t="s">
        <v>196</v>
      </c>
      <c r="G29" t="s">
        <v>268</v>
      </c>
      <c r="H29" s="259"/>
      <c r="I29" s="259"/>
      <c r="J29" s="271">
        <f>'Initial unit rates'!J159</f>
        <v>0.75670663470988364</v>
      </c>
      <c r="K29" s="271">
        <f>'Initial unit rates'!K159</f>
        <v>0.75670663470988364</v>
      </c>
      <c r="L29" s="271">
        <f>'Initial unit rates'!L159</f>
        <v>0.87269994221986147</v>
      </c>
      <c r="M29" s="271">
        <f>'Initial unit rates'!M159</f>
        <v>0.87269994221986147</v>
      </c>
      <c r="N29" s="271">
        <f>'Initial unit rates'!N159</f>
        <v>0.76909433939673699</v>
      </c>
      <c r="O29" s="271">
        <f>'Initial unit rates'!O159</f>
        <v>0.7282858902202054</v>
      </c>
      <c r="P29" s="271">
        <f>'Initial unit rates'!P159</f>
        <v>8.0323722556970997E-2</v>
      </c>
      <c r="Q29" s="271">
        <f>'Initial unit rates'!Q159</f>
        <v>1.2610652227986234</v>
      </c>
      <c r="R29" s="271">
        <f>'Initial unit rates'!R159</f>
        <v>-0.59069651925026201</v>
      </c>
      <c r="S29" s="271">
        <f>'Initial unit rates'!S159</f>
        <v>-0.571693971844906</v>
      </c>
      <c r="T29" s="271">
        <f>'Initial unit rates'!T159</f>
        <v>-0.59069651925026201</v>
      </c>
      <c r="U29" s="271">
        <f>'Initial unit rates'!U159</f>
        <v>-0.59069651925026201</v>
      </c>
      <c r="V29" s="271">
        <f>'Initial unit rates'!V159</f>
        <v>-0.571693971844906</v>
      </c>
      <c r="W29" s="271">
        <f>'Initial unit rates'!W159</f>
        <v>-0.571693971844906</v>
      </c>
      <c r="X29" s="271">
        <f>'Initial unit rates'!X159</f>
        <v>0</v>
      </c>
      <c r="Y29" s="271">
        <f>'Initial unit rates'!Y159</f>
        <v>0</v>
      </c>
      <c r="Z29" s="259"/>
      <c r="AA29" s="259"/>
    </row>
    <row r="30" spans="3:27" x14ac:dyDescent="0.3">
      <c r="D30"/>
      <c r="F30" t="s">
        <v>197</v>
      </c>
      <c r="G30" t="s">
        <v>268</v>
      </c>
      <c r="H30" s="259"/>
      <c r="I30" s="259"/>
      <c r="J30" s="271">
        <f>'Initial unit rates'!J160</f>
        <v>0.6870293921624665</v>
      </c>
      <c r="K30" s="271">
        <f>'Initial unit rates'!K160</f>
        <v>0.6870293921624665</v>
      </c>
      <c r="L30" s="271">
        <f>'Initial unit rates'!L160</f>
        <v>0.79234208257391903</v>
      </c>
      <c r="M30" s="271">
        <f>'Initial unit rates'!M160</f>
        <v>0.79234208257391903</v>
      </c>
      <c r="N30" s="271">
        <f>'Initial unit rates'!N160</f>
        <v>0.69827644198456829</v>
      </c>
      <c r="O30" s="271">
        <f>'Initial unit rates'!O160</f>
        <v>2.8338240788291821E-2</v>
      </c>
      <c r="P30" s="271">
        <f>'Initial unit rates'!P160</f>
        <v>0</v>
      </c>
      <c r="Q30" s="271">
        <f>'Initial unit rates'!Q160</f>
        <v>1.1449468443325219</v>
      </c>
      <c r="R30" s="271">
        <f>'Initial unit rates'!R160</f>
        <v>-0.5363054213586792</v>
      </c>
      <c r="S30" s="271">
        <f>'Initial unit rates'!S160</f>
        <v>0</v>
      </c>
      <c r="T30" s="271">
        <f>'Initial unit rates'!T160</f>
        <v>-0.5363054213586792</v>
      </c>
      <c r="U30" s="271">
        <f>'Initial unit rates'!U160</f>
        <v>-0.5363054213586792</v>
      </c>
      <c r="V30" s="271">
        <f>'Initial unit rates'!V160</f>
        <v>0</v>
      </c>
      <c r="W30" s="271">
        <f>'Initial unit rates'!W160</f>
        <v>0</v>
      </c>
      <c r="X30" s="271">
        <f>'Initial unit rates'!X160</f>
        <v>0</v>
      </c>
      <c r="Y30" s="271">
        <f>'Initial unit rates'!Y160</f>
        <v>0</v>
      </c>
      <c r="Z30" s="259"/>
      <c r="AA30" s="259"/>
    </row>
    <row r="31" spans="3:27" x14ac:dyDescent="0.3">
      <c r="D31"/>
      <c r="F31" t="s">
        <v>198</v>
      </c>
      <c r="G31" t="s">
        <v>268</v>
      </c>
      <c r="H31" s="259"/>
      <c r="I31" s="259"/>
      <c r="J31" s="271">
        <f>'Initial unit rates'!J161</f>
        <v>1.63226909135223E-2</v>
      </c>
      <c r="K31" s="271">
        <f>'Initial unit rates'!K161</f>
        <v>1.63226909135223E-2</v>
      </c>
      <c r="L31" s="271">
        <f>'Initial unit rates'!L161</f>
        <v>1.8824747615124239E-2</v>
      </c>
      <c r="M31" s="271">
        <f>'Initial unit rates'!M161</f>
        <v>1.8824747615124239E-2</v>
      </c>
      <c r="N31" s="271">
        <f>'Initial unit rates'!N161</f>
        <v>1.6589902360411524E-2</v>
      </c>
      <c r="O31" s="271">
        <f>'Initial unit rates'!O161</f>
        <v>0</v>
      </c>
      <c r="P31" s="271">
        <f>'Initial unit rates'!P161</f>
        <v>0</v>
      </c>
      <c r="Q31" s="271">
        <f>'Initial unit rates'!Q161</f>
        <v>2.720205811519788E-2</v>
      </c>
      <c r="R31" s="271">
        <f>'Initial unit rates'!R161</f>
        <v>0</v>
      </c>
      <c r="S31" s="271">
        <f>'Initial unit rates'!S161</f>
        <v>0</v>
      </c>
      <c r="T31" s="271">
        <f>'Initial unit rates'!T161</f>
        <v>0</v>
      </c>
      <c r="U31" s="271">
        <f>'Initial unit rates'!U161</f>
        <v>0</v>
      </c>
      <c r="V31" s="271">
        <f>'Initial unit rates'!V161</f>
        <v>0</v>
      </c>
      <c r="W31" s="271">
        <f>'Initial unit rates'!W161</f>
        <v>0</v>
      </c>
      <c r="X31" s="271">
        <f>'Initial unit rates'!X161</f>
        <v>0</v>
      </c>
      <c r="Y31" s="271">
        <f>'Initial unit rates'!Y161</f>
        <v>0</v>
      </c>
      <c r="Z31" s="259"/>
      <c r="AA31" s="259"/>
    </row>
    <row r="32" spans="3:27" x14ac:dyDescent="0.3">
      <c r="D32"/>
      <c r="F32" s="23" t="s">
        <v>375</v>
      </c>
      <c r="G32" s="23" t="s">
        <v>268</v>
      </c>
      <c r="H32" s="258"/>
      <c r="I32" s="258"/>
      <c r="J32" s="272"/>
      <c r="K32" s="272"/>
      <c r="L32" s="272"/>
      <c r="M32" s="272"/>
      <c r="N32" s="272"/>
      <c r="O32" s="272"/>
      <c r="P32" s="272"/>
      <c r="Q32" s="272"/>
      <c r="R32" s="272"/>
      <c r="S32" s="272"/>
      <c r="T32" s="272"/>
      <c r="U32" s="272"/>
      <c r="V32" s="272"/>
      <c r="W32" s="272"/>
      <c r="X32" s="272"/>
      <c r="Y32" s="272"/>
      <c r="Z32" s="259"/>
      <c r="AA32" s="259"/>
    </row>
    <row r="33" spans="4:27" x14ac:dyDescent="0.3">
      <c r="D33"/>
      <c r="F33" s="37" t="s">
        <v>376</v>
      </c>
      <c r="G33" s="37" t="s">
        <v>268</v>
      </c>
      <c r="H33" s="261"/>
      <c r="I33" s="261"/>
      <c r="J33" s="262"/>
      <c r="K33" s="262"/>
      <c r="L33" s="262"/>
      <c r="M33" s="262"/>
      <c r="N33" s="262"/>
      <c r="O33" s="262"/>
      <c r="P33" s="262"/>
      <c r="Q33" s="262"/>
      <c r="R33" s="262"/>
      <c r="S33" s="262"/>
      <c r="T33" s="262"/>
      <c r="U33" s="262"/>
      <c r="V33" s="262"/>
      <c r="W33" s="262"/>
      <c r="X33" s="262"/>
      <c r="Y33" s="262"/>
      <c r="Z33" s="259"/>
      <c r="AA33" s="259"/>
    </row>
    <row r="34" spans="4:27" x14ac:dyDescent="0.3">
      <c r="D34"/>
      <c r="J34" s="89"/>
      <c r="K34" s="89"/>
      <c r="L34" s="89"/>
      <c r="M34" s="89"/>
      <c r="N34" s="89"/>
      <c r="O34" s="89"/>
      <c r="P34" s="89"/>
      <c r="Q34" s="89"/>
      <c r="R34" s="89"/>
      <c r="S34" s="89"/>
      <c r="T34" s="89"/>
      <c r="U34" s="89"/>
      <c r="V34" s="89"/>
      <c r="W34" s="89"/>
      <c r="X34" s="89"/>
      <c r="Y34" s="89"/>
    </row>
    <row r="35" spans="4:27" x14ac:dyDescent="0.3">
      <c r="D35"/>
      <c r="E35" s="32" t="s">
        <v>621</v>
      </c>
      <c r="J35" s="89"/>
      <c r="K35" s="89"/>
      <c r="L35" s="89"/>
      <c r="M35" s="89"/>
      <c r="N35" s="89"/>
      <c r="O35" s="89"/>
      <c r="P35" s="89"/>
      <c r="Q35" s="89"/>
      <c r="R35" s="89"/>
      <c r="S35" s="89"/>
      <c r="T35" s="89"/>
      <c r="U35" s="89"/>
      <c r="V35" s="89"/>
      <c r="W35" s="89"/>
      <c r="X35" s="89"/>
      <c r="Y35" s="89"/>
    </row>
    <row r="36" spans="4:27" x14ac:dyDescent="0.3">
      <c r="D36"/>
      <c r="F36" s="23" t="s">
        <v>188</v>
      </c>
      <c r="G36" s="23" t="s">
        <v>268</v>
      </c>
      <c r="H36" s="258"/>
      <c r="I36" s="258"/>
      <c r="J36" s="270">
        <f>'Initial unit rates'!J164</f>
        <v>0.90719066299650186</v>
      </c>
      <c r="K36" s="270">
        <f>'Initial unit rates'!K164</f>
        <v>0.90719066299650186</v>
      </c>
      <c r="L36" s="270">
        <f>'Initial unit rates'!L164</f>
        <v>1.0462512192495572</v>
      </c>
      <c r="M36" s="270">
        <f>'Initial unit rates'!M164</f>
        <v>1.0462512192495572</v>
      </c>
      <c r="N36" s="270">
        <f>'Initial unit rates'!N164</f>
        <v>0.92204187416921746</v>
      </c>
      <c r="O36" s="270">
        <f>'Initial unit rates'!O164</f>
        <v>0.87311796843590728</v>
      </c>
      <c r="P36" s="270">
        <f>'Initial unit rates'!P164</f>
        <v>0.74898028795414595</v>
      </c>
      <c r="Q36" s="270">
        <f>'Initial unit rates'!Q164</f>
        <v>1.5208971403600968</v>
      </c>
      <c r="R36" s="270">
        <f>'Initial unit rates'!R164</f>
        <v>-0.70816660294490741</v>
      </c>
      <c r="S36" s="270">
        <f>'Initial unit rates'!S164</f>
        <v>-0.68538507469004173</v>
      </c>
      <c r="T36" s="270">
        <f>'Initial unit rates'!T164</f>
        <v>-0.70816660294490741</v>
      </c>
      <c r="U36" s="270">
        <f>'Initial unit rates'!U164</f>
        <v>-0.70816660294490741</v>
      </c>
      <c r="V36" s="270">
        <f>'Initial unit rates'!V164</f>
        <v>-0.68538507469004173</v>
      </c>
      <c r="W36" s="270">
        <f>'Initial unit rates'!W164</f>
        <v>-0.68538507469004173</v>
      </c>
      <c r="X36" s="270">
        <f>'Initial unit rates'!X164</f>
        <v>-0.67504701509759801</v>
      </c>
      <c r="Y36" s="270">
        <f>'Initial unit rates'!Y164</f>
        <v>-0.67504701509759801</v>
      </c>
      <c r="Z36" s="259"/>
      <c r="AA36" s="259"/>
    </row>
    <row r="37" spans="4:27" x14ac:dyDescent="0.3">
      <c r="D37"/>
      <c r="F37" t="s">
        <v>190</v>
      </c>
      <c r="G37" t="s">
        <v>268</v>
      </c>
      <c r="H37" s="259"/>
      <c r="I37" s="259"/>
      <c r="J37" s="271">
        <f>'Initial unit rates'!J165</f>
        <v>0</v>
      </c>
      <c r="K37" s="271">
        <f>'Initial unit rates'!K165</f>
        <v>0</v>
      </c>
      <c r="L37" s="271">
        <f>'Initial unit rates'!L165</f>
        <v>0</v>
      </c>
      <c r="M37" s="271">
        <f>'Initial unit rates'!M165</f>
        <v>0</v>
      </c>
      <c r="N37" s="271">
        <f>'Initial unit rates'!N165</f>
        <v>0</v>
      </c>
      <c r="O37" s="271">
        <f>'Initial unit rates'!O165</f>
        <v>0</v>
      </c>
      <c r="P37" s="271">
        <f>'Initial unit rates'!P165</f>
        <v>0</v>
      </c>
      <c r="Q37" s="271">
        <f>'Initial unit rates'!Q165</f>
        <v>0</v>
      </c>
      <c r="R37" s="271">
        <f>'Initial unit rates'!R165</f>
        <v>0</v>
      </c>
      <c r="S37" s="271">
        <f>'Initial unit rates'!S165</f>
        <v>0</v>
      </c>
      <c r="T37" s="271">
        <f>'Initial unit rates'!T165</f>
        <v>0</v>
      </c>
      <c r="U37" s="271">
        <f>'Initial unit rates'!U165</f>
        <v>0</v>
      </c>
      <c r="V37" s="271">
        <f>'Initial unit rates'!V165</f>
        <v>0</v>
      </c>
      <c r="W37" s="271">
        <f>'Initial unit rates'!W165</f>
        <v>0</v>
      </c>
      <c r="X37" s="271">
        <f>'Initial unit rates'!X165</f>
        <v>0</v>
      </c>
      <c r="Y37" s="271">
        <f>'Initial unit rates'!Y165</f>
        <v>0</v>
      </c>
      <c r="Z37" s="259"/>
      <c r="AA37" s="259"/>
    </row>
    <row r="38" spans="4:27" x14ac:dyDescent="0.3">
      <c r="D38"/>
      <c r="F38" t="s">
        <v>191</v>
      </c>
      <c r="G38" t="s">
        <v>268</v>
      </c>
      <c r="H38" s="259"/>
      <c r="I38" s="259"/>
      <c r="J38" s="271">
        <f>'Initial unit rates'!J166</f>
        <v>0.63525857385143047</v>
      </c>
      <c r="K38" s="271">
        <f>'Initial unit rates'!K166</f>
        <v>0.63525857385143047</v>
      </c>
      <c r="L38" s="271">
        <f>'Initial unit rates'!L166</f>
        <v>0.73263546963264636</v>
      </c>
      <c r="M38" s="271">
        <f>'Initial unit rates'!M166</f>
        <v>0.73263546963264636</v>
      </c>
      <c r="N38" s="271">
        <f>'Initial unit rates'!N166</f>
        <v>0.6456581068430769</v>
      </c>
      <c r="O38" s="271">
        <f>'Initial unit rates'!O166</f>
        <v>0.6113992328807637</v>
      </c>
      <c r="P38" s="271">
        <f>'Initial unit rates'!P166</f>
        <v>0.52447205309301026</v>
      </c>
      <c r="Q38" s="271">
        <f>'Initial unit rates'!Q166</f>
        <v>0.93016954517701911</v>
      </c>
      <c r="R38" s="271">
        <f>'Initial unit rates'!R166</f>
        <v>-0.49589234610291494</v>
      </c>
      <c r="S38" s="271">
        <f>'Initial unit rates'!S166</f>
        <v>-0.47993962332957901</v>
      </c>
      <c r="T38" s="271">
        <f>'Initial unit rates'!T166</f>
        <v>-0.49589234610291494</v>
      </c>
      <c r="U38" s="271">
        <f>'Initial unit rates'!U166</f>
        <v>-0.49589234610291494</v>
      </c>
      <c r="V38" s="271">
        <f>'Initial unit rates'!V166</f>
        <v>-0.47993962332957901</v>
      </c>
      <c r="W38" s="271">
        <f>'Initial unit rates'!W166</f>
        <v>-0.47993962332957901</v>
      </c>
      <c r="X38" s="271">
        <f>'Initial unit rates'!X166</f>
        <v>-0.47270041633488324</v>
      </c>
      <c r="Y38" s="271">
        <f>'Initial unit rates'!Y166</f>
        <v>-0.47270041633488324</v>
      </c>
      <c r="Z38" s="259"/>
      <c r="AA38" s="259"/>
    </row>
    <row r="39" spans="4:27" x14ac:dyDescent="0.3">
      <c r="D39"/>
      <c r="F39" t="s">
        <v>192</v>
      </c>
      <c r="G39" t="s">
        <v>268</v>
      </c>
      <c r="H39" s="259"/>
      <c r="I39" s="259"/>
      <c r="J39" s="271">
        <f>'Initial unit rates'!J167</f>
        <v>0.25127994783735391</v>
      </c>
      <c r="K39" s="271">
        <f>'Initial unit rates'!K167</f>
        <v>0.25127994783735391</v>
      </c>
      <c r="L39" s="271">
        <f>'Initial unit rates'!L167</f>
        <v>0.28979790304434644</v>
      </c>
      <c r="M39" s="271">
        <f>'Initial unit rates'!M167</f>
        <v>0.28979790304434644</v>
      </c>
      <c r="N39" s="271">
        <f>'Initial unit rates'!N167</f>
        <v>0.25539353908230245</v>
      </c>
      <c r="O39" s="271">
        <f>'Initial unit rates'!O167</f>
        <v>0.24184225710585511</v>
      </c>
      <c r="P39" s="271">
        <f>'Initial unit rates'!P167</f>
        <v>0.20745774330026345</v>
      </c>
      <c r="Q39" s="271">
        <f>'Initial unit rates'!Q167</f>
        <v>0.36793356975082758</v>
      </c>
      <c r="R39" s="271">
        <f>'Initial unit rates'!R167</f>
        <v>-0.19615288638485318</v>
      </c>
      <c r="S39" s="271">
        <f>'Initial unit rates'!S167</f>
        <v>-0.18984270103458803</v>
      </c>
      <c r="T39" s="271">
        <f>'Initial unit rates'!T167</f>
        <v>-0.19615288638485318</v>
      </c>
      <c r="U39" s="271">
        <f>'Initial unit rates'!U167</f>
        <v>-0.19615288638485318</v>
      </c>
      <c r="V39" s="271">
        <f>'Initial unit rates'!V167</f>
        <v>-0.18984270103458803</v>
      </c>
      <c r="W39" s="271">
        <f>'Initial unit rates'!W167</f>
        <v>-0.18984270103458803</v>
      </c>
      <c r="X39" s="271">
        <f>'Initial unit rates'!X167</f>
        <v>-0.186979193746552</v>
      </c>
      <c r="Y39" s="271">
        <f>'Initial unit rates'!Y167</f>
        <v>-0.186979193746552</v>
      </c>
      <c r="Z39" s="259"/>
      <c r="AA39" s="259"/>
    </row>
    <row r="40" spans="4:27" x14ac:dyDescent="0.3">
      <c r="D40"/>
      <c r="F40" t="s">
        <v>193</v>
      </c>
      <c r="G40" t="s">
        <v>268</v>
      </c>
      <c r="H40" s="259"/>
      <c r="I40" s="259"/>
      <c r="J40" s="271">
        <f>'Initial unit rates'!J168</f>
        <v>0.45883869486293571</v>
      </c>
      <c r="K40" s="271">
        <f>'Initial unit rates'!K168</f>
        <v>0.45883869486293571</v>
      </c>
      <c r="L40" s="271">
        <f>'Initial unit rates'!L168</f>
        <v>0.52917271255146625</v>
      </c>
      <c r="M40" s="271">
        <f>'Initial unit rates'!M168</f>
        <v>0.52917271255146625</v>
      </c>
      <c r="N40" s="271">
        <f>'Initial unit rates'!N168</f>
        <v>0.4663501371975764</v>
      </c>
      <c r="O40" s="271">
        <f>'Initial unit rates'!O168</f>
        <v>0.44160541486972332</v>
      </c>
      <c r="P40" s="271">
        <f>'Initial unit rates'!P168</f>
        <v>0.37881908602080849</v>
      </c>
      <c r="Q40" s="271">
        <f>'Initial unit rates'!Q168</f>
        <v>0.7646629412570155</v>
      </c>
      <c r="R40" s="271">
        <f>'Initial unit rates'!R168</f>
        <v>-0.35817634935470344</v>
      </c>
      <c r="S40" s="271">
        <f>'Initial unit rates'!S168</f>
        <v>-0.34665391298292841</v>
      </c>
      <c r="T40" s="271">
        <f>'Initial unit rates'!T168</f>
        <v>-0.35817634935470344</v>
      </c>
      <c r="U40" s="271">
        <f>'Initial unit rates'!U168</f>
        <v>-0.35817634935470344</v>
      </c>
      <c r="V40" s="271">
        <f>'Initial unit rates'!V168</f>
        <v>-0.34665391298292841</v>
      </c>
      <c r="W40" s="271">
        <f>'Initial unit rates'!W168</f>
        <v>-0.34665391298292841</v>
      </c>
      <c r="X40" s="271">
        <f>'Initial unit rates'!X168</f>
        <v>-0.34142513146621378</v>
      </c>
      <c r="Y40" s="271">
        <f>'Initial unit rates'!Y168</f>
        <v>-0.34142513146621378</v>
      </c>
      <c r="Z40" s="259"/>
      <c r="AA40" s="259"/>
    </row>
    <row r="41" spans="4:27" x14ac:dyDescent="0.3">
      <c r="D41"/>
      <c r="F41" t="s">
        <v>194</v>
      </c>
      <c r="G41" t="s">
        <v>268</v>
      </c>
      <c r="H41" s="259"/>
      <c r="I41" s="259"/>
      <c r="J41" s="271">
        <f>'Initial unit rates'!J169</f>
        <v>0.28943700736560884</v>
      </c>
      <c r="K41" s="271">
        <f>'Initial unit rates'!K169</f>
        <v>0.28943700736560884</v>
      </c>
      <c r="L41" s="271">
        <f>'Initial unit rates'!L169</f>
        <v>0.33380394464375013</v>
      </c>
      <c r="M41" s="271">
        <f>'Initial unit rates'!M169</f>
        <v>0.33380394464375013</v>
      </c>
      <c r="N41" s="271">
        <f>'Initial unit rates'!N169</f>
        <v>0.29417525070619538</v>
      </c>
      <c r="O41" s="271">
        <f>'Initial unit rates'!O169</f>
        <v>0.27856619580552661</v>
      </c>
      <c r="P41" s="271">
        <f>'Initial unit rates'!P169</f>
        <v>0.23896036628643727</v>
      </c>
      <c r="Q41" s="271">
        <f>'Initial unit rates'!Q169</f>
        <v>0.48235198085664538</v>
      </c>
      <c r="R41" s="271">
        <f>'Initial unit rates'!R169</f>
        <v>-0.22593885787538545</v>
      </c>
      <c r="S41" s="271">
        <f>'Initial unit rates'!S169</f>
        <v>-0.21867046587108102</v>
      </c>
      <c r="T41" s="271">
        <f>'Initial unit rates'!T169</f>
        <v>-0.22593885787538545</v>
      </c>
      <c r="U41" s="271">
        <f>'Initial unit rates'!U169</f>
        <v>-0.22593885787538545</v>
      </c>
      <c r="V41" s="271">
        <f>'Initial unit rates'!V169</f>
        <v>-0.21867046587108102</v>
      </c>
      <c r="W41" s="271">
        <f>'Initial unit rates'!W169</f>
        <v>-0.21867046587108102</v>
      </c>
      <c r="X41" s="271">
        <f>'Initial unit rates'!X169</f>
        <v>-0.2153721327284969</v>
      </c>
      <c r="Y41" s="271">
        <f>'Initial unit rates'!Y169</f>
        <v>-0.2153721327284969</v>
      </c>
      <c r="Z41" s="259"/>
      <c r="AA41" s="259"/>
    </row>
    <row r="42" spans="4:27" x14ac:dyDescent="0.3">
      <c r="D42"/>
      <c r="F42" t="s">
        <v>195</v>
      </c>
      <c r="G42" t="s">
        <v>268</v>
      </c>
      <c r="H42" s="259"/>
      <c r="I42" s="259"/>
      <c r="J42" s="271">
        <f>'Initial unit rates'!J170</f>
        <v>0</v>
      </c>
      <c r="K42" s="271">
        <f>'Initial unit rates'!K170</f>
        <v>0</v>
      </c>
      <c r="L42" s="271">
        <f>'Initial unit rates'!L170</f>
        <v>0</v>
      </c>
      <c r="M42" s="271">
        <f>'Initial unit rates'!M170</f>
        <v>0</v>
      </c>
      <c r="N42" s="271">
        <f>'Initial unit rates'!N170</f>
        <v>0</v>
      </c>
      <c r="O42" s="271">
        <f>'Initial unit rates'!O170</f>
        <v>0</v>
      </c>
      <c r="P42" s="271">
        <f>'Initial unit rates'!P170</f>
        <v>0</v>
      </c>
      <c r="Q42" s="271">
        <f>'Initial unit rates'!Q170</f>
        <v>0</v>
      </c>
      <c r="R42" s="271">
        <f>'Initial unit rates'!R170</f>
        <v>0</v>
      </c>
      <c r="S42" s="271">
        <f>'Initial unit rates'!S170</f>
        <v>0</v>
      </c>
      <c r="T42" s="271">
        <f>'Initial unit rates'!T170</f>
        <v>0</v>
      </c>
      <c r="U42" s="271">
        <f>'Initial unit rates'!U170</f>
        <v>0</v>
      </c>
      <c r="V42" s="271">
        <f>'Initial unit rates'!V170</f>
        <v>0</v>
      </c>
      <c r="W42" s="271">
        <f>'Initial unit rates'!W170</f>
        <v>0</v>
      </c>
      <c r="X42" s="271">
        <f>'Initial unit rates'!X170</f>
        <v>0</v>
      </c>
      <c r="Y42" s="271">
        <f>'Initial unit rates'!Y170</f>
        <v>0</v>
      </c>
      <c r="Z42" s="259"/>
      <c r="AA42" s="259"/>
    </row>
    <row r="43" spans="4:27" x14ac:dyDescent="0.3">
      <c r="D43"/>
      <c r="F43" t="s">
        <v>196</v>
      </c>
      <c r="G43" t="s">
        <v>268</v>
      </c>
      <c r="H43" s="259"/>
      <c r="I43" s="259"/>
      <c r="J43" s="271">
        <f>'Initial unit rates'!J171</f>
        <v>0.5254672926073819</v>
      </c>
      <c r="K43" s="271">
        <f>'Initial unit rates'!K171</f>
        <v>0.5254672926073819</v>
      </c>
      <c r="L43" s="271">
        <f>'Initial unit rates'!L171</f>
        <v>0.60601460970763654</v>
      </c>
      <c r="M43" s="271">
        <f>'Initial unit rates'!M171</f>
        <v>0.60601460970763654</v>
      </c>
      <c r="N43" s="271">
        <f>'Initial unit rates'!N171</f>
        <v>0.53406948181101743</v>
      </c>
      <c r="O43" s="271">
        <f>'Initial unit rates'!O171</f>
        <v>0.50573154433209022</v>
      </c>
      <c r="P43" s="271">
        <f>'Initial unit rates'!P171</f>
        <v>0.43382792634526929</v>
      </c>
      <c r="Q43" s="271">
        <f>'Initial unit rates'!Q171</f>
        <v>0.87570069830215347</v>
      </c>
      <c r="R43" s="271">
        <f>'Initial unit rates'!R171</f>
        <v>-0.41018762950590709</v>
      </c>
      <c r="S43" s="271">
        <f>'Initial unit rates'!S171</f>
        <v>-0.39699200430623616</v>
      </c>
      <c r="T43" s="271">
        <f>'Initial unit rates'!T171</f>
        <v>-0.41018762950590709</v>
      </c>
      <c r="U43" s="271">
        <f>'Initial unit rates'!U171</f>
        <v>-0.41018762950590709</v>
      </c>
      <c r="V43" s="271">
        <f>'Initial unit rates'!V171</f>
        <v>-0.39699200430623616</v>
      </c>
      <c r="W43" s="271">
        <f>'Initial unit rates'!W171</f>
        <v>-0.39699200430623616</v>
      </c>
      <c r="X43" s="271">
        <f>'Initial unit rates'!X171</f>
        <v>0</v>
      </c>
      <c r="Y43" s="271">
        <f>'Initial unit rates'!Y171</f>
        <v>0</v>
      </c>
      <c r="Z43" s="259"/>
      <c r="AA43" s="259"/>
    </row>
    <row r="44" spans="4:27" x14ac:dyDescent="0.3">
      <c r="D44"/>
      <c r="F44" t="s">
        <v>197</v>
      </c>
      <c r="G44" t="s">
        <v>268</v>
      </c>
      <c r="H44" s="259"/>
      <c r="I44" s="259"/>
      <c r="J44" s="271">
        <f>'Initial unit rates'!J172</f>
        <v>0.47708247566735817</v>
      </c>
      <c r="K44" s="271">
        <f>'Initial unit rates'!K172</f>
        <v>0.47708247566735817</v>
      </c>
      <c r="L44" s="271">
        <f>'Initial unit rates'!L172</f>
        <v>0.5502130282082669</v>
      </c>
      <c r="M44" s="271">
        <f>'Initial unit rates'!M172</f>
        <v>0.5502130282082669</v>
      </c>
      <c r="N44" s="271">
        <f>'Initial unit rates'!N172</f>
        <v>0.48489257874925595</v>
      </c>
      <c r="O44" s="271">
        <f>'Initial unit rates'!O172</f>
        <v>0.45916398715477424</v>
      </c>
      <c r="P44" s="271">
        <f>'Initial unit rates'!P172</f>
        <v>0</v>
      </c>
      <c r="Q44" s="271">
        <f>'Initial unit rates'!Q172</f>
        <v>0.79506653024317364</v>
      </c>
      <c r="R44" s="271">
        <f>'Initial unit rates'!R172</f>
        <v>-0.37241771757432895</v>
      </c>
      <c r="S44" s="271">
        <f>'Initial unit rates'!S172</f>
        <v>0</v>
      </c>
      <c r="T44" s="271">
        <f>'Initial unit rates'!T172</f>
        <v>-0.37241771757432895</v>
      </c>
      <c r="U44" s="271">
        <f>'Initial unit rates'!U172</f>
        <v>-0.37241771757432895</v>
      </c>
      <c r="V44" s="271">
        <f>'Initial unit rates'!V172</f>
        <v>0</v>
      </c>
      <c r="W44" s="271">
        <f>'Initial unit rates'!W172</f>
        <v>0</v>
      </c>
      <c r="X44" s="271">
        <f>'Initial unit rates'!X172</f>
        <v>0</v>
      </c>
      <c r="Y44" s="271">
        <f>'Initial unit rates'!Y172</f>
        <v>0</v>
      </c>
      <c r="Z44" s="259"/>
      <c r="AA44" s="259"/>
    </row>
    <row r="45" spans="4:27" x14ac:dyDescent="0.3">
      <c r="D45"/>
      <c r="F45" t="s">
        <v>198</v>
      </c>
      <c r="G45" t="s">
        <v>268</v>
      </c>
      <c r="H45" s="259"/>
      <c r="I45" s="259"/>
      <c r="J45" s="271">
        <f>'Initial unit rates'!J173</f>
        <v>0.26447625655169238</v>
      </c>
      <c r="K45" s="271">
        <f>'Initial unit rates'!K173</f>
        <v>0.26447625655169238</v>
      </c>
      <c r="L45" s="271">
        <f>'Initial unit rates'!L173</f>
        <v>0.30501703463942487</v>
      </c>
      <c r="M45" s="271">
        <f>'Initial unit rates'!M173</f>
        <v>0.30501703463942487</v>
      </c>
      <c r="N45" s="271">
        <f>'Initial unit rates'!N173</f>
        <v>0.2688058786437505</v>
      </c>
      <c r="O45" s="271">
        <f>'Initial unit rates'!O173</f>
        <v>0</v>
      </c>
      <c r="P45" s="271">
        <f>'Initial unit rates'!P173</f>
        <v>0</v>
      </c>
      <c r="Q45" s="271">
        <f>'Initial unit rates'!Q173</f>
        <v>0.44075444048561291</v>
      </c>
      <c r="R45" s="271">
        <f>'Initial unit rates'!R173</f>
        <v>0</v>
      </c>
      <c r="S45" s="271">
        <f>'Initial unit rates'!S173</f>
        <v>0</v>
      </c>
      <c r="T45" s="271">
        <f>'Initial unit rates'!T173</f>
        <v>0</v>
      </c>
      <c r="U45" s="271">
        <f>'Initial unit rates'!U173</f>
        <v>0</v>
      </c>
      <c r="V45" s="271">
        <f>'Initial unit rates'!V173</f>
        <v>0</v>
      </c>
      <c r="W45" s="271">
        <f>'Initial unit rates'!W173</f>
        <v>0</v>
      </c>
      <c r="X45" s="271">
        <f>'Initial unit rates'!X173</f>
        <v>0</v>
      </c>
      <c r="Y45" s="271">
        <f>'Initial unit rates'!Y173</f>
        <v>0</v>
      </c>
      <c r="Z45" s="259"/>
      <c r="AA45" s="259"/>
    </row>
    <row r="46" spans="4:27" x14ac:dyDescent="0.3">
      <c r="D46"/>
      <c r="F46" s="23" t="s">
        <v>375</v>
      </c>
      <c r="G46" s="23" t="s">
        <v>268</v>
      </c>
      <c r="H46" s="258"/>
      <c r="I46" s="258" t="s">
        <v>153</v>
      </c>
      <c r="J46" s="272"/>
      <c r="K46" s="272"/>
      <c r="L46" s="272"/>
      <c r="M46" s="272"/>
      <c r="N46" s="272"/>
      <c r="O46" s="272"/>
      <c r="P46" s="272"/>
      <c r="Q46" s="270">
        <f>'Service model charges'!$Q$44</f>
        <v>2.1563961368649194</v>
      </c>
      <c r="R46" s="272"/>
      <c r="S46" s="272"/>
      <c r="T46" s="272"/>
      <c r="U46" s="272"/>
      <c r="V46" s="272"/>
      <c r="W46" s="272"/>
      <c r="X46" s="272"/>
      <c r="Y46" s="272"/>
      <c r="Z46" s="259"/>
      <c r="AA46" s="259" t="s">
        <v>653</v>
      </c>
    </row>
    <row r="47" spans="4:27" x14ac:dyDescent="0.3">
      <c r="D47"/>
      <c r="F47" s="37" t="s">
        <v>376</v>
      </c>
      <c r="G47" s="37" t="s">
        <v>268</v>
      </c>
      <c r="H47" s="261"/>
      <c r="I47" s="261"/>
      <c r="J47" s="262"/>
      <c r="K47" s="262"/>
      <c r="L47" s="262"/>
      <c r="M47" s="262"/>
      <c r="N47" s="262"/>
      <c r="O47" s="262"/>
      <c r="P47" s="262"/>
      <c r="Q47" s="262"/>
      <c r="R47" s="262"/>
      <c r="S47" s="262"/>
      <c r="T47" s="262"/>
      <c r="U47" s="262"/>
      <c r="V47" s="262"/>
      <c r="W47" s="262"/>
      <c r="X47" s="262"/>
      <c r="Y47" s="262"/>
      <c r="Z47" s="259"/>
      <c r="AA47" s="259"/>
    </row>
    <row r="48" spans="4:27" x14ac:dyDescent="0.3">
      <c r="J48" s="89"/>
      <c r="K48" s="89"/>
      <c r="L48" s="89"/>
      <c r="M48" s="89"/>
      <c r="N48" s="89"/>
      <c r="O48" s="89"/>
      <c r="P48" s="89"/>
      <c r="Q48" s="89"/>
      <c r="R48" s="89"/>
      <c r="S48" s="89"/>
      <c r="T48" s="89"/>
      <c r="U48" s="89"/>
      <c r="V48" s="89"/>
      <c r="W48" s="89"/>
      <c r="X48" s="89"/>
      <c r="Y48" s="89"/>
    </row>
    <row r="49" spans="3:27" x14ac:dyDescent="0.3">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3">
      <c r="C50" s="32"/>
      <c r="D50"/>
      <c r="E50" s="32"/>
      <c r="J50" s="89"/>
      <c r="K50" s="89"/>
      <c r="L50" s="89"/>
      <c r="M50" s="89"/>
      <c r="N50" s="89"/>
      <c r="O50" s="89"/>
      <c r="P50" s="89"/>
      <c r="Q50" s="89"/>
      <c r="R50" s="89"/>
      <c r="S50" s="89"/>
      <c r="T50" s="89"/>
      <c r="U50" s="89"/>
      <c r="V50" s="89"/>
      <c r="W50" s="89"/>
      <c r="X50" s="89"/>
      <c r="Y50" s="89"/>
    </row>
    <row r="51" spans="3:27" x14ac:dyDescent="0.3">
      <c r="D51"/>
      <c r="E51" s="32" t="s">
        <v>620</v>
      </c>
      <c r="J51" s="89"/>
      <c r="K51" s="89"/>
      <c r="L51" s="89"/>
      <c r="M51" s="89"/>
      <c r="N51" s="89"/>
      <c r="O51" s="89"/>
      <c r="P51" s="89"/>
      <c r="Q51" s="89"/>
      <c r="R51" s="89"/>
      <c r="S51" s="89"/>
      <c r="T51" s="89"/>
      <c r="U51" s="89"/>
      <c r="V51" s="89"/>
      <c r="W51" s="89"/>
      <c r="X51" s="89"/>
      <c r="Y51" s="89"/>
    </row>
    <row r="52" spans="3:27" x14ac:dyDescent="0.3">
      <c r="D52"/>
      <c r="F52" s="23" t="s">
        <v>188</v>
      </c>
      <c r="G52" s="23" t="s">
        <v>268</v>
      </c>
      <c r="H52" s="258"/>
      <c r="I52" s="258"/>
      <c r="J52" s="270">
        <f>'Initial unit rates'!J181</f>
        <v>0</v>
      </c>
      <c r="K52" s="270">
        <f>'Initial unit rates'!K181</f>
        <v>0</v>
      </c>
      <c r="L52" s="270">
        <f>'Initial unit rates'!L181</f>
        <v>0</v>
      </c>
      <c r="M52" s="270">
        <f>'Initial unit rates'!M181</f>
        <v>0</v>
      </c>
      <c r="N52" s="270">
        <f>'Initial unit rates'!N181</f>
        <v>0</v>
      </c>
      <c r="O52" s="270">
        <f>'Initial unit rates'!O181</f>
        <v>0</v>
      </c>
      <c r="P52" s="270">
        <f>'Initial unit rates'!P181</f>
        <v>0</v>
      </c>
      <c r="Q52" s="270">
        <f>'Initial unit rates'!Q181</f>
        <v>0</v>
      </c>
      <c r="R52" s="270">
        <f>'Initial unit rates'!R181</f>
        <v>0</v>
      </c>
      <c r="S52" s="270">
        <f>'Initial unit rates'!S181</f>
        <v>0</v>
      </c>
      <c r="T52" s="270">
        <f>'Initial unit rates'!T181</f>
        <v>0</v>
      </c>
      <c r="U52" s="270">
        <f>'Initial unit rates'!U181</f>
        <v>0</v>
      </c>
      <c r="V52" s="270">
        <f>'Initial unit rates'!V181</f>
        <v>0</v>
      </c>
      <c r="W52" s="270">
        <f>'Initial unit rates'!W181</f>
        <v>0</v>
      </c>
      <c r="X52" s="270">
        <f>'Initial unit rates'!X181</f>
        <v>0</v>
      </c>
      <c r="Y52" s="270">
        <f>'Initial unit rates'!Y181</f>
        <v>0</v>
      </c>
      <c r="Z52" s="259"/>
      <c r="AA52" s="259"/>
    </row>
    <row r="53" spans="3:27" x14ac:dyDescent="0.3">
      <c r="D53"/>
      <c r="F53" t="s">
        <v>190</v>
      </c>
      <c r="G53" t="s">
        <v>268</v>
      </c>
      <c r="H53" s="259"/>
      <c r="I53" s="259"/>
      <c r="J53" s="271">
        <f>'Initial unit rates'!J182</f>
        <v>0</v>
      </c>
      <c r="K53" s="271">
        <f>'Initial unit rates'!K182</f>
        <v>0</v>
      </c>
      <c r="L53" s="271">
        <f>'Initial unit rates'!L182</f>
        <v>0</v>
      </c>
      <c r="M53" s="271">
        <f>'Initial unit rates'!M182</f>
        <v>0</v>
      </c>
      <c r="N53" s="271">
        <f>'Initial unit rates'!N182</f>
        <v>0</v>
      </c>
      <c r="O53" s="271">
        <f>'Initial unit rates'!O182</f>
        <v>0</v>
      </c>
      <c r="P53" s="271">
        <f>'Initial unit rates'!P182</f>
        <v>0</v>
      </c>
      <c r="Q53" s="271">
        <f>'Initial unit rates'!Q182</f>
        <v>0</v>
      </c>
      <c r="R53" s="271">
        <f>'Initial unit rates'!R182</f>
        <v>0</v>
      </c>
      <c r="S53" s="271">
        <f>'Initial unit rates'!S182</f>
        <v>0</v>
      </c>
      <c r="T53" s="271">
        <f>'Initial unit rates'!T182</f>
        <v>0</v>
      </c>
      <c r="U53" s="271">
        <f>'Initial unit rates'!U182</f>
        <v>0</v>
      </c>
      <c r="V53" s="271">
        <f>'Initial unit rates'!V182</f>
        <v>0</v>
      </c>
      <c r="W53" s="271">
        <f>'Initial unit rates'!W182</f>
        <v>0</v>
      </c>
      <c r="X53" s="271">
        <f>'Initial unit rates'!X182</f>
        <v>0</v>
      </c>
      <c r="Y53" s="271">
        <f>'Initial unit rates'!Y182</f>
        <v>0</v>
      </c>
      <c r="Z53" s="259"/>
      <c r="AA53" s="259"/>
    </row>
    <row r="54" spans="3:27" x14ac:dyDescent="0.3">
      <c r="D54"/>
      <c r="F54" t="s">
        <v>191</v>
      </c>
      <c r="G54" t="s">
        <v>268</v>
      </c>
      <c r="H54" s="259"/>
      <c r="I54" s="259"/>
      <c r="J54" s="271">
        <f>'Initial unit rates'!J183</f>
        <v>0.13335123624807285</v>
      </c>
      <c r="K54" s="271">
        <f>'Initial unit rates'!K183</f>
        <v>0.13335123624807285</v>
      </c>
      <c r="L54" s="271">
        <f>'Initial unit rates'!L183</f>
        <v>0.15379225029956017</v>
      </c>
      <c r="M54" s="271">
        <f>'Initial unit rates'!M183</f>
        <v>0.15379225029956017</v>
      </c>
      <c r="N54" s="271">
        <f>'Initial unit rates'!N183</f>
        <v>0.1355342694851229</v>
      </c>
      <c r="O54" s="271">
        <f>'Initial unit rates'!O183</f>
        <v>0.12834276765675118</v>
      </c>
      <c r="P54" s="271">
        <f>'Initial unit rates'!P183</f>
        <v>0.11009532108082125</v>
      </c>
      <c r="Q54" s="271">
        <f>'Initial unit rates'!Q183</f>
        <v>0.11957318205284463</v>
      </c>
      <c r="R54" s="271">
        <f>'Initial unit rates'!R183</f>
        <v>-0.10409596992585636</v>
      </c>
      <c r="S54" s="271">
        <f>'Initial unit rates'!S183</f>
        <v>-0.10074723070231517</v>
      </c>
      <c r="T54" s="271">
        <f>'Initial unit rates'!T183</f>
        <v>-0.10409596992585636</v>
      </c>
      <c r="U54" s="271">
        <f>'Initial unit rates'!U183</f>
        <v>-0.10409596992585636</v>
      </c>
      <c r="V54" s="271">
        <f>'Initial unit rates'!V183</f>
        <v>-0.10074723070231517</v>
      </c>
      <c r="W54" s="271">
        <f>'Initial unit rates'!W183</f>
        <v>-0.10074723070231517</v>
      </c>
      <c r="X54" s="271">
        <f>'Initial unit rates'!X183</f>
        <v>-9.9227601937061954E-2</v>
      </c>
      <c r="Y54" s="271">
        <f>'Initial unit rates'!Y183</f>
        <v>-9.9227601937061954E-2</v>
      </c>
      <c r="Z54" s="259"/>
      <c r="AA54" s="259"/>
    </row>
    <row r="55" spans="3:27" x14ac:dyDescent="0.3">
      <c r="D55"/>
      <c r="F55" t="s">
        <v>192</v>
      </c>
      <c r="G55" t="s">
        <v>268</v>
      </c>
      <c r="H55" s="259"/>
      <c r="I55" s="259"/>
      <c r="J55" s="271">
        <f>'Initial unit rates'!J184</f>
        <v>5.2747799191922608E-2</v>
      </c>
      <c r="K55" s="271">
        <f>'Initial unit rates'!K184</f>
        <v>5.2747799191922608E-2</v>
      </c>
      <c r="L55" s="271">
        <f>'Initial unit rates'!L184</f>
        <v>6.0833352313164876E-2</v>
      </c>
      <c r="M55" s="271">
        <f>'Initial unit rates'!M184</f>
        <v>6.0833352313164876E-2</v>
      </c>
      <c r="N55" s="271">
        <f>'Initial unit rates'!N184</f>
        <v>5.3611309737884055E-2</v>
      </c>
      <c r="O55" s="271">
        <f>'Initial unit rates'!O184</f>
        <v>5.076667248513584E-2</v>
      </c>
      <c r="P55" s="271">
        <f>'Initial unit rates'!P184</f>
        <v>4.3548796784591698E-2</v>
      </c>
      <c r="Q55" s="271">
        <f>'Initial unit rates'!Q184</f>
        <v>4.7297815701755841E-2</v>
      </c>
      <c r="R55" s="271">
        <f>'Initial unit rates'!R184</f>
        <v>-4.1175721146843411E-2</v>
      </c>
      <c r="S55" s="271">
        <f>'Initial unit rates'!S184</f>
        <v>-3.9851109324116354E-2</v>
      </c>
      <c r="T55" s="271">
        <f>'Initial unit rates'!T184</f>
        <v>-4.1175721146843411E-2</v>
      </c>
      <c r="U55" s="271">
        <f>'Initial unit rates'!U184</f>
        <v>-4.1175721146843411E-2</v>
      </c>
      <c r="V55" s="271">
        <f>'Initial unit rates'!V184</f>
        <v>-3.9851109324116354E-2</v>
      </c>
      <c r="W55" s="271">
        <f>'Initial unit rates'!W184</f>
        <v>-3.9851109324116354E-2</v>
      </c>
      <c r="X55" s="271">
        <f>'Initial unit rates'!X184</f>
        <v>-3.9250011987405291E-2</v>
      </c>
      <c r="Y55" s="271">
        <f>'Initial unit rates'!Y184</f>
        <v>-3.9250011987405291E-2</v>
      </c>
      <c r="Z55" s="259"/>
      <c r="AA55" s="259"/>
    </row>
    <row r="56" spans="3:27" x14ac:dyDescent="0.3">
      <c r="D56"/>
      <c r="F56" t="s">
        <v>193</v>
      </c>
      <c r="G56" t="s">
        <v>268</v>
      </c>
      <c r="H56" s="259"/>
      <c r="I56" s="259"/>
      <c r="J56" s="271">
        <f>'Initial unit rates'!J185</f>
        <v>0.24028024655840682</v>
      </c>
      <c r="K56" s="271">
        <f>'Initial unit rates'!K185</f>
        <v>0.24028024655840682</v>
      </c>
      <c r="L56" s="271">
        <f>'Initial unit rates'!L185</f>
        <v>0.27711209029968459</v>
      </c>
      <c r="M56" s="271">
        <f>'Initial unit rates'!M185</f>
        <v>0.27711209029968459</v>
      </c>
      <c r="N56" s="271">
        <f>'Initial unit rates'!N185</f>
        <v>0.24421376663067509</v>
      </c>
      <c r="O56" s="271">
        <f>'Initial unit rates'!O185</f>
        <v>0.23125568779268185</v>
      </c>
      <c r="P56" s="271">
        <f>'Initial unit rates'!P185</f>
        <v>0.19837634534572224</v>
      </c>
      <c r="Q56" s="271">
        <f>'Initial unit rates'!Q185</f>
        <v>0.14551394091860301</v>
      </c>
      <c r="R56" s="271">
        <f>'Initial unit rates'!R185</f>
        <v>-0.18756635501294602</v>
      </c>
      <c r="S56" s="271">
        <f>'Initial unit rates'!S185</f>
        <v>-0.18153239605664942</v>
      </c>
      <c r="T56" s="271">
        <f>'Initial unit rates'!T185</f>
        <v>-0.18756635501294602</v>
      </c>
      <c r="U56" s="271">
        <f>'Initial unit rates'!U185</f>
        <v>-0.18756635501294602</v>
      </c>
      <c r="V56" s="271">
        <f>'Initial unit rates'!V185</f>
        <v>-0.18153239605664942</v>
      </c>
      <c r="W56" s="271">
        <f>'Initial unit rates'!W185</f>
        <v>-0.18153239605664942</v>
      </c>
      <c r="X56" s="271">
        <f>'Initial unit rates'!X185</f>
        <v>-0.17879423790629656</v>
      </c>
      <c r="Y56" s="271">
        <f>'Initial unit rates'!Y185</f>
        <v>-0.17879423790629656</v>
      </c>
      <c r="Z56" s="259"/>
      <c r="AA56" s="259"/>
    </row>
    <row r="57" spans="3:27" x14ac:dyDescent="0.3">
      <c r="D57"/>
      <c r="F57" t="s">
        <v>194</v>
      </c>
      <c r="G57" t="s">
        <v>268</v>
      </c>
      <c r="H57" s="259"/>
      <c r="I57" s="259"/>
      <c r="J57" s="271">
        <f>'Initial unit rates'!J186</f>
        <v>0.15156959574586595</v>
      </c>
      <c r="K57" s="271">
        <f>'Initial unit rates'!K186</f>
        <v>0.15156959574586595</v>
      </c>
      <c r="L57" s="271">
        <f>'Initial unit rates'!L186</f>
        <v>0.17480324789331109</v>
      </c>
      <c r="M57" s="271">
        <f>'Initial unit rates'!M186</f>
        <v>0.17480324789331109</v>
      </c>
      <c r="N57" s="271">
        <f>'Initial unit rates'!N186</f>
        <v>0.15405087356937203</v>
      </c>
      <c r="O57" s="271">
        <f>'Initial unit rates'!O186</f>
        <v>0.14587687342059041</v>
      </c>
      <c r="P57" s="271">
        <f>'Initial unit rates'!P186</f>
        <v>5.3808683181879341E-2</v>
      </c>
      <c r="Q57" s="271">
        <f>'Initial unit rates'!Q186</f>
        <v>9.1790688233122308E-2</v>
      </c>
      <c r="R57" s="271">
        <f>'Initial unit rates'!R186</f>
        <v>-0.11831749389322878</v>
      </c>
      <c r="S57" s="271">
        <f>'Initial unit rates'!S186</f>
        <v>-0.11451125208661933</v>
      </c>
      <c r="T57" s="271">
        <f>'Initial unit rates'!T186</f>
        <v>-0.11831749389322878</v>
      </c>
      <c r="U57" s="271">
        <f>'Initial unit rates'!U186</f>
        <v>-0.11831749389322878</v>
      </c>
      <c r="V57" s="271">
        <f>'Initial unit rates'!V186</f>
        <v>-0.11451125208661933</v>
      </c>
      <c r="W57" s="271">
        <f>'Initial unit rates'!W186</f>
        <v>-0.11451125208661933</v>
      </c>
      <c r="X57" s="271">
        <f>'Initial unit rates'!X186</f>
        <v>-4.8497125428331379E-2</v>
      </c>
      <c r="Y57" s="271">
        <f>'Initial unit rates'!Y186</f>
        <v>-4.8497125428331379E-2</v>
      </c>
      <c r="Z57" s="259"/>
      <c r="AA57" s="259"/>
    </row>
    <row r="58" spans="3:27" x14ac:dyDescent="0.3">
      <c r="D58"/>
      <c r="F58" t="s">
        <v>195</v>
      </c>
      <c r="G58" t="s">
        <v>268</v>
      </c>
      <c r="H58" s="259"/>
      <c r="I58" s="259"/>
      <c r="J58" s="271">
        <f>'Initial unit rates'!J187</f>
        <v>0</v>
      </c>
      <c r="K58" s="271">
        <f>'Initial unit rates'!K187</f>
        <v>0</v>
      </c>
      <c r="L58" s="271">
        <f>'Initial unit rates'!L187</f>
        <v>0</v>
      </c>
      <c r="M58" s="271">
        <f>'Initial unit rates'!M187</f>
        <v>0</v>
      </c>
      <c r="N58" s="271">
        <f>'Initial unit rates'!N187</f>
        <v>0</v>
      </c>
      <c r="O58" s="271">
        <f>'Initial unit rates'!O187</f>
        <v>0</v>
      </c>
      <c r="P58" s="271">
        <f>'Initial unit rates'!P187</f>
        <v>0</v>
      </c>
      <c r="Q58" s="271">
        <f>'Initial unit rates'!Q187</f>
        <v>0</v>
      </c>
      <c r="R58" s="271">
        <f>'Initial unit rates'!R187</f>
        <v>0</v>
      </c>
      <c r="S58" s="271">
        <f>'Initial unit rates'!S187</f>
        <v>0</v>
      </c>
      <c r="T58" s="271">
        <f>'Initial unit rates'!T187</f>
        <v>0</v>
      </c>
      <c r="U58" s="271">
        <f>'Initial unit rates'!U187</f>
        <v>0</v>
      </c>
      <c r="V58" s="271">
        <f>'Initial unit rates'!V187</f>
        <v>0</v>
      </c>
      <c r="W58" s="271">
        <f>'Initial unit rates'!W187</f>
        <v>0</v>
      </c>
      <c r="X58" s="271">
        <f>'Initial unit rates'!X187</f>
        <v>0</v>
      </c>
      <c r="Y58" s="271">
        <f>'Initial unit rates'!Y187</f>
        <v>0</v>
      </c>
      <c r="Z58" s="259"/>
      <c r="AA58" s="259"/>
    </row>
    <row r="59" spans="3:27" x14ac:dyDescent="0.3">
      <c r="D59"/>
      <c r="F59" t="s">
        <v>196</v>
      </c>
      <c r="G59" t="s">
        <v>268</v>
      </c>
      <c r="H59" s="259"/>
      <c r="I59" s="259"/>
      <c r="J59" s="271">
        <f>'Initial unit rates'!J188</f>
        <v>0.19262017006795279</v>
      </c>
      <c r="K59" s="271">
        <f>'Initial unit rates'!K188</f>
        <v>0.19262017006795279</v>
      </c>
      <c r="L59" s="271">
        <f>'Initial unit rates'!L188</f>
        <v>0.22214634255602975</v>
      </c>
      <c r="M59" s="271">
        <f>'Initial unit rates'!M188</f>
        <v>0.22214634255602975</v>
      </c>
      <c r="N59" s="271">
        <f>'Initial unit rates'!N188</f>
        <v>0.19577346841910059</v>
      </c>
      <c r="O59" s="271">
        <f>'Initial unit rates'!O188</f>
        <v>0.18538565092149586</v>
      </c>
      <c r="P59" s="271">
        <f>'Initial unit rates'!P188</f>
        <v>2.0446456248327541E-2</v>
      </c>
      <c r="Q59" s="271">
        <f>'Initial unit rates'!Q188</f>
        <v>0.11665095424390674</v>
      </c>
      <c r="R59" s="271">
        <f>'Initial unit rates'!R188</f>
        <v>-0.15036218631828935</v>
      </c>
      <c r="S59" s="271">
        <f>'Initial unit rates'!S188</f>
        <v>-0.14552507541553195</v>
      </c>
      <c r="T59" s="271">
        <f>'Initial unit rates'!T188</f>
        <v>-0.15036218631828935</v>
      </c>
      <c r="U59" s="271">
        <f>'Initial unit rates'!U188</f>
        <v>-0.15036218631828935</v>
      </c>
      <c r="V59" s="271">
        <f>'Initial unit rates'!V188</f>
        <v>-0.14552507541553195</v>
      </c>
      <c r="W59" s="271">
        <f>'Initial unit rates'!W188</f>
        <v>-0.14552507541553195</v>
      </c>
      <c r="X59" s="271">
        <f>'Initial unit rates'!X188</f>
        <v>0</v>
      </c>
      <c r="Y59" s="271">
        <f>'Initial unit rates'!Y188</f>
        <v>0</v>
      </c>
      <c r="Z59" s="259"/>
      <c r="AA59" s="259"/>
    </row>
    <row r="60" spans="3:27" x14ac:dyDescent="0.3">
      <c r="D60"/>
      <c r="F60" t="s">
        <v>197</v>
      </c>
      <c r="G60" t="s">
        <v>268</v>
      </c>
      <c r="H60" s="259"/>
      <c r="I60" s="259"/>
      <c r="J60" s="271">
        <f>'Initial unit rates'!J189</f>
        <v>0.17488378228737636</v>
      </c>
      <c r="K60" s="271">
        <f>'Initial unit rates'!K189</f>
        <v>0.17488378228737636</v>
      </c>
      <c r="L60" s="271">
        <f>'Initial unit rates'!L189</f>
        <v>0.20169119668931951</v>
      </c>
      <c r="M60" s="271">
        <f>'Initial unit rates'!M189</f>
        <v>0.20169119668931951</v>
      </c>
      <c r="N60" s="271">
        <f>'Initial unit rates'!N189</f>
        <v>0.177746726194729</v>
      </c>
      <c r="O60" s="271">
        <f>'Initial unit rates'!O189</f>
        <v>7.2135177751680843E-3</v>
      </c>
      <c r="P60" s="271">
        <f>'Initial unit rates'!P189</f>
        <v>0</v>
      </c>
      <c r="Q60" s="271">
        <f>'Initial unit rates'!Q189</f>
        <v>0.10590978129865228</v>
      </c>
      <c r="R60" s="271">
        <f>'Initial unit rates'!R189</f>
        <v>-0.13651689668358682</v>
      </c>
      <c r="S60" s="271">
        <f>'Initial unit rates'!S189</f>
        <v>0</v>
      </c>
      <c r="T60" s="271">
        <f>'Initial unit rates'!T189</f>
        <v>-0.13651689668358682</v>
      </c>
      <c r="U60" s="271">
        <f>'Initial unit rates'!U189</f>
        <v>-0.13651689668358682</v>
      </c>
      <c r="V60" s="271">
        <f>'Initial unit rates'!V189</f>
        <v>0</v>
      </c>
      <c r="W60" s="271">
        <f>'Initial unit rates'!W189</f>
        <v>0</v>
      </c>
      <c r="X60" s="271">
        <f>'Initial unit rates'!X189</f>
        <v>0</v>
      </c>
      <c r="Y60" s="271">
        <f>'Initial unit rates'!Y189</f>
        <v>0</v>
      </c>
      <c r="Z60" s="259"/>
      <c r="AA60" s="259"/>
    </row>
    <row r="61" spans="3:27" x14ac:dyDescent="0.3">
      <c r="D61"/>
      <c r="F61" t="s">
        <v>198</v>
      </c>
      <c r="G61" t="s">
        <v>268</v>
      </c>
      <c r="H61" s="259"/>
      <c r="I61" s="259"/>
      <c r="J61" s="271">
        <f>'Initial unit rates'!J190</f>
        <v>4.1549516754729029E-3</v>
      </c>
      <c r="K61" s="271">
        <f>'Initial unit rates'!K190</f>
        <v>4.1549516754729029E-3</v>
      </c>
      <c r="L61" s="271">
        <f>'Initial unit rates'!L190</f>
        <v>4.7918518495634896E-3</v>
      </c>
      <c r="M61" s="271">
        <f>'Initial unit rates'!M190</f>
        <v>4.7918518495634896E-3</v>
      </c>
      <c r="N61" s="271">
        <f>'Initial unit rates'!N190</f>
        <v>4.2229705244996975E-3</v>
      </c>
      <c r="O61" s="271">
        <f>'Initial unit rates'!O190</f>
        <v>0</v>
      </c>
      <c r="P61" s="271">
        <f>'Initial unit rates'!P190</f>
        <v>0</v>
      </c>
      <c r="Q61" s="271">
        <f>'Initial unit rates'!Q190</f>
        <v>2.5162426012304302E-3</v>
      </c>
      <c r="R61" s="271">
        <f>'Initial unit rates'!R190</f>
        <v>0</v>
      </c>
      <c r="S61" s="271">
        <f>'Initial unit rates'!S190</f>
        <v>0</v>
      </c>
      <c r="T61" s="271">
        <f>'Initial unit rates'!T190</f>
        <v>0</v>
      </c>
      <c r="U61" s="271">
        <f>'Initial unit rates'!U190</f>
        <v>0</v>
      </c>
      <c r="V61" s="271">
        <f>'Initial unit rates'!V190</f>
        <v>0</v>
      </c>
      <c r="W61" s="271">
        <f>'Initial unit rates'!W190</f>
        <v>0</v>
      </c>
      <c r="X61" s="271">
        <f>'Initial unit rates'!X190</f>
        <v>0</v>
      </c>
      <c r="Y61" s="271">
        <f>'Initial unit rates'!Y190</f>
        <v>0</v>
      </c>
      <c r="Z61" s="259"/>
      <c r="AA61" s="259"/>
    </row>
    <row r="62" spans="3:27" x14ac:dyDescent="0.3">
      <c r="D62"/>
      <c r="F62" s="23" t="s">
        <v>375</v>
      </c>
      <c r="G62" s="23" t="s">
        <v>268</v>
      </c>
      <c r="H62" s="258"/>
      <c r="I62" s="258"/>
      <c r="J62" s="272"/>
      <c r="K62" s="272"/>
      <c r="L62" s="272"/>
      <c r="M62" s="272"/>
      <c r="N62" s="272"/>
      <c r="O62" s="272"/>
      <c r="P62" s="272"/>
      <c r="Q62" s="272"/>
      <c r="R62" s="272"/>
      <c r="S62" s="272"/>
      <c r="T62" s="272"/>
      <c r="U62" s="272"/>
      <c r="V62" s="272"/>
      <c r="W62" s="272"/>
      <c r="X62" s="272"/>
      <c r="Y62" s="272"/>
      <c r="Z62" s="259"/>
      <c r="AA62" s="259"/>
    </row>
    <row r="63" spans="3:27" x14ac:dyDescent="0.3">
      <c r="D63"/>
      <c r="F63" s="37" t="s">
        <v>376</v>
      </c>
      <c r="G63" s="37" t="s">
        <v>268</v>
      </c>
      <c r="H63" s="261"/>
      <c r="I63" s="261"/>
      <c r="J63" s="262"/>
      <c r="K63" s="262"/>
      <c r="L63" s="262"/>
      <c r="M63" s="262"/>
      <c r="N63" s="262"/>
      <c r="O63" s="262"/>
      <c r="P63" s="262"/>
      <c r="Q63" s="262"/>
      <c r="R63" s="262"/>
      <c r="S63" s="262"/>
      <c r="T63" s="262"/>
      <c r="U63" s="262"/>
      <c r="V63" s="262"/>
      <c r="W63" s="262"/>
      <c r="X63" s="262"/>
      <c r="Y63" s="262"/>
      <c r="Z63" s="259"/>
      <c r="AA63" s="259"/>
    </row>
    <row r="64" spans="3:27" x14ac:dyDescent="0.3">
      <c r="D64"/>
      <c r="J64" s="89"/>
      <c r="K64" s="89"/>
      <c r="L64" s="89"/>
      <c r="M64" s="89"/>
      <c r="N64" s="89"/>
      <c r="O64" s="89"/>
      <c r="P64" s="89"/>
      <c r="Q64" s="89"/>
      <c r="R64" s="89"/>
      <c r="S64" s="89"/>
      <c r="T64" s="89"/>
      <c r="U64" s="89"/>
      <c r="V64" s="89"/>
      <c r="W64" s="89"/>
      <c r="X64" s="89"/>
      <c r="Y64" s="89"/>
    </row>
    <row r="65" spans="3:27" x14ac:dyDescent="0.3">
      <c r="D65"/>
      <c r="E65" s="32" t="s">
        <v>621</v>
      </c>
      <c r="J65" s="89"/>
      <c r="K65" s="89"/>
      <c r="L65" s="89"/>
      <c r="M65" s="89"/>
      <c r="N65" s="89"/>
      <c r="O65" s="89"/>
      <c r="P65" s="89"/>
      <c r="Q65" s="89"/>
      <c r="R65" s="89"/>
      <c r="S65" s="89"/>
      <c r="T65" s="89"/>
      <c r="U65" s="89"/>
      <c r="V65" s="89"/>
      <c r="W65" s="89"/>
      <c r="X65" s="89"/>
      <c r="Y65" s="89"/>
    </row>
    <row r="66" spans="3:27" x14ac:dyDescent="0.3">
      <c r="D66"/>
      <c r="F66" s="23" t="s">
        <v>188</v>
      </c>
      <c r="G66" s="23" t="s">
        <v>268</v>
      </c>
      <c r="H66" s="258"/>
      <c r="I66" s="258"/>
      <c r="J66" s="270">
        <f>'Initial unit rates'!J193</f>
        <v>3.5088435542692191E-2</v>
      </c>
      <c r="K66" s="270">
        <f>'Initial unit rates'!K193</f>
        <v>3.5088435542692191E-2</v>
      </c>
      <c r="L66" s="270">
        <f>'Initial unit rates'!L193</f>
        <v>4.0467037377613271E-2</v>
      </c>
      <c r="M66" s="270">
        <f>'Initial unit rates'!M193</f>
        <v>4.0467037377613271E-2</v>
      </c>
      <c r="N66" s="270">
        <f>'Initial unit rates'!N193</f>
        <v>3.5662852572342273E-2</v>
      </c>
      <c r="O66" s="270">
        <f>'Initial unit rates'!O193</f>
        <v>3.3770567540274417E-2</v>
      </c>
      <c r="P66" s="270">
        <f>'Initial unit rates'!P193</f>
        <v>2.8969154587438064E-2</v>
      </c>
      <c r="Q66" s="270">
        <f>'Initial unit rates'!Q193</f>
        <v>3.6691816837357005E-2</v>
      </c>
      <c r="R66" s="270">
        <f>'Initial unit rates'!R193</f>
        <v>-2.7390557701336807E-2</v>
      </c>
      <c r="S66" s="270">
        <f>'Initial unit rates'!S193</f>
        <v>-2.6509410861603567E-2</v>
      </c>
      <c r="T66" s="270">
        <f>'Initial unit rates'!T193</f>
        <v>-2.7390557701336807E-2</v>
      </c>
      <c r="U66" s="270">
        <f>'Initial unit rates'!U193</f>
        <v>-2.7390557701336807E-2</v>
      </c>
      <c r="V66" s="270">
        <f>'Initial unit rates'!V193</f>
        <v>-2.6509410861603567E-2</v>
      </c>
      <c r="W66" s="270">
        <f>'Initial unit rates'!W193</f>
        <v>-2.6509410861603567E-2</v>
      </c>
      <c r="X66" s="270">
        <f>'Initial unit rates'!X193</f>
        <v>-2.6109554081279348E-2</v>
      </c>
      <c r="Y66" s="270">
        <f>'Initial unit rates'!Y193</f>
        <v>-2.6109554081279348E-2</v>
      </c>
      <c r="Z66" s="259"/>
      <c r="AA66" s="259"/>
    </row>
    <row r="67" spans="3:27" x14ac:dyDescent="0.3">
      <c r="D67"/>
      <c r="F67" t="s">
        <v>190</v>
      </c>
      <c r="G67" t="s">
        <v>268</v>
      </c>
      <c r="H67" s="259"/>
      <c r="I67" s="259"/>
      <c r="J67" s="271">
        <f>'Initial unit rates'!J194</f>
        <v>0</v>
      </c>
      <c r="K67" s="271">
        <f>'Initial unit rates'!K194</f>
        <v>0</v>
      </c>
      <c r="L67" s="271">
        <f>'Initial unit rates'!L194</f>
        <v>0</v>
      </c>
      <c r="M67" s="271">
        <f>'Initial unit rates'!M194</f>
        <v>0</v>
      </c>
      <c r="N67" s="271">
        <f>'Initial unit rates'!N194</f>
        <v>0</v>
      </c>
      <c r="O67" s="271">
        <f>'Initial unit rates'!O194</f>
        <v>0</v>
      </c>
      <c r="P67" s="271">
        <f>'Initial unit rates'!P194</f>
        <v>0</v>
      </c>
      <c r="Q67" s="271">
        <f>'Initial unit rates'!Q194</f>
        <v>0</v>
      </c>
      <c r="R67" s="271">
        <f>'Initial unit rates'!R194</f>
        <v>0</v>
      </c>
      <c r="S67" s="271">
        <f>'Initial unit rates'!S194</f>
        <v>0</v>
      </c>
      <c r="T67" s="271">
        <f>'Initial unit rates'!T194</f>
        <v>0</v>
      </c>
      <c r="U67" s="271">
        <f>'Initial unit rates'!U194</f>
        <v>0</v>
      </c>
      <c r="V67" s="271">
        <f>'Initial unit rates'!V194</f>
        <v>0</v>
      </c>
      <c r="W67" s="271">
        <f>'Initial unit rates'!W194</f>
        <v>0</v>
      </c>
      <c r="X67" s="271">
        <f>'Initial unit rates'!X194</f>
        <v>0</v>
      </c>
      <c r="Y67" s="271">
        <f>'Initial unit rates'!Y194</f>
        <v>0</v>
      </c>
      <c r="Z67" s="259"/>
      <c r="AA67" s="259"/>
    </row>
    <row r="68" spans="3:27" x14ac:dyDescent="0.3">
      <c r="D68"/>
      <c r="F68" t="s">
        <v>191</v>
      </c>
      <c r="G68" t="s">
        <v>268</v>
      </c>
      <c r="H68" s="259"/>
      <c r="I68" s="259"/>
      <c r="J68" s="271">
        <f>'Initial unit rates'!J195</f>
        <v>6.4820627841846626E-2</v>
      </c>
      <c r="K68" s="271">
        <f>'Initial unit rates'!K195</f>
        <v>6.4820627841846626E-2</v>
      </c>
      <c r="L68" s="271">
        <f>'Initial unit rates'!L195</f>
        <v>7.4756788929071366E-2</v>
      </c>
      <c r="M68" s="271">
        <f>'Initial unit rates'!M195</f>
        <v>7.4756788929071366E-2</v>
      </c>
      <c r="N68" s="271">
        <f>'Initial unit rates'!N195</f>
        <v>6.588177724703069E-2</v>
      </c>
      <c r="O68" s="271">
        <f>'Initial unit rates'!O195</f>
        <v>6.2386064145626412E-2</v>
      </c>
      <c r="P68" s="271">
        <f>'Initial unit rates'!P195</f>
        <v>5.3516173045689772E-2</v>
      </c>
      <c r="Q68" s="271">
        <f>'Initial unit rates'!Q195</f>
        <v>5.8123261184425859E-2</v>
      </c>
      <c r="R68" s="271">
        <f>'Initial unit rates'!R195</f>
        <v>-5.0599951798328428E-2</v>
      </c>
      <c r="S68" s="271">
        <f>'Initial unit rates'!S195</f>
        <v>-4.8972165022173247E-2</v>
      </c>
      <c r="T68" s="271">
        <f>'Initial unit rates'!T195</f>
        <v>-5.0599951798328428E-2</v>
      </c>
      <c r="U68" s="271">
        <f>'Initial unit rates'!U195</f>
        <v>-5.0599951798328428E-2</v>
      </c>
      <c r="V68" s="271">
        <f>'Initial unit rates'!V195</f>
        <v>-4.8972165022173247E-2</v>
      </c>
      <c r="W68" s="271">
        <f>'Initial unit rates'!W195</f>
        <v>-4.8972165022173247E-2</v>
      </c>
      <c r="X68" s="271">
        <f>'Initial unit rates'!X195</f>
        <v>-4.8233489525629683E-2</v>
      </c>
      <c r="Y68" s="271">
        <f>'Initial unit rates'!Y195</f>
        <v>-4.8233489525629683E-2</v>
      </c>
      <c r="Z68" s="259"/>
      <c r="AA68" s="259"/>
    </row>
    <row r="69" spans="3:27" x14ac:dyDescent="0.3">
      <c r="D69"/>
      <c r="F69" t="s">
        <v>192</v>
      </c>
      <c r="G69" t="s">
        <v>268</v>
      </c>
      <c r="H69" s="259"/>
      <c r="I69" s="259"/>
      <c r="J69" s="271">
        <f>'Initial unit rates'!J196</f>
        <v>2.5640148206316209E-2</v>
      </c>
      <c r="K69" s="271">
        <f>'Initial unit rates'!K196</f>
        <v>2.5640148206316209E-2</v>
      </c>
      <c r="L69" s="271">
        <f>'Initial unit rates'!L196</f>
        <v>2.9570450200611373E-2</v>
      </c>
      <c r="M69" s="271">
        <f>'Initial unit rates'!M196</f>
        <v>2.9570450200611373E-2</v>
      </c>
      <c r="N69" s="271">
        <f>'Initial unit rates'!N196</f>
        <v>2.6059891564624117E-2</v>
      </c>
      <c r="O69" s="271">
        <f>'Initial unit rates'!O196</f>
        <v>2.4677143433497507E-2</v>
      </c>
      <c r="P69" s="271">
        <f>'Initial unit rates'!P196</f>
        <v>2.116861027132038E-2</v>
      </c>
      <c r="Q69" s="271">
        <f>'Initial unit rates'!Q196</f>
        <v>2.2990968779864406E-2</v>
      </c>
      <c r="R69" s="271">
        <f>'Initial unit rates'!R196</f>
        <v>-2.0015083261875375E-2</v>
      </c>
      <c r="S69" s="271">
        <f>'Initial unit rates'!S196</f>
        <v>-1.9371203441847524E-2</v>
      </c>
      <c r="T69" s="271">
        <f>'Initial unit rates'!T196</f>
        <v>-2.0015083261875375E-2</v>
      </c>
      <c r="U69" s="271">
        <f>'Initial unit rates'!U196</f>
        <v>-2.0015083261875375E-2</v>
      </c>
      <c r="V69" s="271">
        <f>'Initial unit rates'!V196</f>
        <v>-1.9371203441847524E-2</v>
      </c>
      <c r="W69" s="271">
        <f>'Initial unit rates'!W196</f>
        <v>-1.9371203441847524E-2</v>
      </c>
      <c r="X69" s="271">
        <f>'Initial unit rates'!X196</f>
        <v>-1.9079016373651246E-2</v>
      </c>
      <c r="Y69" s="271">
        <f>'Initial unit rates'!Y196</f>
        <v>-1.9079016373651246E-2</v>
      </c>
      <c r="Z69" s="259"/>
      <c r="AA69" s="259"/>
    </row>
    <row r="70" spans="3:27" x14ac:dyDescent="0.3">
      <c r="D70"/>
      <c r="F70" t="s">
        <v>193</v>
      </c>
      <c r="G70" t="s">
        <v>268</v>
      </c>
      <c r="H70" s="259"/>
      <c r="I70" s="259"/>
      <c r="J70" s="271">
        <f>'Initial unit rates'!J197</f>
        <v>0.11679769065609037</v>
      </c>
      <c r="K70" s="271">
        <f>'Initial unit rates'!K197</f>
        <v>0.11679769065609037</v>
      </c>
      <c r="L70" s="271">
        <f>'Initial unit rates'!L197</f>
        <v>0.13470126097951074</v>
      </c>
      <c r="M70" s="271">
        <f>'Initial unit rates'!M197</f>
        <v>0.13470126097951074</v>
      </c>
      <c r="N70" s="271">
        <f>'Initial unit rates'!N197</f>
        <v>0.1187097332279238</v>
      </c>
      <c r="O70" s="271">
        <f>'Initial unit rates'!O197</f>
        <v>0.112410947933273</v>
      </c>
      <c r="P70" s="271">
        <f>'Initial unit rates'!P197</f>
        <v>9.6428646753295738E-2</v>
      </c>
      <c r="Q70" s="271">
        <f>'Initial unit rates'!Q197</f>
        <v>7.0732790152303798E-2</v>
      </c>
      <c r="R70" s="271">
        <f>'Initial unit rates'!R197</f>
        <v>-9.1174024598677572E-2</v>
      </c>
      <c r="S70" s="271">
        <f>'Initial unit rates'!S197</f>
        <v>-8.8240980864523699E-2</v>
      </c>
      <c r="T70" s="271">
        <f>'Initial unit rates'!T197</f>
        <v>-9.1174024598677572E-2</v>
      </c>
      <c r="U70" s="271">
        <f>'Initial unit rates'!U197</f>
        <v>-9.1174024598677572E-2</v>
      </c>
      <c r="V70" s="271">
        <f>'Initial unit rates'!V197</f>
        <v>-8.8240980864523699E-2</v>
      </c>
      <c r="W70" s="271">
        <f>'Initial unit rates'!W197</f>
        <v>-8.8240980864523699E-2</v>
      </c>
      <c r="X70" s="271">
        <f>'Initial unit rates'!X197</f>
        <v>-8.6909991100724601E-2</v>
      </c>
      <c r="Y70" s="271">
        <f>'Initial unit rates'!Y197</f>
        <v>-8.6909991100724601E-2</v>
      </c>
      <c r="Z70" s="259"/>
      <c r="AA70" s="259"/>
    </row>
    <row r="71" spans="3:27" x14ac:dyDescent="0.3">
      <c r="D71"/>
      <c r="F71" t="s">
        <v>194</v>
      </c>
      <c r="G71" t="s">
        <v>268</v>
      </c>
      <c r="H71" s="259"/>
      <c r="I71" s="259"/>
      <c r="J71" s="271">
        <f>'Initial unit rates'!J198</f>
        <v>7.3676380020240725E-2</v>
      </c>
      <c r="K71" s="271">
        <f>'Initial unit rates'!K198</f>
        <v>7.3676380020240725E-2</v>
      </c>
      <c r="L71" s="271">
        <f>'Initial unit rates'!L198</f>
        <v>8.4970012997551997E-2</v>
      </c>
      <c r="M71" s="271">
        <f>'Initial unit rates'!M198</f>
        <v>8.4970012997551997E-2</v>
      </c>
      <c r="N71" s="271">
        <f>'Initial unit rates'!N198</f>
        <v>7.4882502969641121E-2</v>
      </c>
      <c r="O71" s="271">
        <f>'Initial unit rates'!O198</f>
        <v>7.0909207809199515E-2</v>
      </c>
      <c r="P71" s="271">
        <f>'Initial unit rates'!P198</f>
        <v>6.0827517934002102E-2</v>
      </c>
      <c r="Q71" s="271">
        <f>'Initial unit rates'!Q198</f>
        <v>4.4618484302894328E-2</v>
      </c>
      <c r="R71" s="271">
        <f>'Initial unit rates'!R198</f>
        <v>-5.7512884429249372E-2</v>
      </c>
      <c r="S71" s="271">
        <f>'Initial unit rates'!S198</f>
        <v>-5.566271047838077E-2</v>
      </c>
      <c r="T71" s="271">
        <f>'Initial unit rates'!T198</f>
        <v>-5.7512884429249372E-2</v>
      </c>
      <c r="U71" s="271">
        <f>'Initial unit rates'!U198</f>
        <v>-5.7512884429249372E-2</v>
      </c>
      <c r="V71" s="271">
        <f>'Initial unit rates'!V198</f>
        <v>-5.566271047838077E-2</v>
      </c>
      <c r="W71" s="271">
        <f>'Initial unit rates'!W198</f>
        <v>-5.566271047838077E-2</v>
      </c>
      <c r="X71" s="271">
        <f>'Initial unit rates'!X198</f>
        <v>-5.4823117614088125E-2</v>
      </c>
      <c r="Y71" s="271">
        <f>'Initial unit rates'!Y198</f>
        <v>-5.4823117614088125E-2</v>
      </c>
      <c r="Z71" s="259"/>
      <c r="AA71" s="259"/>
    </row>
    <row r="72" spans="3:27" x14ac:dyDescent="0.3">
      <c r="D72"/>
      <c r="F72" t="s">
        <v>195</v>
      </c>
      <c r="G72" t="s">
        <v>268</v>
      </c>
      <c r="H72" s="259"/>
      <c r="I72" s="259"/>
      <c r="J72" s="271">
        <f>'Initial unit rates'!J199</f>
        <v>0</v>
      </c>
      <c r="K72" s="271">
        <f>'Initial unit rates'!K199</f>
        <v>0</v>
      </c>
      <c r="L72" s="271">
        <f>'Initial unit rates'!L199</f>
        <v>0</v>
      </c>
      <c r="M72" s="271">
        <f>'Initial unit rates'!M199</f>
        <v>0</v>
      </c>
      <c r="N72" s="271">
        <f>'Initial unit rates'!N199</f>
        <v>0</v>
      </c>
      <c r="O72" s="271">
        <f>'Initial unit rates'!O199</f>
        <v>0</v>
      </c>
      <c r="P72" s="271">
        <f>'Initial unit rates'!P199</f>
        <v>0</v>
      </c>
      <c r="Q72" s="271">
        <f>'Initial unit rates'!Q199</f>
        <v>0</v>
      </c>
      <c r="R72" s="271">
        <f>'Initial unit rates'!R199</f>
        <v>0</v>
      </c>
      <c r="S72" s="271">
        <f>'Initial unit rates'!S199</f>
        <v>0</v>
      </c>
      <c r="T72" s="271">
        <f>'Initial unit rates'!T199</f>
        <v>0</v>
      </c>
      <c r="U72" s="271">
        <f>'Initial unit rates'!U199</f>
        <v>0</v>
      </c>
      <c r="V72" s="271">
        <f>'Initial unit rates'!V199</f>
        <v>0</v>
      </c>
      <c r="W72" s="271">
        <f>'Initial unit rates'!W199</f>
        <v>0</v>
      </c>
      <c r="X72" s="271">
        <f>'Initial unit rates'!X199</f>
        <v>0</v>
      </c>
      <c r="Y72" s="271">
        <f>'Initial unit rates'!Y199</f>
        <v>0</v>
      </c>
      <c r="Z72" s="259"/>
      <c r="AA72" s="259"/>
    </row>
    <row r="73" spans="3:27" x14ac:dyDescent="0.3">
      <c r="D73"/>
      <c r="F73" t="s">
        <v>196</v>
      </c>
      <c r="G73" t="s">
        <v>268</v>
      </c>
      <c r="H73" s="259"/>
      <c r="I73" s="259"/>
      <c r="J73" s="271">
        <f>'Initial unit rates'!J200</f>
        <v>0.13375804390295326</v>
      </c>
      <c r="K73" s="271">
        <f>'Initial unit rates'!K200</f>
        <v>0.13375804390295326</v>
      </c>
      <c r="L73" s="271">
        <f>'Initial unit rates'!L200</f>
        <v>0.15426141628889348</v>
      </c>
      <c r="M73" s="271">
        <f>'Initial unit rates'!M200</f>
        <v>0.15426141628889348</v>
      </c>
      <c r="N73" s="271">
        <f>'Initial unit rates'!N200</f>
        <v>0.13594773680553529</v>
      </c>
      <c r="O73" s="271">
        <f>'Initial unit rates'!O200</f>
        <v>0.12873429623796487</v>
      </c>
      <c r="P73" s="271">
        <f>'Initial unit rates'!P200</f>
        <v>0.11043118312936552</v>
      </c>
      <c r="Q73" s="271">
        <f>'Initial unit rates'!Q200</f>
        <v>8.1003995861769956E-2</v>
      </c>
      <c r="R73" s="271">
        <f>'Initial unit rates'!R200</f>
        <v>-0.10441353006702567</v>
      </c>
      <c r="S73" s="271">
        <f>'Initial unit rates'!S200</f>
        <v>-0.10105457501955463</v>
      </c>
      <c r="T73" s="271">
        <f>'Initial unit rates'!T200</f>
        <v>-0.10441353006702567</v>
      </c>
      <c r="U73" s="271">
        <f>'Initial unit rates'!U200</f>
        <v>-0.10441353006702567</v>
      </c>
      <c r="V73" s="271">
        <f>'Initial unit rates'!V200</f>
        <v>-0.10105457501955463</v>
      </c>
      <c r="W73" s="271">
        <f>'Initial unit rates'!W200</f>
        <v>-0.10105457501955463</v>
      </c>
      <c r="X73" s="271">
        <f>'Initial unit rates'!X200</f>
        <v>0</v>
      </c>
      <c r="Y73" s="271">
        <f>'Initial unit rates'!Y200</f>
        <v>0</v>
      </c>
      <c r="Z73" s="259"/>
      <c r="AA73" s="259"/>
    </row>
    <row r="74" spans="3:27" x14ac:dyDescent="0.3">
      <c r="D74"/>
      <c r="F74" t="s">
        <v>197</v>
      </c>
      <c r="G74" t="s">
        <v>268</v>
      </c>
      <c r="H74" s="259"/>
      <c r="I74" s="259"/>
      <c r="J74" s="271">
        <f>'Initial unit rates'!J201</f>
        <v>0.12144165702302676</v>
      </c>
      <c r="K74" s="271">
        <f>'Initial unit rates'!K201</f>
        <v>0.12144165702302676</v>
      </c>
      <c r="L74" s="271">
        <f>'Initial unit rates'!L201</f>
        <v>0.14005708712691878</v>
      </c>
      <c r="M74" s="271">
        <f>'Initial unit rates'!M201</f>
        <v>0.14005708712691878</v>
      </c>
      <c r="N74" s="271">
        <f>'Initial unit rates'!N201</f>
        <v>0.12342972388391817</v>
      </c>
      <c r="O74" s="271">
        <f>'Initial unit rates'!O201</f>
        <v>0.11688049402228494</v>
      </c>
      <c r="P74" s="271">
        <f>'Initial unit rates'!P201</f>
        <v>0</v>
      </c>
      <c r="Q74" s="271">
        <f>'Initial unit rates'!Q201</f>
        <v>7.3545180505757576E-2</v>
      </c>
      <c r="R74" s="271">
        <f>'Initial unit rates'!R201</f>
        <v>-9.4799174217613191E-2</v>
      </c>
      <c r="S74" s="271">
        <f>'Initial unit rates'!S201</f>
        <v>0</v>
      </c>
      <c r="T74" s="271">
        <f>'Initial unit rates'!T201</f>
        <v>-9.4799174217613191E-2</v>
      </c>
      <c r="U74" s="271">
        <f>'Initial unit rates'!U201</f>
        <v>-9.4799174217613191E-2</v>
      </c>
      <c r="V74" s="271">
        <f>'Initial unit rates'!V201</f>
        <v>0</v>
      </c>
      <c r="W74" s="271">
        <f>'Initial unit rates'!W201</f>
        <v>0</v>
      </c>
      <c r="X74" s="271">
        <f>'Initial unit rates'!X201</f>
        <v>0</v>
      </c>
      <c r="Y74" s="271">
        <f>'Initial unit rates'!Y201</f>
        <v>0</v>
      </c>
      <c r="Z74" s="259"/>
      <c r="AA74" s="259"/>
    </row>
    <row r="75" spans="3:27" x14ac:dyDescent="0.3">
      <c r="D75"/>
      <c r="F75" t="s">
        <v>198</v>
      </c>
      <c r="G75" t="s">
        <v>268</v>
      </c>
      <c r="H75" s="259"/>
      <c r="I75" s="259"/>
      <c r="J75" s="271">
        <f>'Initial unit rates'!J202</f>
        <v>6.7322604532804031E-2</v>
      </c>
      <c r="K75" s="271">
        <f>'Initial unit rates'!K202</f>
        <v>6.7322604532804031E-2</v>
      </c>
      <c r="L75" s="271">
        <f>'Initial unit rates'!L202</f>
        <v>7.7642286179232411E-2</v>
      </c>
      <c r="M75" s="271">
        <f>'Initial unit rates'!M202</f>
        <v>7.7642286179232411E-2</v>
      </c>
      <c r="N75" s="271">
        <f>'Initial unit rates'!N202</f>
        <v>6.842471267544234E-2</v>
      </c>
      <c r="O75" s="271">
        <f>'Initial unit rates'!O202</f>
        <v>0</v>
      </c>
      <c r="P75" s="271">
        <f>'Initial unit rates'!P202</f>
        <v>0</v>
      </c>
      <c r="Q75" s="271">
        <f>'Initial unit rates'!Q202</f>
        <v>4.077063195493117E-2</v>
      </c>
      <c r="R75" s="271">
        <f>'Initial unit rates'!R202</f>
        <v>0</v>
      </c>
      <c r="S75" s="271">
        <f>'Initial unit rates'!S202</f>
        <v>0</v>
      </c>
      <c r="T75" s="271">
        <f>'Initial unit rates'!T202</f>
        <v>0</v>
      </c>
      <c r="U75" s="271">
        <f>'Initial unit rates'!U202</f>
        <v>0</v>
      </c>
      <c r="V75" s="271">
        <f>'Initial unit rates'!V202</f>
        <v>0</v>
      </c>
      <c r="W75" s="271">
        <f>'Initial unit rates'!W202</f>
        <v>0</v>
      </c>
      <c r="X75" s="271">
        <f>'Initial unit rates'!X202</f>
        <v>0</v>
      </c>
      <c r="Y75" s="271">
        <f>'Initial unit rates'!Y202</f>
        <v>0</v>
      </c>
      <c r="Z75" s="259"/>
      <c r="AA75" s="259"/>
    </row>
    <row r="76" spans="3:27" x14ac:dyDescent="0.3">
      <c r="D76"/>
      <c r="F76" s="23" t="s">
        <v>375</v>
      </c>
      <c r="G76" s="23" t="s">
        <v>268</v>
      </c>
      <c r="H76" s="258"/>
      <c r="I76" s="258" t="s">
        <v>153</v>
      </c>
      <c r="J76" s="272"/>
      <c r="K76" s="272"/>
      <c r="L76" s="272"/>
      <c r="M76" s="272"/>
      <c r="N76" s="272"/>
      <c r="O76" s="272"/>
      <c r="P76" s="272"/>
      <c r="Q76" s="270">
        <f>'Service model charges'!$Q$44</f>
        <v>2.1563961368649194</v>
      </c>
      <c r="R76" s="272"/>
      <c r="S76" s="272"/>
      <c r="T76" s="272"/>
      <c r="U76" s="272"/>
      <c r="V76" s="272"/>
      <c r="W76" s="272"/>
      <c r="X76" s="272"/>
      <c r="Y76" s="272"/>
      <c r="Z76" s="259"/>
      <c r="AA76" s="259" t="s">
        <v>653</v>
      </c>
    </row>
    <row r="77" spans="3:27" x14ac:dyDescent="0.3">
      <c r="D77"/>
      <c r="F77" s="37" t="s">
        <v>376</v>
      </c>
      <c r="G77" s="37" t="s">
        <v>268</v>
      </c>
      <c r="H77" s="261"/>
      <c r="I77" s="261"/>
      <c r="J77" s="262"/>
      <c r="K77" s="262"/>
      <c r="L77" s="262"/>
      <c r="M77" s="262"/>
      <c r="N77" s="262"/>
      <c r="O77" s="262"/>
      <c r="P77" s="262"/>
      <c r="Q77" s="262"/>
      <c r="R77" s="262"/>
      <c r="S77" s="262"/>
      <c r="T77" s="262"/>
      <c r="U77" s="262"/>
      <c r="V77" s="262"/>
      <c r="W77" s="262"/>
      <c r="X77" s="262"/>
      <c r="Y77" s="262"/>
      <c r="Z77" s="259"/>
      <c r="AA77" s="259"/>
    </row>
    <row r="78" spans="3:27" x14ac:dyDescent="0.3">
      <c r="J78" s="89"/>
      <c r="K78" s="89"/>
      <c r="L78" s="89"/>
      <c r="M78" s="89"/>
      <c r="N78" s="89"/>
      <c r="O78" s="89"/>
      <c r="P78" s="89"/>
      <c r="Q78" s="89"/>
      <c r="R78" s="89"/>
      <c r="S78" s="89"/>
      <c r="T78" s="89"/>
      <c r="U78" s="89"/>
      <c r="V78" s="89"/>
      <c r="W78" s="89"/>
      <c r="X78" s="89"/>
      <c r="Y78" s="89"/>
    </row>
    <row r="79" spans="3:27" x14ac:dyDescent="0.3">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3">
      <c r="D80" s="32"/>
      <c r="E80" s="32"/>
      <c r="J80" s="89"/>
      <c r="K80" s="89"/>
      <c r="L80" s="89"/>
      <c r="M80" s="89"/>
      <c r="N80" s="89"/>
      <c r="O80" s="89"/>
      <c r="P80" s="89"/>
      <c r="Q80" s="89"/>
      <c r="R80" s="89"/>
      <c r="S80" s="89"/>
      <c r="T80" s="89"/>
      <c r="U80" s="89"/>
      <c r="V80" s="89"/>
      <c r="W80" s="89"/>
      <c r="X80" s="89"/>
      <c r="Y80" s="89"/>
    </row>
    <row r="81" spans="4:27" x14ac:dyDescent="0.3">
      <c r="D81"/>
      <c r="E81" s="32" t="s">
        <v>620</v>
      </c>
      <c r="J81" s="89"/>
      <c r="K81" s="89"/>
      <c r="L81" s="89"/>
      <c r="M81" s="89"/>
      <c r="N81" s="89"/>
      <c r="O81" s="89"/>
      <c r="P81" s="89"/>
      <c r="Q81" s="89"/>
      <c r="R81" s="89"/>
      <c r="S81" s="89"/>
      <c r="T81" s="89"/>
      <c r="U81" s="89"/>
      <c r="V81" s="89"/>
      <c r="W81" s="89"/>
      <c r="X81" s="89"/>
      <c r="Y81" s="89"/>
    </row>
    <row r="82" spans="4:27" x14ac:dyDescent="0.3">
      <c r="D82"/>
      <c r="F82" s="23" t="s">
        <v>188</v>
      </c>
      <c r="G82" s="23" t="s">
        <v>268</v>
      </c>
      <c r="H82" s="258"/>
      <c r="I82" s="258"/>
      <c r="J82" s="270">
        <f>'Initial unit rates'!J210</f>
        <v>0</v>
      </c>
      <c r="K82" s="270">
        <f>'Initial unit rates'!K210</f>
        <v>0</v>
      </c>
      <c r="L82" s="270">
        <f>'Initial unit rates'!L210</f>
        <v>0</v>
      </c>
      <c r="M82" s="270">
        <f>'Initial unit rates'!M210</f>
        <v>0</v>
      </c>
      <c r="N82" s="270">
        <f>'Initial unit rates'!N210</f>
        <v>0</v>
      </c>
      <c r="O82" s="270">
        <f>'Initial unit rates'!O210</f>
        <v>0</v>
      </c>
      <c r="P82" s="270">
        <f>'Initial unit rates'!P210</f>
        <v>0</v>
      </c>
      <c r="Q82" s="270">
        <f>'Initial unit rates'!Q210</f>
        <v>0</v>
      </c>
      <c r="R82" s="270">
        <f>'Initial unit rates'!R210</f>
        <v>0</v>
      </c>
      <c r="S82" s="270">
        <f>'Initial unit rates'!S210</f>
        <v>0</v>
      </c>
      <c r="T82" s="270">
        <f>'Initial unit rates'!T210</f>
        <v>0</v>
      </c>
      <c r="U82" s="270">
        <f>'Initial unit rates'!U210</f>
        <v>0</v>
      </c>
      <c r="V82" s="270">
        <f>'Initial unit rates'!V210</f>
        <v>0</v>
      </c>
      <c r="W82" s="270">
        <f>'Initial unit rates'!W210</f>
        <v>0</v>
      </c>
      <c r="X82" s="270">
        <f>'Initial unit rates'!X210</f>
        <v>0</v>
      </c>
      <c r="Y82" s="270">
        <f>'Initial unit rates'!Y210</f>
        <v>0</v>
      </c>
      <c r="Z82" s="259"/>
      <c r="AA82" s="259"/>
    </row>
    <row r="83" spans="4:27" x14ac:dyDescent="0.3">
      <c r="D83"/>
      <c r="F83" t="s">
        <v>190</v>
      </c>
      <c r="G83" t="s">
        <v>268</v>
      </c>
      <c r="H83" s="259"/>
      <c r="I83" s="259"/>
      <c r="J83" s="271">
        <f>'Initial unit rates'!J211</f>
        <v>0</v>
      </c>
      <c r="K83" s="271">
        <f>'Initial unit rates'!K211</f>
        <v>0</v>
      </c>
      <c r="L83" s="271">
        <f>'Initial unit rates'!L211</f>
        <v>0</v>
      </c>
      <c r="M83" s="271">
        <f>'Initial unit rates'!M211</f>
        <v>0</v>
      </c>
      <c r="N83" s="271">
        <f>'Initial unit rates'!N211</f>
        <v>0</v>
      </c>
      <c r="O83" s="271">
        <f>'Initial unit rates'!O211</f>
        <v>0</v>
      </c>
      <c r="P83" s="271">
        <f>'Initial unit rates'!P211</f>
        <v>0</v>
      </c>
      <c r="Q83" s="271">
        <f>'Initial unit rates'!Q211</f>
        <v>0</v>
      </c>
      <c r="R83" s="271">
        <f>'Initial unit rates'!R211</f>
        <v>0</v>
      </c>
      <c r="S83" s="271">
        <f>'Initial unit rates'!S211</f>
        <v>0</v>
      </c>
      <c r="T83" s="271">
        <f>'Initial unit rates'!T211</f>
        <v>0</v>
      </c>
      <c r="U83" s="271">
        <f>'Initial unit rates'!U211</f>
        <v>0</v>
      </c>
      <c r="V83" s="271">
        <f>'Initial unit rates'!V211</f>
        <v>0</v>
      </c>
      <c r="W83" s="271">
        <f>'Initial unit rates'!W211</f>
        <v>0</v>
      </c>
      <c r="X83" s="271">
        <f>'Initial unit rates'!X211</f>
        <v>0</v>
      </c>
      <c r="Y83" s="271">
        <f>'Initial unit rates'!Y211</f>
        <v>0</v>
      </c>
      <c r="Z83" s="259"/>
      <c r="AA83" s="259"/>
    </row>
    <row r="84" spans="4:27" x14ac:dyDescent="0.3">
      <c r="D84"/>
      <c r="F84" t="s">
        <v>191</v>
      </c>
      <c r="G84" t="s">
        <v>268</v>
      </c>
      <c r="H84" s="259"/>
      <c r="I84" s="259"/>
      <c r="J84" s="271">
        <f>'Initial unit rates'!J212</f>
        <v>2.8624600674469421E-2</v>
      </c>
      <c r="K84" s="271">
        <f>'Initial unit rates'!K212</f>
        <v>2.8624600674469421E-2</v>
      </c>
      <c r="L84" s="271">
        <f>'Initial unit rates'!L212</f>
        <v>3.3012380503645918E-2</v>
      </c>
      <c r="M84" s="271">
        <f>'Initial unit rates'!M212</f>
        <v>3.3012380503645918E-2</v>
      </c>
      <c r="N84" s="271">
        <f>'Initial unit rates'!N212</f>
        <v>2.9093201164632137E-2</v>
      </c>
      <c r="O84" s="271">
        <f>'Initial unit rates'!O212</f>
        <v>2.7549504429013525E-2</v>
      </c>
      <c r="P84" s="271">
        <f>'Initial unit rates'!P212</f>
        <v>2.3632586324159755E-2</v>
      </c>
      <c r="Q84" s="271">
        <f>'Initial unit rates'!Q212</f>
        <v>1.8071350084168398E-2</v>
      </c>
      <c r="R84" s="271">
        <f>'Initial unit rates'!R212</f>
        <v>-2.2344791505390173E-2</v>
      </c>
      <c r="S84" s="271">
        <f>'Initial unit rates'!S212</f>
        <v>-2.1625965600705808E-2</v>
      </c>
      <c r="T84" s="271">
        <f>'Initial unit rates'!T212</f>
        <v>-2.2344791505390173E-2</v>
      </c>
      <c r="U84" s="271">
        <f>'Initial unit rates'!U212</f>
        <v>-2.2344791505390173E-2</v>
      </c>
      <c r="V84" s="271">
        <f>'Initial unit rates'!V212</f>
        <v>-2.1625965600705808E-2</v>
      </c>
      <c r="W84" s="271">
        <f>'Initial unit rates'!W212</f>
        <v>-2.1625965600705808E-2</v>
      </c>
      <c r="X84" s="271">
        <f>'Initial unit rates'!X212</f>
        <v>-2.129976865043615E-2</v>
      </c>
      <c r="Y84" s="271">
        <f>'Initial unit rates'!Y212</f>
        <v>-2.129976865043615E-2</v>
      </c>
      <c r="Z84" s="259"/>
      <c r="AA84" s="259"/>
    </row>
    <row r="85" spans="4:27" x14ac:dyDescent="0.3">
      <c r="D85"/>
      <c r="F85" t="s">
        <v>192</v>
      </c>
      <c r="G85" t="s">
        <v>268</v>
      </c>
      <c r="H85" s="259"/>
      <c r="I85" s="259"/>
      <c r="J85" s="271">
        <f>'Initial unit rates'!J213</f>
        <v>1.1322614853881459E-2</v>
      </c>
      <c r="K85" s="271">
        <f>'Initial unit rates'!K213</f>
        <v>1.1322614853881459E-2</v>
      </c>
      <c r="L85" s="271">
        <f>'Initial unit rates'!L213</f>
        <v>1.3058224780265734E-2</v>
      </c>
      <c r="M85" s="271">
        <f>'Initial unit rates'!M213</f>
        <v>1.3058224780265734E-2</v>
      </c>
      <c r="N85" s="271">
        <f>'Initial unit rates'!N213</f>
        <v>1.150797229976488E-2</v>
      </c>
      <c r="O85" s="271">
        <f>'Initial unit rates'!O213</f>
        <v>1.089735474784238E-2</v>
      </c>
      <c r="P85" s="271">
        <f>'Initial unit rates'!P213</f>
        <v>9.3479967106834382E-3</v>
      </c>
      <c r="Q85" s="271">
        <f>'Initial unit rates'!Q213</f>
        <v>7.1482197854796699E-3</v>
      </c>
      <c r="R85" s="271">
        <f>'Initial unit rates'!R213</f>
        <v>-8.8386025392301684E-3</v>
      </c>
      <c r="S85" s="271">
        <f>'Initial unit rates'!S213</f>
        <v>-8.5542670839239485E-3</v>
      </c>
      <c r="T85" s="271">
        <f>'Initial unit rates'!T213</f>
        <v>-8.8386025392301684E-3</v>
      </c>
      <c r="U85" s="271">
        <f>'Initial unit rates'!U213</f>
        <v>-8.8386025392301684E-3</v>
      </c>
      <c r="V85" s="271">
        <f>'Initial unit rates'!V213</f>
        <v>-8.5542670839239485E-3</v>
      </c>
      <c r="W85" s="271">
        <f>'Initial unit rates'!W213</f>
        <v>-8.5542670839239485E-3</v>
      </c>
      <c r="X85" s="271">
        <f>'Initial unit rates'!X213</f>
        <v>-8.4252381246585628E-3</v>
      </c>
      <c r="Y85" s="271">
        <f>'Initial unit rates'!Y213</f>
        <v>-8.4252381246585628E-3</v>
      </c>
      <c r="Z85" s="259"/>
      <c r="AA85" s="259"/>
    </row>
    <row r="86" spans="4:27" x14ac:dyDescent="0.3">
      <c r="D86"/>
      <c r="F86" t="s">
        <v>193</v>
      </c>
      <c r="G86" t="s">
        <v>268</v>
      </c>
      <c r="H86" s="259"/>
      <c r="I86" s="259"/>
      <c r="J86" s="271">
        <f>'Initial unit rates'!J214</f>
        <v>3.0787843085484688E-2</v>
      </c>
      <c r="K86" s="271">
        <f>'Initial unit rates'!K214</f>
        <v>3.0787843085484688E-2</v>
      </c>
      <c r="L86" s="271">
        <f>'Initial unit rates'!L214</f>
        <v>3.5507219904418935E-2</v>
      </c>
      <c r="M86" s="271">
        <f>'Initial unit rates'!M214</f>
        <v>3.5507219904418935E-2</v>
      </c>
      <c r="N86" s="271">
        <f>'Initial unit rates'!N214</f>
        <v>3.1291857046237638E-2</v>
      </c>
      <c r="O86" s="271">
        <f>'Initial unit rates'!O214</f>
        <v>2.9631498761827024E-2</v>
      </c>
      <c r="P86" s="271">
        <f>'Initial unit rates'!P214</f>
        <v>2.54185680256966E-2</v>
      </c>
      <c r="Q86" s="271">
        <f>'Initial unit rates'!Q214</f>
        <v>1.943705336055487E-2</v>
      </c>
      <c r="R86" s="271">
        <f>'Initial unit rates'!R214</f>
        <v>-2.4033450893147713E-2</v>
      </c>
      <c r="S86" s="271">
        <f>'Initial unit rates'!S214</f>
        <v>-2.3260301272271331E-2</v>
      </c>
      <c r="T86" s="271">
        <f>'Initial unit rates'!T214</f>
        <v>-2.4033450893147713E-2</v>
      </c>
      <c r="U86" s="271">
        <f>'Initial unit rates'!U214</f>
        <v>-2.4033450893147713E-2</v>
      </c>
      <c r="V86" s="271">
        <f>'Initial unit rates'!V214</f>
        <v>-2.3260301272271331E-2</v>
      </c>
      <c r="W86" s="271">
        <f>'Initial unit rates'!W214</f>
        <v>-2.3260301272271331E-2</v>
      </c>
      <c r="X86" s="271">
        <f>'Initial unit rates'!X214</f>
        <v>-2.2909452691566998E-2</v>
      </c>
      <c r="Y86" s="271">
        <f>'Initial unit rates'!Y214</f>
        <v>-2.2909452691566998E-2</v>
      </c>
      <c r="Z86" s="259"/>
      <c r="AA86" s="259"/>
    </row>
    <row r="87" spans="4:27" x14ac:dyDescent="0.3">
      <c r="D87"/>
      <c r="F87" t="s">
        <v>194</v>
      </c>
      <c r="G87" t="s">
        <v>268</v>
      </c>
      <c r="H87" s="259"/>
      <c r="I87" s="259"/>
      <c r="J87" s="271">
        <f>'Initial unit rates'!J215</f>
        <v>1.9421076002682326E-2</v>
      </c>
      <c r="K87" s="271">
        <f>'Initial unit rates'!K215</f>
        <v>1.9421076002682326E-2</v>
      </c>
      <c r="L87" s="271">
        <f>'Initial unit rates'!L215</f>
        <v>2.2398074931491055E-2</v>
      </c>
      <c r="M87" s="271">
        <f>'Initial unit rates'!M215</f>
        <v>2.2398074931491055E-2</v>
      </c>
      <c r="N87" s="271">
        <f>'Initial unit rates'!N215</f>
        <v>1.9739009721228881E-2</v>
      </c>
      <c r="O87" s="271">
        <f>'Initial unit rates'!O215</f>
        <v>1.8691650075290431E-2</v>
      </c>
      <c r="P87" s="271">
        <f>'Initial unit rates'!P215</f>
        <v>6.8946711940282785E-3</v>
      </c>
      <c r="Q87" s="271">
        <f>'Initial unit rates'!Q215</f>
        <v>1.2260959286280749E-2</v>
      </c>
      <c r="R87" s="271">
        <f>'Initial unit rates'!R215</f>
        <v>-1.5160382463512454E-2</v>
      </c>
      <c r="S87" s="271">
        <f>'Initial unit rates'!S215</f>
        <v>-1.4672677056323195E-2</v>
      </c>
      <c r="T87" s="271">
        <f>'Initial unit rates'!T215</f>
        <v>-1.5160382463512454E-2</v>
      </c>
      <c r="U87" s="271">
        <f>'Initial unit rates'!U215</f>
        <v>-1.5160382463512454E-2</v>
      </c>
      <c r="V87" s="271">
        <f>'Initial unit rates'!V215</f>
        <v>-1.4672677056323195E-2</v>
      </c>
      <c r="W87" s="271">
        <f>'Initial unit rates'!W215</f>
        <v>-1.4672677056323195E-2</v>
      </c>
      <c r="X87" s="271">
        <f>'Initial unit rates'!X215</f>
        <v>-6.2140850493159067E-3</v>
      </c>
      <c r="Y87" s="271">
        <f>'Initial unit rates'!Y215</f>
        <v>-6.2140850493159067E-3</v>
      </c>
      <c r="Z87" s="259"/>
      <c r="AA87" s="259"/>
    </row>
    <row r="88" spans="4:27" x14ac:dyDescent="0.3">
      <c r="D88"/>
      <c r="F88" t="s">
        <v>195</v>
      </c>
      <c r="G88" t="s">
        <v>268</v>
      </c>
      <c r="H88" s="259"/>
      <c r="I88" s="259"/>
      <c r="J88" s="271">
        <f>'Initial unit rates'!J216</f>
        <v>0</v>
      </c>
      <c r="K88" s="271">
        <f>'Initial unit rates'!K216</f>
        <v>0</v>
      </c>
      <c r="L88" s="271">
        <f>'Initial unit rates'!L216</f>
        <v>0</v>
      </c>
      <c r="M88" s="271">
        <f>'Initial unit rates'!M216</f>
        <v>0</v>
      </c>
      <c r="N88" s="271">
        <f>'Initial unit rates'!N216</f>
        <v>0</v>
      </c>
      <c r="O88" s="271">
        <f>'Initial unit rates'!O216</f>
        <v>0</v>
      </c>
      <c r="P88" s="271">
        <f>'Initial unit rates'!P216</f>
        <v>0</v>
      </c>
      <c r="Q88" s="271">
        <f>'Initial unit rates'!Q216</f>
        <v>0</v>
      </c>
      <c r="R88" s="271">
        <f>'Initial unit rates'!R216</f>
        <v>0</v>
      </c>
      <c r="S88" s="271">
        <f>'Initial unit rates'!S216</f>
        <v>0</v>
      </c>
      <c r="T88" s="271">
        <f>'Initial unit rates'!T216</f>
        <v>0</v>
      </c>
      <c r="U88" s="271">
        <f>'Initial unit rates'!U216</f>
        <v>0</v>
      </c>
      <c r="V88" s="271">
        <f>'Initial unit rates'!V216</f>
        <v>0</v>
      </c>
      <c r="W88" s="271">
        <f>'Initial unit rates'!W216</f>
        <v>0</v>
      </c>
      <c r="X88" s="271">
        <f>'Initial unit rates'!X216</f>
        <v>0</v>
      </c>
      <c r="Y88" s="271">
        <f>'Initial unit rates'!Y216</f>
        <v>0</v>
      </c>
      <c r="Z88" s="259"/>
      <c r="AA88" s="259"/>
    </row>
    <row r="89" spans="4:27" x14ac:dyDescent="0.3">
      <c r="D89"/>
      <c r="F89" t="s">
        <v>196</v>
      </c>
      <c r="G89" t="s">
        <v>268</v>
      </c>
      <c r="H89" s="259"/>
      <c r="I89" s="259"/>
      <c r="J89" s="271">
        <f>'Initial unit rates'!J217</f>
        <v>2.4681011677378829E-2</v>
      </c>
      <c r="K89" s="271">
        <f>'Initial unit rates'!K217</f>
        <v>2.4681011677378829E-2</v>
      </c>
      <c r="L89" s="271">
        <f>'Initial unit rates'!L217</f>
        <v>2.8464290488260602E-2</v>
      </c>
      <c r="M89" s="271">
        <f>'Initial unit rates'!M217</f>
        <v>2.8464290488260602E-2</v>
      </c>
      <c r="N89" s="271">
        <f>'Initial unit rates'!N217</f>
        <v>2.508505344205738E-2</v>
      </c>
      <c r="O89" s="271">
        <f>'Initial unit rates'!O217</f>
        <v>2.3754030606440449E-2</v>
      </c>
      <c r="P89" s="271">
        <f>'Initial unit rates'!P217</f>
        <v>2.619866991333048E-3</v>
      </c>
      <c r="Q89" s="271">
        <f>'Initial unit rates'!Q217</f>
        <v>1.5581674222312219E-2</v>
      </c>
      <c r="R89" s="271">
        <f>'Initial unit rates'!R217</f>
        <v>-1.9266366938876168E-2</v>
      </c>
      <c r="S89" s="271">
        <f>'Initial unit rates'!S217</f>
        <v>-1.8646573120639921E-2</v>
      </c>
      <c r="T89" s="271">
        <f>'Initial unit rates'!T217</f>
        <v>-1.9266366938876168E-2</v>
      </c>
      <c r="U89" s="271">
        <f>'Initial unit rates'!U217</f>
        <v>-1.9266366938876168E-2</v>
      </c>
      <c r="V89" s="271">
        <f>'Initial unit rates'!V217</f>
        <v>-1.8646573120639921E-2</v>
      </c>
      <c r="W89" s="271">
        <f>'Initial unit rates'!W217</f>
        <v>-1.8646573120639921E-2</v>
      </c>
      <c r="X89" s="271">
        <f>'Initial unit rates'!X217</f>
        <v>0</v>
      </c>
      <c r="Y89" s="271">
        <f>'Initial unit rates'!Y217</f>
        <v>0</v>
      </c>
      <c r="Z89" s="259"/>
      <c r="AA89" s="259"/>
    </row>
    <row r="90" spans="4:27" x14ac:dyDescent="0.3">
      <c r="D90"/>
      <c r="F90" t="s">
        <v>197</v>
      </c>
      <c r="G90" t="s">
        <v>268</v>
      </c>
      <c r="H90" s="259"/>
      <c r="I90" s="259"/>
      <c r="J90" s="271">
        <f>'Initial unit rates'!J218</f>
        <v>2.2408394049783054E-2</v>
      </c>
      <c r="K90" s="271">
        <f>'Initial unit rates'!K218</f>
        <v>2.2408394049783054E-2</v>
      </c>
      <c r="L90" s="271">
        <f>'Initial unit rates'!L218</f>
        <v>2.5843310069539858E-2</v>
      </c>
      <c r="M90" s="271">
        <f>'Initial unit rates'!M218</f>
        <v>2.5843310069539858E-2</v>
      </c>
      <c r="N90" s="271">
        <f>'Initial unit rates'!N218</f>
        <v>2.2775231811291225E-2</v>
      </c>
      <c r="O90" s="271">
        <f>'Initial unit rates'!O218</f>
        <v>9.2429010098524559E-4</v>
      </c>
      <c r="P90" s="271">
        <f>'Initial unit rates'!P218</f>
        <v>0</v>
      </c>
      <c r="Q90" s="271">
        <f>'Initial unit rates'!Q218</f>
        <v>1.4146919927473595E-2</v>
      </c>
      <c r="R90" s="271">
        <f>'Initial unit rates'!R218</f>
        <v>-1.7492327620822229E-2</v>
      </c>
      <c r="S90" s="271">
        <f>'Initial unit rates'!S218</f>
        <v>0</v>
      </c>
      <c r="T90" s="271">
        <f>'Initial unit rates'!T218</f>
        <v>-1.7492327620822229E-2</v>
      </c>
      <c r="U90" s="271">
        <f>'Initial unit rates'!U218</f>
        <v>-1.7492327620822229E-2</v>
      </c>
      <c r="V90" s="271">
        <f>'Initial unit rates'!V218</f>
        <v>0</v>
      </c>
      <c r="W90" s="271">
        <f>'Initial unit rates'!W218</f>
        <v>0</v>
      </c>
      <c r="X90" s="271">
        <f>'Initial unit rates'!X218</f>
        <v>0</v>
      </c>
      <c r="Y90" s="271">
        <f>'Initial unit rates'!Y218</f>
        <v>0</v>
      </c>
      <c r="Z90" s="259"/>
      <c r="AA90" s="259"/>
    </row>
    <row r="91" spans="4:27" x14ac:dyDescent="0.3">
      <c r="D91"/>
      <c r="F91" t="s">
        <v>198</v>
      </c>
      <c r="G91" t="s">
        <v>268</v>
      </c>
      <c r="H91" s="259"/>
      <c r="I91" s="259"/>
      <c r="J91" s="271">
        <f>'Initial unit rates'!J219</f>
        <v>5.323866695015082E-4</v>
      </c>
      <c r="K91" s="271">
        <f>'Initial unit rates'!K219</f>
        <v>5.323866695015082E-4</v>
      </c>
      <c r="L91" s="271">
        <f>'Initial unit rates'!L219</f>
        <v>6.1399463728862441E-4</v>
      </c>
      <c r="M91" s="271">
        <f>'Initial unit rates'!M219</f>
        <v>6.1399463728862441E-4</v>
      </c>
      <c r="N91" s="271">
        <f>'Initial unit rates'!N219</f>
        <v>5.4110213271867764E-4</v>
      </c>
      <c r="O91" s="271">
        <f>'Initial unit rates'!O219</f>
        <v>0</v>
      </c>
      <c r="P91" s="271">
        <f>'Initial unit rates'!P219</f>
        <v>0</v>
      </c>
      <c r="Q91" s="271">
        <f>'Initial unit rates'!Q219</f>
        <v>3.361076017834978E-4</v>
      </c>
      <c r="R91" s="271">
        <f>'Initial unit rates'!R219</f>
        <v>0</v>
      </c>
      <c r="S91" s="271">
        <f>'Initial unit rates'!S219</f>
        <v>0</v>
      </c>
      <c r="T91" s="271">
        <f>'Initial unit rates'!T219</f>
        <v>0</v>
      </c>
      <c r="U91" s="271">
        <f>'Initial unit rates'!U219</f>
        <v>0</v>
      </c>
      <c r="V91" s="271">
        <f>'Initial unit rates'!V219</f>
        <v>0</v>
      </c>
      <c r="W91" s="271">
        <f>'Initial unit rates'!W219</f>
        <v>0</v>
      </c>
      <c r="X91" s="271">
        <f>'Initial unit rates'!X219</f>
        <v>0</v>
      </c>
      <c r="Y91" s="271">
        <f>'Initial unit rates'!Y219</f>
        <v>0</v>
      </c>
      <c r="Z91" s="259"/>
      <c r="AA91" s="259"/>
    </row>
    <row r="92" spans="4:27" x14ac:dyDescent="0.3">
      <c r="D92"/>
      <c r="F92" s="23" t="s">
        <v>375</v>
      </c>
      <c r="G92" s="23" t="s">
        <v>268</v>
      </c>
      <c r="H92" s="258"/>
      <c r="I92" s="258"/>
      <c r="J92" s="272"/>
      <c r="K92" s="272"/>
      <c r="L92" s="272"/>
      <c r="M92" s="272"/>
      <c r="N92" s="272"/>
      <c r="O92" s="272"/>
      <c r="P92" s="272"/>
      <c r="Q92" s="272"/>
      <c r="R92" s="272"/>
      <c r="S92" s="272"/>
      <c r="T92" s="272"/>
      <c r="U92" s="272"/>
      <c r="V92" s="272"/>
      <c r="W92" s="272"/>
      <c r="X92" s="272"/>
      <c r="Y92" s="272"/>
      <c r="Z92" s="259"/>
      <c r="AA92" s="259"/>
    </row>
    <row r="93" spans="4:27" x14ac:dyDescent="0.3">
      <c r="D93"/>
      <c r="F93" s="37" t="s">
        <v>376</v>
      </c>
      <c r="G93" s="37" t="s">
        <v>268</v>
      </c>
      <c r="H93" s="261"/>
      <c r="I93" s="261"/>
      <c r="J93" s="262"/>
      <c r="K93" s="262"/>
      <c r="L93" s="262"/>
      <c r="M93" s="262"/>
      <c r="N93" s="262"/>
      <c r="O93" s="262"/>
      <c r="P93" s="262"/>
      <c r="Q93" s="262"/>
      <c r="R93" s="262"/>
      <c r="S93" s="262"/>
      <c r="T93" s="262"/>
      <c r="U93" s="262"/>
      <c r="V93" s="262"/>
      <c r="W93" s="262"/>
      <c r="X93" s="262"/>
      <c r="Y93" s="262"/>
      <c r="Z93" s="259"/>
      <c r="AA93" s="259"/>
    </row>
    <row r="94" spans="4:27" x14ac:dyDescent="0.3">
      <c r="D94"/>
      <c r="J94" s="89"/>
      <c r="K94" s="89"/>
      <c r="L94" s="89"/>
      <c r="M94" s="89"/>
      <c r="N94" s="89"/>
      <c r="O94" s="89"/>
      <c r="P94" s="89"/>
      <c r="Q94" s="89"/>
      <c r="R94" s="89"/>
      <c r="S94" s="89"/>
      <c r="T94" s="89"/>
      <c r="U94" s="89"/>
      <c r="V94" s="89"/>
      <c r="W94" s="89"/>
      <c r="X94" s="89"/>
      <c r="Y94" s="89"/>
    </row>
    <row r="95" spans="4:27" x14ac:dyDescent="0.3">
      <c r="D95"/>
      <c r="E95" s="32" t="s">
        <v>621</v>
      </c>
      <c r="J95" s="89"/>
      <c r="K95" s="89"/>
      <c r="L95" s="89"/>
      <c r="M95" s="89"/>
      <c r="N95" s="89"/>
      <c r="O95" s="89"/>
      <c r="P95" s="89"/>
      <c r="Q95" s="89"/>
      <c r="R95" s="89"/>
      <c r="S95" s="89"/>
      <c r="T95" s="89"/>
      <c r="U95" s="89"/>
      <c r="V95" s="89"/>
      <c r="W95" s="89"/>
      <c r="X95" s="89"/>
      <c r="Y95" s="89"/>
    </row>
    <row r="96" spans="4:27" x14ac:dyDescent="0.3">
      <c r="D96"/>
      <c r="F96" s="23" t="s">
        <v>188</v>
      </c>
      <c r="G96" s="23" t="s">
        <v>268</v>
      </c>
      <c r="H96" s="258"/>
      <c r="I96" s="258"/>
      <c r="J96" s="270">
        <f>'Initial unit rates'!J222</f>
        <v>0</v>
      </c>
      <c r="K96" s="270">
        <f>'Initial unit rates'!K222</f>
        <v>0</v>
      </c>
      <c r="L96" s="270">
        <f>'Initial unit rates'!L222</f>
        <v>0</v>
      </c>
      <c r="M96" s="270">
        <f>'Initial unit rates'!M222</f>
        <v>0</v>
      </c>
      <c r="N96" s="270">
        <f>'Initial unit rates'!N222</f>
        <v>0</v>
      </c>
      <c r="O96" s="270">
        <f>'Initial unit rates'!O222</f>
        <v>0</v>
      </c>
      <c r="P96" s="270">
        <f>'Initial unit rates'!P222</f>
        <v>0</v>
      </c>
      <c r="Q96" s="270">
        <f>'Initial unit rates'!Q222</f>
        <v>0</v>
      </c>
      <c r="R96" s="270">
        <f>'Initial unit rates'!R222</f>
        <v>0</v>
      </c>
      <c r="S96" s="270">
        <f>'Initial unit rates'!S222</f>
        <v>0</v>
      </c>
      <c r="T96" s="270">
        <f>'Initial unit rates'!T222</f>
        <v>0</v>
      </c>
      <c r="U96" s="270">
        <f>'Initial unit rates'!U222</f>
        <v>0</v>
      </c>
      <c r="V96" s="270">
        <f>'Initial unit rates'!V222</f>
        <v>0</v>
      </c>
      <c r="W96" s="270">
        <f>'Initial unit rates'!W222</f>
        <v>0</v>
      </c>
      <c r="X96" s="270">
        <f>'Initial unit rates'!X222</f>
        <v>0</v>
      </c>
      <c r="Y96" s="270">
        <f>'Initial unit rates'!Y222</f>
        <v>0</v>
      </c>
      <c r="Z96" s="259"/>
      <c r="AA96" s="259"/>
    </row>
    <row r="97" spans="3:42" x14ac:dyDescent="0.3">
      <c r="D97"/>
      <c r="F97" t="s">
        <v>190</v>
      </c>
      <c r="G97" t="s">
        <v>268</v>
      </c>
      <c r="H97" s="259"/>
      <c r="I97" s="259"/>
      <c r="J97" s="271">
        <f>'Initial unit rates'!J223</f>
        <v>0</v>
      </c>
      <c r="K97" s="271">
        <f>'Initial unit rates'!K223</f>
        <v>0</v>
      </c>
      <c r="L97" s="271">
        <f>'Initial unit rates'!L223</f>
        <v>0</v>
      </c>
      <c r="M97" s="271">
        <f>'Initial unit rates'!M223</f>
        <v>0</v>
      </c>
      <c r="N97" s="271">
        <f>'Initial unit rates'!N223</f>
        <v>0</v>
      </c>
      <c r="O97" s="271">
        <f>'Initial unit rates'!O223</f>
        <v>0</v>
      </c>
      <c r="P97" s="271">
        <f>'Initial unit rates'!P223</f>
        <v>0</v>
      </c>
      <c r="Q97" s="271">
        <f>'Initial unit rates'!Q223</f>
        <v>0</v>
      </c>
      <c r="R97" s="271">
        <f>'Initial unit rates'!R223</f>
        <v>0</v>
      </c>
      <c r="S97" s="271">
        <f>'Initial unit rates'!S223</f>
        <v>0</v>
      </c>
      <c r="T97" s="271">
        <f>'Initial unit rates'!T223</f>
        <v>0</v>
      </c>
      <c r="U97" s="271">
        <f>'Initial unit rates'!U223</f>
        <v>0</v>
      </c>
      <c r="V97" s="271">
        <f>'Initial unit rates'!V223</f>
        <v>0</v>
      </c>
      <c r="W97" s="271">
        <f>'Initial unit rates'!W223</f>
        <v>0</v>
      </c>
      <c r="X97" s="271">
        <f>'Initial unit rates'!X223</f>
        <v>0</v>
      </c>
      <c r="Y97" s="271">
        <f>'Initial unit rates'!Y223</f>
        <v>0</v>
      </c>
      <c r="Z97" s="259"/>
      <c r="AA97" s="259"/>
    </row>
    <row r="98" spans="3:42" x14ac:dyDescent="0.3">
      <c r="D98"/>
      <c r="F98" t="s">
        <v>191</v>
      </c>
      <c r="G98" t="s">
        <v>268</v>
      </c>
      <c r="H98" s="259"/>
      <c r="I98" s="259"/>
      <c r="J98" s="271">
        <f>'Initial unit rates'!J224</f>
        <v>1.3914116131548564E-2</v>
      </c>
      <c r="K98" s="271">
        <f>'Initial unit rates'!K224</f>
        <v>1.3914116131548564E-2</v>
      </c>
      <c r="L98" s="271">
        <f>'Initial unit rates'!L224</f>
        <v>1.6046969574541083E-2</v>
      </c>
      <c r="M98" s="271">
        <f>'Initial unit rates'!M224</f>
        <v>1.6046969574541083E-2</v>
      </c>
      <c r="N98" s="271">
        <f>'Initial unit rates'!N224</f>
        <v>1.4141897881714254E-2</v>
      </c>
      <c r="O98" s="271">
        <f>'Initial unit rates'!O224</f>
        <v>1.3391523198917461E-2</v>
      </c>
      <c r="P98" s="271">
        <f>'Initial unit rates'!P224</f>
        <v>1.1487550668138721E-2</v>
      </c>
      <c r="Q98" s="271">
        <f>'Initial unit rates'!Q224</f>
        <v>8.7842924547505401E-3</v>
      </c>
      <c r="R98" s="271">
        <f>'Initial unit rates'!R224</f>
        <v>-1.086156720497208E-2</v>
      </c>
      <c r="S98" s="271">
        <f>'Initial unit rates'!S224</f>
        <v>-1.0512153523017575E-2</v>
      </c>
      <c r="T98" s="271">
        <f>'Initial unit rates'!T224</f>
        <v>-1.086156720497208E-2</v>
      </c>
      <c r="U98" s="271">
        <f>'Initial unit rates'!U224</f>
        <v>-1.086156720497208E-2</v>
      </c>
      <c r="V98" s="271">
        <f>'Initial unit rates'!V224</f>
        <v>-1.0512153523017575E-2</v>
      </c>
      <c r="W98" s="271">
        <f>'Initial unit rates'!W224</f>
        <v>-1.0512153523017575E-2</v>
      </c>
      <c r="X98" s="271">
        <f>'Initial unit rates'!X224</f>
        <v>-1.0353592629909392E-2</v>
      </c>
      <c r="Y98" s="271">
        <f>'Initial unit rates'!Y224</f>
        <v>-1.0353592629909392E-2</v>
      </c>
      <c r="Z98" s="259"/>
      <c r="AA98" s="259"/>
    </row>
    <row r="99" spans="3:42" x14ac:dyDescent="0.3">
      <c r="D99"/>
      <c r="F99" t="s">
        <v>192</v>
      </c>
      <c r="G99" t="s">
        <v>268</v>
      </c>
      <c r="H99" s="259"/>
      <c r="I99" s="259"/>
      <c r="J99" s="271">
        <f>'Initial unit rates'!J225</f>
        <v>5.5038035213612162E-3</v>
      </c>
      <c r="K99" s="271">
        <f>'Initial unit rates'!K225</f>
        <v>5.5038035213612162E-3</v>
      </c>
      <c r="L99" s="271">
        <f>'Initial unit rates'!L225</f>
        <v>6.3474651797164527E-3</v>
      </c>
      <c r="M99" s="271">
        <f>'Initial unit rates'!M225</f>
        <v>6.3474651797164527E-3</v>
      </c>
      <c r="N99" s="271">
        <f>'Initial unit rates'!N225</f>
        <v>5.5939038185566104E-3</v>
      </c>
      <c r="O99" s="271">
        <f>'Initial unit rates'!O225</f>
        <v>5.2970890742730535E-3</v>
      </c>
      <c r="P99" s="271">
        <f>'Initial unit rates'!P225</f>
        <v>4.5439624925770012E-3</v>
      </c>
      <c r="Q99" s="271">
        <f>'Initial unit rates'!Q225</f>
        <v>3.4746741573833647E-3</v>
      </c>
      <c r="R99" s="271">
        <f>'Initial unit rates'!R225</f>
        <v>-4.2963513646894986E-3</v>
      </c>
      <c r="S99" s="271">
        <f>'Initial unit rates'!S225</f>
        <v>-4.1581389022541312E-3</v>
      </c>
      <c r="T99" s="271">
        <f>'Initial unit rates'!T225</f>
        <v>-4.2963513646894986E-3</v>
      </c>
      <c r="U99" s="271">
        <f>'Initial unit rates'!U225</f>
        <v>-4.2963513646894986E-3</v>
      </c>
      <c r="V99" s="271">
        <f>'Initial unit rates'!V225</f>
        <v>-4.1581389022541312E-3</v>
      </c>
      <c r="W99" s="271">
        <f>'Initial unit rates'!W225</f>
        <v>-4.1581389022541312E-3</v>
      </c>
      <c r="X99" s="271">
        <f>'Initial unit rates'!X225</f>
        <v>-4.0954192876132643E-3</v>
      </c>
      <c r="Y99" s="271">
        <f>'Initial unit rates'!Y225</f>
        <v>-4.0954192876132643E-3</v>
      </c>
      <c r="Z99" s="259"/>
      <c r="AA99" s="259"/>
    </row>
    <row r="100" spans="3:42" x14ac:dyDescent="0.3">
      <c r="D100"/>
      <c r="F100" t="s">
        <v>193</v>
      </c>
      <c r="G100" t="s">
        <v>268</v>
      </c>
      <c r="H100" s="259"/>
      <c r="I100" s="259"/>
      <c r="J100" s="271">
        <f>'Initial unit rates'!J226</f>
        <v>1.4965645425174789E-2</v>
      </c>
      <c r="K100" s="271">
        <f>'Initial unit rates'!K226</f>
        <v>1.4965645425174789E-2</v>
      </c>
      <c r="L100" s="271">
        <f>'Initial unit rates'!L226</f>
        <v>1.7259684663449907E-2</v>
      </c>
      <c r="M100" s="271">
        <f>'Initial unit rates'!M226</f>
        <v>1.7259684663449907E-2</v>
      </c>
      <c r="N100" s="271">
        <f>'Initial unit rates'!N226</f>
        <v>1.5210641289452232E-2</v>
      </c>
      <c r="O100" s="271">
        <f>'Initial unit rates'!O226</f>
        <v>1.4403558659654243E-2</v>
      </c>
      <c r="P100" s="271">
        <f>'Initial unit rates'!P226</f>
        <v>1.235569751450394E-2</v>
      </c>
      <c r="Q100" s="271">
        <f>'Initial unit rates'!Q226</f>
        <v>9.4481463965044379E-3</v>
      </c>
      <c r="R100" s="271">
        <f>'Initial unit rates'!R226</f>
        <v>-1.1682406702266609E-2</v>
      </c>
      <c r="S100" s="271">
        <f>'Initial unit rates'!S226</f>
        <v>-1.1306586835492656E-2</v>
      </c>
      <c r="T100" s="271">
        <f>'Initial unit rates'!T226</f>
        <v>-1.1682406702266609E-2</v>
      </c>
      <c r="U100" s="271">
        <f>'Initial unit rates'!U226</f>
        <v>-1.1682406702266609E-2</v>
      </c>
      <c r="V100" s="271">
        <f>'Initial unit rates'!V226</f>
        <v>-1.1306586835492656E-2</v>
      </c>
      <c r="W100" s="271">
        <f>'Initial unit rates'!W226</f>
        <v>-1.1306586835492656E-2</v>
      </c>
      <c r="X100" s="271">
        <f>'Initial unit rates'!X226</f>
        <v>-1.1136043045134623E-2</v>
      </c>
      <c r="Y100" s="271">
        <f>'Initial unit rates'!Y226</f>
        <v>-1.1136043045134623E-2</v>
      </c>
      <c r="Z100" s="259"/>
      <c r="AA100" s="259"/>
    </row>
    <row r="101" spans="3:42" x14ac:dyDescent="0.3">
      <c r="D101"/>
      <c r="F101" t="s">
        <v>194</v>
      </c>
      <c r="G101" t="s">
        <v>268</v>
      </c>
      <c r="H101" s="259"/>
      <c r="I101" s="259"/>
      <c r="J101" s="271">
        <f>'Initial unit rates'!J227</f>
        <v>9.4403799715526253E-3</v>
      </c>
      <c r="K101" s="271">
        <f>'Initial unit rates'!K227</f>
        <v>9.4403799715526253E-3</v>
      </c>
      <c r="L101" s="271">
        <f>'Initial unit rates'!L227</f>
        <v>1.0887467715762985E-2</v>
      </c>
      <c r="M101" s="271">
        <f>'Initial unit rates'!M227</f>
        <v>1.0887467715762985E-2</v>
      </c>
      <c r="N101" s="271">
        <f>'Initial unit rates'!N227</f>
        <v>9.5949241949743139E-3</v>
      </c>
      <c r="O101" s="271">
        <f>'Initial unit rates'!O227</f>
        <v>9.0858137304890198E-3</v>
      </c>
      <c r="P101" s="271">
        <f>'Initial unit rates'!P227</f>
        <v>7.7940159636732285E-3</v>
      </c>
      <c r="Q101" s="271">
        <f>'Initial unit rates'!Q227</f>
        <v>5.9599228416716199E-3</v>
      </c>
      <c r="R101" s="271">
        <f>'Initial unit rates'!R227</f>
        <v>-7.3693018321875558E-3</v>
      </c>
      <c r="S101" s="271">
        <f>'Initial unit rates'!S227</f>
        <v>-7.1322333835901908E-3</v>
      </c>
      <c r="T101" s="271">
        <f>'Initial unit rates'!T227</f>
        <v>-7.3693018321875558E-3</v>
      </c>
      <c r="U101" s="271">
        <f>'Initial unit rates'!U227</f>
        <v>-7.3693018321875558E-3</v>
      </c>
      <c r="V101" s="271">
        <f>'Initial unit rates'!V227</f>
        <v>-7.1322333835901908E-3</v>
      </c>
      <c r="W101" s="271">
        <f>'Initial unit rates'!W227</f>
        <v>-7.1322333835901908E-3</v>
      </c>
      <c r="X101" s="271">
        <f>'Initial unit rates'!X227</f>
        <v>-7.0246537813058582E-3</v>
      </c>
      <c r="Y101" s="271">
        <f>'Initial unit rates'!Y227</f>
        <v>-7.0246537813058582E-3</v>
      </c>
      <c r="Z101" s="259"/>
      <c r="AA101" s="259"/>
    </row>
    <row r="102" spans="3:42" x14ac:dyDescent="0.3">
      <c r="D102"/>
      <c r="F102" t="s">
        <v>195</v>
      </c>
      <c r="G102" t="s">
        <v>268</v>
      </c>
      <c r="H102" s="259"/>
      <c r="I102" s="259"/>
      <c r="J102" s="271">
        <f>'Initial unit rates'!J228</f>
        <v>0</v>
      </c>
      <c r="K102" s="271">
        <f>'Initial unit rates'!K228</f>
        <v>0</v>
      </c>
      <c r="L102" s="271">
        <f>'Initial unit rates'!L228</f>
        <v>0</v>
      </c>
      <c r="M102" s="271">
        <f>'Initial unit rates'!M228</f>
        <v>0</v>
      </c>
      <c r="N102" s="271">
        <f>'Initial unit rates'!N228</f>
        <v>0</v>
      </c>
      <c r="O102" s="271">
        <f>'Initial unit rates'!O228</f>
        <v>0</v>
      </c>
      <c r="P102" s="271">
        <f>'Initial unit rates'!P228</f>
        <v>0</v>
      </c>
      <c r="Q102" s="271">
        <f>'Initial unit rates'!Q228</f>
        <v>0</v>
      </c>
      <c r="R102" s="271">
        <f>'Initial unit rates'!R228</f>
        <v>0</v>
      </c>
      <c r="S102" s="271">
        <f>'Initial unit rates'!S228</f>
        <v>0</v>
      </c>
      <c r="T102" s="271">
        <f>'Initial unit rates'!T228</f>
        <v>0</v>
      </c>
      <c r="U102" s="271">
        <f>'Initial unit rates'!U228</f>
        <v>0</v>
      </c>
      <c r="V102" s="271">
        <f>'Initial unit rates'!V228</f>
        <v>0</v>
      </c>
      <c r="W102" s="271">
        <f>'Initial unit rates'!W228</f>
        <v>0</v>
      </c>
      <c r="X102" s="271">
        <f>'Initial unit rates'!X228</f>
        <v>0</v>
      </c>
      <c r="Y102" s="271">
        <f>'Initial unit rates'!Y228</f>
        <v>0</v>
      </c>
      <c r="Z102" s="259"/>
      <c r="AA102" s="259"/>
    </row>
    <row r="103" spans="3:42" x14ac:dyDescent="0.3">
      <c r="D103"/>
      <c r="F103" t="s">
        <v>196</v>
      </c>
      <c r="G103" t="s">
        <v>268</v>
      </c>
      <c r="H103" s="259"/>
      <c r="I103" s="259"/>
      <c r="J103" s="271">
        <f>'Initial unit rates'!J229</f>
        <v>1.713882737382855E-2</v>
      </c>
      <c r="K103" s="271">
        <f>'Initial unit rates'!K229</f>
        <v>1.713882737382855E-2</v>
      </c>
      <c r="L103" s="271">
        <f>'Initial unit rates'!L229</f>
        <v>1.9765987203998536E-2</v>
      </c>
      <c r="M103" s="271">
        <f>'Initial unit rates'!M229</f>
        <v>1.9765987203998536E-2</v>
      </c>
      <c r="N103" s="271">
        <f>'Initial unit rates'!N229</f>
        <v>1.741939942440578E-2</v>
      </c>
      <c r="O103" s="271">
        <f>'Initial unit rates'!O229</f>
        <v>1.6495119216266226E-2</v>
      </c>
      <c r="P103" s="271">
        <f>'Initial unit rates'!P229</f>
        <v>1.4149885338597235E-2</v>
      </c>
      <c r="Q103" s="271">
        <f>'Initial unit rates'!Q229</f>
        <v>1.082012472512248E-2</v>
      </c>
      <c r="R103" s="271">
        <f>'Initial unit rates'!R229</f>
        <v>-1.3378825041798466E-2</v>
      </c>
      <c r="S103" s="271">
        <f>'Initial unit rates'!S229</f>
        <v>-1.2948431855450552E-2</v>
      </c>
      <c r="T103" s="271">
        <f>'Initial unit rates'!T229</f>
        <v>-1.3378825041798466E-2</v>
      </c>
      <c r="U103" s="271">
        <f>'Initial unit rates'!U229</f>
        <v>-1.3378825041798466E-2</v>
      </c>
      <c r="V103" s="271">
        <f>'Initial unit rates'!V229</f>
        <v>-1.2948431855450552E-2</v>
      </c>
      <c r="W103" s="271">
        <f>'Initial unit rates'!W229</f>
        <v>-1.2948431855450552E-2</v>
      </c>
      <c r="X103" s="271">
        <f>'Initial unit rates'!X229</f>
        <v>0</v>
      </c>
      <c r="Y103" s="271">
        <f>'Initial unit rates'!Y229</f>
        <v>0</v>
      </c>
      <c r="Z103" s="259"/>
      <c r="AA103" s="259"/>
    </row>
    <row r="104" spans="3:42" x14ac:dyDescent="0.3">
      <c r="D104"/>
      <c r="F104" t="s">
        <v>197</v>
      </c>
      <c r="G104" t="s">
        <v>268</v>
      </c>
      <c r="H104" s="259"/>
      <c r="I104" s="259"/>
      <c r="J104" s="271">
        <f>'Initial unit rates'!J230</f>
        <v>1.5560691043145513E-2</v>
      </c>
      <c r="K104" s="271">
        <f>'Initial unit rates'!K230</f>
        <v>1.5560691043145513E-2</v>
      </c>
      <c r="L104" s="271">
        <f>'Initial unit rates'!L230</f>
        <v>1.7945943052898719E-2</v>
      </c>
      <c r="M104" s="271">
        <f>'Initial unit rates'!M230</f>
        <v>1.7945943052898719E-2</v>
      </c>
      <c r="N104" s="271">
        <f>'Initial unit rates'!N230</f>
        <v>1.581542813216252E-2</v>
      </c>
      <c r="O104" s="271">
        <f>'Initial unit rates'!O230</f>
        <v>1.4976255273807216E-2</v>
      </c>
      <c r="P104" s="271">
        <f>'Initial unit rates'!P230</f>
        <v>0</v>
      </c>
      <c r="Q104" s="271">
        <f>'Initial unit rates'!Q230</f>
        <v>9.8238119927057579E-3</v>
      </c>
      <c r="R104" s="271">
        <f>'Initial unit rates'!R230</f>
        <v>-1.2146908213430429E-2</v>
      </c>
      <c r="S104" s="271">
        <f>'Initial unit rates'!S230</f>
        <v>0</v>
      </c>
      <c r="T104" s="271">
        <f>'Initial unit rates'!T230</f>
        <v>-1.2146908213430429E-2</v>
      </c>
      <c r="U104" s="271">
        <f>'Initial unit rates'!U230</f>
        <v>-1.2146908213430429E-2</v>
      </c>
      <c r="V104" s="271">
        <f>'Initial unit rates'!V230</f>
        <v>0</v>
      </c>
      <c r="W104" s="271">
        <f>'Initial unit rates'!W230</f>
        <v>0</v>
      </c>
      <c r="X104" s="271">
        <f>'Initial unit rates'!X230</f>
        <v>0</v>
      </c>
      <c r="Y104" s="271">
        <f>'Initial unit rates'!Y230</f>
        <v>0</v>
      </c>
      <c r="Z104" s="259"/>
      <c r="AA104" s="259"/>
    </row>
    <row r="105" spans="3:42" x14ac:dyDescent="0.3">
      <c r="D105"/>
      <c r="F105" t="s">
        <v>198</v>
      </c>
      <c r="G105" t="s">
        <v>268</v>
      </c>
      <c r="H105" s="259"/>
      <c r="I105" s="259"/>
      <c r="J105" s="271">
        <f>'Initial unit rates'!J231</f>
        <v>8.6262512801204335E-3</v>
      </c>
      <c r="K105" s="271">
        <f>'Initial unit rates'!K231</f>
        <v>8.6262512801204335E-3</v>
      </c>
      <c r="L105" s="271">
        <f>'Initial unit rates'!L231</f>
        <v>9.9485436606768264E-3</v>
      </c>
      <c r="M105" s="271">
        <f>'Initial unit rates'!M231</f>
        <v>9.9485436606768264E-3</v>
      </c>
      <c r="N105" s="271">
        <f>'Initial unit rates'!N231</f>
        <v>8.7674677681372094E-3</v>
      </c>
      <c r="O105" s="271">
        <f>'Initial unit rates'!O231</f>
        <v>0</v>
      </c>
      <c r="P105" s="271">
        <f>'Initial unit rates'!P231</f>
        <v>0</v>
      </c>
      <c r="Q105" s="271">
        <f>'Initial unit rates'!Q231</f>
        <v>5.445945205310769E-3</v>
      </c>
      <c r="R105" s="271">
        <f>'Initial unit rates'!R231</f>
        <v>0</v>
      </c>
      <c r="S105" s="271">
        <f>'Initial unit rates'!S231</f>
        <v>0</v>
      </c>
      <c r="T105" s="271">
        <f>'Initial unit rates'!T231</f>
        <v>0</v>
      </c>
      <c r="U105" s="271">
        <f>'Initial unit rates'!U231</f>
        <v>0</v>
      </c>
      <c r="V105" s="271">
        <f>'Initial unit rates'!V231</f>
        <v>0</v>
      </c>
      <c r="W105" s="271">
        <f>'Initial unit rates'!W231</f>
        <v>0</v>
      </c>
      <c r="X105" s="271">
        <f>'Initial unit rates'!X231</f>
        <v>0</v>
      </c>
      <c r="Y105" s="271">
        <f>'Initial unit rates'!Y231</f>
        <v>0</v>
      </c>
      <c r="Z105" s="259"/>
      <c r="AA105" s="259"/>
    </row>
    <row r="106" spans="3:42" x14ac:dyDescent="0.3">
      <c r="D106"/>
      <c r="F106" s="23" t="s">
        <v>375</v>
      </c>
      <c r="G106" s="23" t="s">
        <v>268</v>
      </c>
      <c r="H106" s="258"/>
      <c r="I106" s="258" t="s">
        <v>153</v>
      </c>
      <c r="J106" s="272"/>
      <c r="K106" s="272"/>
      <c r="L106" s="272"/>
      <c r="M106" s="272"/>
      <c r="N106" s="272"/>
      <c r="O106" s="272"/>
      <c r="P106" s="272"/>
      <c r="Q106" s="270">
        <f>'Service model charges'!$Q$44</f>
        <v>2.1563961368649194</v>
      </c>
      <c r="R106" s="272"/>
      <c r="S106" s="272"/>
      <c r="T106" s="272"/>
      <c r="U106" s="272"/>
      <c r="V106" s="272"/>
      <c r="W106" s="272"/>
      <c r="X106" s="272"/>
      <c r="Y106" s="272"/>
      <c r="Z106" s="259"/>
      <c r="AA106" s="259" t="s">
        <v>653</v>
      </c>
    </row>
    <row r="107" spans="3:42" x14ac:dyDescent="0.3">
      <c r="D107"/>
      <c r="F107" s="37" t="s">
        <v>376</v>
      </c>
      <c r="G107" s="37" t="s">
        <v>268</v>
      </c>
      <c r="H107" s="261"/>
      <c r="I107" s="261"/>
      <c r="J107" s="262"/>
      <c r="K107" s="262"/>
      <c r="L107" s="262"/>
      <c r="M107" s="262"/>
      <c r="N107" s="262"/>
      <c r="O107" s="262"/>
      <c r="P107" s="262"/>
      <c r="Q107" s="262"/>
      <c r="R107" s="262"/>
      <c r="S107" s="262"/>
      <c r="T107" s="262"/>
      <c r="U107" s="262"/>
      <c r="V107" s="262"/>
      <c r="W107" s="262"/>
      <c r="X107" s="262"/>
      <c r="Y107" s="262"/>
      <c r="Z107" s="259"/>
      <c r="AA107" s="259"/>
    </row>
    <row r="109" spans="3:42" x14ac:dyDescent="0.3">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3">
      <c r="D110" s="32"/>
      <c r="E110" s="32"/>
      <c r="J110" s="63"/>
      <c r="K110" s="63"/>
      <c r="L110" s="63"/>
      <c r="M110" s="63"/>
      <c r="N110" s="63"/>
      <c r="O110" s="63"/>
      <c r="P110" s="63"/>
      <c r="Q110" s="63"/>
      <c r="R110" s="63"/>
      <c r="S110" s="63"/>
      <c r="T110" s="63"/>
      <c r="U110" s="63"/>
      <c r="V110" s="63"/>
      <c r="W110" s="63"/>
      <c r="X110" s="63"/>
      <c r="Y110" s="63"/>
    </row>
    <row r="111" spans="3:42" x14ac:dyDescent="0.3">
      <c r="D111"/>
      <c r="E111" s="32" t="s">
        <v>119</v>
      </c>
      <c r="H111" s="14"/>
      <c r="I111" t="s">
        <v>153</v>
      </c>
      <c r="J111" s="63"/>
      <c r="L111" s="63"/>
      <c r="AA111" t="s">
        <v>202</v>
      </c>
      <c r="AP111" s="3"/>
    </row>
    <row r="112" spans="3:42" x14ac:dyDescent="0.3">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3">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3">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3">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3">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3">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3">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3">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3">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3">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3">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3">
      <c r="C125" s="32"/>
      <c r="D125"/>
      <c r="E125" s="32"/>
      <c r="I125" t="s">
        <v>153</v>
      </c>
      <c r="AA125" t="s">
        <v>655</v>
      </c>
    </row>
    <row r="126" spans="2:42" x14ac:dyDescent="0.3">
      <c r="E126" s="32" t="s">
        <v>620</v>
      </c>
    </row>
    <row r="127" spans="2:42" x14ac:dyDescent="0.3">
      <c r="F127" s="23" t="s">
        <v>188</v>
      </c>
      <c r="G127" s="23" t="s">
        <v>268</v>
      </c>
      <c r="H127" s="258"/>
      <c r="I127" s="258"/>
      <c r="J127" s="420">
        <f t="shared" ref="J127:K127" si="0">J22 * (1 - J$112)</f>
        <v>0</v>
      </c>
      <c r="K127" s="420">
        <f t="shared" si="0"/>
        <v>0</v>
      </c>
      <c r="L127" s="420">
        <f t="shared" ref="L127:M127" si="1">L22 * (1 - L$112)</f>
        <v>0</v>
      </c>
      <c r="M127" s="420">
        <f t="shared" si="1"/>
        <v>0</v>
      </c>
      <c r="N127" s="420">
        <f t="shared" ref="N127:P127" si="2">N22 * (1 - N$112)</f>
        <v>0</v>
      </c>
      <c r="O127" s="420">
        <f t="shared" si="2"/>
        <v>0</v>
      </c>
      <c r="P127" s="420">
        <f t="shared" si="2"/>
        <v>0</v>
      </c>
      <c r="Q127" s="420">
        <f t="shared" ref="Q127:S127" si="3">Q22 * (1 - Q$112)</f>
        <v>0</v>
      </c>
      <c r="R127" s="420">
        <f t="shared" si="3"/>
        <v>0</v>
      </c>
      <c r="S127" s="420">
        <f t="shared" si="3"/>
        <v>0</v>
      </c>
      <c r="T127" s="420">
        <f t="shared" ref="T127:U127" si="4">T22 * (1 - T$112)</f>
        <v>0</v>
      </c>
      <c r="U127" s="420">
        <f t="shared" si="4"/>
        <v>0</v>
      </c>
      <c r="V127" s="420">
        <f t="shared" ref="V127:W127" si="5">V22 * (1 - V$112)</f>
        <v>0</v>
      </c>
      <c r="W127" s="420">
        <f t="shared" si="5"/>
        <v>0</v>
      </c>
      <c r="X127" s="420">
        <f t="shared" ref="X127:Y127" si="6">X22 * (1 - X$112)</f>
        <v>0</v>
      </c>
      <c r="Y127" s="420">
        <f t="shared" si="6"/>
        <v>0</v>
      </c>
      <c r="Z127" s="259"/>
      <c r="AA127" s="259"/>
    </row>
    <row r="128" spans="2:42" x14ac:dyDescent="0.3">
      <c r="F128" t="s">
        <v>190</v>
      </c>
      <c r="G128" t="s">
        <v>268</v>
      </c>
      <c r="H128" s="259"/>
      <c r="I128" s="259"/>
      <c r="J128" s="274">
        <f t="shared" ref="J128:K128" si="7">J23 * (1 - J$112)</f>
        <v>0</v>
      </c>
      <c r="K128" s="274">
        <f t="shared" si="7"/>
        <v>0</v>
      </c>
      <c r="L128" s="274">
        <f t="shared" ref="L128:M128" si="8">L23 * (1 - L$112)</f>
        <v>0</v>
      </c>
      <c r="M128" s="274">
        <f t="shared" si="8"/>
        <v>0</v>
      </c>
      <c r="N128" s="274">
        <f t="shared" ref="N128:P128" si="9">N23 * (1 - N$112)</f>
        <v>0</v>
      </c>
      <c r="O128" s="274">
        <f t="shared" si="9"/>
        <v>0</v>
      </c>
      <c r="P128" s="274">
        <f t="shared" si="9"/>
        <v>0</v>
      </c>
      <c r="Q128" s="274">
        <f t="shared" ref="Q128:S128" si="10">Q23 * (1 - Q$112)</f>
        <v>0</v>
      </c>
      <c r="R128" s="274">
        <f t="shared" si="10"/>
        <v>0</v>
      </c>
      <c r="S128" s="274">
        <f t="shared" si="10"/>
        <v>0</v>
      </c>
      <c r="T128" s="274">
        <f t="shared" ref="T128:U128" si="11">T23 * (1 - T$112)</f>
        <v>0</v>
      </c>
      <c r="U128" s="274">
        <f t="shared" si="11"/>
        <v>0</v>
      </c>
      <c r="V128" s="274">
        <f t="shared" ref="V128:W128" si="12">V23 * (1 - V$112)</f>
        <v>0</v>
      </c>
      <c r="W128" s="274">
        <f t="shared" si="12"/>
        <v>0</v>
      </c>
      <c r="X128" s="274">
        <f t="shared" ref="X128:Y128" si="13">X23 * (1 - X$112)</f>
        <v>0</v>
      </c>
      <c r="Y128" s="274">
        <f t="shared" si="13"/>
        <v>0</v>
      </c>
      <c r="Z128" s="259"/>
      <c r="AA128" s="259"/>
    </row>
    <row r="129" spans="4:27" x14ac:dyDescent="0.3">
      <c r="F129" t="s">
        <v>191</v>
      </c>
      <c r="G129" t="s">
        <v>268</v>
      </c>
      <c r="H129" s="259"/>
      <c r="I129" s="259"/>
      <c r="J129" s="274">
        <f t="shared" ref="J129:K129" si="14">J24 * (1 - J$113)</f>
        <v>1.3068758970826815</v>
      </c>
      <c r="K129" s="274">
        <f t="shared" si="14"/>
        <v>1.3068758970826815</v>
      </c>
      <c r="L129" s="274">
        <f t="shared" ref="L129:M129" si="15">L24 * (1 - L$113)</f>
        <v>1.5072030131067242</v>
      </c>
      <c r="M129" s="274">
        <f t="shared" si="15"/>
        <v>1.5072030131067242</v>
      </c>
      <c r="N129" s="274">
        <f t="shared" ref="N129:P129" si="16">N24 * (1 - N$113)</f>
        <v>1.3282701758333015</v>
      </c>
      <c r="O129" s="274">
        <f t="shared" si="16"/>
        <v>1.2577916360930235</v>
      </c>
      <c r="P129" s="274">
        <f t="shared" si="16"/>
        <v>1.0789620370256103</v>
      </c>
      <c r="Q129" s="274">
        <f t="shared" ref="Q129:S129" si="17">Q24 * (1 - Q$113)</f>
        <v>1.9135769414684138</v>
      </c>
      <c r="R129" s="274">
        <f t="shared" si="17"/>
        <v>-1.0201668758920965</v>
      </c>
      <c r="S129" s="274">
        <f t="shared" si="17"/>
        <v>-0.98734838316571494</v>
      </c>
      <c r="T129" s="274">
        <f t="shared" ref="T129:U129" si="18">T24 * (1 - T$113)</f>
        <v>-1.0201668758920965</v>
      </c>
      <c r="U129" s="274">
        <f t="shared" si="18"/>
        <v>-1.0201668758920965</v>
      </c>
      <c r="V129" s="274">
        <f t="shared" ref="V129:W129" si="19">V24 * (1 - V$113)</f>
        <v>-0.98734838316571494</v>
      </c>
      <c r="W129" s="274">
        <f t="shared" si="19"/>
        <v>-0.98734838316571494</v>
      </c>
      <c r="X129" s="274">
        <f t="shared" ref="X129:Y129" si="20">X24 * (1 - X$113)</f>
        <v>-0.97245563629887333</v>
      </c>
      <c r="Y129" s="274">
        <f t="shared" si="20"/>
        <v>-0.97245563629887333</v>
      </c>
      <c r="Z129" s="259"/>
      <c r="AA129" s="259"/>
    </row>
    <row r="130" spans="4:27" x14ac:dyDescent="0.3">
      <c r="F130" t="s">
        <v>192</v>
      </c>
      <c r="G130" t="s">
        <v>268</v>
      </c>
      <c r="H130" s="259"/>
      <c r="I130" s="259"/>
      <c r="J130" s="274">
        <f t="shared" ref="J130:K130" si="21">J25 * (1 - J$114)</f>
        <v>0.51694179467404233</v>
      </c>
      <c r="K130" s="274">
        <f t="shared" si="21"/>
        <v>0.51694179467404233</v>
      </c>
      <c r="L130" s="274">
        <f t="shared" ref="L130:M130" si="22">L25 * (1 - L$114)</f>
        <v>0.59618226357435145</v>
      </c>
      <c r="M130" s="274">
        <f t="shared" si="22"/>
        <v>0.59618226357435145</v>
      </c>
      <c r="N130" s="274">
        <f t="shared" ref="N130:P130" si="23">N25 * (1 - N$114)</f>
        <v>0.5254044167774804</v>
      </c>
      <c r="O130" s="274">
        <f t="shared" si="23"/>
        <v>0.4975262510689577</v>
      </c>
      <c r="P130" s="274">
        <f t="shared" si="23"/>
        <v>0.42678924070009994</v>
      </c>
      <c r="Q130" s="274">
        <f t="shared" ref="Q130:S130" si="24">Q25 * (1 - Q$114)</f>
        <v>0.75692565803512024</v>
      </c>
      <c r="R130" s="274">
        <f t="shared" si="24"/>
        <v>-0.40353249827922011</v>
      </c>
      <c r="S130" s="274">
        <f t="shared" si="24"/>
        <v>-0.39055096685275187</v>
      </c>
      <c r="T130" s="274">
        <f t="shared" ref="T130:U130" si="25">T25 * (1 - T$114)</f>
        <v>-0.40353249827922011</v>
      </c>
      <c r="U130" s="274">
        <f t="shared" si="25"/>
        <v>-0.40353249827922011</v>
      </c>
      <c r="V130" s="274">
        <f t="shared" ref="V130:W130" si="26">V25 * (1 - V$114)</f>
        <v>-0.39055096685275187</v>
      </c>
      <c r="W130" s="274">
        <f t="shared" si="26"/>
        <v>-0.39055096685275187</v>
      </c>
      <c r="X130" s="274">
        <f t="shared" ref="X130:Y130" si="27">X25 * (1 - X$114)</f>
        <v>-0.3846600606770722</v>
      </c>
      <c r="Y130" s="274">
        <f t="shared" si="27"/>
        <v>-0.3846600606770722</v>
      </c>
      <c r="Z130" s="259"/>
      <c r="AA130" s="259"/>
    </row>
    <row r="131" spans="4:27" x14ac:dyDescent="0.3">
      <c r="F131" t="s">
        <v>193</v>
      </c>
      <c r="G131" t="s">
        <v>268</v>
      </c>
      <c r="H131" s="259"/>
      <c r="I131" s="259"/>
      <c r="J131" s="274">
        <f t="shared" ref="J131:K131" si="28">J26 * (1 - J$115)</f>
        <v>0.94393882372925886</v>
      </c>
      <c r="K131" s="274">
        <f t="shared" si="28"/>
        <v>0.94393882372925886</v>
      </c>
      <c r="L131" s="274">
        <f t="shared" ref="L131:M131" si="29">L26 * (1 - L$115)</f>
        <v>1.0886323961510371</v>
      </c>
      <c r="M131" s="274">
        <f t="shared" si="29"/>
        <v>1.0886323961510371</v>
      </c>
      <c r="N131" s="274">
        <f t="shared" ref="N131:P131" si="30">N26 * (1 - N$115)</f>
        <v>0.95939162254778243</v>
      </c>
      <c r="O131" s="274">
        <f t="shared" si="30"/>
        <v>0.90848592442518172</v>
      </c>
      <c r="P131" s="274">
        <f t="shared" si="30"/>
        <v>0.62345577470791447</v>
      </c>
      <c r="Q131" s="274">
        <f t="shared" ref="Q131:S131" si="31">Q26 * (1 - Q$115)</f>
        <v>1.5730910348245959</v>
      </c>
      <c r="R131" s="274">
        <f t="shared" si="31"/>
        <v>-0.73685276695880042</v>
      </c>
      <c r="S131" s="274">
        <f t="shared" si="31"/>
        <v>-0.71314841255922734</v>
      </c>
      <c r="T131" s="274">
        <f t="shared" ref="T131:U131" si="32">T26 * (1 - T$115)</f>
        <v>-0.73685276695880042</v>
      </c>
      <c r="U131" s="274">
        <f t="shared" si="32"/>
        <v>-0.73685276695880042</v>
      </c>
      <c r="V131" s="274">
        <f t="shared" ref="V131:W131" si="33">V26 * (1 - V$115)</f>
        <v>-0.71314841255922734</v>
      </c>
      <c r="W131" s="274">
        <f t="shared" si="33"/>
        <v>-0.71314841255922734</v>
      </c>
      <c r="X131" s="274">
        <f t="shared" ref="X131:Y131" si="34">X26 * (1 - X$115)</f>
        <v>-0.70239158247997857</v>
      </c>
      <c r="Y131" s="274">
        <f t="shared" si="34"/>
        <v>-0.70239158247997857</v>
      </c>
      <c r="Z131" s="259"/>
      <c r="AA131" s="259"/>
    </row>
    <row r="132" spans="4:27" x14ac:dyDescent="0.3">
      <c r="F132" t="s">
        <v>194</v>
      </c>
      <c r="G132" t="s">
        <v>268</v>
      </c>
      <c r="H132" s="259"/>
      <c r="I132" s="259"/>
      <c r="J132" s="274">
        <f t="shared" ref="J132:K132" si="35">J27 * (1 - J$116)</f>
        <v>0.59543981650898714</v>
      </c>
      <c r="K132" s="274">
        <f t="shared" si="35"/>
        <v>0.59543981650898714</v>
      </c>
      <c r="L132" s="274">
        <f t="shared" ref="L132:M132" si="36">L27 * (1 - L$116)</f>
        <v>0.68671301350757252</v>
      </c>
      <c r="M132" s="274">
        <f t="shared" si="36"/>
        <v>0.68671301350757252</v>
      </c>
      <c r="N132" s="274">
        <f t="shared" ref="N132:P132" si="37">N27 * (1 - N$116)</f>
        <v>0.6051874944958936</v>
      </c>
      <c r="O132" s="274">
        <f t="shared" si="37"/>
        <v>0.57307600719671525</v>
      </c>
      <c r="P132" s="274">
        <f t="shared" si="37"/>
        <v>0</v>
      </c>
      <c r="Q132" s="274">
        <f t="shared" ref="Q132:S132" si="38">Q27 * (1 - Q$116)</f>
        <v>0.99231116845825351</v>
      </c>
      <c r="R132" s="274">
        <f t="shared" si="38"/>
        <v>-0.46480922843992545</v>
      </c>
      <c r="S132" s="274">
        <f t="shared" si="38"/>
        <v>-0.4498564411624798</v>
      </c>
      <c r="T132" s="274">
        <f t="shared" ref="T132:U132" si="39">T27 * (1 - T$116)</f>
        <v>-0.46480922843992545</v>
      </c>
      <c r="U132" s="274">
        <f t="shared" si="39"/>
        <v>-0.46480922843992545</v>
      </c>
      <c r="V132" s="274">
        <f t="shared" ref="V132:W132" si="40">V27 * (1 - V$116)</f>
        <v>-0.4498564411624798</v>
      </c>
      <c r="W132" s="274">
        <f t="shared" si="40"/>
        <v>-0.4498564411624798</v>
      </c>
      <c r="X132" s="274">
        <f t="shared" ref="X132:Y132" si="41">X27 * (1 - X$116)</f>
        <v>-0.19052052836953348</v>
      </c>
      <c r="Y132" s="274">
        <f t="shared" si="41"/>
        <v>-0.19052052836953348</v>
      </c>
      <c r="Z132" s="259"/>
      <c r="AA132" s="259"/>
    </row>
    <row r="133" spans="4:27" x14ac:dyDescent="0.3">
      <c r="F133" t="s">
        <v>195</v>
      </c>
      <c r="G133" t="s">
        <v>268</v>
      </c>
      <c r="H133" s="259"/>
      <c r="I133" s="259"/>
      <c r="J133" s="274">
        <f t="shared" ref="J133:K133" si="42">J28 * (1 - J$117)</f>
        <v>0</v>
      </c>
      <c r="K133" s="274">
        <f t="shared" si="42"/>
        <v>0</v>
      </c>
      <c r="L133" s="274">
        <f t="shared" ref="L133:M133" si="43">L28 * (1 - L$117)</f>
        <v>0</v>
      </c>
      <c r="M133" s="274">
        <f t="shared" si="43"/>
        <v>0</v>
      </c>
      <c r="N133" s="274">
        <f t="shared" ref="N133:P133" si="44">N28 * (1 - N$117)</f>
        <v>0</v>
      </c>
      <c r="O133" s="274">
        <f t="shared" si="44"/>
        <v>0</v>
      </c>
      <c r="P133" s="274">
        <f t="shared" si="44"/>
        <v>0</v>
      </c>
      <c r="Q133" s="274">
        <f t="shared" ref="Q133:S133" si="45">Q28 * (1 - Q$117)</f>
        <v>0</v>
      </c>
      <c r="R133" s="274">
        <f t="shared" si="45"/>
        <v>0</v>
      </c>
      <c r="S133" s="274">
        <f t="shared" si="45"/>
        <v>0</v>
      </c>
      <c r="T133" s="274">
        <f t="shared" ref="T133:U133" si="46">T28 * (1 - T$117)</f>
        <v>0</v>
      </c>
      <c r="U133" s="274">
        <f t="shared" si="46"/>
        <v>0</v>
      </c>
      <c r="V133" s="274">
        <f t="shared" ref="V133:W133" si="47">V28 * (1 - V$117)</f>
        <v>0</v>
      </c>
      <c r="W133" s="274">
        <f t="shared" si="47"/>
        <v>0</v>
      </c>
      <c r="X133" s="274">
        <f t="shared" ref="X133:Y133" si="48">X28 * (1 - X$117)</f>
        <v>0</v>
      </c>
      <c r="Y133" s="274">
        <f t="shared" si="48"/>
        <v>0</v>
      </c>
      <c r="Z133" s="259"/>
      <c r="AA133" s="259"/>
    </row>
    <row r="134" spans="4:27" x14ac:dyDescent="0.3">
      <c r="F134" t="s">
        <v>196</v>
      </c>
      <c r="G134" t="s">
        <v>268</v>
      </c>
      <c r="H134" s="259"/>
      <c r="I134" s="259"/>
      <c r="J134" s="274">
        <f t="shared" ref="J134:K134" si="49">J29 * (1 - J$118)</f>
        <v>0.75670663470988364</v>
      </c>
      <c r="K134" s="274">
        <f t="shared" si="49"/>
        <v>0.75670663470988364</v>
      </c>
      <c r="L134" s="274">
        <f t="shared" ref="L134:M134" si="50">L29 * (1 - L$118)</f>
        <v>0.87269994221986147</v>
      </c>
      <c r="M134" s="274">
        <f t="shared" si="50"/>
        <v>0.87269994221986147</v>
      </c>
      <c r="N134" s="274">
        <f t="shared" ref="N134:P134" si="51">N29 * (1 - N$118)</f>
        <v>0.61527547151738959</v>
      </c>
      <c r="O134" s="274">
        <f t="shared" si="51"/>
        <v>0</v>
      </c>
      <c r="P134" s="274">
        <f t="shared" si="51"/>
        <v>0</v>
      </c>
      <c r="Q134" s="274">
        <f t="shared" ref="Q134:S134" si="52">Q29 * (1 - Q$118)</f>
        <v>1.2610652227986234</v>
      </c>
      <c r="R134" s="274">
        <f t="shared" si="52"/>
        <v>-0.59069651925026201</v>
      </c>
      <c r="S134" s="274">
        <f t="shared" si="52"/>
        <v>-0.571693971844906</v>
      </c>
      <c r="T134" s="274">
        <f t="shared" ref="T134:U134" si="53">T29 * (1 - T$118)</f>
        <v>-0.59069651925026201</v>
      </c>
      <c r="U134" s="274">
        <f t="shared" si="53"/>
        <v>-0.59069651925026201</v>
      </c>
      <c r="V134" s="274">
        <f t="shared" ref="V134:W134" si="54">V29 * (1 - V$118)</f>
        <v>-0.571693971844906</v>
      </c>
      <c r="W134" s="274">
        <f t="shared" si="54"/>
        <v>-0.571693971844906</v>
      </c>
      <c r="X134" s="274">
        <f t="shared" ref="X134:Y134" si="55">X29 * (1 - X$118)</f>
        <v>0</v>
      </c>
      <c r="Y134" s="274">
        <f t="shared" si="55"/>
        <v>0</v>
      </c>
      <c r="Z134" s="259"/>
      <c r="AA134" s="259"/>
    </row>
    <row r="135" spans="4:27" x14ac:dyDescent="0.3">
      <c r="F135" t="s">
        <v>197</v>
      </c>
      <c r="G135" t="s">
        <v>268</v>
      </c>
      <c r="H135" s="259"/>
      <c r="I135" s="259"/>
      <c r="J135" s="274">
        <f t="shared" ref="J135:K135" si="56">J30 * (1 - J$119)</f>
        <v>0.6870293921624665</v>
      </c>
      <c r="K135" s="274">
        <f t="shared" si="56"/>
        <v>0.6870293921624665</v>
      </c>
      <c r="L135" s="274">
        <f t="shared" ref="L135:M135" si="57">L30 * (1 - L$119)</f>
        <v>0.79234208257391903</v>
      </c>
      <c r="M135" s="274">
        <f t="shared" si="57"/>
        <v>0.79234208257391903</v>
      </c>
      <c r="N135" s="274">
        <f t="shared" ref="N135:P135" si="58">N30 * (1 - N$119)</f>
        <v>0</v>
      </c>
      <c r="O135" s="274">
        <f t="shared" si="58"/>
        <v>0</v>
      </c>
      <c r="P135" s="274">
        <f t="shared" si="58"/>
        <v>0</v>
      </c>
      <c r="Q135" s="274">
        <f t="shared" ref="Q135:S135" si="59">Q30 * (1 - Q$119)</f>
        <v>1.1449468443325219</v>
      </c>
      <c r="R135" s="274">
        <f t="shared" si="59"/>
        <v>-0.5363054213586792</v>
      </c>
      <c r="S135" s="274">
        <f t="shared" si="59"/>
        <v>0</v>
      </c>
      <c r="T135" s="274">
        <f t="shared" ref="T135:U135" si="60">T30 * (1 - T$119)</f>
        <v>-0.5363054213586792</v>
      </c>
      <c r="U135" s="274">
        <f t="shared" si="60"/>
        <v>-0.5363054213586792</v>
      </c>
      <c r="V135" s="274">
        <f t="shared" ref="V135:W135" si="61">V30 * (1 - V$119)</f>
        <v>0</v>
      </c>
      <c r="W135" s="274">
        <f t="shared" si="61"/>
        <v>0</v>
      </c>
      <c r="X135" s="274">
        <f t="shared" ref="X135:Y135" si="62">X30 * (1 - X$119)</f>
        <v>0</v>
      </c>
      <c r="Y135" s="274">
        <f t="shared" si="62"/>
        <v>0</v>
      </c>
      <c r="Z135" s="259"/>
      <c r="AA135" s="259"/>
    </row>
    <row r="136" spans="4:27" x14ac:dyDescent="0.3">
      <c r="F136" t="s">
        <v>198</v>
      </c>
      <c r="G136" t="s">
        <v>268</v>
      </c>
      <c r="H136" s="259"/>
      <c r="I136" s="259"/>
      <c r="J136" s="274">
        <f t="shared" ref="J136:K136" si="63">J31 * (1 - J$120)</f>
        <v>0</v>
      </c>
      <c r="K136" s="274">
        <f t="shared" si="63"/>
        <v>0</v>
      </c>
      <c r="L136" s="274">
        <f t="shared" ref="L136:M136" si="64">L31 * (1 - L$120)</f>
        <v>0</v>
      </c>
      <c r="M136" s="274">
        <f t="shared" si="64"/>
        <v>0</v>
      </c>
      <c r="N136" s="274">
        <f t="shared" ref="N136:P136" si="65">N31 * (1 - N$120)</f>
        <v>0</v>
      </c>
      <c r="O136" s="274">
        <f t="shared" si="65"/>
        <v>0</v>
      </c>
      <c r="P136" s="274">
        <f t="shared" si="65"/>
        <v>0</v>
      </c>
      <c r="Q136" s="274">
        <f t="shared" ref="Q136:S136" si="66">Q31 * (1 - Q$120)</f>
        <v>2.720205811519788E-2</v>
      </c>
      <c r="R136" s="274">
        <f t="shared" si="66"/>
        <v>0</v>
      </c>
      <c r="S136" s="274">
        <f t="shared" si="66"/>
        <v>0</v>
      </c>
      <c r="T136" s="274">
        <f t="shared" ref="T136:U136" si="67">T31 * (1 - T$120)</f>
        <v>0</v>
      </c>
      <c r="U136" s="274">
        <f t="shared" si="67"/>
        <v>0</v>
      </c>
      <c r="V136" s="274">
        <f t="shared" ref="V136:W136" si="68">V31 * (1 - V$120)</f>
        <v>0</v>
      </c>
      <c r="W136" s="274">
        <f t="shared" si="68"/>
        <v>0</v>
      </c>
      <c r="X136" s="274">
        <f t="shared" ref="X136:Y136" si="69">X31 * (1 - X$120)</f>
        <v>0</v>
      </c>
      <c r="Y136" s="274">
        <f t="shared" si="69"/>
        <v>0</v>
      </c>
      <c r="Z136" s="259"/>
      <c r="AA136" s="259"/>
    </row>
    <row r="137" spans="4:27" x14ac:dyDescent="0.3">
      <c r="D137"/>
      <c r="F137" s="23" t="s">
        <v>375</v>
      </c>
      <c r="G137" s="23" t="s">
        <v>268</v>
      </c>
      <c r="H137" s="258"/>
      <c r="I137" s="258"/>
      <c r="J137" s="272"/>
      <c r="K137" s="272"/>
      <c r="L137" s="272"/>
      <c r="M137" s="272"/>
      <c r="N137" s="272"/>
      <c r="O137" s="272"/>
      <c r="P137" s="272"/>
      <c r="Q137" s="272"/>
      <c r="R137" s="272"/>
      <c r="S137" s="272"/>
      <c r="T137" s="272"/>
      <c r="U137" s="272"/>
      <c r="V137" s="272"/>
      <c r="W137" s="272"/>
      <c r="X137" s="272"/>
      <c r="Y137" s="272"/>
      <c r="Z137" s="259"/>
      <c r="AA137" s="259"/>
    </row>
    <row r="138" spans="4:27" x14ac:dyDescent="0.3">
      <c r="D138"/>
      <c r="F138" s="37" t="s">
        <v>376</v>
      </c>
      <c r="G138" s="37" t="s">
        <v>268</v>
      </c>
      <c r="H138" s="261"/>
      <c r="I138" s="261"/>
      <c r="J138" s="262"/>
      <c r="K138" s="262"/>
      <c r="L138" s="262"/>
      <c r="M138" s="262"/>
      <c r="N138" s="262"/>
      <c r="O138" s="262"/>
      <c r="P138" s="262"/>
      <c r="Q138" s="262"/>
      <c r="R138" s="262"/>
      <c r="S138" s="262"/>
      <c r="T138" s="262"/>
      <c r="U138" s="262"/>
      <c r="V138" s="262"/>
      <c r="W138" s="262"/>
      <c r="X138" s="262"/>
      <c r="Y138" s="262"/>
      <c r="Z138" s="259"/>
      <c r="AA138" s="259"/>
    </row>
    <row r="139" spans="4:27" x14ac:dyDescent="0.3">
      <c r="E139"/>
      <c r="J139" s="89"/>
      <c r="K139" s="89"/>
      <c r="L139" s="89"/>
      <c r="M139" s="89"/>
      <c r="N139" s="89"/>
      <c r="O139" s="89"/>
      <c r="P139" s="89"/>
      <c r="Q139" s="89"/>
      <c r="R139" s="89"/>
      <c r="S139" s="89"/>
      <c r="T139" s="89"/>
      <c r="U139" s="89"/>
      <c r="V139" s="89"/>
      <c r="W139" s="89"/>
      <c r="X139" s="89"/>
      <c r="Y139" s="89"/>
    </row>
    <row r="140" spans="4:27" x14ac:dyDescent="0.3">
      <c r="E140" s="32" t="s">
        <v>621</v>
      </c>
      <c r="J140" s="89"/>
      <c r="K140" s="89"/>
      <c r="L140" s="89"/>
      <c r="M140" s="89"/>
      <c r="N140" s="89"/>
      <c r="O140" s="89"/>
      <c r="P140" s="89"/>
      <c r="Q140" s="89"/>
      <c r="R140" s="89"/>
      <c r="S140" s="89"/>
      <c r="T140" s="89"/>
      <c r="U140" s="89"/>
      <c r="V140" s="89"/>
      <c r="W140" s="89"/>
      <c r="X140" s="89"/>
      <c r="Y140" s="89"/>
    </row>
    <row r="141" spans="4:27" x14ac:dyDescent="0.3">
      <c r="F141" s="23" t="s">
        <v>188</v>
      </c>
      <c r="G141" s="23" t="s">
        <v>268</v>
      </c>
      <c r="H141" s="258"/>
      <c r="I141" s="258"/>
      <c r="J141" s="420">
        <f t="shared" ref="J141:K141" si="70">J36 * (1 - J$112)</f>
        <v>0.90719066299650186</v>
      </c>
      <c r="K141" s="420">
        <f t="shared" si="70"/>
        <v>0.90719066299650186</v>
      </c>
      <c r="L141" s="420">
        <f t="shared" ref="L141:M141" si="71">L36 * (1 - L$112)</f>
        <v>1.0462512192495572</v>
      </c>
      <c r="M141" s="420">
        <f t="shared" si="71"/>
        <v>1.0462512192495572</v>
      </c>
      <c r="N141" s="420">
        <f t="shared" ref="N141:P141" si="72">N36 * (1 - N$112)</f>
        <v>0.92204187416921746</v>
      </c>
      <c r="O141" s="420">
        <f t="shared" si="72"/>
        <v>0.87311796843590728</v>
      </c>
      <c r="P141" s="420">
        <f t="shared" si="72"/>
        <v>0.74898028795414595</v>
      </c>
      <c r="Q141" s="420">
        <f t="shared" ref="Q141:S141" si="73">Q36 * (1 - Q$112)</f>
        <v>1.5208971403600968</v>
      </c>
      <c r="R141" s="420">
        <f t="shared" si="73"/>
        <v>-0.70816660294490741</v>
      </c>
      <c r="S141" s="420">
        <f t="shared" si="73"/>
        <v>-0.68538507469004173</v>
      </c>
      <c r="T141" s="420">
        <f t="shared" ref="T141:U141" si="74">T36 * (1 - T$112)</f>
        <v>-0.70816660294490741</v>
      </c>
      <c r="U141" s="420">
        <f t="shared" si="74"/>
        <v>-0.70816660294490741</v>
      </c>
      <c r="V141" s="420">
        <f t="shared" ref="V141:W141" si="75">V36 * (1 - V$112)</f>
        <v>-0.68538507469004173</v>
      </c>
      <c r="W141" s="420">
        <f t="shared" si="75"/>
        <v>-0.68538507469004173</v>
      </c>
      <c r="X141" s="420">
        <f t="shared" ref="X141:Y141" si="76">X36 * (1 - X$112)</f>
        <v>-0.67504701509759801</v>
      </c>
      <c r="Y141" s="420">
        <f t="shared" si="76"/>
        <v>-0.67504701509759801</v>
      </c>
      <c r="Z141" s="259"/>
      <c r="AA141" s="259"/>
    </row>
    <row r="142" spans="4:27" x14ac:dyDescent="0.3">
      <c r="F142" t="s">
        <v>190</v>
      </c>
      <c r="G142" t="s">
        <v>268</v>
      </c>
      <c r="H142" s="259"/>
      <c r="I142" s="259"/>
      <c r="J142" s="274">
        <f t="shared" ref="J142:K142" si="77">J37 * (1 - J$112)</f>
        <v>0</v>
      </c>
      <c r="K142" s="274">
        <f t="shared" si="77"/>
        <v>0</v>
      </c>
      <c r="L142" s="274">
        <f t="shared" ref="L142:M142" si="78">L37 * (1 - L$112)</f>
        <v>0</v>
      </c>
      <c r="M142" s="274">
        <f t="shared" si="78"/>
        <v>0</v>
      </c>
      <c r="N142" s="274">
        <f t="shared" ref="N142:P142" si="79">N37 * (1 - N$112)</f>
        <v>0</v>
      </c>
      <c r="O142" s="274">
        <f t="shared" si="79"/>
        <v>0</v>
      </c>
      <c r="P142" s="274">
        <f t="shared" si="79"/>
        <v>0</v>
      </c>
      <c r="Q142" s="274">
        <f t="shared" ref="Q142:S142" si="80">Q37 * (1 - Q$112)</f>
        <v>0</v>
      </c>
      <c r="R142" s="274">
        <f t="shared" si="80"/>
        <v>0</v>
      </c>
      <c r="S142" s="274">
        <f t="shared" si="80"/>
        <v>0</v>
      </c>
      <c r="T142" s="274">
        <f t="shared" ref="T142:U142" si="81">T37 * (1 - T$112)</f>
        <v>0</v>
      </c>
      <c r="U142" s="274">
        <f t="shared" si="81"/>
        <v>0</v>
      </c>
      <c r="V142" s="274">
        <f t="shared" ref="V142:W142" si="82">V37 * (1 - V$112)</f>
        <v>0</v>
      </c>
      <c r="W142" s="274">
        <f t="shared" si="82"/>
        <v>0</v>
      </c>
      <c r="X142" s="274">
        <f t="shared" ref="X142:Y142" si="83">X37 * (1 - X$112)</f>
        <v>0</v>
      </c>
      <c r="Y142" s="274">
        <f t="shared" si="83"/>
        <v>0</v>
      </c>
      <c r="Z142" s="259"/>
      <c r="AA142" s="259"/>
    </row>
    <row r="143" spans="4:27" x14ac:dyDescent="0.3">
      <c r="F143" t="s">
        <v>191</v>
      </c>
      <c r="G143" t="s">
        <v>268</v>
      </c>
      <c r="H143" s="259"/>
      <c r="I143" s="259"/>
      <c r="J143" s="274">
        <f t="shared" ref="J143:K143" si="84">J38 * (1 - J$113)</f>
        <v>0.63525857385143047</v>
      </c>
      <c r="K143" s="274">
        <f t="shared" si="84"/>
        <v>0.63525857385143047</v>
      </c>
      <c r="L143" s="274">
        <f t="shared" ref="L143:M143" si="85">L38 * (1 - L$113)</f>
        <v>0.73263546963264636</v>
      </c>
      <c r="M143" s="274">
        <f t="shared" si="85"/>
        <v>0.73263546963264636</v>
      </c>
      <c r="N143" s="274">
        <f t="shared" ref="N143:P143" si="86">N38 * (1 - N$113)</f>
        <v>0.6456581068430769</v>
      </c>
      <c r="O143" s="274">
        <f t="shared" si="86"/>
        <v>0.6113992328807637</v>
      </c>
      <c r="P143" s="274">
        <f t="shared" si="86"/>
        <v>0.52447205309301026</v>
      </c>
      <c r="Q143" s="274">
        <f t="shared" ref="Q143:S143" si="87">Q38 * (1 - Q$113)</f>
        <v>0.93016954517701911</v>
      </c>
      <c r="R143" s="274">
        <f t="shared" si="87"/>
        <v>-0.49589234610291494</v>
      </c>
      <c r="S143" s="274">
        <f t="shared" si="87"/>
        <v>-0.47993962332957901</v>
      </c>
      <c r="T143" s="274">
        <f t="shared" ref="T143:U143" si="88">T38 * (1 - T$113)</f>
        <v>-0.49589234610291494</v>
      </c>
      <c r="U143" s="274">
        <f t="shared" si="88"/>
        <v>-0.49589234610291494</v>
      </c>
      <c r="V143" s="274">
        <f t="shared" ref="V143:W143" si="89">V38 * (1 - V$113)</f>
        <v>-0.47993962332957901</v>
      </c>
      <c r="W143" s="274">
        <f t="shared" si="89"/>
        <v>-0.47993962332957901</v>
      </c>
      <c r="X143" s="274">
        <f t="shared" ref="X143:Y143" si="90">X38 * (1 - X$113)</f>
        <v>-0.47270041633488324</v>
      </c>
      <c r="Y143" s="274">
        <f t="shared" si="90"/>
        <v>-0.47270041633488324</v>
      </c>
      <c r="Z143" s="259"/>
      <c r="AA143" s="259"/>
    </row>
    <row r="144" spans="4:27" x14ac:dyDescent="0.3">
      <c r="F144" t="s">
        <v>192</v>
      </c>
      <c r="G144" t="s">
        <v>268</v>
      </c>
      <c r="H144" s="259"/>
      <c r="I144" s="259"/>
      <c r="J144" s="274">
        <f t="shared" ref="J144:K144" si="91">J39 * (1 - J$114)</f>
        <v>0.25127994783735391</v>
      </c>
      <c r="K144" s="274">
        <f t="shared" si="91"/>
        <v>0.25127994783735391</v>
      </c>
      <c r="L144" s="274">
        <f t="shared" ref="L144:M144" si="92">L39 * (1 - L$114)</f>
        <v>0.28979790304434644</v>
      </c>
      <c r="M144" s="274">
        <f t="shared" si="92"/>
        <v>0.28979790304434644</v>
      </c>
      <c r="N144" s="274">
        <f t="shared" ref="N144:P144" si="93">N39 * (1 - N$114)</f>
        <v>0.25539353908230245</v>
      </c>
      <c r="O144" s="274">
        <f t="shared" si="93"/>
        <v>0.24184225710585511</v>
      </c>
      <c r="P144" s="274">
        <f t="shared" si="93"/>
        <v>0.20745774330026345</v>
      </c>
      <c r="Q144" s="274">
        <f t="shared" ref="Q144:S144" si="94">Q39 * (1 - Q$114)</f>
        <v>0.36793356975082758</v>
      </c>
      <c r="R144" s="274">
        <f t="shared" si="94"/>
        <v>-0.19615288638485318</v>
      </c>
      <c r="S144" s="274">
        <f t="shared" si="94"/>
        <v>-0.18984270103458803</v>
      </c>
      <c r="T144" s="274">
        <f t="shared" ref="T144:U144" si="95">T39 * (1 - T$114)</f>
        <v>-0.19615288638485318</v>
      </c>
      <c r="U144" s="274">
        <f t="shared" si="95"/>
        <v>-0.19615288638485318</v>
      </c>
      <c r="V144" s="274">
        <f t="shared" ref="V144:W144" si="96">V39 * (1 - V$114)</f>
        <v>-0.18984270103458803</v>
      </c>
      <c r="W144" s="274">
        <f t="shared" si="96"/>
        <v>-0.18984270103458803</v>
      </c>
      <c r="X144" s="274">
        <f t="shared" ref="X144:Y144" si="97">X39 * (1 - X$114)</f>
        <v>-0.186979193746552</v>
      </c>
      <c r="Y144" s="274">
        <f t="shared" si="97"/>
        <v>-0.186979193746552</v>
      </c>
      <c r="Z144" s="259"/>
      <c r="AA144" s="259"/>
    </row>
    <row r="145" spans="3:27" x14ac:dyDescent="0.3">
      <c r="F145" t="s">
        <v>193</v>
      </c>
      <c r="G145" t="s">
        <v>268</v>
      </c>
      <c r="H145" s="259"/>
      <c r="I145" s="259"/>
      <c r="J145" s="274">
        <f t="shared" ref="J145:K145" si="98">J40 * (1 - J$115)</f>
        <v>0.45883869486293571</v>
      </c>
      <c r="K145" s="274">
        <f t="shared" si="98"/>
        <v>0.45883869486293571</v>
      </c>
      <c r="L145" s="274">
        <f t="shared" ref="L145:M145" si="99">L40 * (1 - L$115)</f>
        <v>0.52917271255146625</v>
      </c>
      <c r="M145" s="274">
        <f t="shared" si="99"/>
        <v>0.52917271255146625</v>
      </c>
      <c r="N145" s="274">
        <f t="shared" ref="N145:P145" si="100">N40 * (1 - N$115)</f>
        <v>0.4663501371975764</v>
      </c>
      <c r="O145" s="274">
        <f t="shared" si="100"/>
        <v>0.44160541486972332</v>
      </c>
      <c r="P145" s="274">
        <f t="shared" si="100"/>
        <v>0.30305526881664679</v>
      </c>
      <c r="Q145" s="274">
        <f t="shared" ref="Q145:S145" si="101">Q40 * (1 - Q$115)</f>
        <v>0.7646629412570155</v>
      </c>
      <c r="R145" s="274">
        <f t="shared" si="101"/>
        <v>-0.35817634935470344</v>
      </c>
      <c r="S145" s="274">
        <f t="shared" si="101"/>
        <v>-0.34665391298292841</v>
      </c>
      <c r="T145" s="274">
        <f t="shared" ref="T145:U145" si="102">T40 * (1 - T$115)</f>
        <v>-0.35817634935470344</v>
      </c>
      <c r="U145" s="274">
        <f t="shared" si="102"/>
        <v>-0.35817634935470344</v>
      </c>
      <c r="V145" s="274">
        <f t="shared" ref="V145:W145" si="103">V40 * (1 - V$115)</f>
        <v>-0.34665391298292841</v>
      </c>
      <c r="W145" s="274">
        <f t="shared" si="103"/>
        <v>-0.34665391298292841</v>
      </c>
      <c r="X145" s="274">
        <f t="shared" ref="X145:Y145" si="104">X40 * (1 - X$115)</f>
        <v>-0.34142513146621378</v>
      </c>
      <c r="Y145" s="274">
        <f t="shared" si="104"/>
        <v>-0.34142513146621378</v>
      </c>
      <c r="Z145" s="259"/>
      <c r="AA145" s="259"/>
    </row>
    <row r="146" spans="3:27" x14ac:dyDescent="0.3">
      <c r="F146" t="s">
        <v>194</v>
      </c>
      <c r="G146" t="s">
        <v>268</v>
      </c>
      <c r="H146" s="259"/>
      <c r="I146" s="259"/>
      <c r="J146" s="274">
        <f t="shared" ref="J146:K146" si="105">J41 * (1 - J$116)</f>
        <v>0.28943700736560884</v>
      </c>
      <c r="K146" s="274">
        <f t="shared" si="105"/>
        <v>0.28943700736560884</v>
      </c>
      <c r="L146" s="274">
        <f t="shared" ref="L146:M146" si="106">L41 * (1 - L$116)</f>
        <v>0.33380394464375013</v>
      </c>
      <c r="M146" s="274">
        <f t="shared" si="106"/>
        <v>0.33380394464375013</v>
      </c>
      <c r="N146" s="274">
        <f t="shared" ref="N146:P146" si="107">N41 * (1 - N$116)</f>
        <v>0.29417525070619538</v>
      </c>
      <c r="O146" s="274">
        <f t="shared" si="107"/>
        <v>0.27856619580552661</v>
      </c>
      <c r="P146" s="274">
        <f t="shared" si="107"/>
        <v>0</v>
      </c>
      <c r="Q146" s="274">
        <f t="shared" ref="Q146:S146" si="108">Q41 * (1 - Q$116)</f>
        <v>0.48235198085664538</v>
      </c>
      <c r="R146" s="274">
        <f t="shared" si="108"/>
        <v>-0.22593885787538545</v>
      </c>
      <c r="S146" s="274">
        <f t="shared" si="108"/>
        <v>-0.21867046587108102</v>
      </c>
      <c r="T146" s="274">
        <f t="shared" ref="T146:U146" si="109">T41 * (1 - T$116)</f>
        <v>-0.22593885787538545</v>
      </c>
      <c r="U146" s="274">
        <f t="shared" si="109"/>
        <v>-0.22593885787538545</v>
      </c>
      <c r="V146" s="274">
        <f t="shared" ref="V146:W146" si="110">V41 * (1 - V$116)</f>
        <v>-0.21867046587108102</v>
      </c>
      <c r="W146" s="274">
        <f t="shared" si="110"/>
        <v>-0.21867046587108102</v>
      </c>
      <c r="X146" s="274">
        <f t="shared" ref="X146:Y146" si="111">X41 * (1 - X$116)</f>
        <v>-0.2153721327284969</v>
      </c>
      <c r="Y146" s="274">
        <f t="shared" si="111"/>
        <v>-0.2153721327284969</v>
      </c>
      <c r="Z146" s="259"/>
      <c r="AA146" s="259"/>
    </row>
    <row r="147" spans="3:27" x14ac:dyDescent="0.3">
      <c r="F147" t="s">
        <v>195</v>
      </c>
      <c r="G147" t="s">
        <v>268</v>
      </c>
      <c r="H147" s="259"/>
      <c r="I147" s="259"/>
      <c r="J147" s="274">
        <f t="shared" ref="J147:K147" si="112">J42 * (1 - J$117)</f>
        <v>0</v>
      </c>
      <c r="K147" s="274">
        <f t="shared" si="112"/>
        <v>0</v>
      </c>
      <c r="L147" s="274">
        <f t="shared" ref="L147:M147" si="113">L42 * (1 - L$117)</f>
        <v>0</v>
      </c>
      <c r="M147" s="274">
        <f t="shared" si="113"/>
        <v>0</v>
      </c>
      <c r="N147" s="274">
        <f t="shared" ref="N147:P147" si="114">N42 * (1 - N$117)</f>
        <v>0</v>
      </c>
      <c r="O147" s="274">
        <f t="shared" si="114"/>
        <v>0</v>
      </c>
      <c r="P147" s="274">
        <f t="shared" si="114"/>
        <v>0</v>
      </c>
      <c r="Q147" s="274">
        <f t="shared" ref="Q147:S147" si="115">Q42 * (1 - Q$117)</f>
        <v>0</v>
      </c>
      <c r="R147" s="274">
        <f t="shared" si="115"/>
        <v>0</v>
      </c>
      <c r="S147" s="274">
        <f t="shared" si="115"/>
        <v>0</v>
      </c>
      <c r="T147" s="274">
        <f t="shared" ref="T147:U147" si="116">T42 * (1 - T$117)</f>
        <v>0</v>
      </c>
      <c r="U147" s="274">
        <f t="shared" si="116"/>
        <v>0</v>
      </c>
      <c r="V147" s="274">
        <f t="shared" ref="V147:W147" si="117">V42 * (1 - V$117)</f>
        <v>0</v>
      </c>
      <c r="W147" s="274">
        <f t="shared" si="117"/>
        <v>0</v>
      </c>
      <c r="X147" s="274">
        <f t="shared" ref="X147:Y147" si="118">X42 * (1 - X$117)</f>
        <v>0</v>
      </c>
      <c r="Y147" s="274">
        <f t="shared" si="118"/>
        <v>0</v>
      </c>
      <c r="Z147" s="259"/>
      <c r="AA147" s="259"/>
    </row>
    <row r="148" spans="3:27" x14ac:dyDescent="0.3">
      <c r="F148" t="s">
        <v>196</v>
      </c>
      <c r="G148" t="s">
        <v>268</v>
      </c>
      <c r="H148" s="259"/>
      <c r="I148" s="259"/>
      <c r="J148" s="274">
        <f t="shared" ref="J148:K148" si="119">J43 * (1 - J$118)</f>
        <v>0.5254672926073819</v>
      </c>
      <c r="K148" s="274">
        <f t="shared" si="119"/>
        <v>0.5254672926073819</v>
      </c>
      <c r="L148" s="274">
        <f t="shared" ref="L148:M148" si="120">L43 * (1 - L$118)</f>
        <v>0.60601460970763654</v>
      </c>
      <c r="M148" s="274">
        <f t="shared" si="120"/>
        <v>0.60601460970763654</v>
      </c>
      <c r="N148" s="274">
        <f t="shared" ref="N148:P148" si="121">N43 * (1 - N$118)</f>
        <v>0.42725558544881398</v>
      </c>
      <c r="O148" s="274">
        <f t="shared" si="121"/>
        <v>0</v>
      </c>
      <c r="P148" s="274">
        <f t="shared" si="121"/>
        <v>0</v>
      </c>
      <c r="Q148" s="274">
        <f t="shared" ref="Q148:S148" si="122">Q43 * (1 - Q$118)</f>
        <v>0.87570069830215347</v>
      </c>
      <c r="R148" s="274">
        <f t="shared" si="122"/>
        <v>-0.41018762950590709</v>
      </c>
      <c r="S148" s="274">
        <f t="shared" si="122"/>
        <v>-0.39699200430623616</v>
      </c>
      <c r="T148" s="274">
        <f t="shared" ref="T148:U148" si="123">T43 * (1 - T$118)</f>
        <v>-0.41018762950590709</v>
      </c>
      <c r="U148" s="274">
        <f t="shared" si="123"/>
        <v>-0.41018762950590709</v>
      </c>
      <c r="V148" s="274">
        <f t="shared" ref="V148:W148" si="124">V43 * (1 - V$118)</f>
        <v>-0.39699200430623616</v>
      </c>
      <c r="W148" s="274">
        <f t="shared" si="124"/>
        <v>-0.39699200430623616</v>
      </c>
      <c r="X148" s="274">
        <f t="shared" ref="X148:Y148" si="125">X43 * (1 - X$118)</f>
        <v>0</v>
      </c>
      <c r="Y148" s="274">
        <f t="shared" si="125"/>
        <v>0</v>
      </c>
      <c r="Z148" s="259"/>
      <c r="AA148" s="259"/>
    </row>
    <row r="149" spans="3:27" x14ac:dyDescent="0.3">
      <c r="F149" t="s">
        <v>197</v>
      </c>
      <c r="G149" t="s">
        <v>268</v>
      </c>
      <c r="H149" s="259"/>
      <c r="I149" s="259"/>
      <c r="J149" s="274">
        <f t="shared" ref="J149:K149" si="126">J44 * (1 - J$119)</f>
        <v>0.47708247566735817</v>
      </c>
      <c r="K149" s="274">
        <f t="shared" si="126"/>
        <v>0.47708247566735817</v>
      </c>
      <c r="L149" s="274">
        <f t="shared" ref="L149:M149" si="127">L44 * (1 - L$119)</f>
        <v>0.5502130282082669</v>
      </c>
      <c r="M149" s="274">
        <f t="shared" si="127"/>
        <v>0.5502130282082669</v>
      </c>
      <c r="N149" s="274">
        <f t="shared" ref="N149:P149" si="128">N44 * (1 - N$119)</f>
        <v>0</v>
      </c>
      <c r="O149" s="274">
        <f t="shared" si="128"/>
        <v>0</v>
      </c>
      <c r="P149" s="274">
        <f t="shared" si="128"/>
        <v>0</v>
      </c>
      <c r="Q149" s="274">
        <f t="shared" ref="Q149:S149" si="129">Q44 * (1 - Q$119)</f>
        <v>0.79506653024317364</v>
      </c>
      <c r="R149" s="274">
        <f t="shared" si="129"/>
        <v>-0.37241771757432895</v>
      </c>
      <c r="S149" s="274">
        <f t="shared" si="129"/>
        <v>0</v>
      </c>
      <c r="T149" s="274">
        <f t="shared" ref="T149:U149" si="130">T44 * (1 - T$119)</f>
        <v>-0.37241771757432895</v>
      </c>
      <c r="U149" s="274">
        <f t="shared" si="130"/>
        <v>-0.37241771757432895</v>
      </c>
      <c r="V149" s="274">
        <f t="shared" ref="V149:W149" si="131">V44 * (1 - V$119)</f>
        <v>0</v>
      </c>
      <c r="W149" s="274">
        <f t="shared" si="131"/>
        <v>0</v>
      </c>
      <c r="X149" s="274">
        <f t="shared" ref="X149:Y149" si="132">X44 * (1 - X$119)</f>
        <v>0</v>
      </c>
      <c r="Y149" s="274">
        <f t="shared" si="132"/>
        <v>0</v>
      </c>
      <c r="Z149" s="259"/>
      <c r="AA149" s="259"/>
    </row>
    <row r="150" spans="3:27" x14ac:dyDescent="0.3">
      <c r="F150" t="s">
        <v>198</v>
      </c>
      <c r="G150" t="s">
        <v>268</v>
      </c>
      <c r="H150" s="259"/>
      <c r="I150" s="259"/>
      <c r="J150" s="274">
        <f t="shared" ref="J150:K150" si="133">J45 * (1 - J$120)</f>
        <v>0</v>
      </c>
      <c r="K150" s="274">
        <f t="shared" si="133"/>
        <v>0</v>
      </c>
      <c r="L150" s="274">
        <f t="shared" ref="L150:M150" si="134">L45 * (1 - L$120)</f>
        <v>0</v>
      </c>
      <c r="M150" s="274">
        <f t="shared" si="134"/>
        <v>0</v>
      </c>
      <c r="N150" s="274">
        <f t="shared" ref="N150:P150" si="135">N45 * (1 - N$120)</f>
        <v>0</v>
      </c>
      <c r="O150" s="274">
        <f t="shared" si="135"/>
        <v>0</v>
      </c>
      <c r="P150" s="274">
        <f t="shared" si="135"/>
        <v>0</v>
      </c>
      <c r="Q150" s="274">
        <f t="shared" ref="Q150:S150" si="136">Q45 * (1 - Q$120)</f>
        <v>0.44075444048561291</v>
      </c>
      <c r="R150" s="274">
        <f t="shared" si="136"/>
        <v>0</v>
      </c>
      <c r="S150" s="274">
        <f t="shared" si="136"/>
        <v>0</v>
      </c>
      <c r="T150" s="274">
        <f t="shared" ref="T150:U150" si="137">T45 * (1 - T$120)</f>
        <v>0</v>
      </c>
      <c r="U150" s="274">
        <f t="shared" si="137"/>
        <v>0</v>
      </c>
      <c r="V150" s="274">
        <f t="shared" ref="V150:W150" si="138">V45 * (1 - V$120)</f>
        <v>0</v>
      </c>
      <c r="W150" s="274">
        <f t="shared" si="138"/>
        <v>0</v>
      </c>
      <c r="X150" s="274">
        <f t="shared" ref="X150:Y150" si="139">X45 * (1 - X$120)</f>
        <v>0</v>
      </c>
      <c r="Y150" s="274">
        <f t="shared" si="139"/>
        <v>0</v>
      </c>
      <c r="Z150" s="259"/>
      <c r="AA150" s="259"/>
    </row>
    <row r="151" spans="3:27" x14ac:dyDescent="0.3">
      <c r="D151"/>
      <c r="F151" s="23" t="s">
        <v>375</v>
      </c>
      <c r="G151" s="23" t="s">
        <v>268</v>
      </c>
      <c r="H151" s="258"/>
      <c r="I151" s="258" t="s">
        <v>153</v>
      </c>
      <c r="J151" s="272"/>
      <c r="K151" s="272"/>
      <c r="L151" s="272"/>
      <c r="M151" s="272"/>
      <c r="N151" s="272"/>
      <c r="O151" s="272"/>
      <c r="P151" s="272"/>
      <c r="Q151" s="273">
        <f t="shared" ref="Q151" si="140">Q46</f>
        <v>2.1563961368649194</v>
      </c>
      <c r="R151" s="272"/>
      <c r="S151" s="272"/>
      <c r="T151" s="272"/>
      <c r="U151" s="272"/>
      <c r="V151" s="272"/>
      <c r="W151" s="272"/>
      <c r="X151" s="272"/>
      <c r="Y151" s="272"/>
      <c r="Z151" s="259"/>
      <c r="AA151" s="259" t="s">
        <v>653</v>
      </c>
    </row>
    <row r="152" spans="3:27" x14ac:dyDescent="0.3">
      <c r="D152"/>
      <c r="F152" s="37" t="s">
        <v>376</v>
      </c>
      <c r="G152" s="37" t="s">
        <v>268</v>
      </c>
      <c r="H152" s="261"/>
      <c r="I152" s="261"/>
      <c r="J152" s="262"/>
      <c r="K152" s="262"/>
      <c r="L152" s="262"/>
      <c r="M152" s="262"/>
      <c r="N152" s="262"/>
      <c r="O152" s="262"/>
      <c r="P152" s="262"/>
      <c r="Q152" s="262"/>
      <c r="R152" s="262"/>
      <c r="S152" s="262"/>
      <c r="T152" s="262"/>
      <c r="U152" s="262"/>
      <c r="V152" s="262"/>
      <c r="W152" s="262"/>
      <c r="X152" s="262"/>
      <c r="Y152" s="262"/>
      <c r="Z152" s="259"/>
      <c r="AA152" s="259"/>
    </row>
    <row r="153" spans="3:27" x14ac:dyDescent="0.3">
      <c r="E153"/>
      <c r="J153" s="89"/>
      <c r="K153" s="89"/>
      <c r="L153" s="89"/>
      <c r="M153" s="89"/>
      <c r="N153" s="89"/>
      <c r="O153" s="89"/>
      <c r="P153" s="89"/>
      <c r="Q153" s="89"/>
      <c r="R153" s="89"/>
      <c r="S153" s="89"/>
      <c r="T153" s="89"/>
      <c r="U153" s="89"/>
      <c r="V153" s="89"/>
      <c r="W153" s="89"/>
      <c r="X153" s="89"/>
      <c r="Y153" s="89"/>
    </row>
    <row r="154" spans="3:27" x14ac:dyDescent="0.3">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3">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3">
      <c r="E156" s="32" t="s">
        <v>620</v>
      </c>
      <c r="J156" s="89"/>
      <c r="K156" s="89"/>
      <c r="L156" s="89"/>
      <c r="M156" s="89"/>
      <c r="N156" s="89"/>
      <c r="O156" s="89"/>
      <c r="P156" s="89"/>
      <c r="Q156" s="89"/>
      <c r="R156" s="89"/>
      <c r="S156" s="89"/>
      <c r="T156" s="89"/>
      <c r="U156" s="89"/>
      <c r="V156" s="89"/>
      <c r="W156" s="89"/>
      <c r="X156" s="89"/>
      <c r="Y156" s="89"/>
    </row>
    <row r="157" spans="3:27" x14ac:dyDescent="0.3">
      <c r="F157" s="23" t="s">
        <v>188</v>
      </c>
      <c r="G157" s="23" t="s">
        <v>268</v>
      </c>
      <c r="H157" s="258"/>
      <c r="I157" s="258"/>
      <c r="J157" s="420">
        <f t="shared" ref="J157:K157" si="141">J52 * (1 - J$112)</f>
        <v>0</v>
      </c>
      <c r="K157" s="420">
        <f t="shared" si="141"/>
        <v>0</v>
      </c>
      <c r="L157" s="420">
        <f t="shared" ref="L157:M157" si="142">L52 * (1 - L$112)</f>
        <v>0</v>
      </c>
      <c r="M157" s="420">
        <f t="shared" si="142"/>
        <v>0</v>
      </c>
      <c r="N157" s="420">
        <f t="shared" ref="N157:P157" si="143">N52 * (1 - N$112)</f>
        <v>0</v>
      </c>
      <c r="O157" s="420">
        <f t="shared" si="143"/>
        <v>0</v>
      </c>
      <c r="P157" s="420">
        <f t="shared" si="143"/>
        <v>0</v>
      </c>
      <c r="Q157" s="420">
        <f t="shared" ref="Q157:S157" si="144">Q52 * (1 - Q$112)</f>
        <v>0</v>
      </c>
      <c r="R157" s="420">
        <f t="shared" si="144"/>
        <v>0</v>
      </c>
      <c r="S157" s="420">
        <f t="shared" si="144"/>
        <v>0</v>
      </c>
      <c r="T157" s="420">
        <f t="shared" ref="T157:U157" si="145">T52 * (1 - T$112)</f>
        <v>0</v>
      </c>
      <c r="U157" s="420">
        <f t="shared" si="145"/>
        <v>0</v>
      </c>
      <c r="V157" s="420">
        <f t="shared" ref="V157:W157" si="146">V52 * (1 - V$112)</f>
        <v>0</v>
      </c>
      <c r="W157" s="420">
        <f t="shared" si="146"/>
        <v>0</v>
      </c>
      <c r="X157" s="420">
        <f t="shared" ref="X157:Y157" si="147">X52 * (1 - X$112)</f>
        <v>0</v>
      </c>
      <c r="Y157" s="420">
        <f t="shared" si="147"/>
        <v>0</v>
      </c>
      <c r="Z157" s="259"/>
      <c r="AA157" s="259"/>
    </row>
    <row r="158" spans="3:27" x14ac:dyDescent="0.3">
      <c r="F158" t="s">
        <v>190</v>
      </c>
      <c r="G158" t="s">
        <v>268</v>
      </c>
      <c r="H158" s="259"/>
      <c r="I158" s="259"/>
      <c r="J158" s="274">
        <f t="shared" ref="J158:K158" si="148">J53 * (1 - J$112)</f>
        <v>0</v>
      </c>
      <c r="K158" s="274">
        <f t="shared" si="148"/>
        <v>0</v>
      </c>
      <c r="L158" s="274">
        <f t="shared" ref="L158:M158" si="149">L53 * (1 - L$112)</f>
        <v>0</v>
      </c>
      <c r="M158" s="274">
        <f t="shared" si="149"/>
        <v>0</v>
      </c>
      <c r="N158" s="274">
        <f t="shared" ref="N158:P158" si="150">N53 * (1 - N$112)</f>
        <v>0</v>
      </c>
      <c r="O158" s="274">
        <f t="shared" si="150"/>
        <v>0</v>
      </c>
      <c r="P158" s="274">
        <f t="shared" si="150"/>
        <v>0</v>
      </c>
      <c r="Q158" s="274">
        <f t="shared" ref="Q158:S158" si="151">Q53 * (1 - Q$112)</f>
        <v>0</v>
      </c>
      <c r="R158" s="274">
        <f t="shared" si="151"/>
        <v>0</v>
      </c>
      <c r="S158" s="274">
        <f t="shared" si="151"/>
        <v>0</v>
      </c>
      <c r="T158" s="274">
        <f t="shared" ref="T158:U158" si="152">T53 * (1 - T$112)</f>
        <v>0</v>
      </c>
      <c r="U158" s="274">
        <f t="shared" si="152"/>
        <v>0</v>
      </c>
      <c r="V158" s="274">
        <f t="shared" ref="V158:W158" si="153">V53 * (1 - V$112)</f>
        <v>0</v>
      </c>
      <c r="W158" s="274">
        <f t="shared" si="153"/>
        <v>0</v>
      </c>
      <c r="X158" s="274">
        <f t="shared" ref="X158:Y158" si="154">X53 * (1 - X$112)</f>
        <v>0</v>
      </c>
      <c r="Y158" s="274">
        <f t="shared" si="154"/>
        <v>0</v>
      </c>
      <c r="Z158" s="259"/>
      <c r="AA158" s="259"/>
    </row>
    <row r="159" spans="3:27" x14ac:dyDescent="0.3">
      <c r="F159" t="s">
        <v>191</v>
      </c>
      <c r="G159" t="s">
        <v>268</v>
      </c>
      <c r="H159" s="259"/>
      <c r="I159" s="259"/>
      <c r="J159" s="274">
        <f t="shared" ref="J159:K159" si="155">J54 * (1 - J$113)</f>
        <v>0.13335123624807285</v>
      </c>
      <c r="K159" s="274">
        <f t="shared" si="155"/>
        <v>0.13335123624807285</v>
      </c>
      <c r="L159" s="274">
        <f t="shared" ref="L159:M159" si="156">L54 * (1 - L$113)</f>
        <v>0.15379225029956017</v>
      </c>
      <c r="M159" s="274">
        <f t="shared" si="156"/>
        <v>0.15379225029956017</v>
      </c>
      <c r="N159" s="274">
        <f t="shared" ref="N159:P159" si="157">N54 * (1 - N$113)</f>
        <v>0.1355342694851229</v>
      </c>
      <c r="O159" s="274">
        <f t="shared" si="157"/>
        <v>0.12834276765675118</v>
      </c>
      <c r="P159" s="274">
        <f t="shared" si="157"/>
        <v>0.11009532108082125</v>
      </c>
      <c r="Q159" s="274">
        <f t="shared" ref="Q159:S159" si="158">Q54 * (1 - Q$113)</f>
        <v>0.11957318205284463</v>
      </c>
      <c r="R159" s="274">
        <f t="shared" si="158"/>
        <v>-0.10409596992585636</v>
      </c>
      <c r="S159" s="274">
        <f t="shared" si="158"/>
        <v>-0.10074723070231517</v>
      </c>
      <c r="T159" s="274">
        <f t="shared" ref="T159:U159" si="159">T54 * (1 - T$113)</f>
        <v>-0.10409596992585636</v>
      </c>
      <c r="U159" s="274">
        <f t="shared" si="159"/>
        <v>-0.10409596992585636</v>
      </c>
      <c r="V159" s="274">
        <f t="shared" ref="V159:W159" si="160">V54 * (1 - V$113)</f>
        <v>-0.10074723070231517</v>
      </c>
      <c r="W159" s="274">
        <f t="shared" si="160"/>
        <v>-0.10074723070231517</v>
      </c>
      <c r="X159" s="274">
        <f t="shared" ref="X159:Y159" si="161">X54 * (1 - X$113)</f>
        <v>-9.9227601937061954E-2</v>
      </c>
      <c r="Y159" s="274">
        <f t="shared" si="161"/>
        <v>-9.9227601937061954E-2</v>
      </c>
      <c r="Z159" s="259"/>
      <c r="AA159" s="259"/>
    </row>
    <row r="160" spans="3:27" x14ac:dyDescent="0.3">
      <c r="F160" t="s">
        <v>192</v>
      </c>
      <c r="G160" t="s">
        <v>268</v>
      </c>
      <c r="H160" s="259"/>
      <c r="I160" s="259"/>
      <c r="J160" s="274">
        <f t="shared" ref="J160:K160" si="162">J55 * (1 - J$114)</f>
        <v>5.2747799191922608E-2</v>
      </c>
      <c r="K160" s="274">
        <f t="shared" si="162"/>
        <v>5.2747799191922608E-2</v>
      </c>
      <c r="L160" s="274">
        <f t="shared" ref="L160:M160" si="163">L55 * (1 - L$114)</f>
        <v>6.0833352313164876E-2</v>
      </c>
      <c r="M160" s="274">
        <f t="shared" si="163"/>
        <v>6.0833352313164876E-2</v>
      </c>
      <c r="N160" s="274">
        <f t="shared" ref="N160:P160" si="164">N55 * (1 - N$114)</f>
        <v>5.3611309737884055E-2</v>
      </c>
      <c r="O160" s="274">
        <f t="shared" si="164"/>
        <v>5.076667248513584E-2</v>
      </c>
      <c r="P160" s="274">
        <f t="shared" si="164"/>
        <v>4.3548796784591698E-2</v>
      </c>
      <c r="Q160" s="274">
        <f t="shared" ref="Q160:S160" si="165">Q55 * (1 - Q$114)</f>
        <v>4.7297815701755841E-2</v>
      </c>
      <c r="R160" s="274">
        <f t="shared" si="165"/>
        <v>-4.1175721146843411E-2</v>
      </c>
      <c r="S160" s="274">
        <f t="shared" si="165"/>
        <v>-3.9851109324116354E-2</v>
      </c>
      <c r="T160" s="274">
        <f t="shared" ref="T160:U160" si="166">T55 * (1 - T$114)</f>
        <v>-4.1175721146843411E-2</v>
      </c>
      <c r="U160" s="274">
        <f t="shared" si="166"/>
        <v>-4.1175721146843411E-2</v>
      </c>
      <c r="V160" s="274">
        <f t="shared" ref="V160:W160" si="167">V55 * (1 - V$114)</f>
        <v>-3.9851109324116354E-2</v>
      </c>
      <c r="W160" s="274">
        <f t="shared" si="167"/>
        <v>-3.9851109324116354E-2</v>
      </c>
      <c r="X160" s="274">
        <f t="shared" ref="X160:Y160" si="168">X55 * (1 - X$114)</f>
        <v>-3.9250011987405291E-2</v>
      </c>
      <c r="Y160" s="274">
        <f t="shared" si="168"/>
        <v>-3.9250011987405291E-2</v>
      </c>
      <c r="Z160" s="259"/>
      <c r="AA160" s="259"/>
    </row>
    <row r="161" spans="4:27" x14ac:dyDescent="0.3">
      <c r="F161" t="s">
        <v>193</v>
      </c>
      <c r="G161" t="s">
        <v>268</v>
      </c>
      <c r="H161" s="259"/>
      <c r="I161" s="259"/>
      <c r="J161" s="274">
        <f t="shared" ref="J161:K161" si="169">J56 * (1 - J$115)</f>
        <v>0.24028024655840682</v>
      </c>
      <c r="K161" s="274">
        <f t="shared" si="169"/>
        <v>0.24028024655840682</v>
      </c>
      <c r="L161" s="274">
        <f t="shared" ref="L161:M161" si="170">L56 * (1 - L$115)</f>
        <v>0.27711209029968459</v>
      </c>
      <c r="M161" s="274">
        <f t="shared" si="170"/>
        <v>0.27711209029968459</v>
      </c>
      <c r="N161" s="274">
        <f t="shared" ref="N161:P161" si="171">N56 * (1 - N$115)</f>
        <v>0.24421376663067509</v>
      </c>
      <c r="O161" s="274">
        <f t="shared" si="171"/>
        <v>0.23125568779268185</v>
      </c>
      <c r="P161" s="274">
        <f t="shared" si="171"/>
        <v>0.15870107627657781</v>
      </c>
      <c r="Q161" s="274">
        <f t="shared" ref="Q161:S161" si="172">Q56 * (1 - Q$115)</f>
        <v>0.14551394091860301</v>
      </c>
      <c r="R161" s="274">
        <f t="shared" si="172"/>
        <v>-0.18756635501294602</v>
      </c>
      <c r="S161" s="274">
        <f t="shared" si="172"/>
        <v>-0.18153239605664942</v>
      </c>
      <c r="T161" s="274">
        <f t="shared" ref="T161:U161" si="173">T56 * (1 - T$115)</f>
        <v>-0.18756635501294602</v>
      </c>
      <c r="U161" s="274">
        <f t="shared" si="173"/>
        <v>-0.18756635501294602</v>
      </c>
      <c r="V161" s="274">
        <f t="shared" ref="V161:W161" si="174">V56 * (1 - V$115)</f>
        <v>-0.18153239605664942</v>
      </c>
      <c r="W161" s="274">
        <f t="shared" si="174"/>
        <v>-0.18153239605664942</v>
      </c>
      <c r="X161" s="274">
        <f t="shared" ref="X161:Y161" si="175">X56 * (1 - X$115)</f>
        <v>-0.17879423790629656</v>
      </c>
      <c r="Y161" s="274">
        <f t="shared" si="175"/>
        <v>-0.17879423790629656</v>
      </c>
      <c r="Z161" s="259"/>
      <c r="AA161" s="259"/>
    </row>
    <row r="162" spans="4:27" x14ac:dyDescent="0.3">
      <c r="F162" t="s">
        <v>194</v>
      </c>
      <c r="G162" t="s">
        <v>268</v>
      </c>
      <c r="H162" s="259"/>
      <c r="I162" s="259"/>
      <c r="J162" s="274">
        <f t="shared" ref="J162:K162" si="176">J57 * (1 - J$116)</f>
        <v>0.15156959574586595</v>
      </c>
      <c r="K162" s="274">
        <f t="shared" si="176"/>
        <v>0.15156959574586595</v>
      </c>
      <c r="L162" s="274">
        <f t="shared" ref="L162:M162" si="177">L57 * (1 - L$116)</f>
        <v>0.17480324789331109</v>
      </c>
      <c r="M162" s="274">
        <f t="shared" si="177"/>
        <v>0.17480324789331109</v>
      </c>
      <c r="N162" s="274">
        <f t="shared" ref="N162:P162" si="178">N57 * (1 - N$116)</f>
        <v>0.15405087356937203</v>
      </c>
      <c r="O162" s="274">
        <f t="shared" si="178"/>
        <v>0.14587687342059041</v>
      </c>
      <c r="P162" s="274">
        <f t="shared" si="178"/>
        <v>0</v>
      </c>
      <c r="Q162" s="274">
        <f t="shared" ref="Q162:S162" si="179">Q57 * (1 - Q$116)</f>
        <v>9.1790688233122308E-2</v>
      </c>
      <c r="R162" s="274">
        <f t="shared" si="179"/>
        <v>-0.11831749389322878</v>
      </c>
      <c r="S162" s="274">
        <f t="shared" si="179"/>
        <v>-0.11451125208661933</v>
      </c>
      <c r="T162" s="274">
        <f t="shared" ref="T162:U162" si="180">T57 * (1 - T$116)</f>
        <v>-0.11831749389322878</v>
      </c>
      <c r="U162" s="274">
        <f t="shared" si="180"/>
        <v>-0.11831749389322878</v>
      </c>
      <c r="V162" s="274">
        <f t="shared" ref="V162:W162" si="181">V57 * (1 - V$116)</f>
        <v>-0.11451125208661933</v>
      </c>
      <c r="W162" s="274">
        <f t="shared" si="181"/>
        <v>-0.11451125208661933</v>
      </c>
      <c r="X162" s="274">
        <f t="shared" ref="X162:Y162" si="182">X57 * (1 - X$116)</f>
        <v>-4.8497125428331379E-2</v>
      </c>
      <c r="Y162" s="274">
        <f t="shared" si="182"/>
        <v>-4.8497125428331379E-2</v>
      </c>
      <c r="Z162" s="259"/>
      <c r="AA162" s="259"/>
    </row>
    <row r="163" spans="4:27" x14ac:dyDescent="0.3">
      <c r="F163" t="s">
        <v>195</v>
      </c>
      <c r="G163" t="s">
        <v>268</v>
      </c>
      <c r="H163" s="259"/>
      <c r="I163" s="259"/>
      <c r="J163" s="274">
        <f t="shared" ref="J163:K163" si="183">J58 * (1 - J$117)</f>
        <v>0</v>
      </c>
      <c r="K163" s="274">
        <f t="shared" si="183"/>
        <v>0</v>
      </c>
      <c r="L163" s="274">
        <f t="shared" ref="L163:M163" si="184">L58 * (1 - L$117)</f>
        <v>0</v>
      </c>
      <c r="M163" s="274">
        <f t="shared" si="184"/>
        <v>0</v>
      </c>
      <c r="N163" s="274">
        <f t="shared" ref="N163:P163" si="185">N58 * (1 - N$117)</f>
        <v>0</v>
      </c>
      <c r="O163" s="274">
        <f t="shared" si="185"/>
        <v>0</v>
      </c>
      <c r="P163" s="274">
        <f t="shared" si="185"/>
        <v>0</v>
      </c>
      <c r="Q163" s="274">
        <f t="shared" ref="Q163:S163" si="186">Q58 * (1 - Q$117)</f>
        <v>0</v>
      </c>
      <c r="R163" s="274">
        <f t="shared" si="186"/>
        <v>0</v>
      </c>
      <c r="S163" s="274">
        <f t="shared" si="186"/>
        <v>0</v>
      </c>
      <c r="T163" s="274">
        <f t="shared" ref="T163:U163" si="187">T58 * (1 - T$117)</f>
        <v>0</v>
      </c>
      <c r="U163" s="274">
        <f t="shared" si="187"/>
        <v>0</v>
      </c>
      <c r="V163" s="274">
        <f t="shared" ref="V163:W163" si="188">V58 * (1 - V$117)</f>
        <v>0</v>
      </c>
      <c r="W163" s="274">
        <f t="shared" si="188"/>
        <v>0</v>
      </c>
      <c r="X163" s="274">
        <f t="shared" ref="X163:Y163" si="189">X58 * (1 - X$117)</f>
        <v>0</v>
      </c>
      <c r="Y163" s="274">
        <f t="shared" si="189"/>
        <v>0</v>
      </c>
      <c r="Z163" s="259"/>
      <c r="AA163" s="259"/>
    </row>
    <row r="164" spans="4:27" x14ac:dyDescent="0.3">
      <c r="F164" t="s">
        <v>196</v>
      </c>
      <c r="G164" t="s">
        <v>268</v>
      </c>
      <c r="H164" s="259"/>
      <c r="I164" s="259"/>
      <c r="J164" s="274">
        <f t="shared" ref="J164:K164" si="190">J59 * (1 - J$118)</f>
        <v>0.19262017006795279</v>
      </c>
      <c r="K164" s="274">
        <f t="shared" si="190"/>
        <v>0.19262017006795279</v>
      </c>
      <c r="L164" s="274">
        <f t="shared" ref="L164:M164" si="191">L59 * (1 - L$118)</f>
        <v>0.22214634255602975</v>
      </c>
      <c r="M164" s="274">
        <f t="shared" si="191"/>
        <v>0.22214634255602975</v>
      </c>
      <c r="N164" s="274">
        <f t="shared" ref="N164:P164" si="192">N59 * (1 - N$118)</f>
        <v>0.15661877473528049</v>
      </c>
      <c r="O164" s="274">
        <f t="shared" si="192"/>
        <v>0</v>
      </c>
      <c r="P164" s="274">
        <f t="shared" si="192"/>
        <v>0</v>
      </c>
      <c r="Q164" s="274">
        <f t="shared" ref="Q164:S164" si="193">Q59 * (1 - Q$118)</f>
        <v>0.11665095424390674</v>
      </c>
      <c r="R164" s="274">
        <f t="shared" si="193"/>
        <v>-0.15036218631828935</v>
      </c>
      <c r="S164" s="274">
        <f t="shared" si="193"/>
        <v>-0.14552507541553195</v>
      </c>
      <c r="T164" s="274">
        <f t="shared" ref="T164:U164" si="194">T59 * (1 - T$118)</f>
        <v>-0.15036218631828935</v>
      </c>
      <c r="U164" s="274">
        <f t="shared" si="194"/>
        <v>-0.15036218631828935</v>
      </c>
      <c r="V164" s="274">
        <f t="shared" ref="V164:W164" si="195">V59 * (1 - V$118)</f>
        <v>-0.14552507541553195</v>
      </c>
      <c r="W164" s="274">
        <f t="shared" si="195"/>
        <v>-0.14552507541553195</v>
      </c>
      <c r="X164" s="274">
        <f t="shared" ref="X164:Y164" si="196">X59 * (1 - X$118)</f>
        <v>0</v>
      </c>
      <c r="Y164" s="274">
        <f t="shared" si="196"/>
        <v>0</v>
      </c>
      <c r="Z164" s="259"/>
      <c r="AA164" s="259"/>
    </row>
    <row r="165" spans="4:27" x14ac:dyDescent="0.3">
      <c r="F165" t="s">
        <v>197</v>
      </c>
      <c r="G165" t="s">
        <v>268</v>
      </c>
      <c r="H165" s="259"/>
      <c r="I165" s="259"/>
      <c r="J165" s="274">
        <f t="shared" ref="J165:K165" si="197">J60 * (1 - J$119)</f>
        <v>0.17488378228737636</v>
      </c>
      <c r="K165" s="274">
        <f t="shared" si="197"/>
        <v>0.17488378228737636</v>
      </c>
      <c r="L165" s="274">
        <f t="shared" ref="L165:M165" si="198">L60 * (1 - L$119)</f>
        <v>0.20169119668931951</v>
      </c>
      <c r="M165" s="274">
        <f t="shared" si="198"/>
        <v>0.20169119668931951</v>
      </c>
      <c r="N165" s="274">
        <f t="shared" ref="N165:P165" si="199">N60 * (1 - N$119)</f>
        <v>0</v>
      </c>
      <c r="O165" s="274">
        <f t="shared" si="199"/>
        <v>0</v>
      </c>
      <c r="P165" s="274">
        <f t="shared" si="199"/>
        <v>0</v>
      </c>
      <c r="Q165" s="274">
        <f t="shared" ref="Q165:S165" si="200">Q60 * (1 - Q$119)</f>
        <v>0.10590978129865228</v>
      </c>
      <c r="R165" s="274">
        <f t="shared" si="200"/>
        <v>-0.13651689668358682</v>
      </c>
      <c r="S165" s="274">
        <f t="shared" si="200"/>
        <v>0</v>
      </c>
      <c r="T165" s="274">
        <f t="shared" ref="T165:U165" si="201">T60 * (1 - T$119)</f>
        <v>-0.13651689668358682</v>
      </c>
      <c r="U165" s="274">
        <f t="shared" si="201"/>
        <v>-0.13651689668358682</v>
      </c>
      <c r="V165" s="274">
        <f t="shared" ref="V165:W165" si="202">V60 * (1 - V$119)</f>
        <v>0</v>
      </c>
      <c r="W165" s="274">
        <f t="shared" si="202"/>
        <v>0</v>
      </c>
      <c r="X165" s="274">
        <f t="shared" ref="X165:Y165" si="203">X60 * (1 - X$119)</f>
        <v>0</v>
      </c>
      <c r="Y165" s="274">
        <f t="shared" si="203"/>
        <v>0</v>
      </c>
      <c r="Z165" s="259"/>
      <c r="AA165" s="259"/>
    </row>
    <row r="166" spans="4:27" x14ac:dyDescent="0.3">
      <c r="F166" t="s">
        <v>198</v>
      </c>
      <c r="G166" t="s">
        <v>268</v>
      </c>
      <c r="H166" s="259"/>
      <c r="I166" s="259"/>
      <c r="J166" s="274">
        <f t="shared" ref="J166:K166" si="204">J61 * (1 - J$120)</f>
        <v>0</v>
      </c>
      <c r="K166" s="274">
        <f t="shared" si="204"/>
        <v>0</v>
      </c>
      <c r="L166" s="274">
        <f t="shared" ref="L166:M166" si="205">L61 * (1 - L$120)</f>
        <v>0</v>
      </c>
      <c r="M166" s="274">
        <f t="shared" si="205"/>
        <v>0</v>
      </c>
      <c r="N166" s="274">
        <f t="shared" ref="N166:P166" si="206">N61 * (1 - N$120)</f>
        <v>0</v>
      </c>
      <c r="O166" s="274">
        <f t="shared" si="206"/>
        <v>0</v>
      </c>
      <c r="P166" s="274">
        <f t="shared" si="206"/>
        <v>0</v>
      </c>
      <c r="Q166" s="274">
        <f t="shared" ref="Q166:S166" si="207">Q61 * (1 - Q$120)</f>
        <v>2.5162426012304302E-3</v>
      </c>
      <c r="R166" s="274">
        <f t="shared" si="207"/>
        <v>0</v>
      </c>
      <c r="S166" s="274">
        <f t="shared" si="207"/>
        <v>0</v>
      </c>
      <c r="T166" s="274">
        <f t="shared" ref="T166:U166" si="208">T61 * (1 - T$120)</f>
        <v>0</v>
      </c>
      <c r="U166" s="274">
        <f t="shared" si="208"/>
        <v>0</v>
      </c>
      <c r="V166" s="274">
        <f t="shared" ref="V166:W166" si="209">V61 * (1 - V$120)</f>
        <v>0</v>
      </c>
      <c r="W166" s="274">
        <f t="shared" si="209"/>
        <v>0</v>
      </c>
      <c r="X166" s="274">
        <f t="shared" ref="X166:Y166" si="210">X61 * (1 - X$120)</f>
        <v>0</v>
      </c>
      <c r="Y166" s="274">
        <f t="shared" si="210"/>
        <v>0</v>
      </c>
      <c r="Z166" s="259"/>
      <c r="AA166" s="259"/>
    </row>
    <row r="167" spans="4:27" x14ac:dyDescent="0.3">
      <c r="D167"/>
      <c r="F167" s="23" t="s">
        <v>375</v>
      </c>
      <c r="G167" s="23" t="s">
        <v>268</v>
      </c>
      <c r="H167" s="258"/>
      <c r="I167" s="258"/>
      <c r="J167" s="272"/>
      <c r="K167" s="272"/>
      <c r="L167" s="272"/>
      <c r="M167" s="272"/>
      <c r="N167" s="272"/>
      <c r="O167" s="272"/>
      <c r="P167" s="272"/>
      <c r="Q167" s="272"/>
      <c r="R167" s="272"/>
      <c r="S167" s="272"/>
      <c r="T167" s="272"/>
      <c r="U167" s="272"/>
      <c r="V167" s="272"/>
      <c r="W167" s="272"/>
      <c r="X167" s="272"/>
      <c r="Y167" s="272"/>
      <c r="Z167" s="259"/>
      <c r="AA167" s="259"/>
    </row>
    <row r="168" spans="4:27" x14ac:dyDescent="0.3">
      <c r="D168"/>
      <c r="F168" s="37" t="s">
        <v>376</v>
      </c>
      <c r="G168" s="37" t="s">
        <v>268</v>
      </c>
      <c r="H168" s="261"/>
      <c r="I168" s="261"/>
      <c r="J168" s="262"/>
      <c r="K168" s="262"/>
      <c r="L168" s="262"/>
      <c r="M168" s="262"/>
      <c r="N168" s="262"/>
      <c r="O168" s="262"/>
      <c r="P168" s="262"/>
      <c r="Q168" s="262"/>
      <c r="R168" s="262"/>
      <c r="S168" s="262"/>
      <c r="T168" s="262"/>
      <c r="U168" s="262"/>
      <c r="V168" s="262"/>
      <c r="W168" s="262"/>
      <c r="X168" s="262"/>
      <c r="Y168" s="262"/>
      <c r="Z168" s="259"/>
      <c r="AA168" s="259"/>
    </row>
    <row r="169" spans="4:27" x14ac:dyDescent="0.3">
      <c r="D169"/>
      <c r="J169" s="89"/>
      <c r="K169" s="89"/>
      <c r="L169" s="89"/>
      <c r="M169" s="89"/>
      <c r="N169" s="89"/>
      <c r="O169" s="89"/>
      <c r="P169" s="89"/>
      <c r="Q169" s="89"/>
      <c r="R169" s="89"/>
      <c r="S169" s="89"/>
      <c r="T169" s="89"/>
      <c r="U169" s="89"/>
      <c r="V169" s="89"/>
      <c r="W169" s="89"/>
      <c r="X169" s="89"/>
      <c r="Y169" s="89"/>
    </row>
    <row r="170" spans="4:27" x14ac:dyDescent="0.3">
      <c r="E170" s="32" t="s">
        <v>621</v>
      </c>
      <c r="J170" s="89"/>
      <c r="K170" s="89"/>
      <c r="L170" s="89"/>
      <c r="M170" s="89"/>
      <c r="N170" s="89"/>
      <c r="O170" s="89"/>
      <c r="P170" s="89"/>
      <c r="Q170" s="89"/>
      <c r="R170" s="89"/>
      <c r="S170" s="89"/>
      <c r="T170" s="89"/>
      <c r="U170" s="89"/>
      <c r="V170" s="89"/>
      <c r="W170" s="89"/>
      <c r="X170" s="89"/>
      <c r="Y170" s="89"/>
    </row>
    <row r="171" spans="4:27" x14ac:dyDescent="0.3">
      <c r="F171" s="23" t="s">
        <v>188</v>
      </c>
      <c r="G171" s="23" t="s">
        <v>268</v>
      </c>
      <c r="H171" s="258"/>
      <c r="I171" s="258"/>
      <c r="J171" s="420">
        <f t="shared" ref="J171:K171" si="211">J66 * (1 - J$112)</f>
        <v>3.5088435542692191E-2</v>
      </c>
      <c r="K171" s="420">
        <f t="shared" si="211"/>
        <v>3.5088435542692191E-2</v>
      </c>
      <c r="L171" s="420">
        <f t="shared" ref="L171:M171" si="212">L66 * (1 - L$112)</f>
        <v>4.0467037377613271E-2</v>
      </c>
      <c r="M171" s="420">
        <f t="shared" si="212"/>
        <v>4.0467037377613271E-2</v>
      </c>
      <c r="N171" s="420">
        <f t="shared" ref="N171:P171" si="213">N66 * (1 - N$112)</f>
        <v>3.5662852572342273E-2</v>
      </c>
      <c r="O171" s="420">
        <f t="shared" si="213"/>
        <v>3.3770567540274417E-2</v>
      </c>
      <c r="P171" s="420">
        <f t="shared" si="213"/>
        <v>2.8969154587438064E-2</v>
      </c>
      <c r="Q171" s="420">
        <f t="shared" ref="Q171:S171" si="214">Q66 * (1 - Q$112)</f>
        <v>3.6691816837357005E-2</v>
      </c>
      <c r="R171" s="420">
        <f t="shared" si="214"/>
        <v>-2.7390557701336807E-2</v>
      </c>
      <c r="S171" s="420">
        <f t="shared" si="214"/>
        <v>-2.6509410861603567E-2</v>
      </c>
      <c r="T171" s="420">
        <f t="shared" ref="T171:U171" si="215">T66 * (1 - T$112)</f>
        <v>-2.7390557701336807E-2</v>
      </c>
      <c r="U171" s="420">
        <f t="shared" si="215"/>
        <v>-2.7390557701336807E-2</v>
      </c>
      <c r="V171" s="420">
        <f t="shared" ref="V171:W171" si="216">V66 * (1 - V$112)</f>
        <v>-2.6509410861603567E-2</v>
      </c>
      <c r="W171" s="420">
        <f t="shared" si="216"/>
        <v>-2.6509410861603567E-2</v>
      </c>
      <c r="X171" s="420">
        <f t="shared" ref="X171:Y171" si="217">X66 * (1 - X$112)</f>
        <v>-2.6109554081279348E-2</v>
      </c>
      <c r="Y171" s="420">
        <f t="shared" si="217"/>
        <v>-2.6109554081279348E-2</v>
      </c>
      <c r="Z171" s="259"/>
      <c r="AA171" s="259"/>
    </row>
    <row r="172" spans="4:27" x14ac:dyDescent="0.3">
      <c r="F172" t="s">
        <v>190</v>
      </c>
      <c r="G172" t="s">
        <v>268</v>
      </c>
      <c r="H172" s="259"/>
      <c r="I172" s="259"/>
      <c r="J172" s="274">
        <f t="shared" ref="J172:K172" si="218">J67 * (1 - J$112)</f>
        <v>0</v>
      </c>
      <c r="K172" s="274">
        <f t="shared" si="218"/>
        <v>0</v>
      </c>
      <c r="L172" s="274">
        <f t="shared" ref="L172:M172" si="219">L67 * (1 - L$112)</f>
        <v>0</v>
      </c>
      <c r="M172" s="274">
        <f t="shared" si="219"/>
        <v>0</v>
      </c>
      <c r="N172" s="274">
        <f t="shared" ref="N172:P172" si="220">N67 * (1 - N$112)</f>
        <v>0</v>
      </c>
      <c r="O172" s="274">
        <f t="shared" si="220"/>
        <v>0</v>
      </c>
      <c r="P172" s="274">
        <f t="shared" si="220"/>
        <v>0</v>
      </c>
      <c r="Q172" s="274">
        <f t="shared" ref="Q172:S172" si="221">Q67 * (1 - Q$112)</f>
        <v>0</v>
      </c>
      <c r="R172" s="274">
        <f t="shared" si="221"/>
        <v>0</v>
      </c>
      <c r="S172" s="274">
        <f t="shared" si="221"/>
        <v>0</v>
      </c>
      <c r="T172" s="274">
        <f t="shared" ref="T172:U172" si="222">T67 * (1 - T$112)</f>
        <v>0</v>
      </c>
      <c r="U172" s="274">
        <f t="shared" si="222"/>
        <v>0</v>
      </c>
      <c r="V172" s="274">
        <f t="shared" ref="V172:W172" si="223">V67 * (1 - V$112)</f>
        <v>0</v>
      </c>
      <c r="W172" s="274">
        <f t="shared" si="223"/>
        <v>0</v>
      </c>
      <c r="X172" s="274">
        <f t="shared" ref="X172:Y172" si="224">X67 * (1 - X$112)</f>
        <v>0</v>
      </c>
      <c r="Y172" s="274">
        <f t="shared" si="224"/>
        <v>0</v>
      </c>
      <c r="Z172" s="259"/>
      <c r="AA172" s="259"/>
    </row>
    <row r="173" spans="4:27" x14ac:dyDescent="0.3">
      <c r="F173" t="s">
        <v>191</v>
      </c>
      <c r="G173" t="s">
        <v>268</v>
      </c>
      <c r="H173" s="259"/>
      <c r="I173" s="259"/>
      <c r="J173" s="274">
        <f t="shared" ref="J173:K173" si="225">J68 * (1 - J$113)</f>
        <v>6.4820627841846626E-2</v>
      </c>
      <c r="K173" s="274">
        <f t="shared" si="225"/>
        <v>6.4820627841846626E-2</v>
      </c>
      <c r="L173" s="274">
        <f t="shared" ref="L173:M173" si="226">L68 * (1 - L$113)</f>
        <v>7.4756788929071366E-2</v>
      </c>
      <c r="M173" s="274">
        <f t="shared" si="226"/>
        <v>7.4756788929071366E-2</v>
      </c>
      <c r="N173" s="274">
        <f t="shared" ref="N173:P173" si="227">N68 * (1 - N$113)</f>
        <v>6.588177724703069E-2</v>
      </c>
      <c r="O173" s="274">
        <f t="shared" si="227"/>
        <v>6.2386064145626412E-2</v>
      </c>
      <c r="P173" s="274">
        <f t="shared" si="227"/>
        <v>5.3516173045689772E-2</v>
      </c>
      <c r="Q173" s="274">
        <f t="shared" ref="Q173:S173" si="228">Q68 * (1 - Q$113)</f>
        <v>5.8123261184425859E-2</v>
      </c>
      <c r="R173" s="274">
        <f t="shared" si="228"/>
        <v>-5.0599951798328428E-2</v>
      </c>
      <c r="S173" s="274">
        <f t="shared" si="228"/>
        <v>-4.8972165022173247E-2</v>
      </c>
      <c r="T173" s="274">
        <f t="shared" ref="T173:U173" si="229">T68 * (1 - T$113)</f>
        <v>-5.0599951798328428E-2</v>
      </c>
      <c r="U173" s="274">
        <f t="shared" si="229"/>
        <v>-5.0599951798328428E-2</v>
      </c>
      <c r="V173" s="274">
        <f t="shared" ref="V173:W173" si="230">V68 * (1 - V$113)</f>
        <v>-4.8972165022173247E-2</v>
      </c>
      <c r="W173" s="274">
        <f t="shared" si="230"/>
        <v>-4.8972165022173247E-2</v>
      </c>
      <c r="X173" s="274">
        <f t="shared" ref="X173:Y173" si="231">X68 * (1 - X$113)</f>
        <v>-4.8233489525629683E-2</v>
      </c>
      <c r="Y173" s="274">
        <f t="shared" si="231"/>
        <v>-4.8233489525629683E-2</v>
      </c>
      <c r="Z173" s="259"/>
      <c r="AA173" s="259"/>
    </row>
    <row r="174" spans="4:27" x14ac:dyDescent="0.3">
      <c r="F174" t="s">
        <v>192</v>
      </c>
      <c r="G174" t="s">
        <v>268</v>
      </c>
      <c r="H174" s="259"/>
      <c r="I174" s="259"/>
      <c r="J174" s="274">
        <f t="shared" ref="J174:K174" si="232">J69 * (1 - J$114)</f>
        <v>2.5640148206316209E-2</v>
      </c>
      <c r="K174" s="274">
        <f t="shared" si="232"/>
        <v>2.5640148206316209E-2</v>
      </c>
      <c r="L174" s="274">
        <f t="shared" ref="L174:M174" si="233">L69 * (1 - L$114)</f>
        <v>2.9570450200611373E-2</v>
      </c>
      <c r="M174" s="274">
        <f t="shared" si="233"/>
        <v>2.9570450200611373E-2</v>
      </c>
      <c r="N174" s="274">
        <f t="shared" ref="N174:P174" si="234">N69 * (1 - N$114)</f>
        <v>2.6059891564624117E-2</v>
      </c>
      <c r="O174" s="274">
        <f t="shared" si="234"/>
        <v>2.4677143433497507E-2</v>
      </c>
      <c r="P174" s="274">
        <f t="shared" si="234"/>
        <v>2.116861027132038E-2</v>
      </c>
      <c r="Q174" s="274">
        <f t="shared" ref="Q174:S174" si="235">Q69 * (1 - Q$114)</f>
        <v>2.2990968779864406E-2</v>
      </c>
      <c r="R174" s="274">
        <f t="shared" si="235"/>
        <v>-2.0015083261875375E-2</v>
      </c>
      <c r="S174" s="274">
        <f t="shared" si="235"/>
        <v>-1.9371203441847524E-2</v>
      </c>
      <c r="T174" s="274">
        <f t="shared" ref="T174:U174" si="236">T69 * (1 - T$114)</f>
        <v>-2.0015083261875375E-2</v>
      </c>
      <c r="U174" s="274">
        <f t="shared" si="236"/>
        <v>-2.0015083261875375E-2</v>
      </c>
      <c r="V174" s="274">
        <f t="shared" ref="V174:W174" si="237">V69 * (1 - V$114)</f>
        <v>-1.9371203441847524E-2</v>
      </c>
      <c r="W174" s="274">
        <f t="shared" si="237"/>
        <v>-1.9371203441847524E-2</v>
      </c>
      <c r="X174" s="274">
        <f t="shared" ref="X174:Y174" si="238">X69 * (1 - X$114)</f>
        <v>-1.9079016373651246E-2</v>
      </c>
      <c r="Y174" s="274">
        <f t="shared" si="238"/>
        <v>-1.9079016373651246E-2</v>
      </c>
      <c r="Z174" s="259"/>
      <c r="AA174" s="259"/>
    </row>
    <row r="175" spans="4:27" x14ac:dyDescent="0.3">
      <c r="F175" t="s">
        <v>193</v>
      </c>
      <c r="G175" t="s">
        <v>268</v>
      </c>
      <c r="H175" s="259"/>
      <c r="I175" s="259"/>
      <c r="J175" s="274">
        <f t="shared" ref="J175:K175" si="239">J70 * (1 - J$115)</f>
        <v>0.11679769065609037</v>
      </c>
      <c r="K175" s="274">
        <f t="shared" si="239"/>
        <v>0.11679769065609037</v>
      </c>
      <c r="L175" s="274">
        <f t="shared" ref="L175:M175" si="240">L70 * (1 - L$115)</f>
        <v>0.13470126097951074</v>
      </c>
      <c r="M175" s="274">
        <f t="shared" si="240"/>
        <v>0.13470126097951074</v>
      </c>
      <c r="N175" s="274">
        <f t="shared" ref="N175:P175" si="241">N70 * (1 - N$115)</f>
        <v>0.1187097332279238</v>
      </c>
      <c r="O175" s="274">
        <f t="shared" si="241"/>
        <v>0.112410947933273</v>
      </c>
      <c r="P175" s="274">
        <f t="shared" si="241"/>
        <v>7.7142917402636596E-2</v>
      </c>
      <c r="Q175" s="274">
        <f t="shared" ref="Q175:S175" si="242">Q70 * (1 - Q$115)</f>
        <v>7.0732790152303798E-2</v>
      </c>
      <c r="R175" s="274">
        <f t="shared" si="242"/>
        <v>-9.1174024598677572E-2</v>
      </c>
      <c r="S175" s="274">
        <f t="shared" si="242"/>
        <v>-8.8240980864523699E-2</v>
      </c>
      <c r="T175" s="274">
        <f t="shared" ref="T175:U175" si="243">T70 * (1 - T$115)</f>
        <v>-9.1174024598677572E-2</v>
      </c>
      <c r="U175" s="274">
        <f t="shared" si="243"/>
        <v>-9.1174024598677572E-2</v>
      </c>
      <c r="V175" s="274">
        <f t="shared" ref="V175:W175" si="244">V70 * (1 - V$115)</f>
        <v>-8.8240980864523699E-2</v>
      </c>
      <c r="W175" s="274">
        <f t="shared" si="244"/>
        <v>-8.8240980864523699E-2</v>
      </c>
      <c r="X175" s="274">
        <f t="shared" ref="X175:Y175" si="245">X70 * (1 - X$115)</f>
        <v>-8.6909991100724601E-2</v>
      </c>
      <c r="Y175" s="274">
        <f t="shared" si="245"/>
        <v>-8.6909991100724601E-2</v>
      </c>
      <c r="Z175" s="259"/>
      <c r="AA175" s="259"/>
    </row>
    <row r="176" spans="4:27" x14ac:dyDescent="0.3">
      <c r="F176" t="s">
        <v>194</v>
      </c>
      <c r="G176" t="s">
        <v>268</v>
      </c>
      <c r="H176" s="259"/>
      <c r="I176" s="259"/>
      <c r="J176" s="274">
        <f t="shared" ref="J176:K176" si="246">J71 * (1 - J$116)</f>
        <v>7.3676380020240725E-2</v>
      </c>
      <c r="K176" s="274">
        <f t="shared" si="246"/>
        <v>7.3676380020240725E-2</v>
      </c>
      <c r="L176" s="274">
        <f t="shared" ref="L176:M176" si="247">L71 * (1 - L$116)</f>
        <v>8.4970012997551997E-2</v>
      </c>
      <c r="M176" s="274">
        <f t="shared" si="247"/>
        <v>8.4970012997551997E-2</v>
      </c>
      <c r="N176" s="274">
        <f t="shared" ref="N176:P176" si="248">N71 * (1 - N$116)</f>
        <v>7.4882502969641121E-2</v>
      </c>
      <c r="O176" s="274">
        <f t="shared" si="248"/>
        <v>7.0909207809199515E-2</v>
      </c>
      <c r="P176" s="274">
        <f t="shared" si="248"/>
        <v>0</v>
      </c>
      <c r="Q176" s="274">
        <f t="shared" ref="Q176:S176" si="249">Q71 * (1 - Q$116)</f>
        <v>4.4618484302894328E-2</v>
      </c>
      <c r="R176" s="274">
        <f t="shared" si="249"/>
        <v>-5.7512884429249372E-2</v>
      </c>
      <c r="S176" s="274">
        <f t="shared" si="249"/>
        <v>-5.566271047838077E-2</v>
      </c>
      <c r="T176" s="274">
        <f t="shared" ref="T176:U176" si="250">T71 * (1 - T$116)</f>
        <v>-5.7512884429249372E-2</v>
      </c>
      <c r="U176" s="274">
        <f t="shared" si="250"/>
        <v>-5.7512884429249372E-2</v>
      </c>
      <c r="V176" s="274">
        <f t="shared" ref="V176:W176" si="251">V71 * (1 - V$116)</f>
        <v>-5.566271047838077E-2</v>
      </c>
      <c r="W176" s="274">
        <f t="shared" si="251"/>
        <v>-5.566271047838077E-2</v>
      </c>
      <c r="X176" s="274">
        <f t="shared" ref="X176:Y176" si="252">X71 * (1 - X$116)</f>
        <v>-5.4823117614088125E-2</v>
      </c>
      <c r="Y176" s="274">
        <f t="shared" si="252"/>
        <v>-5.4823117614088125E-2</v>
      </c>
      <c r="Z176" s="259"/>
      <c r="AA176" s="259"/>
    </row>
    <row r="177" spans="3:27" x14ac:dyDescent="0.3">
      <c r="F177" t="s">
        <v>195</v>
      </c>
      <c r="G177" t="s">
        <v>268</v>
      </c>
      <c r="H177" s="259"/>
      <c r="I177" s="259"/>
      <c r="J177" s="274">
        <f t="shared" ref="J177:K177" si="253">J72 * (1 - J$117)</f>
        <v>0</v>
      </c>
      <c r="K177" s="274">
        <f t="shared" si="253"/>
        <v>0</v>
      </c>
      <c r="L177" s="274">
        <f t="shared" ref="L177:M177" si="254">L72 * (1 - L$117)</f>
        <v>0</v>
      </c>
      <c r="M177" s="274">
        <f t="shared" si="254"/>
        <v>0</v>
      </c>
      <c r="N177" s="274">
        <f t="shared" ref="N177:P177" si="255">N72 * (1 - N$117)</f>
        <v>0</v>
      </c>
      <c r="O177" s="274">
        <f t="shared" si="255"/>
        <v>0</v>
      </c>
      <c r="P177" s="274">
        <f t="shared" si="255"/>
        <v>0</v>
      </c>
      <c r="Q177" s="274">
        <f t="shared" ref="Q177:S177" si="256">Q72 * (1 - Q$117)</f>
        <v>0</v>
      </c>
      <c r="R177" s="274">
        <f t="shared" si="256"/>
        <v>0</v>
      </c>
      <c r="S177" s="274">
        <f t="shared" si="256"/>
        <v>0</v>
      </c>
      <c r="T177" s="274">
        <f t="shared" ref="T177:U177" si="257">T72 * (1 - T$117)</f>
        <v>0</v>
      </c>
      <c r="U177" s="274">
        <f t="shared" si="257"/>
        <v>0</v>
      </c>
      <c r="V177" s="274">
        <f t="shared" ref="V177:W177" si="258">V72 * (1 - V$117)</f>
        <v>0</v>
      </c>
      <c r="W177" s="274">
        <f t="shared" si="258"/>
        <v>0</v>
      </c>
      <c r="X177" s="274">
        <f t="shared" ref="X177:Y177" si="259">X72 * (1 - X$117)</f>
        <v>0</v>
      </c>
      <c r="Y177" s="274">
        <f t="shared" si="259"/>
        <v>0</v>
      </c>
      <c r="Z177" s="259"/>
      <c r="AA177" s="259"/>
    </row>
    <row r="178" spans="3:27" x14ac:dyDescent="0.3">
      <c r="F178" t="s">
        <v>196</v>
      </c>
      <c r="G178" t="s">
        <v>268</v>
      </c>
      <c r="H178" s="259"/>
      <c r="I178" s="259"/>
      <c r="J178" s="274">
        <f t="shared" ref="J178:K178" si="260">J73 * (1 - J$118)</f>
        <v>0.13375804390295326</v>
      </c>
      <c r="K178" s="274">
        <f t="shared" si="260"/>
        <v>0.13375804390295326</v>
      </c>
      <c r="L178" s="274">
        <f t="shared" ref="L178:M178" si="261">L73 * (1 - L$118)</f>
        <v>0.15426141628889348</v>
      </c>
      <c r="M178" s="274">
        <f t="shared" si="261"/>
        <v>0.15426141628889348</v>
      </c>
      <c r="N178" s="274">
        <f t="shared" ref="N178:P178" si="262">N73 * (1 - N$118)</f>
        <v>0.10875818944442824</v>
      </c>
      <c r="O178" s="274">
        <f t="shared" si="262"/>
        <v>0</v>
      </c>
      <c r="P178" s="274">
        <f t="shared" si="262"/>
        <v>0</v>
      </c>
      <c r="Q178" s="274">
        <f t="shared" ref="Q178:S178" si="263">Q73 * (1 - Q$118)</f>
        <v>8.1003995861769956E-2</v>
      </c>
      <c r="R178" s="274">
        <f t="shared" si="263"/>
        <v>-0.10441353006702567</v>
      </c>
      <c r="S178" s="274">
        <f t="shared" si="263"/>
        <v>-0.10105457501955463</v>
      </c>
      <c r="T178" s="274">
        <f t="shared" ref="T178:U178" si="264">T73 * (1 - T$118)</f>
        <v>-0.10441353006702567</v>
      </c>
      <c r="U178" s="274">
        <f t="shared" si="264"/>
        <v>-0.10441353006702567</v>
      </c>
      <c r="V178" s="274">
        <f t="shared" ref="V178:W178" si="265">V73 * (1 - V$118)</f>
        <v>-0.10105457501955463</v>
      </c>
      <c r="W178" s="274">
        <f t="shared" si="265"/>
        <v>-0.10105457501955463</v>
      </c>
      <c r="X178" s="274">
        <f t="shared" ref="X178:Y178" si="266">X73 * (1 - X$118)</f>
        <v>0</v>
      </c>
      <c r="Y178" s="274">
        <f t="shared" si="266"/>
        <v>0</v>
      </c>
      <c r="Z178" s="259"/>
      <c r="AA178" s="259"/>
    </row>
    <row r="179" spans="3:27" x14ac:dyDescent="0.3">
      <c r="F179" t="s">
        <v>197</v>
      </c>
      <c r="G179" t="s">
        <v>268</v>
      </c>
      <c r="H179" s="259"/>
      <c r="I179" s="259"/>
      <c r="J179" s="274">
        <f t="shared" ref="J179:K179" si="267">J74 * (1 - J$119)</f>
        <v>0.12144165702302676</v>
      </c>
      <c r="K179" s="274">
        <f t="shared" si="267"/>
        <v>0.12144165702302676</v>
      </c>
      <c r="L179" s="274">
        <f t="shared" ref="L179:M179" si="268">L74 * (1 - L$119)</f>
        <v>0.14005708712691878</v>
      </c>
      <c r="M179" s="274">
        <f t="shared" si="268"/>
        <v>0.14005708712691878</v>
      </c>
      <c r="N179" s="274">
        <f t="shared" ref="N179:P179" si="269">N74 * (1 - N$119)</f>
        <v>0</v>
      </c>
      <c r="O179" s="274">
        <f t="shared" si="269"/>
        <v>0</v>
      </c>
      <c r="P179" s="274">
        <f t="shared" si="269"/>
        <v>0</v>
      </c>
      <c r="Q179" s="274">
        <f t="shared" ref="Q179:S179" si="270">Q74 * (1 - Q$119)</f>
        <v>7.3545180505757576E-2</v>
      </c>
      <c r="R179" s="274">
        <f t="shared" si="270"/>
        <v>-9.4799174217613191E-2</v>
      </c>
      <c r="S179" s="274">
        <f t="shared" si="270"/>
        <v>0</v>
      </c>
      <c r="T179" s="274">
        <f t="shared" ref="T179:U179" si="271">T74 * (1 - T$119)</f>
        <v>-9.4799174217613191E-2</v>
      </c>
      <c r="U179" s="274">
        <f t="shared" si="271"/>
        <v>-9.4799174217613191E-2</v>
      </c>
      <c r="V179" s="274">
        <f t="shared" ref="V179:W179" si="272">V74 * (1 - V$119)</f>
        <v>0</v>
      </c>
      <c r="W179" s="274">
        <f t="shared" si="272"/>
        <v>0</v>
      </c>
      <c r="X179" s="274">
        <f t="shared" ref="X179:Y179" si="273">X74 * (1 - X$119)</f>
        <v>0</v>
      </c>
      <c r="Y179" s="274">
        <f t="shared" si="273"/>
        <v>0</v>
      </c>
      <c r="Z179" s="259"/>
      <c r="AA179" s="259"/>
    </row>
    <row r="180" spans="3:27" x14ac:dyDescent="0.3">
      <c r="F180" t="s">
        <v>198</v>
      </c>
      <c r="G180" t="s">
        <v>268</v>
      </c>
      <c r="H180" s="259"/>
      <c r="I180" s="259"/>
      <c r="J180" s="274">
        <f t="shared" ref="J180:K180" si="274">J75 * (1 - J$120)</f>
        <v>0</v>
      </c>
      <c r="K180" s="274">
        <f t="shared" si="274"/>
        <v>0</v>
      </c>
      <c r="L180" s="274">
        <f t="shared" ref="L180:M180" si="275">L75 * (1 - L$120)</f>
        <v>0</v>
      </c>
      <c r="M180" s="274">
        <f t="shared" si="275"/>
        <v>0</v>
      </c>
      <c r="N180" s="274">
        <f t="shared" ref="N180:P180" si="276">N75 * (1 - N$120)</f>
        <v>0</v>
      </c>
      <c r="O180" s="274">
        <f t="shared" si="276"/>
        <v>0</v>
      </c>
      <c r="P180" s="274">
        <f t="shared" si="276"/>
        <v>0</v>
      </c>
      <c r="Q180" s="274">
        <f t="shared" ref="Q180:S180" si="277">Q75 * (1 - Q$120)</f>
        <v>4.077063195493117E-2</v>
      </c>
      <c r="R180" s="274">
        <f t="shared" si="277"/>
        <v>0</v>
      </c>
      <c r="S180" s="274">
        <f t="shared" si="277"/>
        <v>0</v>
      </c>
      <c r="T180" s="274">
        <f t="shared" ref="T180:U180" si="278">T75 * (1 - T$120)</f>
        <v>0</v>
      </c>
      <c r="U180" s="274">
        <f t="shared" si="278"/>
        <v>0</v>
      </c>
      <c r="V180" s="274">
        <f t="shared" ref="V180:W180" si="279">V75 * (1 - V$120)</f>
        <v>0</v>
      </c>
      <c r="W180" s="274">
        <f t="shared" si="279"/>
        <v>0</v>
      </c>
      <c r="X180" s="274">
        <f t="shared" ref="X180:Y180" si="280">X75 * (1 - X$120)</f>
        <v>0</v>
      </c>
      <c r="Y180" s="274">
        <f t="shared" si="280"/>
        <v>0</v>
      </c>
      <c r="Z180" s="259"/>
      <c r="AA180" s="259"/>
    </row>
    <row r="181" spans="3:27" x14ac:dyDescent="0.3">
      <c r="F181" s="23" t="s">
        <v>375</v>
      </c>
      <c r="G181" s="23" t="s">
        <v>268</v>
      </c>
      <c r="H181" s="258"/>
      <c r="I181" s="258" t="s">
        <v>153</v>
      </c>
      <c r="J181" s="272"/>
      <c r="K181" s="272"/>
      <c r="L181" s="272"/>
      <c r="M181" s="272"/>
      <c r="N181" s="272"/>
      <c r="O181" s="272"/>
      <c r="P181" s="272"/>
      <c r="Q181" s="273">
        <f>Q76</f>
        <v>2.1563961368649194</v>
      </c>
      <c r="R181" s="272"/>
      <c r="S181" s="272"/>
      <c r="T181" s="272"/>
      <c r="U181" s="272"/>
      <c r="V181" s="272"/>
      <c r="W181" s="272"/>
      <c r="X181" s="272"/>
      <c r="Y181" s="272"/>
      <c r="Z181" s="259"/>
      <c r="AA181" s="259" t="s">
        <v>653</v>
      </c>
    </row>
    <row r="182" spans="3:27" x14ac:dyDescent="0.3">
      <c r="F182" s="37" t="s">
        <v>376</v>
      </c>
      <c r="G182" s="37" t="s">
        <v>268</v>
      </c>
      <c r="H182" s="261"/>
      <c r="I182" s="261"/>
      <c r="J182" s="262"/>
      <c r="K182" s="262"/>
      <c r="L182" s="262"/>
      <c r="M182" s="262"/>
      <c r="N182" s="262"/>
      <c r="O182" s="262"/>
      <c r="P182" s="262"/>
      <c r="Q182" s="262"/>
      <c r="R182" s="262"/>
      <c r="S182" s="262"/>
      <c r="T182" s="262"/>
      <c r="U182" s="262"/>
      <c r="V182" s="262"/>
      <c r="W182" s="262"/>
      <c r="X182" s="262"/>
      <c r="Y182" s="262"/>
      <c r="Z182" s="259"/>
      <c r="AA182" s="259"/>
    </row>
    <row r="183" spans="3:27" x14ac:dyDescent="0.3">
      <c r="E183"/>
      <c r="J183" s="89"/>
      <c r="K183" s="89"/>
      <c r="L183" s="89"/>
      <c r="M183" s="89"/>
      <c r="N183" s="89"/>
      <c r="O183" s="89"/>
      <c r="P183" s="89"/>
      <c r="Q183" s="89"/>
      <c r="R183" s="89"/>
      <c r="S183" s="89"/>
      <c r="T183" s="89"/>
      <c r="U183" s="89"/>
      <c r="V183" s="89"/>
      <c r="W183" s="89"/>
      <c r="X183" s="89"/>
      <c r="Y183" s="89"/>
    </row>
    <row r="184" spans="3:27" x14ac:dyDescent="0.3">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3">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3">
      <c r="E186" s="32" t="s">
        <v>620</v>
      </c>
      <c r="J186" s="89"/>
      <c r="K186" s="89"/>
      <c r="L186" s="89"/>
      <c r="M186" s="89"/>
      <c r="N186" s="89"/>
      <c r="O186" s="89"/>
      <c r="P186" s="89"/>
      <c r="Q186" s="89"/>
      <c r="R186" s="89"/>
      <c r="S186" s="89"/>
      <c r="T186" s="89"/>
      <c r="U186" s="89"/>
      <c r="V186" s="89"/>
      <c r="W186" s="89"/>
      <c r="X186" s="89"/>
      <c r="Y186" s="89"/>
    </row>
    <row r="187" spans="3:27" x14ac:dyDescent="0.3">
      <c r="F187" s="23" t="s">
        <v>188</v>
      </c>
      <c r="G187" s="23" t="s">
        <v>268</v>
      </c>
      <c r="H187" s="258"/>
      <c r="I187" s="258"/>
      <c r="J187" s="420">
        <f t="shared" ref="J187:K187" si="281">J82 * (1 - J$112)</f>
        <v>0</v>
      </c>
      <c r="K187" s="420">
        <f t="shared" si="281"/>
        <v>0</v>
      </c>
      <c r="L187" s="420">
        <f t="shared" ref="L187:M187" si="282">L82 * (1 - L$112)</f>
        <v>0</v>
      </c>
      <c r="M187" s="420">
        <f t="shared" si="282"/>
        <v>0</v>
      </c>
      <c r="N187" s="420">
        <f t="shared" ref="N187:P187" si="283">N82 * (1 - N$112)</f>
        <v>0</v>
      </c>
      <c r="O187" s="420">
        <f t="shared" si="283"/>
        <v>0</v>
      </c>
      <c r="P187" s="420">
        <f t="shared" si="283"/>
        <v>0</v>
      </c>
      <c r="Q187" s="420">
        <f t="shared" ref="Q187:S187" si="284">Q82 * (1 - Q$112)</f>
        <v>0</v>
      </c>
      <c r="R187" s="420">
        <f t="shared" si="284"/>
        <v>0</v>
      </c>
      <c r="S187" s="420">
        <f t="shared" si="284"/>
        <v>0</v>
      </c>
      <c r="T187" s="420">
        <f t="shared" ref="T187:U187" si="285">T82 * (1 - T$112)</f>
        <v>0</v>
      </c>
      <c r="U187" s="420">
        <f t="shared" si="285"/>
        <v>0</v>
      </c>
      <c r="V187" s="420">
        <f t="shared" ref="V187:W187" si="286">V82 * (1 - V$112)</f>
        <v>0</v>
      </c>
      <c r="W187" s="420">
        <f t="shared" si="286"/>
        <v>0</v>
      </c>
      <c r="X187" s="420">
        <f t="shared" ref="X187:Y187" si="287">X82 * (1 - X$112)</f>
        <v>0</v>
      </c>
      <c r="Y187" s="420">
        <f t="shared" si="287"/>
        <v>0</v>
      </c>
      <c r="Z187" s="259"/>
      <c r="AA187" s="259"/>
    </row>
    <row r="188" spans="3:27" x14ac:dyDescent="0.3">
      <c r="F188" t="s">
        <v>190</v>
      </c>
      <c r="G188" t="s">
        <v>268</v>
      </c>
      <c r="H188" s="259"/>
      <c r="I188" s="259"/>
      <c r="J188" s="274">
        <f t="shared" ref="J188:K188" si="288">J83 * (1 - J$112)</f>
        <v>0</v>
      </c>
      <c r="K188" s="274">
        <f t="shared" si="288"/>
        <v>0</v>
      </c>
      <c r="L188" s="274">
        <f t="shared" ref="L188:M188" si="289">L83 * (1 - L$112)</f>
        <v>0</v>
      </c>
      <c r="M188" s="274">
        <f t="shared" si="289"/>
        <v>0</v>
      </c>
      <c r="N188" s="274">
        <f t="shared" ref="N188:P188" si="290">N83 * (1 - N$112)</f>
        <v>0</v>
      </c>
      <c r="O188" s="274">
        <f t="shared" si="290"/>
        <v>0</v>
      </c>
      <c r="P188" s="274">
        <f t="shared" si="290"/>
        <v>0</v>
      </c>
      <c r="Q188" s="274">
        <f t="shared" ref="Q188:S188" si="291">Q83 * (1 - Q$112)</f>
        <v>0</v>
      </c>
      <c r="R188" s="274">
        <f t="shared" si="291"/>
        <v>0</v>
      </c>
      <c r="S188" s="274">
        <f t="shared" si="291"/>
        <v>0</v>
      </c>
      <c r="T188" s="274">
        <f t="shared" ref="T188:U188" si="292">T83 * (1 - T$112)</f>
        <v>0</v>
      </c>
      <c r="U188" s="274">
        <f t="shared" si="292"/>
        <v>0</v>
      </c>
      <c r="V188" s="274">
        <f t="shared" ref="V188:W188" si="293">V83 * (1 - V$112)</f>
        <v>0</v>
      </c>
      <c r="W188" s="274">
        <f t="shared" si="293"/>
        <v>0</v>
      </c>
      <c r="X188" s="274">
        <f t="shared" ref="X188:Y188" si="294">X83 * (1 - X$112)</f>
        <v>0</v>
      </c>
      <c r="Y188" s="274">
        <f t="shared" si="294"/>
        <v>0</v>
      </c>
      <c r="Z188" s="259"/>
      <c r="AA188" s="259"/>
    </row>
    <row r="189" spans="3:27" x14ac:dyDescent="0.3">
      <c r="F189" t="s">
        <v>191</v>
      </c>
      <c r="G189" t="s">
        <v>268</v>
      </c>
      <c r="H189" s="259"/>
      <c r="I189" s="259"/>
      <c r="J189" s="274">
        <f t="shared" ref="J189:K189" si="295">J84 * (1 - J$113)</f>
        <v>2.8624600674469421E-2</v>
      </c>
      <c r="K189" s="274">
        <f t="shared" si="295"/>
        <v>2.8624600674469421E-2</v>
      </c>
      <c r="L189" s="274">
        <f t="shared" ref="L189:M189" si="296">L84 * (1 - L$113)</f>
        <v>3.3012380503645918E-2</v>
      </c>
      <c r="M189" s="274">
        <f t="shared" si="296"/>
        <v>3.3012380503645918E-2</v>
      </c>
      <c r="N189" s="274">
        <f t="shared" ref="N189:P189" si="297">N84 * (1 - N$113)</f>
        <v>2.9093201164632137E-2</v>
      </c>
      <c r="O189" s="274">
        <f t="shared" si="297"/>
        <v>2.7549504429013525E-2</v>
      </c>
      <c r="P189" s="274">
        <f t="shared" si="297"/>
        <v>2.3632586324159755E-2</v>
      </c>
      <c r="Q189" s="274">
        <f t="shared" ref="Q189:S189" si="298">Q84 * (1 - Q$113)</f>
        <v>1.8071350084168398E-2</v>
      </c>
      <c r="R189" s="274">
        <f t="shared" si="298"/>
        <v>-2.2344791505390173E-2</v>
      </c>
      <c r="S189" s="274">
        <f t="shared" si="298"/>
        <v>-2.1625965600705808E-2</v>
      </c>
      <c r="T189" s="274">
        <f t="shared" ref="T189:U189" si="299">T84 * (1 - T$113)</f>
        <v>-2.2344791505390173E-2</v>
      </c>
      <c r="U189" s="274">
        <f t="shared" si="299"/>
        <v>-2.2344791505390173E-2</v>
      </c>
      <c r="V189" s="274">
        <f t="shared" ref="V189:W189" si="300">V84 * (1 - V$113)</f>
        <v>-2.1625965600705808E-2</v>
      </c>
      <c r="W189" s="274">
        <f t="shared" si="300"/>
        <v>-2.1625965600705808E-2</v>
      </c>
      <c r="X189" s="274">
        <f t="shared" ref="X189:Y189" si="301">X84 * (1 - X$113)</f>
        <v>-2.129976865043615E-2</v>
      </c>
      <c r="Y189" s="274">
        <f t="shared" si="301"/>
        <v>-2.129976865043615E-2</v>
      </c>
      <c r="Z189" s="259"/>
      <c r="AA189" s="259"/>
    </row>
    <row r="190" spans="3:27" x14ac:dyDescent="0.3">
      <c r="F190" t="s">
        <v>192</v>
      </c>
      <c r="G190" t="s">
        <v>268</v>
      </c>
      <c r="H190" s="259"/>
      <c r="I190" s="259"/>
      <c r="J190" s="274">
        <f t="shared" ref="J190:K190" si="302">J85 * (1 - J$114)</f>
        <v>1.1322614853881459E-2</v>
      </c>
      <c r="K190" s="274">
        <f t="shared" si="302"/>
        <v>1.1322614853881459E-2</v>
      </c>
      <c r="L190" s="274">
        <f t="shared" ref="L190:M190" si="303">L85 * (1 - L$114)</f>
        <v>1.3058224780265734E-2</v>
      </c>
      <c r="M190" s="274">
        <f t="shared" si="303"/>
        <v>1.3058224780265734E-2</v>
      </c>
      <c r="N190" s="274">
        <f t="shared" ref="N190:P190" si="304">N85 * (1 - N$114)</f>
        <v>1.150797229976488E-2</v>
      </c>
      <c r="O190" s="274">
        <f t="shared" si="304"/>
        <v>1.089735474784238E-2</v>
      </c>
      <c r="P190" s="274">
        <f t="shared" si="304"/>
        <v>9.3479967106834382E-3</v>
      </c>
      <c r="Q190" s="274">
        <f t="shared" ref="Q190:S190" si="305">Q85 * (1 - Q$114)</f>
        <v>7.1482197854796699E-3</v>
      </c>
      <c r="R190" s="274">
        <f t="shared" si="305"/>
        <v>-8.8386025392301684E-3</v>
      </c>
      <c r="S190" s="274">
        <f t="shared" si="305"/>
        <v>-8.5542670839239485E-3</v>
      </c>
      <c r="T190" s="274">
        <f t="shared" ref="T190:U190" si="306">T85 * (1 - T$114)</f>
        <v>-8.8386025392301684E-3</v>
      </c>
      <c r="U190" s="274">
        <f t="shared" si="306"/>
        <v>-8.8386025392301684E-3</v>
      </c>
      <c r="V190" s="274">
        <f t="shared" ref="V190:W190" si="307">V85 * (1 - V$114)</f>
        <v>-8.5542670839239485E-3</v>
      </c>
      <c r="W190" s="274">
        <f t="shared" si="307"/>
        <v>-8.5542670839239485E-3</v>
      </c>
      <c r="X190" s="274">
        <f t="shared" ref="X190:Y190" si="308">X85 * (1 - X$114)</f>
        <v>-8.4252381246585628E-3</v>
      </c>
      <c r="Y190" s="274">
        <f t="shared" si="308"/>
        <v>-8.4252381246585628E-3</v>
      </c>
      <c r="Z190" s="259"/>
      <c r="AA190" s="259"/>
    </row>
    <row r="191" spans="3:27" x14ac:dyDescent="0.3">
      <c r="F191" t="s">
        <v>193</v>
      </c>
      <c r="G191" t="s">
        <v>268</v>
      </c>
      <c r="H191" s="259"/>
      <c r="I191" s="259"/>
      <c r="J191" s="274">
        <f t="shared" ref="J191:K191" si="309">J86 * (1 - J$115)</f>
        <v>3.0787843085484688E-2</v>
      </c>
      <c r="K191" s="274">
        <f t="shared" si="309"/>
        <v>3.0787843085484688E-2</v>
      </c>
      <c r="L191" s="274">
        <f t="shared" ref="L191:M191" si="310">L86 * (1 - L$115)</f>
        <v>3.5507219904418935E-2</v>
      </c>
      <c r="M191" s="274">
        <f t="shared" si="310"/>
        <v>3.5507219904418935E-2</v>
      </c>
      <c r="N191" s="274">
        <f t="shared" ref="N191:P191" si="311">N86 * (1 - N$115)</f>
        <v>3.1291857046237638E-2</v>
      </c>
      <c r="O191" s="274">
        <f t="shared" si="311"/>
        <v>2.9631498761827024E-2</v>
      </c>
      <c r="P191" s="274">
        <f t="shared" si="311"/>
        <v>2.0334854420557283E-2</v>
      </c>
      <c r="Q191" s="274">
        <f t="shared" ref="Q191:S191" si="312">Q86 * (1 - Q$115)</f>
        <v>1.943705336055487E-2</v>
      </c>
      <c r="R191" s="274">
        <f t="shared" si="312"/>
        <v>-2.4033450893147713E-2</v>
      </c>
      <c r="S191" s="274">
        <f t="shared" si="312"/>
        <v>-2.3260301272271331E-2</v>
      </c>
      <c r="T191" s="274">
        <f t="shared" ref="T191:U191" si="313">T86 * (1 - T$115)</f>
        <v>-2.4033450893147713E-2</v>
      </c>
      <c r="U191" s="274">
        <f t="shared" si="313"/>
        <v>-2.4033450893147713E-2</v>
      </c>
      <c r="V191" s="274">
        <f t="shared" ref="V191:W191" si="314">V86 * (1 - V$115)</f>
        <v>-2.3260301272271331E-2</v>
      </c>
      <c r="W191" s="274">
        <f t="shared" si="314"/>
        <v>-2.3260301272271331E-2</v>
      </c>
      <c r="X191" s="274">
        <f t="shared" ref="X191:Y191" si="315">X86 * (1 - X$115)</f>
        <v>-2.2909452691566998E-2</v>
      </c>
      <c r="Y191" s="274">
        <f t="shared" si="315"/>
        <v>-2.2909452691566998E-2</v>
      </c>
      <c r="Z191" s="259"/>
      <c r="AA191" s="259"/>
    </row>
    <row r="192" spans="3:27" x14ac:dyDescent="0.3">
      <c r="F192" t="s">
        <v>194</v>
      </c>
      <c r="G192" t="s">
        <v>268</v>
      </c>
      <c r="H192" s="259"/>
      <c r="I192" s="259"/>
      <c r="J192" s="274">
        <f t="shared" ref="J192:K192" si="316">J87 * (1 - J$116)</f>
        <v>1.9421076002682326E-2</v>
      </c>
      <c r="K192" s="274">
        <f t="shared" si="316"/>
        <v>1.9421076002682326E-2</v>
      </c>
      <c r="L192" s="274">
        <f t="shared" ref="L192:M192" si="317">L87 * (1 - L$116)</f>
        <v>2.2398074931491055E-2</v>
      </c>
      <c r="M192" s="274">
        <f t="shared" si="317"/>
        <v>2.2398074931491055E-2</v>
      </c>
      <c r="N192" s="274">
        <f t="shared" ref="N192:P192" si="318">N87 * (1 - N$116)</f>
        <v>1.9739009721228881E-2</v>
      </c>
      <c r="O192" s="274">
        <f t="shared" si="318"/>
        <v>1.8691650075290431E-2</v>
      </c>
      <c r="P192" s="274">
        <f t="shared" si="318"/>
        <v>0</v>
      </c>
      <c r="Q192" s="274">
        <f t="shared" ref="Q192:S192" si="319">Q87 * (1 - Q$116)</f>
        <v>1.2260959286280749E-2</v>
      </c>
      <c r="R192" s="274">
        <f t="shared" si="319"/>
        <v>-1.5160382463512454E-2</v>
      </c>
      <c r="S192" s="274">
        <f t="shared" si="319"/>
        <v>-1.4672677056323195E-2</v>
      </c>
      <c r="T192" s="274">
        <f t="shared" ref="T192:U192" si="320">T87 * (1 - T$116)</f>
        <v>-1.5160382463512454E-2</v>
      </c>
      <c r="U192" s="274">
        <f t="shared" si="320"/>
        <v>-1.5160382463512454E-2</v>
      </c>
      <c r="V192" s="274">
        <f t="shared" ref="V192:W192" si="321">V87 * (1 - V$116)</f>
        <v>-1.4672677056323195E-2</v>
      </c>
      <c r="W192" s="274">
        <f t="shared" si="321"/>
        <v>-1.4672677056323195E-2</v>
      </c>
      <c r="X192" s="274">
        <f t="shared" ref="X192:Y192" si="322">X87 * (1 - X$116)</f>
        <v>-6.2140850493159067E-3</v>
      </c>
      <c r="Y192" s="274">
        <f t="shared" si="322"/>
        <v>-6.2140850493159067E-3</v>
      </c>
      <c r="Z192" s="259"/>
      <c r="AA192" s="259"/>
    </row>
    <row r="193" spans="4:27" x14ac:dyDescent="0.3">
      <c r="F193" t="s">
        <v>195</v>
      </c>
      <c r="G193" t="s">
        <v>268</v>
      </c>
      <c r="H193" s="259"/>
      <c r="I193" s="259"/>
      <c r="J193" s="274">
        <f t="shared" ref="J193:K193" si="323">J88 * (1 - J$117)</f>
        <v>0</v>
      </c>
      <c r="K193" s="274">
        <f t="shared" si="323"/>
        <v>0</v>
      </c>
      <c r="L193" s="274">
        <f t="shared" ref="L193:M193" si="324">L88 * (1 - L$117)</f>
        <v>0</v>
      </c>
      <c r="M193" s="274">
        <f t="shared" si="324"/>
        <v>0</v>
      </c>
      <c r="N193" s="274">
        <f t="shared" ref="N193:P193" si="325">N88 * (1 - N$117)</f>
        <v>0</v>
      </c>
      <c r="O193" s="274">
        <f t="shared" si="325"/>
        <v>0</v>
      </c>
      <c r="P193" s="274">
        <f t="shared" si="325"/>
        <v>0</v>
      </c>
      <c r="Q193" s="274">
        <f t="shared" ref="Q193:S193" si="326">Q88 * (1 - Q$117)</f>
        <v>0</v>
      </c>
      <c r="R193" s="274">
        <f t="shared" si="326"/>
        <v>0</v>
      </c>
      <c r="S193" s="274">
        <f t="shared" si="326"/>
        <v>0</v>
      </c>
      <c r="T193" s="274">
        <f t="shared" ref="T193:U193" si="327">T88 * (1 - T$117)</f>
        <v>0</v>
      </c>
      <c r="U193" s="274">
        <f t="shared" si="327"/>
        <v>0</v>
      </c>
      <c r="V193" s="274">
        <f t="shared" ref="V193:W193" si="328">V88 * (1 - V$117)</f>
        <v>0</v>
      </c>
      <c r="W193" s="274">
        <f t="shared" si="328"/>
        <v>0</v>
      </c>
      <c r="X193" s="274">
        <f t="shared" ref="X193:Y193" si="329">X88 * (1 - X$117)</f>
        <v>0</v>
      </c>
      <c r="Y193" s="274">
        <f t="shared" si="329"/>
        <v>0</v>
      </c>
      <c r="Z193" s="259"/>
      <c r="AA193" s="259"/>
    </row>
    <row r="194" spans="4:27" x14ac:dyDescent="0.3">
      <c r="F194" t="s">
        <v>196</v>
      </c>
      <c r="G194" t="s">
        <v>268</v>
      </c>
      <c r="H194" s="259"/>
      <c r="I194" s="259"/>
      <c r="J194" s="274">
        <f t="shared" ref="J194:K194" si="330">J89 * (1 - J$118)</f>
        <v>2.4681011677378829E-2</v>
      </c>
      <c r="K194" s="274">
        <f t="shared" si="330"/>
        <v>2.4681011677378829E-2</v>
      </c>
      <c r="L194" s="274">
        <f t="shared" ref="L194:M194" si="331">L89 * (1 - L$118)</f>
        <v>2.8464290488260602E-2</v>
      </c>
      <c r="M194" s="274">
        <f t="shared" si="331"/>
        <v>2.8464290488260602E-2</v>
      </c>
      <c r="N194" s="274">
        <f t="shared" ref="N194:P194" si="332">N89 * (1 - N$118)</f>
        <v>2.0068042753645904E-2</v>
      </c>
      <c r="O194" s="274">
        <f t="shared" si="332"/>
        <v>0</v>
      </c>
      <c r="P194" s="274">
        <f t="shared" si="332"/>
        <v>0</v>
      </c>
      <c r="Q194" s="274">
        <f t="shared" ref="Q194:S194" si="333">Q89 * (1 - Q$118)</f>
        <v>1.5581674222312219E-2</v>
      </c>
      <c r="R194" s="274">
        <f t="shared" si="333"/>
        <v>-1.9266366938876168E-2</v>
      </c>
      <c r="S194" s="274">
        <f t="shared" si="333"/>
        <v>-1.8646573120639921E-2</v>
      </c>
      <c r="T194" s="274">
        <f t="shared" ref="T194:U194" si="334">T89 * (1 - T$118)</f>
        <v>-1.9266366938876168E-2</v>
      </c>
      <c r="U194" s="274">
        <f t="shared" si="334"/>
        <v>-1.9266366938876168E-2</v>
      </c>
      <c r="V194" s="274">
        <f t="shared" ref="V194:W194" si="335">V89 * (1 - V$118)</f>
        <v>-1.8646573120639921E-2</v>
      </c>
      <c r="W194" s="274">
        <f t="shared" si="335"/>
        <v>-1.8646573120639921E-2</v>
      </c>
      <c r="X194" s="274">
        <f t="shared" ref="X194:Y194" si="336">X89 * (1 - X$118)</f>
        <v>0</v>
      </c>
      <c r="Y194" s="274">
        <f t="shared" si="336"/>
        <v>0</v>
      </c>
      <c r="Z194" s="259"/>
      <c r="AA194" s="259"/>
    </row>
    <row r="195" spans="4:27" x14ac:dyDescent="0.3">
      <c r="F195" t="s">
        <v>197</v>
      </c>
      <c r="G195" t="s">
        <v>268</v>
      </c>
      <c r="H195" s="259"/>
      <c r="I195" s="259"/>
      <c r="J195" s="274">
        <f t="shared" ref="J195:K195" si="337">J90 * (1 - J$119)</f>
        <v>2.2408394049783054E-2</v>
      </c>
      <c r="K195" s="274">
        <f t="shared" si="337"/>
        <v>2.2408394049783054E-2</v>
      </c>
      <c r="L195" s="274">
        <f t="shared" ref="L195:M195" si="338">L90 * (1 - L$119)</f>
        <v>2.5843310069539858E-2</v>
      </c>
      <c r="M195" s="274">
        <f t="shared" si="338"/>
        <v>2.5843310069539858E-2</v>
      </c>
      <c r="N195" s="274">
        <f t="shared" ref="N195:P195" si="339">N90 * (1 - N$119)</f>
        <v>0</v>
      </c>
      <c r="O195" s="274">
        <f t="shared" si="339"/>
        <v>0</v>
      </c>
      <c r="P195" s="274">
        <f t="shared" si="339"/>
        <v>0</v>
      </c>
      <c r="Q195" s="274">
        <f t="shared" ref="Q195:S195" si="340">Q90 * (1 - Q$119)</f>
        <v>1.4146919927473595E-2</v>
      </c>
      <c r="R195" s="274">
        <f t="shared" si="340"/>
        <v>-1.7492327620822229E-2</v>
      </c>
      <c r="S195" s="274">
        <f t="shared" si="340"/>
        <v>0</v>
      </c>
      <c r="T195" s="274">
        <f t="shared" ref="T195:U195" si="341">T90 * (1 - T$119)</f>
        <v>-1.7492327620822229E-2</v>
      </c>
      <c r="U195" s="274">
        <f t="shared" si="341"/>
        <v>-1.7492327620822229E-2</v>
      </c>
      <c r="V195" s="274">
        <f t="shared" ref="V195:W195" si="342">V90 * (1 - V$119)</f>
        <v>0</v>
      </c>
      <c r="W195" s="274">
        <f t="shared" si="342"/>
        <v>0</v>
      </c>
      <c r="X195" s="274">
        <f t="shared" ref="X195:Y195" si="343">X90 * (1 - X$119)</f>
        <v>0</v>
      </c>
      <c r="Y195" s="274">
        <f t="shared" si="343"/>
        <v>0</v>
      </c>
      <c r="Z195" s="259"/>
      <c r="AA195" s="259"/>
    </row>
    <row r="196" spans="4:27" x14ac:dyDescent="0.3">
      <c r="F196" t="s">
        <v>198</v>
      </c>
      <c r="G196" t="s">
        <v>268</v>
      </c>
      <c r="H196" s="259"/>
      <c r="I196" s="259"/>
      <c r="J196" s="274">
        <f t="shared" ref="J196:K196" si="344">J91 * (1 - J$120)</f>
        <v>0</v>
      </c>
      <c r="K196" s="274">
        <f t="shared" si="344"/>
        <v>0</v>
      </c>
      <c r="L196" s="274">
        <f t="shared" ref="L196:M196" si="345">L91 * (1 - L$120)</f>
        <v>0</v>
      </c>
      <c r="M196" s="274">
        <f t="shared" si="345"/>
        <v>0</v>
      </c>
      <c r="N196" s="274">
        <f t="shared" ref="N196:P196" si="346">N91 * (1 - N$120)</f>
        <v>0</v>
      </c>
      <c r="O196" s="274">
        <f t="shared" si="346"/>
        <v>0</v>
      </c>
      <c r="P196" s="274">
        <f t="shared" si="346"/>
        <v>0</v>
      </c>
      <c r="Q196" s="274">
        <f t="shared" ref="Q196:S196" si="347">Q91 * (1 - Q$120)</f>
        <v>3.361076017834978E-4</v>
      </c>
      <c r="R196" s="274">
        <f t="shared" si="347"/>
        <v>0</v>
      </c>
      <c r="S196" s="274">
        <f t="shared" si="347"/>
        <v>0</v>
      </c>
      <c r="T196" s="274">
        <f t="shared" ref="T196:U196" si="348">T91 * (1 - T$120)</f>
        <v>0</v>
      </c>
      <c r="U196" s="274">
        <f t="shared" si="348"/>
        <v>0</v>
      </c>
      <c r="V196" s="274">
        <f t="shared" ref="V196:W196" si="349">V91 * (1 - V$120)</f>
        <v>0</v>
      </c>
      <c r="W196" s="274">
        <f t="shared" si="349"/>
        <v>0</v>
      </c>
      <c r="X196" s="274">
        <f t="shared" ref="X196:Y196" si="350">X91 * (1 - X$120)</f>
        <v>0</v>
      </c>
      <c r="Y196" s="274">
        <f t="shared" si="350"/>
        <v>0</v>
      </c>
      <c r="Z196" s="259"/>
      <c r="AA196" s="259"/>
    </row>
    <row r="197" spans="4:27" x14ac:dyDescent="0.3">
      <c r="D197"/>
      <c r="F197" s="23" t="s">
        <v>375</v>
      </c>
      <c r="G197" s="23" t="s">
        <v>268</v>
      </c>
      <c r="H197" s="258"/>
      <c r="I197" s="258"/>
      <c r="J197" s="272"/>
      <c r="K197" s="272"/>
      <c r="L197" s="272"/>
      <c r="M197" s="272"/>
      <c r="N197" s="272"/>
      <c r="O197" s="272"/>
      <c r="P197" s="272"/>
      <c r="Q197" s="272"/>
      <c r="R197" s="272"/>
      <c r="S197" s="272"/>
      <c r="T197" s="272"/>
      <c r="U197" s="272"/>
      <c r="V197" s="272"/>
      <c r="W197" s="272"/>
      <c r="X197" s="272"/>
      <c r="Y197" s="272"/>
      <c r="Z197" s="259"/>
      <c r="AA197" s="259"/>
    </row>
    <row r="198" spans="4:27" x14ac:dyDescent="0.3">
      <c r="D198"/>
      <c r="F198" s="37" t="s">
        <v>376</v>
      </c>
      <c r="G198" s="37" t="s">
        <v>268</v>
      </c>
      <c r="H198" s="261"/>
      <c r="I198" s="261"/>
      <c r="J198" s="262"/>
      <c r="K198" s="262"/>
      <c r="L198" s="262"/>
      <c r="M198" s="262"/>
      <c r="N198" s="262"/>
      <c r="O198" s="262"/>
      <c r="P198" s="262"/>
      <c r="Q198" s="262"/>
      <c r="R198" s="262"/>
      <c r="S198" s="262"/>
      <c r="T198" s="262"/>
      <c r="U198" s="262"/>
      <c r="V198" s="262"/>
      <c r="W198" s="262"/>
      <c r="X198" s="262"/>
      <c r="Y198" s="262"/>
      <c r="Z198" s="259"/>
      <c r="AA198" s="259"/>
    </row>
    <row r="199" spans="4:27" x14ac:dyDescent="0.3">
      <c r="D199"/>
      <c r="J199" s="89"/>
      <c r="K199" s="89"/>
      <c r="L199" s="89"/>
      <c r="M199" s="89"/>
      <c r="N199" s="89"/>
      <c r="O199" s="89"/>
      <c r="P199" s="89"/>
      <c r="Q199" s="89"/>
      <c r="R199" s="89"/>
      <c r="S199" s="89"/>
      <c r="T199" s="89"/>
      <c r="U199" s="89"/>
      <c r="V199" s="89"/>
      <c r="W199" s="89"/>
      <c r="X199" s="89"/>
      <c r="Y199" s="89"/>
    </row>
    <row r="200" spans="4:27" x14ac:dyDescent="0.3">
      <c r="E200" s="32" t="s">
        <v>621</v>
      </c>
      <c r="J200" s="89"/>
      <c r="K200" s="89"/>
      <c r="L200" s="89"/>
      <c r="M200" s="89"/>
      <c r="N200" s="89"/>
      <c r="O200" s="89"/>
      <c r="P200" s="89"/>
      <c r="Q200" s="89"/>
      <c r="R200" s="89"/>
      <c r="S200" s="89"/>
      <c r="T200" s="89"/>
      <c r="U200" s="89"/>
      <c r="V200" s="89"/>
      <c r="W200" s="89"/>
      <c r="X200" s="89"/>
      <c r="Y200" s="89"/>
    </row>
    <row r="201" spans="4:27" x14ac:dyDescent="0.3">
      <c r="F201" s="23" t="s">
        <v>188</v>
      </c>
      <c r="G201" s="23" t="s">
        <v>268</v>
      </c>
      <c r="H201" s="258"/>
      <c r="I201" s="258"/>
      <c r="J201" s="420">
        <f t="shared" ref="J201:K201" si="351">J96 * (1 - J$112)</f>
        <v>0</v>
      </c>
      <c r="K201" s="420">
        <f t="shared" si="351"/>
        <v>0</v>
      </c>
      <c r="L201" s="420">
        <f t="shared" ref="L201:M201" si="352">L96 * (1 - L$112)</f>
        <v>0</v>
      </c>
      <c r="M201" s="420">
        <f t="shared" si="352"/>
        <v>0</v>
      </c>
      <c r="N201" s="420">
        <f t="shared" ref="N201:P201" si="353">N96 * (1 - N$112)</f>
        <v>0</v>
      </c>
      <c r="O201" s="420">
        <f t="shared" si="353"/>
        <v>0</v>
      </c>
      <c r="P201" s="420">
        <f t="shared" si="353"/>
        <v>0</v>
      </c>
      <c r="Q201" s="420">
        <f t="shared" ref="Q201:S201" si="354">Q96 * (1 - Q$112)</f>
        <v>0</v>
      </c>
      <c r="R201" s="420">
        <f t="shared" si="354"/>
        <v>0</v>
      </c>
      <c r="S201" s="420">
        <f t="shared" si="354"/>
        <v>0</v>
      </c>
      <c r="T201" s="420">
        <f t="shared" ref="T201:U201" si="355">T96 * (1 - T$112)</f>
        <v>0</v>
      </c>
      <c r="U201" s="420">
        <f t="shared" si="355"/>
        <v>0</v>
      </c>
      <c r="V201" s="420">
        <f t="shared" ref="V201:W201" si="356">V96 * (1 - V$112)</f>
        <v>0</v>
      </c>
      <c r="W201" s="420">
        <f t="shared" si="356"/>
        <v>0</v>
      </c>
      <c r="X201" s="420">
        <f t="shared" ref="X201:Y201" si="357">X96 * (1 - X$112)</f>
        <v>0</v>
      </c>
      <c r="Y201" s="420">
        <f t="shared" si="357"/>
        <v>0</v>
      </c>
      <c r="Z201" s="259"/>
      <c r="AA201" s="259"/>
    </row>
    <row r="202" spans="4:27" x14ac:dyDescent="0.3">
      <c r="F202" t="s">
        <v>190</v>
      </c>
      <c r="G202" t="s">
        <v>268</v>
      </c>
      <c r="H202" s="259"/>
      <c r="I202" s="259"/>
      <c r="J202" s="274">
        <f t="shared" ref="J202:K202" si="358">J97 * (1 - J$112)</f>
        <v>0</v>
      </c>
      <c r="K202" s="274">
        <f t="shared" si="358"/>
        <v>0</v>
      </c>
      <c r="L202" s="274">
        <f t="shared" ref="L202:M202" si="359">L97 * (1 - L$112)</f>
        <v>0</v>
      </c>
      <c r="M202" s="274">
        <f t="shared" si="359"/>
        <v>0</v>
      </c>
      <c r="N202" s="274">
        <f t="shared" ref="N202:P202" si="360">N97 * (1 - N$112)</f>
        <v>0</v>
      </c>
      <c r="O202" s="274">
        <f t="shared" si="360"/>
        <v>0</v>
      </c>
      <c r="P202" s="274">
        <f t="shared" si="360"/>
        <v>0</v>
      </c>
      <c r="Q202" s="274">
        <f t="shared" ref="Q202:S202" si="361">Q97 * (1 - Q$112)</f>
        <v>0</v>
      </c>
      <c r="R202" s="274">
        <f t="shared" si="361"/>
        <v>0</v>
      </c>
      <c r="S202" s="274">
        <f t="shared" si="361"/>
        <v>0</v>
      </c>
      <c r="T202" s="274">
        <f t="shared" ref="T202:U202" si="362">T97 * (1 - T$112)</f>
        <v>0</v>
      </c>
      <c r="U202" s="274">
        <f t="shared" si="362"/>
        <v>0</v>
      </c>
      <c r="V202" s="274">
        <f t="shared" ref="V202:W202" si="363">V97 * (1 - V$112)</f>
        <v>0</v>
      </c>
      <c r="W202" s="274">
        <f t="shared" si="363"/>
        <v>0</v>
      </c>
      <c r="X202" s="274">
        <f t="shared" ref="X202:Y202" si="364">X97 * (1 - X$112)</f>
        <v>0</v>
      </c>
      <c r="Y202" s="274">
        <f t="shared" si="364"/>
        <v>0</v>
      </c>
      <c r="Z202" s="259"/>
      <c r="AA202" s="259"/>
    </row>
    <row r="203" spans="4:27" x14ac:dyDescent="0.3">
      <c r="F203" t="s">
        <v>191</v>
      </c>
      <c r="G203" t="s">
        <v>268</v>
      </c>
      <c r="H203" s="259"/>
      <c r="I203" s="259"/>
      <c r="J203" s="274">
        <f t="shared" ref="J203:K203" si="365">J98 * (1 - J$113)</f>
        <v>1.3914116131548564E-2</v>
      </c>
      <c r="K203" s="274">
        <f t="shared" si="365"/>
        <v>1.3914116131548564E-2</v>
      </c>
      <c r="L203" s="274">
        <f t="shared" ref="L203:M203" si="366">L98 * (1 - L$113)</f>
        <v>1.6046969574541083E-2</v>
      </c>
      <c r="M203" s="274">
        <f t="shared" si="366"/>
        <v>1.6046969574541083E-2</v>
      </c>
      <c r="N203" s="274">
        <f t="shared" ref="N203:P203" si="367">N98 * (1 - N$113)</f>
        <v>1.4141897881714254E-2</v>
      </c>
      <c r="O203" s="274">
        <f t="shared" si="367"/>
        <v>1.3391523198917461E-2</v>
      </c>
      <c r="P203" s="274">
        <f t="shared" si="367"/>
        <v>1.1487550668138721E-2</v>
      </c>
      <c r="Q203" s="274">
        <f t="shared" ref="Q203:S203" si="368">Q98 * (1 - Q$113)</f>
        <v>8.7842924547505401E-3</v>
      </c>
      <c r="R203" s="274">
        <f t="shared" si="368"/>
        <v>-1.086156720497208E-2</v>
      </c>
      <c r="S203" s="274">
        <f t="shared" si="368"/>
        <v>-1.0512153523017575E-2</v>
      </c>
      <c r="T203" s="274">
        <f t="shared" ref="T203:U203" si="369">T98 * (1 - T$113)</f>
        <v>-1.086156720497208E-2</v>
      </c>
      <c r="U203" s="274">
        <f t="shared" si="369"/>
        <v>-1.086156720497208E-2</v>
      </c>
      <c r="V203" s="274">
        <f t="shared" ref="V203:W203" si="370">V98 * (1 - V$113)</f>
        <v>-1.0512153523017575E-2</v>
      </c>
      <c r="W203" s="274">
        <f t="shared" si="370"/>
        <v>-1.0512153523017575E-2</v>
      </c>
      <c r="X203" s="274">
        <f t="shared" ref="X203:Y203" si="371">X98 * (1 - X$113)</f>
        <v>-1.0353592629909392E-2</v>
      </c>
      <c r="Y203" s="274">
        <f t="shared" si="371"/>
        <v>-1.0353592629909392E-2</v>
      </c>
      <c r="Z203" s="259"/>
      <c r="AA203" s="259"/>
    </row>
    <row r="204" spans="4:27" x14ac:dyDescent="0.3">
      <c r="F204" t="s">
        <v>192</v>
      </c>
      <c r="G204" t="s">
        <v>268</v>
      </c>
      <c r="H204" s="259"/>
      <c r="I204" s="259"/>
      <c r="J204" s="274">
        <f t="shared" ref="J204:K204" si="372">J99 * (1 - J$114)</f>
        <v>5.5038035213612162E-3</v>
      </c>
      <c r="K204" s="274">
        <f t="shared" si="372"/>
        <v>5.5038035213612162E-3</v>
      </c>
      <c r="L204" s="274">
        <f t="shared" ref="L204:M204" si="373">L99 * (1 - L$114)</f>
        <v>6.3474651797164527E-3</v>
      </c>
      <c r="M204" s="274">
        <f t="shared" si="373"/>
        <v>6.3474651797164527E-3</v>
      </c>
      <c r="N204" s="274">
        <f t="shared" ref="N204:P204" si="374">N99 * (1 - N$114)</f>
        <v>5.5939038185566104E-3</v>
      </c>
      <c r="O204" s="274">
        <f t="shared" si="374"/>
        <v>5.2970890742730535E-3</v>
      </c>
      <c r="P204" s="274">
        <f t="shared" si="374"/>
        <v>4.5439624925770012E-3</v>
      </c>
      <c r="Q204" s="274">
        <f t="shared" ref="Q204:S204" si="375">Q99 * (1 - Q$114)</f>
        <v>3.4746741573833647E-3</v>
      </c>
      <c r="R204" s="274">
        <f t="shared" si="375"/>
        <v>-4.2963513646894986E-3</v>
      </c>
      <c r="S204" s="274">
        <f t="shared" si="375"/>
        <v>-4.1581389022541312E-3</v>
      </c>
      <c r="T204" s="274">
        <f t="shared" ref="T204:U204" si="376">T99 * (1 - T$114)</f>
        <v>-4.2963513646894986E-3</v>
      </c>
      <c r="U204" s="274">
        <f t="shared" si="376"/>
        <v>-4.2963513646894986E-3</v>
      </c>
      <c r="V204" s="274">
        <f t="shared" ref="V204:W204" si="377">V99 * (1 - V$114)</f>
        <v>-4.1581389022541312E-3</v>
      </c>
      <c r="W204" s="274">
        <f t="shared" si="377"/>
        <v>-4.1581389022541312E-3</v>
      </c>
      <c r="X204" s="274">
        <f t="shared" ref="X204:Y204" si="378">X99 * (1 - X$114)</f>
        <v>-4.0954192876132643E-3</v>
      </c>
      <c r="Y204" s="274">
        <f t="shared" si="378"/>
        <v>-4.0954192876132643E-3</v>
      </c>
      <c r="Z204" s="259"/>
      <c r="AA204" s="259"/>
    </row>
    <row r="205" spans="4:27" x14ac:dyDescent="0.3">
      <c r="F205" t="s">
        <v>193</v>
      </c>
      <c r="G205" t="s">
        <v>268</v>
      </c>
      <c r="H205" s="259"/>
      <c r="I205" s="259"/>
      <c r="J205" s="274">
        <f t="shared" ref="J205:K205" si="379">J100 * (1 - J$115)</f>
        <v>1.4965645425174789E-2</v>
      </c>
      <c r="K205" s="274">
        <f t="shared" si="379"/>
        <v>1.4965645425174789E-2</v>
      </c>
      <c r="L205" s="274">
        <f t="shared" ref="L205:M205" si="380">L100 * (1 - L$115)</f>
        <v>1.7259684663449907E-2</v>
      </c>
      <c r="M205" s="274">
        <f t="shared" si="380"/>
        <v>1.7259684663449907E-2</v>
      </c>
      <c r="N205" s="274">
        <f t="shared" ref="N205:P205" si="381">N100 * (1 - N$115)</f>
        <v>1.5210641289452232E-2</v>
      </c>
      <c r="O205" s="274">
        <f t="shared" si="381"/>
        <v>1.4403558659654243E-2</v>
      </c>
      <c r="P205" s="274">
        <f t="shared" si="381"/>
        <v>9.8845580116031524E-3</v>
      </c>
      <c r="Q205" s="274">
        <f t="shared" ref="Q205:S205" si="382">Q100 * (1 - Q$115)</f>
        <v>9.4481463965044379E-3</v>
      </c>
      <c r="R205" s="274">
        <f t="shared" si="382"/>
        <v>-1.1682406702266609E-2</v>
      </c>
      <c r="S205" s="274">
        <f t="shared" si="382"/>
        <v>-1.1306586835492656E-2</v>
      </c>
      <c r="T205" s="274">
        <f t="shared" ref="T205:U205" si="383">T100 * (1 - T$115)</f>
        <v>-1.1682406702266609E-2</v>
      </c>
      <c r="U205" s="274">
        <f t="shared" si="383"/>
        <v>-1.1682406702266609E-2</v>
      </c>
      <c r="V205" s="274">
        <f t="shared" ref="V205:W205" si="384">V100 * (1 - V$115)</f>
        <v>-1.1306586835492656E-2</v>
      </c>
      <c r="W205" s="274">
        <f t="shared" si="384"/>
        <v>-1.1306586835492656E-2</v>
      </c>
      <c r="X205" s="274">
        <f t="shared" ref="X205:Y205" si="385">X100 * (1 - X$115)</f>
        <v>-1.1136043045134623E-2</v>
      </c>
      <c r="Y205" s="274">
        <f t="shared" si="385"/>
        <v>-1.1136043045134623E-2</v>
      </c>
      <c r="Z205" s="259"/>
      <c r="AA205" s="259"/>
    </row>
    <row r="206" spans="4:27" x14ac:dyDescent="0.3">
      <c r="F206" t="s">
        <v>194</v>
      </c>
      <c r="G206" t="s">
        <v>268</v>
      </c>
      <c r="H206" s="259"/>
      <c r="I206" s="259"/>
      <c r="J206" s="274">
        <f t="shared" ref="J206:K206" si="386">J101 * (1 - J$116)</f>
        <v>9.4403799715526253E-3</v>
      </c>
      <c r="K206" s="274">
        <f t="shared" si="386"/>
        <v>9.4403799715526253E-3</v>
      </c>
      <c r="L206" s="274">
        <f t="shared" ref="L206:M206" si="387">L101 * (1 - L$116)</f>
        <v>1.0887467715762985E-2</v>
      </c>
      <c r="M206" s="274">
        <f t="shared" si="387"/>
        <v>1.0887467715762985E-2</v>
      </c>
      <c r="N206" s="274">
        <f t="shared" ref="N206:P206" si="388">N101 * (1 - N$116)</f>
        <v>9.5949241949743139E-3</v>
      </c>
      <c r="O206" s="274">
        <f t="shared" si="388"/>
        <v>9.0858137304890198E-3</v>
      </c>
      <c r="P206" s="274">
        <f t="shared" si="388"/>
        <v>0</v>
      </c>
      <c r="Q206" s="274">
        <f t="shared" ref="Q206:S206" si="389">Q101 * (1 - Q$116)</f>
        <v>5.9599228416716199E-3</v>
      </c>
      <c r="R206" s="274">
        <f t="shared" si="389"/>
        <v>-7.3693018321875558E-3</v>
      </c>
      <c r="S206" s="274">
        <f t="shared" si="389"/>
        <v>-7.1322333835901908E-3</v>
      </c>
      <c r="T206" s="274">
        <f t="shared" ref="T206:U206" si="390">T101 * (1 - T$116)</f>
        <v>-7.3693018321875558E-3</v>
      </c>
      <c r="U206" s="274">
        <f t="shared" si="390"/>
        <v>-7.3693018321875558E-3</v>
      </c>
      <c r="V206" s="274">
        <f t="shared" ref="V206:W206" si="391">V101 * (1 - V$116)</f>
        <v>-7.1322333835901908E-3</v>
      </c>
      <c r="W206" s="274">
        <f t="shared" si="391"/>
        <v>-7.1322333835901908E-3</v>
      </c>
      <c r="X206" s="274">
        <f t="shared" ref="X206:Y206" si="392">X101 * (1 - X$116)</f>
        <v>-7.0246537813058582E-3</v>
      </c>
      <c r="Y206" s="274">
        <f t="shared" si="392"/>
        <v>-7.0246537813058582E-3</v>
      </c>
      <c r="Z206" s="259"/>
      <c r="AA206" s="259"/>
    </row>
    <row r="207" spans="4:27" x14ac:dyDescent="0.3">
      <c r="F207" t="s">
        <v>195</v>
      </c>
      <c r="G207" t="s">
        <v>268</v>
      </c>
      <c r="H207" s="259"/>
      <c r="I207" s="259"/>
      <c r="J207" s="274">
        <f t="shared" ref="J207:K207" si="393">J102 * (1 - J$117)</f>
        <v>0</v>
      </c>
      <c r="K207" s="274">
        <f t="shared" si="393"/>
        <v>0</v>
      </c>
      <c r="L207" s="274">
        <f t="shared" ref="L207:M207" si="394">L102 * (1 - L$117)</f>
        <v>0</v>
      </c>
      <c r="M207" s="274">
        <f t="shared" si="394"/>
        <v>0</v>
      </c>
      <c r="N207" s="274">
        <f t="shared" ref="N207:P207" si="395">N102 * (1 - N$117)</f>
        <v>0</v>
      </c>
      <c r="O207" s="274">
        <f t="shared" si="395"/>
        <v>0</v>
      </c>
      <c r="P207" s="274">
        <f t="shared" si="395"/>
        <v>0</v>
      </c>
      <c r="Q207" s="274">
        <f t="shared" ref="Q207:S207" si="396">Q102 * (1 - Q$117)</f>
        <v>0</v>
      </c>
      <c r="R207" s="274">
        <f t="shared" si="396"/>
        <v>0</v>
      </c>
      <c r="S207" s="274">
        <f t="shared" si="396"/>
        <v>0</v>
      </c>
      <c r="T207" s="274">
        <f t="shared" ref="T207:U207" si="397">T102 * (1 - T$117)</f>
        <v>0</v>
      </c>
      <c r="U207" s="274">
        <f t="shared" si="397"/>
        <v>0</v>
      </c>
      <c r="V207" s="274">
        <f t="shared" ref="V207:W207" si="398">V102 * (1 - V$117)</f>
        <v>0</v>
      </c>
      <c r="W207" s="274">
        <f t="shared" si="398"/>
        <v>0</v>
      </c>
      <c r="X207" s="274">
        <f t="shared" ref="X207:Y207" si="399">X102 * (1 - X$117)</f>
        <v>0</v>
      </c>
      <c r="Y207" s="274">
        <f t="shared" si="399"/>
        <v>0</v>
      </c>
      <c r="Z207" s="259"/>
      <c r="AA207" s="259"/>
    </row>
    <row r="208" spans="4:27" x14ac:dyDescent="0.3">
      <c r="F208" t="s">
        <v>196</v>
      </c>
      <c r="G208" t="s">
        <v>268</v>
      </c>
      <c r="H208" s="259"/>
      <c r="I208" s="259"/>
      <c r="J208" s="274">
        <f t="shared" ref="J208:K208" si="400">J103 * (1 - J$118)</f>
        <v>1.713882737382855E-2</v>
      </c>
      <c r="K208" s="274">
        <f t="shared" si="400"/>
        <v>1.713882737382855E-2</v>
      </c>
      <c r="L208" s="274">
        <f t="shared" ref="L208:M208" si="401">L103 * (1 - L$118)</f>
        <v>1.9765987203998536E-2</v>
      </c>
      <c r="M208" s="274">
        <f t="shared" si="401"/>
        <v>1.9765987203998536E-2</v>
      </c>
      <c r="N208" s="274">
        <f t="shared" ref="N208:P208" si="402">N103 * (1 - N$118)</f>
        <v>1.3935519539524625E-2</v>
      </c>
      <c r="O208" s="274">
        <f t="shared" si="402"/>
        <v>0</v>
      </c>
      <c r="P208" s="274">
        <f t="shared" si="402"/>
        <v>0</v>
      </c>
      <c r="Q208" s="274">
        <f t="shared" ref="Q208:S208" si="403">Q103 * (1 - Q$118)</f>
        <v>1.082012472512248E-2</v>
      </c>
      <c r="R208" s="274">
        <f t="shared" si="403"/>
        <v>-1.3378825041798466E-2</v>
      </c>
      <c r="S208" s="274">
        <f t="shared" si="403"/>
        <v>-1.2948431855450552E-2</v>
      </c>
      <c r="T208" s="274">
        <f t="shared" ref="T208:U208" si="404">T103 * (1 - T$118)</f>
        <v>-1.3378825041798466E-2</v>
      </c>
      <c r="U208" s="274">
        <f t="shared" si="404"/>
        <v>-1.3378825041798466E-2</v>
      </c>
      <c r="V208" s="274">
        <f t="shared" ref="V208:W208" si="405">V103 * (1 - V$118)</f>
        <v>-1.2948431855450552E-2</v>
      </c>
      <c r="W208" s="274">
        <f t="shared" si="405"/>
        <v>-1.2948431855450552E-2</v>
      </c>
      <c r="X208" s="274">
        <f t="shared" ref="X208:Y208" si="406">X103 * (1 - X$118)</f>
        <v>0</v>
      </c>
      <c r="Y208" s="274">
        <f t="shared" si="406"/>
        <v>0</v>
      </c>
      <c r="Z208" s="259"/>
      <c r="AA208" s="259"/>
    </row>
    <row r="209" spans="2:27" x14ac:dyDescent="0.3">
      <c r="F209" t="s">
        <v>197</v>
      </c>
      <c r="G209" t="s">
        <v>268</v>
      </c>
      <c r="H209" s="259"/>
      <c r="I209" s="259"/>
      <c r="J209" s="274">
        <f t="shared" ref="J209:K209" si="407">J104 * (1 - J$119)</f>
        <v>1.5560691043145513E-2</v>
      </c>
      <c r="K209" s="274">
        <f t="shared" si="407"/>
        <v>1.5560691043145513E-2</v>
      </c>
      <c r="L209" s="274">
        <f t="shared" ref="L209:M209" si="408">L104 * (1 - L$119)</f>
        <v>1.7945943052898719E-2</v>
      </c>
      <c r="M209" s="274">
        <f t="shared" si="408"/>
        <v>1.7945943052898719E-2</v>
      </c>
      <c r="N209" s="274">
        <f t="shared" ref="N209:P209" si="409">N104 * (1 - N$119)</f>
        <v>0</v>
      </c>
      <c r="O209" s="274">
        <f t="shared" si="409"/>
        <v>0</v>
      </c>
      <c r="P209" s="274">
        <f t="shared" si="409"/>
        <v>0</v>
      </c>
      <c r="Q209" s="274">
        <f t="shared" ref="Q209:S209" si="410">Q104 * (1 - Q$119)</f>
        <v>9.8238119927057579E-3</v>
      </c>
      <c r="R209" s="274">
        <f t="shared" si="410"/>
        <v>-1.2146908213430429E-2</v>
      </c>
      <c r="S209" s="274">
        <f t="shared" si="410"/>
        <v>0</v>
      </c>
      <c r="T209" s="274">
        <f t="shared" ref="T209:U209" si="411">T104 * (1 - T$119)</f>
        <v>-1.2146908213430429E-2</v>
      </c>
      <c r="U209" s="274">
        <f t="shared" si="411"/>
        <v>-1.2146908213430429E-2</v>
      </c>
      <c r="V209" s="274">
        <f t="shared" ref="V209:W209" si="412">V104 * (1 - V$119)</f>
        <v>0</v>
      </c>
      <c r="W209" s="274">
        <f t="shared" si="412"/>
        <v>0</v>
      </c>
      <c r="X209" s="274">
        <f t="shared" ref="X209:Y209" si="413">X104 * (1 - X$119)</f>
        <v>0</v>
      </c>
      <c r="Y209" s="274">
        <f t="shared" si="413"/>
        <v>0</v>
      </c>
      <c r="Z209" s="259"/>
      <c r="AA209" s="259"/>
    </row>
    <row r="210" spans="2:27" x14ac:dyDescent="0.3">
      <c r="F210" t="s">
        <v>198</v>
      </c>
      <c r="G210" t="s">
        <v>268</v>
      </c>
      <c r="H210" s="259"/>
      <c r="I210" s="259"/>
      <c r="J210" s="274">
        <f t="shared" ref="J210:K210" si="414">J105 * (1 - J$120)</f>
        <v>0</v>
      </c>
      <c r="K210" s="274">
        <f t="shared" si="414"/>
        <v>0</v>
      </c>
      <c r="L210" s="274">
        <f t="shared" ref="L210:M210" si="415">L105 * (1 - L$120)</f>
        <v>0</v>
      </c>
      <c r="M210" s="274">
        <f t="shared" si="415"/>
        <v>0</v>
      </c>
      <c r="N210" s="274">
        <f t="shared" ref="N210:P210" si="416">N105 * (1 - N$120)</f>
        <v>0</v>
      </c>
      <c r="O210" s="274">
        <f t="shared" si="416"/>
        <v>0</v>
      </c>
      <c r="P210" s="274">
        <f t="shared" si="416"/>
        <v>0</v>
      </c>
      <c r="Q210" s="274">
        <f t="shared" ref="Q210:S210" si="417">Q105 * (1 - Q$120)</f>
        <v>5.445945205310769E-3</v>
      </c>
      <c r="R210" s="274">
        <f t="shared" si="417"/>
        <v>0</v>
      </c>
      <c r="S210" s="274">
        <f t="shared" si="417"/>
        <v>0</v>
      </c>
      <c r="T210" s="274">
        <f t="shared" ref="T210:U210" si="418">T105 * (1 - T$120)</f>
        <v>0</v>
      </c>
      <c r="U210" s="274">
        <f t="shared" si="418"/>
        <v>0</v>
      </c>
      <c r="V210" s="274">
        <f t="shared" ref="V210:W210" si="419">V105 * (1 - V$120)</f>
        <v>0</v>
      </c>
      <c r="W210" s="274">
        <f t="shared" si="419"/>
        <v>0</v>
      </c>
      <c r="X210" s="274">
        <f t="shared" ref="X210:Y210" si="420">X105 * (1 - X$120)</f>
        <v>0</v>
      </c>
      <c r="Y210" s="274">
        <f t="shared" si="420"/>
        <v>0</v>
      </c>
      <c r="Z210" s="259"/>
      <c r="AA210" s="259"/>
    </row>
    <row r="211" spans="2:27" x14ac:dyDescent="0.3">
      <c r="D211"/>
      <c r="F211" s="23" t="s">
        <v>375</v>
      </c>
      <c r="G211" s="23" t="s">
        <v>268</v>
      </c>
      <c r="H211" s="258"/>
      <c r="I211" s="258" t="s">
        <v>153</v>
      </c>
      <c r="J211" s="272"/>
      <c r="K211" s="272"/>
      <c r="L211" s="272"/>
      <c r="M211" s="272"/>
      <c r="N211" s="272"/>
      <c r="O211" s="272"/>
      <c r="P211" s="272"/>
      <c r="Q211" s="273">
        <f>Q106</f>
        <v>2.1563961368649194</v>
      </c>
      <c r="R211" s="272"/>
      <c r="S211" s="272"/>
      <c r="T211" s="272"/>
      <c r="U211" s="272"/>
      <c r="V211" s="272"/>
      <c r="W211" s="272"/>
      <c r="X211" s="272"/>
      <c r="Y211" s="272"/>
      <c r="Z211" s="259"/>
      <c r="AA211" s="259" t="s">
        <v>653</v>
      </c>
    </row>
    <row r="212" spans="2:27" x14ac:dyDescent="0.3">
      <c r="D212"/>
      <c r="F212" s="37" t="s">
        <v>376</v>
      </c>
      <c r="G212" s="37" t="s">
        <v>268</v>
      </c>
      <c r="H212" s="261"/>
      <c r="I212" s="261"/>
      <c r="J212" s="262"/>
      <c r="K212" s="262"/>
      <c r="L212" s="262"/>
      <c r="M212" s="262"/>
      <c r="N212" s="262"/>
      <c r="O212" s="262"/>
      <c r="P212" s="262"/>
      <c r="Q212" s="262"/>
      <c r="R212" s="262"/>
      <c r="S212" s="262"/>
      <c r="T212" s="262"/>
      <c r="U212" s="262"/>
      <c r="V212" s="262"/>
      <c r="W212" s="262"/>
      <c r="X212" s="262"/>
      <c r="Y212" s="262"/>
      <c r="Z212" s="259"/>
      <c r="AA212" s="259"/>
    </row>
    <row r="213" spans="2:27" x14ac:dyDescent="0.3">
      <c r="J213" s="89"/>
      <c r="K213" s="89"/>
      <c r="L213" s="89"/>
      <c r="M213" s="89"/>
      <c r="N213" s="89"/>
      <c r="O213" s="89"/>
      <c r="P213" s="89"/>
      <c r="Q213" s="89"/>
      <c r="R213" s="89"/>
      <c r="S213" s="89"/>
      <c r="T213" s="89"/>
      <c r="U213" s="89"/>
      <c r="V213" s="89"/>
      <c r="W213" s="89"/>
      <c r="X213" s="89"/>
      <c r="Y213" s="89"/>
    </row>
    <row r="214" spans="2:27" x14ac:dyDescent="0.3">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3">
      <c r="J215" s="89"/>
      <c r="K215" s="89"/>
      <c r="L215" s="89"/>
      <c r="M215" s="89"/>
      <c r="N215" s="89"/>
      <c r="O215" s="89"/>
      <c r="P215" s="89"/>
      <c r="Q215" s="89"/>
      <c r="R215" s="89"/>
      <c r="S215" s="89"/>
      <c r="T215" s="89"/>
      <c r="U215" s="89"/>
      <c r="V215" s="89"/>
      <c r="W215" s="89"/>
      <c r="X215" s="89"/>
      <c r="Y215" s="89"/>
      <c r="AA215" s="3"/>
    </row>
    <row r="216" spans="2:27" x14ac:dyDescent="0.3">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3">
      <c r="D217"/>
      <c r="F217" s="23" t="s">
        <v>657</v>
      </c>
      <c r="G217" s="23" t="s">
        <v>268</v>
      </c>
      <c r="H217" s="258"/>
      <c r="I217" s="258"/>
      <c r="J217" s="421">
        <f t="shared" ref="J217:K217" si="421">SUM(J127:J138,J141:J152)</f>
        <v>8.3514870140558912</v>
      </c>
      <c r="K217" s="421">
        <f t="shared" si="421"/>
        <v>8.3514870140558912</v>
      </c>
      <c r="L217" s="421">
        <f t="shared" ref="L217:M217" si="422">SUM(L127:L138,L141:L152)</f>
        <v>9.6316615981711351</v>
      </c>
      <c r="M217" s="421">
        <f t="shared" si="422"/>
        <v>9.6316615981711351</v>
      </c>
      <c r="N217" s="421">
        <f t="shared" ref="N217:P217" si="423">SUM(N127:N138,N141:N152)</f>
        <v>7.0444036746190282</v>
      </c>
      <c r="O217" s="421">
        <f t="shared" si="423"/>
        <v>5.6834108878816547</v>
      </c>
      <c r="P217" s="421">
        <f t="shared" si="423"/>
        <v>3.9131724055976909</v>
      </c>
      <c r="Q217" s="421">
        <f t="shared" ref="Q217:S217" si="424">SUM(Q127:Q138,Q141:Q152)</f>
        <v>16.003051911330189</v>
      </c>
      <c r="R217" s="421">
        <f t="shared" si="424"/>
        <v>-6.5192956999219849</v>
      </c>
      <c r="S217" s="421">
        <f t="shared" si="424"/>
        <v>-5.4300819577995343</v>
      </c>
      <c r="T217" s="421">
        <f t="shared" ref="T217:U217" si="425">SUM(T127:T138,T141:T152)</f>
        <v>-6.5192956999219849</v>
      </c>
      <c r="U217" s="421">
        <f t="shared" si="425"/>
        <v>-6.5192956999219849</v>
      </c>
      <c r="V217" s="421">
        <f t="shared" ref="V217:W217" si="426">SUM(V127:V138,V141:V152)</f>
        <v>-5.4300819577995343</v>
      </c>
      <c r="W217" s="421">
        <f t="shared" si="426"/>
        <v>-5.4300819577995343</v>
      </c>
      <c r="X217" s="421">
        <f t="shared" ref="X217:Y217" si="427">SUM(X127:X138,X141:X152)</f>
        <v>-4.1415516971992012</v>
      </c>
      <c r="Y217" s="421">
        <f t="shared" si="427"/>
        <v>-4.1415516971992012</v>
      </c>
      <c r="Z217" s="259"/>
      <c r="AA217" s="259"/>
    </row>
    <row r="218" spans="2:27" x14ac:dyDescent="0.3">
      <c r="D218"/>
      <c r="F218" t="s">
        <v>658</v>
      </c>
      <c r="G218" t="s">
        <v>268</v>
      </c>
      <c r="H218" s="259"/>
      <c r="I218" s="259"/>
      <c r="J218" s="421">
        <f t="shared" ref="J218:K218" si="428">SUM(J157:J168,J171:J182)</f>
        <v>1.5166758132927634</v>
      </c>
      <c r="K218" s="421">
        <f t="shared" si="428"/>
        <v>1.5166758132927634</v>
      </c>
      <c r="L218" s="421">
        <f t="shared" ref="L218:M218" si="429">SUM(L157:L168,L171:L182)</f>
        <v>1.7491625339512411</v>
      </c>
      <c r="M218" s="421">
        <f t="shared" si="429"/>
        <v>1.7491625339512411</v>
      </c>
      <c r="N218" s="421">
        <f t="shared" ref="N218:P218" si="430">SUM(N157:N168,N171:N182)</f>
        <v>1.1739839411843249</v>
      </c>
      <c r="O218" s="421">
        <f t="shared" si="430"/>
        <v>0.86039593221703004</v>
      </c>
      <c r="P218" s="421">
        <f t="shared" si="430"/>
        <v>0.49314204944907558</v>
      </c>
      <c r="Q218" s="421">
        <f t="shared" ref="Q218:S218" si="431">SUM(Q157:Q168,Q171:Q182)</f>
        <v>3.214125871494339</v>
      </c>
      <c r="R218" s="421">
        <f t="shared" si="431"/>
        <v>-1.1839398290548573</v>
      </c>
      <c r="S218" s="421">
        <f t="shared" si="431"/>
        <v>-0.92197810927331569</v>
      </c>
      <c r="T218" s="421">
        <f t="shared" ref="T218:U218" si="432">SUM(T157:T168,T171:T182)</f>
        <v>-1.1839398290548573</v>
      </c>
      <c r="U218" s="421">
        <f t="shared" si="432"/>
        <v>-1.1839398290548573</v>
      </c>
      <c r="V218" s="421">
        <f t="shared" ref="V218:W218" si="433">SUM(V157:V168,V171:V182)</f>
        <v>-0.92197810927331569</v>
      </c>
      <c r="W218" s="421">
        <f t="shared" si="433"/>
        <v>-0.92197810927331569</v>
      </c>
      <c r="X218" s="421">
        <f t="shared" ref="X218:Y218" si="434">SUM(X157:X168,X171:X182)</f>
        <v>-0.60092414595446808</v>
      </c>
      <c r="Y218" s="421">
        <f t="shared" si="434"/>
        <v>-0.60092414595446808</v>
      </c>
      <c r="Z218" s="259"/>
      <c r="AA218" s="259"/>
    </row>
    <row r="219" spans="2:27" x14ac:dyDescent="0.3">
      <c r="D219"/>
      <c r="F219" s="37" t="s">
        <v>659</v>
      </c>
      <c r="G219" s="37" t="s">
        <v>268</v>
      </c>
      <c r="H219" s="261"/>
      <c r="I219" s="261"/>
      <c r="J219" s="265">
        <f t="shared" ref="J219:K219" si="435">SUM(J187:J198,J201:J212)</f>
        <v>0.21376900381029099</v>
      </c>
      <c r="K219" s="265">
        <f t="shared" si="435"/>
        <v>0.21376900381029099</v>
      </c>
      <c r="L219" s="265">
        <f t="shared" ref="L219:M219" si="436">SUM(L187:L198,L201:L212)</f>
        <v>0.24653701806798978</v>
      </c>
      <c r="M219" s="265">
        <f t="shared" si="436"/>
        <v>0.24653701806798978</v>
      </c>
      <c r="N219" s="265">
        <f t="shared" ref="N219:P219" si="437">SUM(N187:N198,N201:N212)</f>
        <v>0.17017696970973151</v>
      </c>
      <c r="O219" s="265">
        <f t="shared" si="437"/>
        <v>0.12894799267730714</v>
      </c>
      <c r="P219" s="265">
        <f t="shared" si="437"/>
        <v>7.9231508627719355E-2</v>
      </c>
      <c r="Q219" s="265">
        <f t="shared" ref="Q219:S219" si="438">SUM(Q187:Q198,Q201:Q212)</f>
        <v>2.2971353389064215</v>
      </c>
      <c r="R219" s="265">
        <f t="shared" si="438"/>
        <v>-0.16687128232032356</v>
      </c>
      <c r="S219" s="265">
        <f t="shared" si="438"/>
        <v>-0.1328173286336693</v>
      </c>
      <c r="T219" s="265">
        <f t="shared" ref="T219:U219" si="439">SUM(T187:T198,T201:T212)</f>
        <v>-0.16687128232032356</v>
      </c>
      <c r="U219" s="265">
        <f t="shared" si="439"/>
        <v>-0.16687128232032356</v>
      </c>
      <c r="V219" s="265">
        <f t="shared" ref="V219:W219" si="440">SUM(V187:V198,V201:V212)</f>
        <v>-0.1328173286336693</v>
      </c>
      <c r="W219" s="265">
        <f t="shared" si="440"/>
        <v>-0.1328173286336693</v>
      </c>
      <c r="X219" s="265">
        <f t="shared" ref="X219:Y219" si="441">SUM(X187:X198,X201:X212)</f>
        <v>-9.1458253259940767E-2</v>
      </c>
      <c r="Y219" s="265">
        <f t="shared" si="441"/>
        <v>-9.1458253259940767E-2</v>
      </c>
      <c r="Z219" s="259"/>
      <c r="AA219" s="259"/>
    </row>
    <row r="221" spans="2:27" x14ac:dyDescent="0.3">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3">
      <c r="AA222" s="3"/>
    </row>
    <row r="223" spans="2:27" x14ac:dyDescent="0.3">
      <c r="E223" t="s">
        <v>231</v>
      </c>
      <c r="G223" s="6" t="s">
        <v>54</v>
      </c>
      <c r="H223" s="103">
        <f t="array" ref="H223">SUM(IF(ISERROR(H22:Y219), 1))</f>
        <v>0</v>
      </c>
      <c r="AA223" s="3"/>
    </row>
    <row r="225" spans="2:27" x14ac:dyDescent="0.3">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3">
      <c r="AA226" s="3"/>
    </row>
    <row r="228" spans="2:27" x14ac:dyDescent="0.3">
      <c r="AA228" s="3"/>
    </row>
    <row r="229" spans="2:27" x14ac:dyDescent="0.3">
      <c r="J229" s="63"/>
      <c r="L229" s="63"/>
    </row>
    <row r="230" spans="2:27" x14ac:dyDescent="0.3">
      <c r="J230" s="63"/>
      <c r="L230" s="63"/>
    </row>
    <row r="231" spans="2:27" x14ac:dyDescent="0.3">
      <c r="J231" s="63"/>
      <c r="L231" s="63"/>
    </row>
    <row r="232" spans="2:27" x14ac:dyDescent="0.3">
      <c r="J232" s="63"/>
      <c r="L232" s="63"/>
    </row>
    <row r="233" spans="2:27" x14ac:dyDescent="0.3">
      <c r="J233" s="63"/>
      <c r="L233" s="63"/>
    </row>
    <row r="234" spans="2:27" x14ac:dyDescent="0.3">
      <c r="J234" s="63"/>
      <c r="L234" s="63"/>
    </row>
    <row r="235" spans="2:27" x14ac:dyDescent="0.3">
      <c r="J235" s="63"/>
      <c r="L235" s="63"/>
    </row>
    <row r="236" spans="2:27" x14ac:dyDescent="0.3">
      <c r="J236" s="63"/>
      <c r="L236" s="63"/>
    </row>
    <row r="237" spans="2:27" x14ac:dyDescent="0.3">
      <c r="J237" s="63"/>
      <c r="L237" s="63"/>
    </row>
    <row r="238" spans="2:27" x14ac:dyDescent="0.3">
      <c r="J238" s="63"/>
      <c r="L238" s="63"/>
    </row>
    <row r="239" spans="2:27" x14ac:dyDescent="0.3">
      <c r="J239" s="63"/>
      <c r="L239" s="63"/>
    </row>
    <row r="240" spans="2:27" x14ac:dyDescent="0.3">
      <c r="J240" s="63"/>
      <c r="L240" s="63"/>
    </row>
    <row r="241" spans="10:12" x14ac:dyDescent="0.3">
      <c r="J241" s="63"/>
      <c r="L241" s="63"/>
    </row>
    <row r="242" spans="10:12" x14ac:dyDescent="0.3">
      <c r="J242" s="63"/>
      <c r="L242" s="63"/>
    </row>
    <row r="243" spans="10:12" x14ac:dyDescent="0.3">
      <c r="J243" s="63"/>
      <c r="L243" s="63"/>
    </row>
    <row r="244" spans="10:12" x14ac:dyDescent="0.3">
      <c r="J244" s="63"/>
      <c r="L244" s="63"/>
    </row>
    <row r="245" spans="10:12" x14ac:dyDescent="0.3">
      <c r="J245" s="63"/>
      <c r="L245" s="63"/>
    </row>
    <row r="246" spans="10:12" x14ac:dyDescent="0.3">
      <c r="J246" s="63"/>
      <c r="L246" s="63"/>
    </row>
    <row r="247" spans="10:12" x14ac:dyDescent="0.3">
      <c r="J247" s="63"/>
      <c r="L247" s="63"/>
    </row>
    <row r="248" spans="10:12" x14ac:dyDescent="0.3">
      <c r="J248" s="63"/>
      <c r="L248" s="63"/>
    </row>
    <row r="249" spans="10:12" x14ac:dyDescent="0.3">
      <c r="J249" s="63"/>
      <c r="L249" s="63"/>
    </row>
    <row r="250" spans="10:12" x14ac:dyDescent="0.3">
      <c r="J250" s="63"/>
      <c r="L250" s="63"/>
    </row>
    <row r="251" spans="10:12" x14ac:dyDescent="0.3">
      <c r="J251" s="63"/>
      <c r="L251" s="63"/>
    </row>
    <row r="252" spans="10:12" x14ac:dyDescent="0.3">
      <c r="J252" s="63"/>
      <c r="L252" s="63"/>
    </row>
    <row r="253" spans="10:12" x14ac:dyDescent="0.3">
      <c r="J253" s="63"/>
      <c r="L253" s="63"/>
    </row>
    <row r="254" spans="10:12" x14ac:dyDescent="0.3">
      <c r="J254" s="63"/>
      <c r="L254" s="63"/>
    </row>
    <row r="255" spans="10:12" x14ac:dyDescent="0.3">
      <c r="J255" s="63"/>
      <c r="L255" s="63"/>
    </row>
    <row r="256" spans="10:12" x14ac:dyDescent="0.3">
      <c r="J256" s="63"/>
      <c r="L256" s="63"/>
    </row>
    <row r="257" spans="10:12" x14ac:dyDescent="0.3">
      <c r="J257" s="63"/>
      <c r="L257" s="63"/>
    </row>
    <row r="258" spans="10:12" x14ac:dyDescent="0.3">
      <c r="J258" s="63"/>
      <c r="L258" s="63"/>
    </row>
    <row r="259" spans="10:12" x14ac:dyDescent="0.3">
      <c r="J259" s="63"/>
      <c r="L259" s="63"/>
    </row>
    <row r="260" spans="10:12" x14ac:dyDescent="0.3">
      <c r="J260" s="63"/>
      <c r="L260" s="63"/>
    </row>
    <row r="261" spans="10:12" x14ac:dyDescent="0.3">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Capacity charges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H295 &amp; IF(H295 = 1, " issue", " issues") &amp;" identified in checks on this sheet"</f>
        <v>0 issues identified in checks on this sheet</v>
      </c>
      <c r="B4" s="13"/>
      <c r="C4" s="13"/>
      <c r="D4" s="13"/>
      <c r="E4" s="13"/>
      <c r="F4" s="13"/>
      <c r="G4" s="13"/>
      <c r="H4" s="14"/>
      <c r="I4" s="14"/>
      <c r="AA4" s="15"/>
    </row>
    <row r="5" spans="1:27" ht="43.2" x14ac:dyDescent="0.3">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D9" s="29" t="s">
        <v>684</v>
      </c>
      <c r="E9"/>
    </row>
    <row r="10" spans="1:27" x14ac:dyDescent="0.3">
      <c r="D10" s="29" t="s">
        <v>685</v>
      </c>
      <c r="E10"/>
    </row>
    <row r="11" spans="1:27" x14ac:dyDescent="0.3">
      <c r="D11" s="29" t="s">
        <v>686</v>
      </c>
      <c r="E11"/>
    </row>
    <row r="12" spans="1:27" x14ac:dyDescent="0.3">
      <c r="D12" s="29" t="s">
        <v>687</v>
      </c>
      <c r="E12"/>
    </row>
    <row r="13" spans="1:27" x14ac:dyDescent="0.3">
      <c r="D13" s="29" t="s">
        <v>688</v>
      </c>
      <c r="E13"/>
    </row>
    <row r="14" spans="1:27" x14ac:dyDescent="0.3">
      <c r="D14" s="29" t="s">
        <v>689</v>
      </c>
      <c r="E14"/>
    </row>
    <row r="15" spans="1:27" x14ac:dyDescent="0.3">
      <c r="D15" s="29" t="s">
        <v>690</v>
      </c>
    </row>
    <row r="17" spans="2:27" x14ac:dyDescent="0.3">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3">
      <c r="D18"/>
      <c r="E18"/>
    </row>
    <row r="19" spans="2:27" x14ac:dyDescent="0.3">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3">
      <c r="E21" s="32" t="s">
        <v>692</v>
      </c>
      <c r="F21" s="2"/>
    </row>
    <row r="22" spans="2:27" x14ac:dyDescent="0.3">
      <c r="D22"/>
      <c r="E22" s="29" t="s">
        <v>693</v>
      </c>
      <c r="F22" s="2"/>
    </row>
    <row r="23" spans="2:27" x14ac:dyDescent="0.3">
      <c r="C23" s="88"/>
      <c r="F23" s="108" t="s">
        <v>188</v>
      </c>
      <c r="G23" s="108" t="s">
        <v>166</v>
      </c>
      <c r="H23" s="207">
        <f>'System peak demand'!H226</f>
        <v>6.4933942364639119E-2</v>
      </c>
    </row>
    <row r="24" spans="2:27" x14ac:dyDescent="0.3">
      <c r="C24" s="88"/>
      <c r="F24" t="s">
        <v>190</v>
      </c>
      <c r="G24" t="s">
        <v>166</v>
      </c>
      <c r="H24" s="25">
        <f>'System peak demand'!H226</f>
        <v>6.4933942364639119E-2</v>
      </c>
    </row>
    <row r="25" spans="2:27" x14ac:dyDescent="0.3">
      <c r="C25" s="88"/>
      <c r="F25" t="s">
        <v>191</v>
      </c>
      <c r="G25" t="s">
        <v>166</v>
      </c>
      <c r="H25" s="25">
        <f>'System peak demand'!H227</f>
        <v>0.13740729472191449</v>
      </c>
    </row>
    <row r="26" spans="2:27" x14ac:dyDescent="0.3">
      <c r="C26" s="88"/>
      <c r="F26" t="s">
        <v>192</v>
      </c>
      <c r="G26" t="s">
        <v>166</v>
      </c>
      <c r="H26" s="25">
        <f>'System peak demand'!H228</f>
        <v>0.13740729472191449</v>
      </c>
    </row>
    <row r="27" spans="2:27" x14ac:dyDescent="0.3">
      <c r="C27" s="88"/>
      <c r="F27" t="s">
        <v>193</v>
      </c>
      <c r="G27" t="s">
        <v>166</v>
      </c>
      <c r="H27" s="25">
        <f>'System peak demand'!H229</f>
        <v>0.25192977586573773</v>
      </c>
    </row>
    <row r="28" spans="2:27" x14ac:dyDescent="0.3">
      <c r="C28" s="88"/>
      <c r="F28" t="s">
        <v>194</v>
      </c>
      <c r="G28" t="s">
        <v>166</v>
      </c>
      <c r="H28" s="25">
        <f>'System peak demand'!H230</f>
        <v>0.25192977586573773</v>
      </c>
    </row>
    <row r="29" spans="2:27" x14ac:dyDescent="0.3">
      <c r="C29" s="88"/>
      <c r="F29" t="s">
        <v>195</v>
      </c>
      <c r="G29" t="s">
        <v>166</v>
      </c>
      <c r="H29" s="25">
        <f>'System peak demand'!H231</f>
        <v>0.13740729472191449</v>
      </c>
    </row>
    <row r="30" spans="2:27" x14ac:dyDescent="0.3">
      <c r="C30" s="88"/>
      <c r="F30" t="s">
        <v>196</v>
      </c>
      <c r="G30" t="s">
        <v>166</v>
      </c>
      <c r="H30" s="25">
        <f>'System peak demand'!H232</f>
        <v>0.75644855416333412</v>
      </c>
    </row>
    <row r="31" spans="2:27" x14ac:dyDescent="0.3">
      <c r="C31" s="88"/>
      <c r="F31" t="s">
        <v>197</v>
      </c>
      <c r="G31" t="s">
        <v>166</v>
      </c>
      <c r="H31" s="25">
        <f>'System peak demand'!H233</f>
        <v>0.75644855416333412</v>
      </c>
    </row>
    <row r="32" spans="2:27" x14ac:dyDescent="0.3">
      <c r="C32" s="88"/>
      <c r="F32" t="s">
        <v>198</v>
      </c>
      <c r="G32" t="s">
        <v>166</v>
      </c>
      <c r="H32" s="25">
        <f>'System peak demand'!H234</f>
        <v>0.82339710298434476</v>
      </c>
    </row>
    <row r="33" spans="3:8" x14ac:dyDescent="0.3">
      <c r="C33" s="88"/>
      <c r="F33" t="s">
        <v>375</v>
      </c>
      <c r="G33" t="s">
        <v>166</v>
      </c>
      <c r="H33" s="66"/>
    </row>
    <row r="34" spans="3:8" x14ac:dyDescent="0.3">
      <c r="C34" s="88"/>
      <c r="F34" s="37" t="s">
        <v>376</v>
      </c>
      <c r="G34" s="37" t="s">
        <v>166</v>
      </c>
      <c r="H34" s="68"/>
    </row>
    <row r="35" spans="3:8" x14ac:dyDescent="0.3">
      <c r="C35" s="88"/>
      <c r="F35" s="2"/>
    </row>
    <row r="36" spans="3:8" x14ac:dyDescent="0.3">
      <c r="E36" s="88" t="s">
        <v>393</v>
      </c>
      <c r="F36" s="2"/>
    </row>
    <row r="37" spans="3:8" x14ac:dyDescent="0.3">
      <c r="C37" s="88"/>
      <c r="F37" s="23" t="s">
        <v>188</v>
      </c>
      <c r="G37" s="64" t="s">
        <v>282</v>
      </c>
      <c r="H37" s="124">
        <f t="array" ref="H37:H46">TRANSPOSE('Load &amp; loss characteristics'!J29:S29)</f>
        <v>1</v>
      </c>
    </row>
    <row r="38" spans="3:8" x14ac:dyDescent="0.3">
      <c r="C38" s="88"/>
      <c r="F38" t="s">
        <v>190</v>
      </c>
      <c r="G38" s="28" t="s">
        <v>282</v>
      </c>
      <c r="H38" s="120">
        <v>1</v>
      </c>
    </row>
    <row r="39" spans="3:8" x14ac:dyDescent="0.3">
      <c r="C39" s="88"/>
      <c r="F39" t="s">
        <v>191</v>
      </c>
      <c r="G39" s="28" t="s">
        <v>282</v>
      </c>
      <c r="H39" s="120">
        <v>1.0069921140018139</v>
      </c>
    </row>
    <row r="40" spans="3:8" x14ac:dyDescent="0.3">
      <c r="C40" s="88"/>
      <c r="F40" t="s">
        <v>192</v>
      </c>
      <c r="G40" s="28" t="s">
        <v>282</v>
      </c>
      <c r="H40" s="120">
        <v>1.0120298017682567</v>
      </c>
    </row>
    <row r="41" spans="3:8" x14ac:dyDescent="0.3">
      <c r="C41" s="88"/>
      <c r="F41" t="s">
        <v>193</v>
      </c>
      <c r="G41" s="28" t="s">
        <v>282</v>
      </c>
      <c r="H41" s="120">
        <v>1.0169672276140249</v>
      </c>
    </row>
    <row r="42" spans="3:8" x14ac:dyDescent="0.3">
      <c r="C42" s="88"/>
      <c r="F42" t="s">
        <v>194</v>
      </c>
      <c r="G42" s="28" t="s">
        <v>282</v>
      </c>
      <c r="H42" s="120">
        <v>1.022345392317251</v>
      </c>
    </row>
    <row r="43" spans="3:8" x14ac:dyDescent="0.3">
      <c r="C43" s="88"/>
      <c r="F43" t="s">
        <v>195</v>
      </c>
      <c r="G43" s="28" t="s">
        <v>282</v>
      </c>
      <c r="H43" s="120">
        <v>1.022345392317251</v>
      </c>
    </row>
    <row r="44" spans="3:8" x14ac:dyDescent="0.3">
      <c r="C44" s="88"/>
      <c r="F44" t="s">
        <v>196</v>
      </c>
      <c r="G44" s="28" t="s">
        <v>282</v>
      </c>
      <c r="H44" s="120">
        <v>1.030550424378613</v>
      </c>
    </row>
    <row r="45" spans="3:8" x14ac:dyDescent="0.3">
      <c r="C45" s="88"/>
      <c r="F45" t="s">
        <v>197</v>
      </c>
      <c r="G45" s="28" t="s">
        <v>282</v>
      </c>
      <c r="H45" s="120">
        <v>1.0463328683595021</v>
      </c>
    </row>
    <row r="46" spans="3:8" x14ac:dyDescent="0.3">
      <c r="C46" s="88"/>
      <c r="F46" t="s">
        <v>198</v>
      </c>
      <c r="G46" s="28" t="s">
        <v>282</v>
      </c>
      <c r="H46" s="120">
        <v>1.0811119475731934</v>
      </c>
    </row>
    <row r="47" spans="3:8" x14ac:dyDescent="0.3">
      <c r="C47" s="88"/>
      <c r="F47" t="s">
        <v>375</v>
      </c>
      <c r="G47" s="28" t="s">
        <v>282</v>
      </c>
      <c r="H47" s="79"/>
    </row>
    <row r="48" spans="3:8" x14ac:dyDescent="0.3">
      <c r="C48" s="88"/>
      <c r="F48" s="37" t="s">
        <v>376</v>
      </c>
      <c r="G48" s="67" t="s">
        <v>282</v>
      </c>
      <c r="H48" s="81"/>
    </row>
    <row r="49" spans="3:8" x14ac:dyDescent="0.3">
      <c r="C49" s="88"/>
      <c r="F49" s="2"/>
      <c r="H49" s="89"/>
    </row>
    <row r="50" spans="3:8" x14ac:dyDescent="0.3">
      <c r="C50" s="88"/>
      <c r="E50" s="88" t="s">
        <v>583</v>
      </c>
      <c r="H50" s="89"/>
    </row>
    <row r="51" spans="3:8" x14ac:dyDescent="0.3">
      <c r="C51" s="88"/>
      <c r="E51" s="29"/>
      <c r="F51" s="23" t="s">
        <v>188</v>
      </c>
      <c r="G51" s="23" t="s">
        <v>584</v>
      </c>
      <c r="H51" s="83"/>
    </row>
    <row r="52" spans="3:8" x14ac:dyDescent="0.3">
      <c r="C52" s="88"/>
      <c r="E52" s="29"/>
      <c r="F52" t="s">
        <v>190</v>
      </c>
      <c r="G52" t="s">
        <v>584</v>
      </c>
      <c r="H52" s="79"/>
    </row>
    <row r="53" spans="3:8" x14ac:dyDescent="0.3">
      <c r="C53" s="88"/>
      <c r="E53" s="29"/>
      <c r="F53" t="s">
        <v>191</v>
      </c>
      <c r="G53" t="s">
        <v>584</v>
      </c>
      <c r="H53" s="120">
        <f t="array" ref="H53:H60">TRANSPOSE('Unit costs'!L114:S114)</f>
        <v>11.027391141184008</v>
      </c>
    </row>
    <row r="54" spans="3:8" x14ac:dyDescent="0.3">
      <c r="C54" s="88"/>
      <c r="E54" s="29"/>
      <c r="F54" t="s">
        <v>192</v>
      </c>
      <c r="G54" t="s">
        <v>584</v>
      </c>
      <c r="H54" s="120">
        <v>4.3837654479733201</v>
      </c>
    </row>
    <row r="55" spans="3:8" x14ac:dyDescent="0.3">
      <c r="C55" s="88"/>
      <c r="E55" s="29"/>
      <c r="F55" t="s">
        <v>193</v>
      </c>
      <c r="G55" t="s">
        <v>584</v>
      </c>
      <c r="H55" s="120">
        <v>11.123308344706246</v>
      </c>
    </row>
    <row r="56" spans="3:8" x14ac:dyDescent="0.3">
      <c r="C56" s="88"/>
      <c r="E56" s="29"/>
      <c r="F56" t="s">
        <v>194</v>
      </c>
      <c r="G56" t="s">
        <v>584</v>
      </c>
      <c r="H56" s="120">
        <v>7.0537276288480797</v>
      </c>
    </row>
    <row r="57" spans="3:8" x14ac:dyDescent="0.3">
      <c r="C57" s="88"/>
      <c r="E57" s="29"/>
      <c r="F57" t="s">
        <v>195</v>
      </c>
      <c r="G57" t="s">
        <v>584</v>
      </c>
      <c r="H57" s="120">
        <v>0</v>
      </c>
    </row>
    <row r="58" spans="3:8" x14ac:dyDescent="0.3">
      <c r="C58" s="88"/>
      <c r="E58" s="29"/>
      <c r="F58" t="s">
        <v>196</v>
      </c>
      <c r="G58" t="s">
        <v>584</v>
      </c>
      <c r="H58" s="120">
        <v>12.908682469210778</v>
      </c>
    </row>
    <row r="59" spans="3:8" x14ac:dyDescent="0.3">
      <c r="C59" s="88"/>
      <c r="E59" s="29"/>
      <c r="F59" t="s">
        <v>197</v>
      </c>
      <c r="G59" t="s">
        <v>584</v>
      </c>
      <c r="H59" s="120">
        <v>11.899543884382707</v>
      </c>
    </row>
    <row r="60" spans="3:8" x14ac:dyDescent="0.3">
      <c r="C60" s="88"/>
      <c r="E60" s="29"/>
      <c r="F60" t="s">
        <v>198</v>
      </c>
      <c r="G60" t="s">
        <v>584</v>
      </c>
      <c r="H60" s="120">
        <v>6.8159177153305075</v>
      </c>
    </row>
    <row r="61" spans="3:8" x14ac:dyDescent="0.3">
      <c r="C61" s="88"/>
      <c r="E61" s="29"/>
      <c r="F61" t="s">
        <v>375</v>
      </c>
      <c r="G61" t="s">
        <v>584</v>
      </c>
      <c r="H61" s="79"/>
    </row>
    <row r="62" spans="3:8" x14ac:dyDescent="0.3">
      <c r="C62" s="88"/>
      <c r="E62" s="29"/>
      <c r="F62" s="37" t="s">
        <v>376</v>
      </c>
      <c r="G62" s="37" t="s">
        <v>584</v>
      </c>
      <c r="H62" s="81"/>
    </row>
    <row r="63" spans="3:8" x14ac:dyDescent="0.3">
      <c r="C63" s="88"/>
      <c r="D63"/>
      <c r="E63" s="29"/>
      <c r="H63" s="89"/>
    </row>
    <row r="64" spans="3:8" x14ac:dyDescent="0.3">
      <c r="C64" s="88"/>
      <c r="E64" s="88" t="s">
        <v>602</v>
      </c>
      <c r="H64" s="89"/>
    </row>
    <row r="65" spans="3:25" x14ac:dyDescent="0.3">
      <c r="C65" s="88"/>
      <c r="F65" s="23" t="s">
        <v>188</v>
      </c>
      <c r="G65" s="23" t="s">
        <v>584</v>
      </c>
      <c r="H65" s="124">
        <f t="array" ref="H65:H74">TRANSPOSE('Unit costs'!J115:S115)</f>
        <v>5.7700431279977353</v>
      </c>
    </row>
    <row r="66" spans="3:25" x14ac:dyDescent="0.3">
      <c r="C66" s="88"/>
      <c r="F66" t="s">
        <v>190</v>
      </c>
      <c r="G66" t="s">
        <v>584</v>
      </c>
      <c r="H66" s="120">
        <v>0</v>
      </c>
    </row>
    <row r="67" spans="3:25" x14ac:dyDescent="0.3">
      <c r="C67" s="88"/>
      <c r="F67" t="s">
        <v>191</v>
      </c>
      <c r="G67" t="s">
        <v>584</v>
      </c>
      <c r="H67" s="120">
        <v>5.360298391980562</v>
      </c>
    </row>
    <row r="68" spans="3:25" x14ac:dyDescent="0.3">
      <c r="C68" s="88"/>
      <c r="F68" t="s">
        <v>192</v>
      </c>
      <c r="G68" t="s">
        <v>584</v>
      </c>
      <c r="H68" s="120">
        <v>2.1309020946787904</v>
      </c>
    </row>
    <row r="69" spans="3:25" x14ac:dyDescent="0.3">
      <c r="C69" s="88"/>
      <c r="F69" t="s">
        <v>193</v>
      </c>
      <c r="G69" t="s">
        <v>584</v>
      </c>
      <c r="H69" s="120">
        <v>5.4069227317923003</v>
      </c>
    </row>
    <row r="70" spans="3:25" x14ac:dyDescent="0.3">
      <c r="C70" s="88"/>
      <c r="F70" t="s">
        <v>194</v>
      </c>
      <c r="G70" t="s">
        <v>584</v>
      </c>
      <c r="H70" s="120">
        <v>3.4287425178176432</v>
      </c>
    </row>
    <row r="71" spans="3:25" x14ac:dyDescent="0.3">
      <c r="C71" s="88"/>
      <c r="F71" t="s">
        <v>195</v>
      </c>
      <c r="G71" t="s">
        <v>584</v>
      </c>
      <c r="H71" s="120">
        <v>0</v>
      </c>
    </row>
    <row r="72" spans="3:25" x14ac:dyDescent="0.3">
      <c r="C72" s="88"/>
      <c r="F72" t="s">
        <v>196</v>
      </c>
      <c r="G72" t="s">
        <v>584</v>
      </c>
      <c r="H72" s="120">
        <v>6.2747742413777141</v>
      </c>
    </row>
    <row r="73" spans="3:25" x14ac:dyDescent="0.3">
      <c r="C73" s="88"/>
      <c r="F73" t="s">
        <v>197</v>
      </c>
      <c r="G73" t="s">
        <v>584</v>
      </c>
      <c r="H73" s="120">
        <v>5.7842426311097705</v>
      </c>
    </row>
    <row r="74" spans="3:25" x14ac:dyDescent="0.3">
      <c r="C74" s="88"/>
      <c r="F74" t="s">
        <v>198</v>
      </c>
      <c r="G74" t="s">
        <v>584</v>
      </c>
      <c r="H74" s="120">
        <v>3.3131456299676656</v>
      </c>
    </row>
    <row r="75" spans="3:25" x14ac:dyDescent="0.3">
      <c r="C75" s="88"/>
      <c r="F75" t="s">
        <v>375</v>
      </c>
      <c r="G75" t="s">
        <v>584</v>
      </c>
      <c r="H75" s="79"/>
    </row>
    <row r="76" spans="3:25" x14ac:dyDescent="0.3">
      <c r="C76" s="88"/>
      <c r="F76" s="37" t="s">
        <v>376</v>
      </c>
      <c r="G76" s="37" t="s">
        <v>584</v>
      </c>
      <c r="H76" s="81"/>
    </row>
    <row r="77" spans="3:25" x14ac:dyDescent="0.3">
      <c r="C77" s="88"/>
      <c r="F77" s="2"/>
    </row>
    <row r="78" spans="3:25" x14ac:dyDescent="0.3">
      <c r="E78" s="32" t="s">
        <v>407</v>
      </c>
      <c r="F78" s="2"/>
    </row>
    <row r="79" spans="3:25" x14ac:dyDescent="0.3">
      <c r="E79" s="29" t="s">
        <v>400</v>
      </c>
    </row>
    <row r="80" spans="3:25" x14ac:dyDescent="0.3">
      <c r="C80" s="88"/>
      <c r="F80" s="23" t="s">
        <v>188</v>
      </c>
      <c r="G80" s="64" t="s">
        <v>282</v>
      </c>
      <c r="H80" s="208"/>
      <c r="I80" s="208"/>
      <c r="J80" s="124">
        <f t="array" ref="J80:Y89">TRANSPOSE('Load &amp; loss characteristics'!J145:S160)</f>
        <v>1.0811119475731934</v>
      </c>
      <c r="K80" s="124">
        <v>1.0811119475731934</v>
      </c>
      <c r="L80" s="124">
        <v>1.0811119475731934</v>
      </c>
      <c r="M80" s="124">
        <v>1.0811119475731934</v>
      </c>
      <c r="N80" s="124">
        <v>1.0811119475731934</v>
      </c>
      <c r="O80" s="124">
        <v>1.0463328683595021</v>
      </c>
      <c r="P80" s="124">
        <v>1.030550424378613</v>
      </c>
      <c r="Q80" s="124">
        <v>1.0811119475731934</v>
      </c>
      <c r="R80" s="124">
        <v>-1.0811119475731934</v>
      </c>
      <c r="S80" s="124">
        <v>-1.0463328683595021</v>
      </c>
      <c r="T80" s="124">
        <v>-1.0811119475731934</v>
      </c>
      <c r="U80" s="124">
        <v>-1.0811119475731934</v>
      </c>
      <c r="V80" s="124">
        <v>-1.0463328683595021</v>
      </c>
      <c r="W80" s="124">
        <v>-1.0463328683595021</v>
      </c>
      <c r="X80" s="124">
        <v>-1.030550424378613</v>
      </c>
      <c r="Y80" s="124">
        <v>-1.030550424378613</v>
      </c>
    </row>
    <row r="81" spans="3:42" x14ac:dyDescent="0.3">
      <c r="C81" s="88"/>
      <c r="F81" t="s">
        <v>190</v>
      </c>
      <c r="G81" s="28" t="s">
        <v>282</v>
      </c>
      <c r="H81" s="209"/>
      <c r="I81" s="209"/>
      <c r="J81" s="120">
        <v>1.0811119475731934</v>
      </c>
      <c r="K81" s="120">
        <v>1.0811119475731934</v>
      </c>
      <c r="L81" s="120">
        <v>1.0811119475731934</v>
      </c>
      <c r="M81" s="120">
        <v>1.0811119475731934</v>
      </c>
      <c r="N81" s="120">
        <v>1.0811119475731934</v>
      </c>
      <c r="O81" s="120">
        <v>1.0463328683595021</v>
      </c>
      <c r="P81" s="120">
        <v>1.030550424378613</v>
      </c>
      <c r="Q81" s="120">
        <v>1.0811119475731934</v>
      </c>
      <c r="R81" s="120">
        <v>-1.0811119475731934</v>
      </c>
      <c r="S81" s="120">
        <v>-1.0463328683595021</v>
      </c>
      <c r="T81" s="120">
        <v>-1.0811119475731934</v>
      </c>
      <c r="U81" s="120">
        <v>-1.0811119475731934</v>
      </c>
      <c r="V81" s="120">
        <v>-1.0463328683595021</v>
      </c>
      <c r="W81" s="120">
        <v>-1.0463328683595021</v>
      </c>
      <c r="X81" s="120">
        <v>-1.030550424378613</v>
      </c>
      <c r="Y81" s="120">
        <v>-1.030550424378613</v>
      </c>
    </row>
    <row r="82" spans="3:42" x14ac:dyDescent="0.3">
      <c r="C82" s="88"/>
      <c r="F82" t="s">
        <v>191</v>
      </c>
      <c r="G82" s="28" t="s">
        <v>282</v>
      </c>
      <c r="H82" s="209"/>
      <c r="I82" s="209"/>
      <c r="J82" s="120">
        <v>1.0811119475731934</v>
      </c>
      <c r="K82" s="120">
        <v>1.0811119475731934</v>
      </c>
      <c r="L82" s="120">
        <v>1.0811119475731934</v>
      </c>
      <c r="M82" s="120">
        <v>1.0811119475731934</v>
      </c>
      <c r="N82" s="120">
        <v>1.0811119475731934</v>
      </c>
      <c r="O82" s="120">
        <v>1.0463328683595021</v>
      </c>
      <c r="P82" s="120">
        <v>1.030550424378613</v>
      </c>
      <c r="Q82" s="120">
        <v>1.0811119475731934</v>
      </c>
      <c r="R82" s="120">
        <v>-1.0811119475731934</v>
      </c>
      <c r="S82" s="120">
        <v>-1.0463328683595021</v>
      </c>
      <c r="T82" s="120">
        <v>-1.0811119475731934</v>
      </c>
      <c r="U82" s="120">
        <v>-1.0811119475731934</v>
      </c>
      <c r="V82" s="120">
        <v>-1.0463328683595021</v>
      </c>
      <c r="W82" s="120">
        <v>-1.0463328683595021</v>
      </c>
      <c r="X82" s="120">
        <v>-1.030550424378613</v>
      </c>
      <c r="Y82" s="120">
        <v>-1.030550424378613</v>
      </c>
    </row>
    <row r="83" spans="3:42" x14ac:dyDescent="0.3">
      <c r="C83" s="88"/>
      <c r="F83" t="s">
        <v>192</v>
      </c>
      <c r="G83" s="28" t="s">
        <v>282</v>
      </c>
      <c r="H83" s="209"/>
      <c r="I83" s="209"/>
      <c r="J83" s="120">
        <v>1.0811119475731934</v>
      </c>
      <c r="K83" s="120">
        <v>1.0811119475731934</v>
      </c>
      <c r="L83" s="120">
        <v>1.0811119475731934</v>
      </c>
      <c r="M83" s="120">
        <v>1.0811119475731934</v>
      </c>
      <c r="N83" s="120">
        <v>1.0811119475731934</v>
      </c>
      <c r="O83" s="120">
        <v>1.0463328683595021</v>
      </c>
      <c r="P83" s="120">
        <v>1.030550424378613</v>
      </c>
      <c r="Q83" s="120">
        <v>1.0811119475731934</v>
      </c>
      <c r="R83" s="120">
        <v>-1.0811119475731934</v>
      </c>
      <c r="S83" s="120">
        <v>-1.0463328683595021</v>
      </c>
      <c r="T83" s="120">
        <v>-1.0811119475731934</v>
      </c>
      <c r="U83" s="120">
        <v>-1.0811119475731934</v>
      </c>
      <c r="V83" s="120">
        <v>-1.0463328683595021</v>
      </c>
      <c r="W83" s="120">
        <v>-1.0463328683595021</v>
      </c>
      <c r="X83" s="120">
        <v>-1.030550424378613</v>
      </c>
      <c r="Y83" s="120">
        <v>-1.030550424378613</v>
      </c>
    </row>
    <row r="84" spans="3:42" x14ac:dyDescent="0.3">
      <c r="C84" s="88"/>
      <c r="F84" t="s">
        <v>193</v>
      </c>
      <c r="G84" s="28" t="s">
        <v>282</v>
      </c>
      <c r="H84" s="209"/>
      <c r="I84" s="209"/>
      <c r="J84" s="120">
        <v>1.0811119475731934</v>
      </c>
      <c r="K84" s="120">
        <v>1.0811119475731934</v>
      </c>
      <c r="L84" s="120">
        <v>1.0811119475731934</v>
      </c>
      <c r="M84" s="120">
        <v>1.0811119475731934</v>
      </c>
      <c r="N84" s="120">
        <v>1.0811119475731934</v>
      </c>
      <c r="O84" s="120">
        <v>1.0463328683595021</v>
      </c>
      <c r="P84" s="120">
        <v>1.030550424378613</v>
      </c>
      <c r="Q84" s="120">
        <v>1.0811119475731934</v>
      </c>
      <c r="R84" s="120">
        <v>-1.0811119475731934</v>
      </c>
      <c r="S84" s="120">
        <v>-1.0463328683595021</v>
      </c>
      <c r="T84" s="120">
        <v>-1.0811119475731934</v>
      </c>
      <c r="U84" s="120">
        <v>-1.0811119475731934</v>
      </c>
      <c r="V84" s="120">
        <v>-1.0463328683595021</v>
      </c>
      <c r="W84" s="120">
        <v>-1.0463328683595021</v>
      </c>
      <c r="X84" s="120">
        <v>-1.030550424378613</v>
      </c>
      <c r="Y84" s="120">
        <v>-1.030550424378613</v>
      </c>
    </row>
    <row r="85" spans="3:42" x14ac:dyDescent="0.3">
      <c r="C85" s="88"/>
      <c r="F85" t="s">
        <v>194</v>
      </c>
      <c r="G85" s="28" t="s">
        <v>282</v>
      </c>
      <c r="H85" s="209"/>
      <c r="I85" s="209"/>
      <c r="J85" s="120">
        <v>1.0811119475731934</v>
      </c>
      <c r="K85" s="120">
        <v>1.0811119475731934</v>
      </c>
      <c r="L85" s="120">
        <v>1.0811119475731934</v>
      </c>
      <c r="M85" s="120">
        <v>1.0811119475731934</v>
      </c>
      <c r="N85" s="120">
        <v>1.0811119475731934</v>
      </c>
      <c r="O85" s="120">
        <v>1.0463328683595021</v>
      </c>
      <c r="P85" s="120">
        <v>1.030550424378613</v>
      </c>
      <c r="Q85" s="120">
        <v>1.0811119475731934</v>
      </c>
      <c r="R85" s="120">
        <v>-1.0811119475731934</v>
      </c>
      <c r="S85" s="120">
        <v>-1.0463328683595021</v>
      </c>
      <c r="T85" s="120">
        <v>-1.0811119475731934</v>
      </c>
      <c r="U85" s="120">
        <v>-1.0811119475731934</v>
      </c>
      <c r="V85" s="120">
        <v>-1.0463328683595021</v>
      </c>
      <c r="W85" s="120">
        <v>-1.0463328683595021</v>
      </c>
      <c r="X85" s="120">
        <v>-1.030550424378613</v>
      </c>
      <c r="Y85" s="120">
        <v>-1.030550424378613</v>
      </c>
    </row>
    <row r="86" spans="3:42" x14ac:dyDescent="0.3">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3">
      <c r="C87" s="88"/>
      <c r="F87" t="s">
        <v>196</v>
      </c>
      <c r="G87" s="28" t="s">
        <v>282</v>
      </c>
      <c r="H87" s="209"/>
      <c r="I87" s="209"/>
      <c r="J87" s="120">
        <v>1.0811119475731934</v>
      </c>
      <c r="K87" s="120">
        <v>1.0811119475731934</v>
      </c>
      <c r="L87" s="120">
        <v>1.0811119475731934</v>
      </c>
      <c r="M87" s="120">
        <v>1.0811119475731934</v>
      </c>
      <c r="N87" s="120">
        <v>1.0811119475731934</v>
      </c>
      <c r="O87" s="120">
        <v>1.0463328683595021</v>
      </c>
      <c r="P87" s="120">
        <v>1.030550424378613</v>
      </c>
      <c r="Q87" s="120">
        <v>1.0811119475731934</v>
      </c>
      <c r="R87" s="120">
        <v>-1.0811119475731934</v>
      </c>
      <c r="S87" s="120">
        <v>-1.0463328683595021</v>
      </c>
      <c r="T87" s="120">
        <v>-1.0811119475731934</v>
      </c>
      <c r="U87" s="120">
        <v>-1.0811119475731934</v>
      </c>
      <c r="V87" s="120">
        <v>-1.0463328683595021</v>
      </c>
      <c r="W87" s="120">
        <v>-1.0463328683595021</v>
      </c>
      <c r="X87" s="120">
        <v>0</v>
      </c>
      <c r="Y87" s="120">
        <v>0</v>
      </c>
    </row>
    <row r="88" spans="3:42" x14ac:dyDescent="0.3">
      <c r="C88" s="88"/>
      <c r="F88" t="s">
        <v>197</v>
      </c>
      <c r="G88" s="28" t="s">
        <v>282</v>
      </c>
      <c r="H88" s="209"/>
      <c r="I88" s="209"/>
      <c r="J88" s="120">
        <v>1.0811119475731934</v>
      </c>
      <c r="K88" s="120">
        <v>1.0811119475731934</v>
      </c>
      <c r="L88" s="120">
        <v>1.0811119475731934</v>
      </c>
      <c r="M88" s="120">
        <v>1.0811119475731934</v>
      </c>
      <c r="N88" s="120">
        <v>1.0811119475731934</v>
      </c>
      <c r="O88" s="120">
        <v>1.0463328683595021</v>
      </c>
      <c r="P88" s="120">
        <v>0</v>
      </c>
      <c r="Q88" s="120">
        <v>1.0811119475731934</v>
      </c>
      <c r="R88" s="120">
        <v>-1.0811119475731934</v>
      </c>
      <c r="S88" s="120">
        <v>0</v>
      </c>
      <c r="T88" s="120">
        <v>-1.0811119475731934</v>
      </c>
      <c r="U88" s="120">
        <v>-1.0811119475731934</v>
      </c>
      <c r="V88" s="120">
        <v>0</v>
      </c>
      <c r="W88" s="120">
        <v>0</v>
      </c>
      <c r="X88" s="120">
        <v>0</v>
      </c>
      <c r="Y88" s="120">
        <v>0</v>
      </c>
    </row>
    <row r="89" spans="3:42" x14ac:dyDescent="0.3">
      <c r="C89" s="88"/>
      <c r="F89" t="s">
        <v>198</v>
      </c>
      <c r="G89" s="28" t="s">
        <v>282</v>
      </c>
      <c r="H89" s="209"/>
      <c r="I89" s="209"/>
      <c r="J89" s="120">
        <v>1.0811119475731934</v>
      </c>
      <c r="K89" s="120">
        <v>1.0811119475731934</v>
      </c>
      <c r="L89" s="120">
        <v>1.0811119475731934</v>
      </c>
      <c r="M89" s="120">
        <v>1.0811119475731934</v>
      </c>
      <c r="N89" s="120">
        <v>1.0811119475731934</v>
      </c>
      <c r="O89" s="120">
        <v>0</v>
      </c>
      <c r="P89" s="120">
        <v>0</v>
      </c>
      <c r="Q89" s="120">
        <v>1.0811119475731934</v>
      </c>
      <c r="R89" s="120">
        <v>0</v>
      </c>
      <c r="S89" s="120">
        <v>0</v>
      </c>
      <c r="T89" s="120">
        <v>0</v>
      </c>
      <c r="U89" s="120">
        <v>0</v>
      </c>
      <c r="V89" s="120">
        <v>0</v>
      </c>
      <c r="W89" s="120">
        <v>0</v>
      </c>
      <c r="X89" s="120">
        <v>0</v>
      </c>
      <c r="Y89" s="120">
        <v>0</v>
      </c>
    </row>
    <row r="90" spans="3:42" x14ac:dyDescent="0.3">
      <c r="C90" s="88"/>
      <c r="F90" t="s">
        <v>375</v>
      </c>
      <c r="G90" s="28" t="s">
        <v>282</v>
      </c>
      <c r="J90" s="79"/>
      <c r="K90" s="79"/>
      <c r="L90" s="79"/>
      <c r="M90" s="79"/>
      <c r="N90" s="79"/>
      <c r="O90" s="79"/>
      <c r="P90" s="79"/>
      <c r="Q90" s="79"/>
      <c r="R90" s="79"/>
      <c r="S90" s="79"/>
      <c r="T90" s="79"/>
      <c r="U90" s="79"/>
      <c r="V90" s="79"/>
      <c r="W90" s="79"/>
      <c r="X90" s="79"/>
      <c r="Y90" s="79"/>
    </row>
    <row r="91" spans="3:42" x14ac:dyDescent="0.3">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3">
      <c r="C92" s="88"/>
      <c r="F92" s="2"/>
    </row>
    <row r="93" spans="3:42" x14ac:dyDescent="0.3">
      <c r="D93"/>
      <c r="E93" s="32" t="s">
        <v>119</v>
      </c>
      <c r="H93" s="14"/>
      <c r="J93" s="63"/>
      <c r="L93" s="63"/>
      <c r="AP93" s="3"/>
    </row>
    <row r="94" spans="3:42" x14ac:dyDescent="0.3">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3">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3">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3">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3">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3">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3">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3">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3">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3">
      <c r="C103" s="88"/>
      <c r="D103"/>
      <c r="F103" s="2"/>
    </row>
    <row r="104" spans="3:42" x14ac:dyDescent="0.3">
      <c r="E104" s="32" t="s">
        <v>694</v>
      </c>
    </row>
    <row r="105" spans="3:42" x14ac:dyDescent="0.3">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3">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3">
      <c r="C107" s="88"/>
      <c r="F107" t="s">
        <v>191</v>
      </c>
      <c r="G107" t="s">
        <v>166</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3">
      <c r="C108" s="88"/>
      <c r="F108" t="s">
        <v>192</v>
      </c>
      <c r="G108" t="s">
        <v>166</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3">
      <c r="C109" s="88"/>
      <c r="F109" t="s">
        <v>193</v>
      </c>
      <c r="G109" t="s">
        <v>166</v>
      </c>
      <c r="H109" s="209"/>
      <c r="I109" s="209"/>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42" x14ac:dyDescent="0.3">
      <c r="C110" s="88"/>
      <c r="F110" t="s">
        <v>194</v>
      </c>
      <c r="G110" t="s">
        <v>166</v>
      </c>
      <c r="H110" s="209"/>
      <c r="I110" s="209"/>
      <c r="J110" s="25">
        <v>0</v>
      </c>
      <c r="K110" s="25">
        <v>0</v>
      </c>
      <c r="L110" s="25">
        <v>0</v>
      </c>
      <c r="M110" s="25">
        <v>0</v>
      </c>
      <c r="N110" s="25">
        <v>0</v>
      </c>
      <c r="O110" s="25">
        <v>0</v>
      </c>
      <c r="P110" s="25">
        <v>0.56999999999999995</v>
      </c>
      <c r="Q110" s="25">
        <v>0</v>
      </c>
      <c r="R110" s="25">
        <v>0</v>
      </c>
      <c r="S110" s="25">
        <v>0</v>
      </c>
      <c r="T110" s="25">
        <v>0</v>
      </c>
      <c r="U110" s="25">
        <v>0</v>
      </c>
      <c r="V110" s="25">
        <v>0</v>
      </c>
      <c r="W110" s="25">
        <v>0</v>
      </c>
      <c r="X110" s="25">
        <v>0.56999999999999995</v>
      </c>
      <c r="Y110" s="25">
        <v>0.56999999999999995</v>
      </c>
    </row>
    <row r="111" spans="3:42" x14ac:dyDescent="0.3">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3">
      <c r="C112" s="88"/>
      <c r="F112" t="s">
        <v>196</v>
      </c>
      <c r="G112" t="s">
        <v>166</v>
      </c>
      <c r="H112" s="209"/>
      <c r="I112" s="209"/>
      <c r="J112" s="25">
        <v>0.3</v>
      </c>
      <c r="K112" s="25">
        <v>0.3</v>
      </c>
      <c r="L112" s="25">
        <v>0.3</v>
      </c>
      <c r="M112" s="25">
        <v>0.3</v>
      </c>
      <c r="N112" s="25">
        <v>0.3</v>
      </c>
      <c r="O112" s="25">
        <v>0.3</v>
      </c>
      <c r="P112" s="25">
        <v>0.91</v>
      </c>
      <c r="Q112" s="25">
        <v>0.3</v>
      </c>
      <c r="R112" s="25">
        <v>0.3</v>
      </c>
      <c r="S112" s="25">
        <v>0.3</v>
      </c>
      <c r="T112" s="25">
        <v>0.3</v>
      </c>
      <c r="U112" s="25">
        <v>0.3</v>
      </c>
      <c r="V112" s="25">
        <v>0.3</v>
      </c>
      <c r="W112" s="25">
        <v>0.3</v>
      </c>
      <c r="X112" s="25">
        <v>0.91</v>
      </c>
      <c r="Y112" s="25">
        <v>0.91</v>
      </c>
    </row>
    <row r="113" spans="2:27" x14ac:dyDescent="0.3">
      <c r="C113" s="88"/>
      <c r="F113" t="s">
        <v>197</v>
      </c>
      <c r="G113" t="s">
        <v>166</v>
      </c>
      <c r="H113" s="209"/>
      <c r="I113" s="209"/>
      <c r="J113" s="25">
        <v>0.3</v>
      </c>
      <c r="K113" s="25">
        <v>0.3</v>
      </c>
      <c r="L113" s="25">
        <v>0.3</v>
      </c>
      <c r="M113" s="25">
        <v>0.3</v>
      </c>
      <c r="N113" s="25">
        <v>0.3</v>
      </c>
      <c r="O113" s="25">
        <v>0.97</v>
      </c>
      <c r="P113" s="25">
        <v>0</v>
      </c>
      <c r="Q113" s="25">
        <v>0.3</v>
      </c>
      <c r="R113" s="25">
        <v>0.3</v>
      </c>
      <c r="S113" s="25">
        <v>0.97</v>
      </c>
      <c r="T113" s="25">
        <v>0.3</v>
      </c>
      <c r="U113" s="25">
        <v>0.3</v>
      </c>
      <c r="V113" s="25">
        <v>0.97</v>
      </c>
      <c r="W113" s="25">
        <v>0.97</v>
      </c>
      <c r="X113" s="25">
        <v>0</v>
      </c>
      <c r="Y113" s="25">
        <v>0</v>
      </c>
    </row>
    <row r="114" spans="2:27" x14ac:dyDescent="0.3">
      <c r="C114" s="88"/>
      <c r="F114" t="s">
        <v>198</v>
      </c>
      <c r="G114" t="s">
        <v>166</v>
      </c>
      <c r="H114" s="209"/>
      <c r="I114" s="209"/>
      <c r="J114" s="25">
        <v>0.97</v>
      </c>
      <c r="K114" s="25">
        <v>0.97</v>
      </c>
      <c r="L114" s="25">
        <v>0.97</v>
      </c>
      <c r="M114" s="25">
        <v>0.97</v>
      </c>
      <c r="N114" s="25">
        <v>0.97</v>
      </c>
      <c r="O114" s="25">
        <v>0</v>
      </c>
      <c r="P114" s="25">
        <v>0</v>
      </c>
      <c r="Q114" s="25">
        <v>0.97</v>
      </c>
      <c r="R114" s="25">
        <v>0.97</v>
      </c>
      <c r="S114" s="25">
        <v>0</v>
      </c>
      <c r="T114" s="25">
        <v>0.97</v>
      </c>
      <c r="U114" s="25">
        <v>0.97</v>
      </c>
      <c r="V114" s="25">
        <v>0</v>
      </c>
      <c r="W114" s="25">
        <v>0</v>
      </c>
      <c r="X114" s="25">
        <v>0</v>
      </c>
      <c r="Y114" s="25">
        <v>0</v>
      </c>
    </row>
    <row r="115" spans="2:27" x14ac:dyDescent="0.3">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3">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3">
      <c r="C117" s="88"/>
      <c r="D117"/>
      <c r="F117" s="2"/>
    </row>
    <row r="118" spans="2:27" x14ac:dyDescent="0.3">
      <c r="D118"/>
      <c r="E118" s="32" t="s">
        <v>695</v>
      </c>
      <c r="F118" s="2"/>
      <c r="I118" t="s">
        <v>153</v>
      </c>
      <c r="AA118" t="s">
        <v>696</v>
      </c>
    </row>
    <row r="119" spans="2:27" x14ac:dyDescent="0.3">
      <c r="D119"/>
      <c r="E119" s="29" t="s">
        <v>697</v>
      </c>
      <c r="F119" s="2"/>
    </row>
    <row r="120" spans="2:27" x14ac:dyDescent="0.3">
      <c r="D120"/>
      <c r="E120" s="29" t="s">
        <v>698</v>
      </c>
      <c r="F120" s="2"/>
    </row>
    <row r="121" spans="2:27" x14ac:dyDescent="0.3">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3">
      <c r="D122"/>
      <c r="F122" t="s">
        <v>700</v>
      </c>
      <c r="G122" t="s">
        <v>672</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3">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3">
      <c r="C124" s="88"/>
    </row>
    <row r="125" spans="2:27" x14ac:dyDescent="0.3">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3">
      <c r="C126" s="88"/>
    </row>
    <row r="127" spans="2:27" x14ac:dyDescent="0.3">
      <c r="B127" s="203"/>
      <c r="C127" s="29" t="s">
        <v>702</v>
      </c>
      <c r="D127"/>
      <c r="E127"/>
    </row>
    <row r="128" spans="2:27" x14ac:dyDescent="0.3">
      <c r="C128" s="88"/>
    </row>
    <row r="129" spans="3:27" x14ac:dyDescent="0.3">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3">
      <c r="C131" s="88"/>
      <c r="E131" s="32" t="s">
        <v>620</v>
      </c>
      <c r="I131" t="s">
        <v>153</v>
      </c>
      <c r="AA131" t="s">
        <v>703</v>
      </c>
    </row>
    <row r="132" spans="3:27" x14ac:dyDescent="0.3">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3">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3">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3">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3">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0.46868065987338725</v>
      </c>
      <c r="Q136" s="98">
        <f t="shared" ref="Q136" si="11">hundred*Q97*$H55*Q84/$H41*(1-Q109)/days_in_year/(1+$H27)*PowerFactor</f>
        <v>0</v>
      </c>
      <c r="R136" s="79"/>
      <c r="S136" s="79"/>
      <c r="T136" s="79"/>
      <c r="U136" s="79"/>
      <c r="V136" s="79"/>
      <c r="W136" s="79"/>
      <c r="X136" s="79"/>
      <c r="Y136" s="79"/>
    </row>
    <row r="137" spans="3:27" x14ac:dyDescent="0.3">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0.63563750750248083</v>
      </c>
      <c r="Q137" s="98">
        <f t="shared" ref="Q137" si="15">hundred*Q98*$H56*Q85/$H42*(1-Q110)/days_in_year/(1+$H28)*PowerFactor</f>
        <v>0</v>
      </c>
      <c r="R137" s="79"/>
      <c r="S137" s="79"/>
      <c r="T137" s="79"/>
      <c r="U137" s="79"/>
      <c r="V137" s="79"/>
      <c r="W137" s="79"/>
      <c r="X137" s="79"/>
      <c r="Y137" s="79"/>
    </row>
    <row r="138" spans="3:27" x14ac:dyDescent="0.3">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3">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0.2809355383764412</v>
      </c>
      <c r="O139" s="98">
        <f t="shared" si="22"/>
        <v>1.3594895901085287</v>
      </c>
      <c r="P139" s="98">
        <f t="shared" si="22"/>
        <v>0.17215503713038216</v>
      </c>
      <c r="Q139" s="98">
        <f t="shared" ref="Q139" si="23">hundred*Q100*$H58*Q87/$H44*(1-Q112)/days_in_year/(1+$H30)*PowerFactor</f>
        <v>0</v>
      </c>
      <c r="R139" s="79"/>
      <c r="S139" s="79"/>
      <c r="T139" s="79"/>
      <c r="U139" s="79"/>
      <c r="V139" s="79"/>
      <c r="W139" s="79"/>
      <c r="X139" s="79"/>
      <c r="Y139" s="79"/>
    </row>
    <row r="140" spans="3:27" x14ac:dyDescent="0.3">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1.2753355350293767</v>
      </c>
      <c r="O140" s="98">
        <f t="shared" si="26"/>
        <v>5.2898928663883647E-2</v>
      </c>
      <c r="P140" s="98">
        <f t="shared" si="26"/>
        <v>0</v>
      </c>
      <c r="Q140" s="98">
        <f t="shared" ref="Q140" si="27">hundred*Q101*$H59*Q88/$H45*(1-Q113)/days_in_year/(1+$H31)*PowerFactor</f>
        <v>0</v>
      </c>
      <c r="R140" s="79"/>
      <c r="S140" s="79"/>
      <c r="T140" s="79"/>
      <c r="U140" s="79"/>
      <c r="V140" s="79"/>
      <c r="W140" s="79"/>
      <c r="X140" s="79"/>
      <c r="Y140" s="79"/>
    </row>
    <row r="141" spans="3:27" x14ac:dyDescent="0.3">
      <c r="C141" s="88"/>
      <c r="F141" t="s">
        <v>198</v>
      </c>
      <c r="G141" t="s">
        <v>270</v>
      </c>
      <c r="J141" s="98">
        <f t="shared" ref="J141:K141" si="28">hundred*J102*$H60*J89/$H46*(1-J114)/days_in_year/(1+$H32)*PowerFactor</f>
        <v>2.9187377414370504E-2</v>
      </c>
      <c r="K141" s="98">
        <f t="shared" si="28"/>
        <v>2.9187377414370504E-2</v>
      </c>
      <c r="L141" s="98">
        <f t="shared" ref="L141:M141" si="29">hundred*L102*$H60*L89/$H46*(1-L114)/days_in_year/(1+$H32)*PowerFactor</f>
        <v>2.9187377414370504E-2</v>
      </c>
      <c r="M141" s="98">
        <f t="shared" si="29"/>
        <v>2.9187377414370504E-2</v>
      </c>
      <c r="N141" s="98">
        <f t="shared" ref="N141:P141" si="30">hundred*N102*$H60*N89/$H46*(1-N114)/days_in_year/(1+$H32)*PowerFactor</f>
        <v>2.9187377414370504E-2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3">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3">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3">
      <c r="C144" s="88"/>
      <c r="D144"/>
      <c r="J144" s="98"/>
      <c r="K144" s="98"/>
      <c r="L144" s="98"/>
      <c r="M144" s="98"/>
      <c r="N144" s="98"/>
      <c r="O144" s="98"/>
      <c r="P144" s="98"/>
      <c r="Q144" s="98"/>
      <c r="R144" s="98"/>
      <c r="S144" s="98"/>
      <c r="T144" s="98"/>
      <c r="U144" s="98"/>
      <c r="V144" s="98"/>
      <c r="W144" s="98"/>
      <c r="X144" s="98"/>
      <c r="Y144" s="98"/>
    </row>
    <row r="145" spans="3:27" x14ac:dyDescent="0.3">
      <c r="C145" s="88"/>
      <c r="E145" s="32" t="s">
        <v>621</v>
      </c>
      <c r="J145" s="98"/>
      <c r="K145" s="98"/>
      <c r="L145" s="98"/>
      <c r="M145" s="98"/>
      <c r="N145" s="98"/>
      <c r="O145" s="98"/>
      <c r="P145" s="98"/>
      <c r="Q145" s="98"/>
      <c r="R145" s="98"/>
      <c r="S145" s="98"/>
      <c r="T145" s="98"/>
      <c r="U145" s="98"/>
      <c r="V145" s="98"/>
      <c r="W145" s="98"/>
      <c r="X145" s="98"/>
      <c r="Y145" s="98"/>
    </row>
    <row r="146" spans="3:27" x14ac:dyDescent="0.3">
      <c r="C146" s="88"/>
      <c r="F146" s="23" t="s">
        <v>188</v>
      </c>
      <c r="G146" s="23" t="s">
        <v>270</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3">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3">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3">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3">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0.22782071981550883</v>
      </c>
      <c r="Q150" s="98">
        <f t="shared" ref="Q150" si="51">hundred*Q97*$H69*Q84/$H41/days_in_year/(1+$H27)*PowerFactor</f>
        <v>0</v>
      </c>
      <c r="R150" s="79"/>
      <c r="S150" s="79"/>
      <c r="T150" s="79"/>
      <c r="U150" s="79"/>
      <c r="V150" s="79"/>
      <c r="W150" s="79"/>
      <c r="X150" s="79"/>
      <c r="Y150" s="79"/>
    </row>
    <row r="151" spans="3:27" x14ac:dyDescent="0.3">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0.7185504197611019</v>
      </c>
      <c r="Q151" s="98">
        <f t="shared" ref="Q151" si="55">hundred*Q98*$H70*Q85/$H42/days_in_year/(1+$H28)*PowerFactor</f>
        <v>0</v>
      </c>
      <c r="R151" s="79"/>
      <c r="S151" s="79"/>
      <c r="T151" s="79"/>
      <c r="U151" s="79"/>
      <c r="V151" s="79"/>
      <c r="W151" s="79"/>
      <c r="X151" s="79"/>
      <c r="Y151" s="79"/>
    </row>
    <row r="152" spans="3:27" x14ac:dyDescent="0.3">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3">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0.19508542673801621</v>
      </c>
      <c r="O153" s="98">
        <f t="shared" si="62"/>
        <v>0.94404790638069636</v>
      </c>
      <c r="P153" s="98">
        <f t="shared" si="62"/>
        <v>0.92980828565551632</v>
      </c>
      <c r="Q153" s="98">
        <f t="shared" ref="Q153" si="63">hundred*Q100*$H72*Q87/$H44/days_in_year/(1+$H30)*PowerFactor</f>
        <v>0</v>
      </c>
      <c r="R153" s="79"/>
      <c r="S153" s="79"/>
      <c r="T153" s="79"/>
      <c r="U153" s="79"/>
      <c r="V153" s="79"/>
      <c r="W153" s="79"/>
      <c r="X153" s="79"/>
      <c r="Y153" s="79"/>
    </row>
    <row r="154" spans="3:27" x14ac:dyDescent="0.3">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0.88561019557440979</v>
      </c>
      <c r="O154" s="98">
        <f t="shared" si="66"/>
        <v>0.8571203548937345</v>
      </c>
      <c r="P154" s="98">
        <f t="shared" si="66"/>
        <v>0</v>
      </c>
      <c r="Q154" s="98">
        <f t="shared" ref="Q154" si="67">hundred*Q101*$H73*Q88/$H45/days_in_year/(1+$H31)*PowerFactor</f>
        <v>0</v>
      </c>
      <c r="R154" s="79"/>
      <c r="S154" s="79"/>
      <c r="T154" s="79"/>
      <c r="U154" s="79"/>
      <c r="V154" s="79"/>
      <c r="W154" s="79"/>
      <c r="X154" s="79"/>
      <c r="Y154" s="79"/>
    </row>
    <row r="155" spans="3:27" x14ac:dyDescent="0.3">
      <c r="C155" s="88"/>
      <c r="F155" t="s">
        <v>198</v>
      </c>
      <c r="G155" t="s">
        <v>270</v>
      </c>
      <c r="J155" s="98">
        <f t="shared" ref="J155:K155" si="68">hundred*J102*$H74*J89/$H46/days_in_year/(1+$H32)*PowerFactor</f>
        <v>0.4729225320758309</v>
      </c>
      <c r="K155" s="98">
        <f t="shared" si="68"/>
        <v>0.4729225320758309</v>
      </c>
      <c r="L155" s="98">
        <f t="shared" ref="L155:M155" si="69">hundred*L102*$H74*L89/$H46/days_in_year/(1+$H32)*PowerFactor</f>
        <v>0.4729225320758309</v>
      </c>
      <c r="M155" s="98">
        <f t="shared" si="69"/>
        <v>0.4729225320758309</v>
      </c>
      <c r="N155" s="98">
        <f t="shared" ref="N155:P155" si="70">hundred*N102*$H74*N89/$H46/days_in_year/(1+$H32)*PowerFactor</f>
        <v>0.4729225320758309</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3">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3">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3">
      <c r="C158" s="88"/>
      <c r="J158" s="98"/>
      <c r="K158" s="98"/>
      <c r="L158" s="98"/>
      <c r="M158" s="98"/>
      <c r="N158" s="98"/>
      <c r="O158" s="98"/>
      <c r="P158" s="98"/>
      <c r="Q158" s="98"/>
      <c r="R158" s="98"/>
      <c r="S158" s="98"/>
      <c r="T158" s="98"/>
      <c r="U158" s="98"/>
      <c r="V158" s="98"/>
      <c r="W158" s="98"/>
      <c r="X158" s="98"/>
      <c r="Y158" s="98"/>
    </row>
    <row r="159" spans="3:27" x14ac:dyDescent="0.3">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
      <c r="J160" s="89"/>
      <c r="K160" s="89"/>
      <c r="L160" s="89"/>
      <c r="M160" s="89"/>
      <c r="N160" s="89"/>
      <c r="O160" s="89"/>
      <c r="P160" s="89"/>
      <c r="Q160" s="89"/>
      <c r="R160" s="89"/>
      <c r="S160" s="89"/>
      <c r="T160" s="89"/>
      <c r="U160" s="89"/>
      <c r="V160" s="89"/>
      <c r="W160" s="89"/>
      <c r="X160" s="89"/>
      <c r="Y160" s="89"/>
    </row>
    <row r="161" spans="3:25" x14ac:dyDescent="0.3">
      <c r="C161" s="88"/>
      <c r="E161" s="32" t="s">
        <v>620</v>
      </c>
      <c r="J161" s="89"/>
      <c r="K161" s="89"/>
      <c r="L161" s="89"/>
      <c r="M161" s="89"/>
      <c r="N161" s="89"/>
      <c r="O161" s="89"/>
      <c r="P161" s="89"/>
      <c r="Q161" s="89"/>
      <c r="R161" s="89"/>
      <c r="S161" s="89"/>
      <c r="T161" s="89"/>
      <c r="U161" s="89"/>
      <c r="V161" s="89"/>
      <c r="W161" s="89"/>
      <c r="X161" s="89"/>
      <c r="Y161" s="89"/>
    </row>
    <row r="162" spans="3:25" x14ac:dyDescent="0.3">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3">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3">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3">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3">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0.46868065987338725</v>
      </c>
      <c r="Q166" s="98">
        <f t="shared" ref="Q166" si="83">hundred*Q97*$H55*Q84/$H41/days_in_year/(1+$H27)*PowerFactor</f>
        <v>0</v>
      </c>
      <c r="R166" s="79"/>
      <c r="S166" s="79"/>
      <c r="T166" s="79"/>
      <c r="U166" s="79"/>
      <c r="V166" s="79"/>
      <c r="W166" s="79"/>
      <c r="X166" s="79"/>
      <c r="Y166" s="79"/>
    </row>
    <row r="167" spans="3:25" x14ac:dyDescent="0.3">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1.4782267616336759</v>
      </c>
      <c r="Q167" s="98">
        <f t="shared" ref="Q167" si="87">hundred*Q98*$H56*Q85/$H42/days_in_year/(1+$H28)*PowerFactor</f>
        <v>0</v>
      </c>
      <c r="R167" s="79"/>
      <c r="S167" s="79"/>
      <c r="T167" s="79"/>
      <c r="U167" s="79"/>
      <c r="V167" s="79"/>
      <c r="W167" s="79"/>
      <c r="X167" s="79"/>
      <c r="Y167" s="79"/>
    </row>
    <row r="168" spans="3:25" x14ac:dyDescent="0.3">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3">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0.40133648339491607</v>
      </c>
      <c r="O169" s="98">
        <f t="shared" si="94"/>
        <v>1.9421279858693268</v>
      </c>
      <c r="P169" s="98">
        <f t="shared" si="94"/>
        <v>1.9128337458931355</v>
      </c>
      <c r="Q169" s="98">
        <f t="shared" ref="Q169" si="95">hundred*Q100*$H58*Q87/$H44/days_in_year/(1+$H30)*PowerFactor</f>
        <v>0</v>
      </c>
      <c r="R169" s="79"/>
      <c r="S169" s="79"/>
      <c r="T169" s="79"/>
      <c r="U169" s="79"/>
      <c r="V169" s="79"/>
      <c r="W169" s="79"/>
      <c r="X169" s="79"/>
      <c r="Y169" s="79"/>
    </row>
    <row r="170" spans="3:25" x14ac:dyDescent="0.3">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1.8219079071848236</v>
      </c>
      <c r="O170" s="98">
        <f t="shared" si="98"/>
        <v>1.7632976221294532</v>
      </c>
      <c r="P170" s="98">
        <f t="shared" si="98"/>
        <v>0</v>
      </c>
      <c r="Q170" s="98">
        <f t="shared" ref="Q170" si="99">hundred*Q101*$H59*Q88/$H45/days_in_year/(1+$H31)*PowerFactor</f>
        <v>0</v>
      </c>
      <c r="R170" s="79"/>
      <c r="S170" s="79"/>
      <c r="T170" s="79"/>
      <c r="U170" s="79"/>
      <c r="V170" s="79"/>
      <c r="W170" s="79"/>
      <c r="X170" s="79"/>
      <c r="Y170" s="79"/>
    </row>
    <row r="171" spans="3:25" x14ac:dyDescent="0.3">
      <c r="C171" s="88"/>
      <c r="F171" t="s">
        <v>198</v>
      </c>
      <c r="G171" t="s">
        <v>270</v>
      </c>
      <c r="J171" s="98">
        <f t="shared" ref="J171:K171" si="100">hundred*J102*$H60*J89/$H46/days_in_year/(1+$H32)*PowerFactor</f>
        <v>0.97291258047901585</v>
      </c>
      <c r="K171" s="98">
        <f t="shared" si="100"/>
        <v>0.97291258047901585</v>
      </c>
      <c r="L171" s="98">
        <f t="shared" ref="L171:M171" si="101">hundred*L102*$H60*L89/$H46/days_in_year/(1+$H32)*PowerFactor</f>
        <v>0.97291258047901585</v>
      </c>
      <c r="M171" s="98">
        <f t="shared" si="101"/>
        <v>0.97291258047901585</v>
      </c>
      <c r="N171" s="98">
        <f t="shared" ref="N171:P171" si="102">hundred*N102*$H60*N89/$H46/days_in_year/(1+$H32)*PowerFactor</f>
        <v>0.97291258047901585</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3">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3">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3">
      <c r="C174" s="88"/>
      <c r="D174"/>
      <c r="J174" s="89"/>
      <c r="K174" s="89"/>
      <c r="L174" s="89"/>
      <c r="M174" s="89"/>
      <c r="N174" s="89"/>
      <c r="O174" s="89"/>
      <c r="P174" s="89"/>
      <c r="Q174" s="89"/>
      <c r="R174" s="89"/>
      <c r="S174" s="89"/>
      <c r="T174" s="89"/>
      <c r="U174" s="89"/>
      <c r="V174" s="89"/>
      <c r="W174" s="89"/>
      <c r="X174" s="89"/>
      <c r="Y174" s="89"/>
    </row>
    <row r="175" spans="3:25" x14ac:dyDescent="0.3">
      <c r="C175" s="88"/>
      <c r="E175" s="32" t="s">
        <v>621</v>
      </c>
      <c r="J175" s="89"/>
      <c r="K175" s="89"/>
      <c r="L175" s="89"/>
      <c r="M175" s="89"/>
      <c r="N175" s="89"/>
      <c r="O175" s="89"/>
      <c r="P175" s="89"/>
      <c r="Q175" s="89"/>
      <c r="R175" s="89"/>
      <c r="S175" s="89"/>
      <c r="T175" s="89"/>
      <c r="U175" s="89"/>
      <c r="V175" s="89"/>
      <c r="W175" s="89"/>
      <c r="X175" s="89"/>
      <c r="Y175" s="89"/>
    </row>
    <row r="176" spans="3:25" x14ac:dyDescent="0.3">
      <c r="C176" s="88"/>
      <c r="F176" s="23" t="s">
        <v>188</v>
      </c>
      <c r="G176" s="23" t="s">
        <v>270</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3">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3">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3">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3">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0.22782071981550883</v>
      </c>
      <c r="Q180" s="98">
        <f t="shared" ref="Q180" si="123">hundred*Q97*$H69*Q84/$H41/days_in_year/(1+$H27)*PowerFactor</f>
        <v>0</v>
      </c>
      <c r="R180" s="79"/>
      <c r="S180" s="79"/>
      <c r="T180" s="79"/>
      <c r="U180" s="79"/>
      <c r="V180" s="79"/>
      <c r="W180" s="79"/>
      <c r="X180" s="79"/>
      <c r="Y180" s="79"/>
    </row>
    <row r="181" spans="3:27" x14ac:dyDescent="0.3">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0.7185504197611019</v>
      </c>
      <c r="Q181" s="98">
        <f t="shared" ref="Q181" si="127">hundred*Q98*$H70*Q85/$H42/days_in_year/(1+$H28)*PowerFactor</f>
        <v>0</v>
      </c>
      <c r="R181" s="79"/>
      <c r="S181" s="79"/>
      <c r="T181" s="79"/>
      <c r="U181" s="79"/>
      <c r="V181" s="79"/>
      <c r="W181" s="79"/>
      <c r="X181" s="79"/>
      <c r="Y181" s="79"/>
    </row>
    <row r="182" spans="3:27" x14ac:dyDescent="0.3">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3">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0.19508542673801621</v>
      </c>
      <c r="O183" s="98">
        <f t="shared" si="134"/>
        <v>0.94404790638069636</v>
      </c>
      <c r="P183" s="98">
        <f t="shared" si="134"/>
        <v>0.92980828565551632</v>
      </c>
      <c r="Q183" s="98">
        <f t="shared" ref="Q183" si="135">hundred*Q100*$H72*Q87/$H44/days_in_year/(1+$H30)*PowerFactor</f>
        <v>0</v>
      </c>
      <c r="R183" s="79"/>
      <c r="S183" s="79"/>
      <c r="T183" s="79"/>
      <c r="U183" s="79"/>
      <c r="V183" s="79"/>
      <c r="W183" s="79"/>
      <c r="X183" s="79"/>
      <c r="Y183" s="79"/>
    </row>
    <row r="184" spans="3:27" x14ac:dyDescent="0.3">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0.88561019557440979</v>
      </c>
      <c r="O184" s="98">
        <f t="shared" si="138"/>
        <v>0.8571203548937345</v>
      </c>
      <c r="P184" s="98">
        <f t="shared" si="138"/>
        <v>0</v>
      </c>
      <c r="Q184" s="98">
        <f t="shared" ref="Q184" si="139">hundred*Q101*$H73*Q88/$H45/days_in_year/(1+$H31)*PowerFactor</f>
        <v>0</v>
      </c>
      <c r="R184" s="79"/>
      <c r="S184" s="79"/>
      <c r="T184" s="79"/>
      <c r="U184" s="79"/>
      <c r="V184" s="79"/>
      <c r="W184" s="79"/>
      <c r="X184" s="79"/>
      <c r="Y184" s="79"/>
    </row>
    <row r="185" spans="3:27" x14ac:dyDescent="0.3">
      <c r="C185" s="88"/>
      <c r="F185" t="s">
        <v>198</v>
      </c>
      <c r="G185" t="s">
        <v>270</v>
      </c>
      <c r="J185" s="98">
        <f t="shared" ref="J185:K185" si="140">hundred*J102*$H74*J89/$H46/days_in_year/(1+$H32)*PowerFactor</f>
        <v>0.4729225320758309</v>
      </c>
      <c r="K185" s="98">
        <f t="shared" si="140"/>
        <v>0.4729225320758309</v>
      </c>
      <c r="L185" s="98">
        <f t="shared" ref="L185:M185" si="141">hundred*L102*$H74*L89/$H46/days_in_year/(1+$H32)*PowerFactor</f>
        <v>0.4729225320758309</v>
      </c>
      <c r="M185" s="98">
        <f t="shared" si="141"/>
        <v>0.4729225320758309</v>
      </c>
      <c r="N185" s="98">
        <f t="shared" ref="N185:P185" si="142">hundred*N102*$H74*N89/$H46/days_in_year/(1+$H32)*PowerFactor</f>
        <v>0.4729225320758309</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3">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3">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3">
      <c r="C188" s="88"/>
      <c r="J188" s="89"/>
      <c r="K188" s="89"/>
      <c r="L188" s="89"/>
      <c r="M188" s="89"/>
      <c r="N188" s="89"/>
      <c r="O188" s="89"/>
      <c r="P188" s="89"/>
      <c r="Q188" s="89"/>
      <c r="R188" s="89"/>
      <c r="S188" s="89"/>
      <c r="T188" s="89"/>
      <c r="U188" s="89"/>
      <c r="V188" s="89"/>
      <c r="W188" s="89"/>
      <c r="X188" s="89"/>
      <c r="Y188" s="89"/>
    </row>
    <row r="189" spans="3:27" x14ac:dyDescent="0.3">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3">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3">
      <c r="C191" s="88"/>
      <c r="D191"/>
      <c r="E191" s="32" t="s">
        <v>620</v>
      </c>
      <c r="J191" s="89"/>
      <c r="K191" s="89"/>
      <c r="L191" s="89"/>
      <c r="M191" s="89"/>
      <c r="N191" s="89"/>
      <c r="O191" s="89"/>
      <c r="P191" s="89"/>
      <c r="Q191" s="89"/>
      <c r="R191" s="89"/>
      <c r="S191" s="89"/>
      <c r="T191" s="89"/>
      <c r="U191" s="89"/>
      <c r="V191" s="89"/>
      <c r="W191" s="89"/>
      <c r="X191" s="89"/>
      <c r="Y191" s="89"/>
    </row>
    <row r="192" spans="3:27" x14ac:dyDescent="0.3">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3">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3">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3">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3">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0.46868065987338725</v>
      </c>
      <c r="Q196" s="98">
        <f t="shared" ref="Q196" si="155">Q$121 * Q136</f>
        <v>0</v>
      </c>
      <c r="R196" s="79"/>
      <c r="S196" s="79"/>
      <c r="T196" s="79"/>
      <c r="U196" s="79"/>
      <c r="V196" s="79"/>
      <c r="W196" s="79"/>
      <c r="X196" s="79"/>
      <c r="Y196" s="79"/>
    </row>
    <row r="197" spans="3:25" x14ac:dyDescent="0.3">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0.63563750750248083</v>
      </c>
      <c r="Q197" s="98">
        <f t="shared" ref="Q197" si="159">Q$121 * Q137</f>
        <v>0</v>
      </c>
      <c r="R197" s="79"/>
      <c r="S197" s="79"/>
      <c r="T197" s="79"/>
      <c r="U197" s="79"/>
      <c r="V197" s="79"/>
      <c r="W197" s="79"/>
      <c r="X197" s="79"/>
      <c r="Y197" s="79"/>
    </row>
    <row r="198" spans="3:25" x14ac:dyDescent="0.3">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3">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0.2809355383764412</v>
      </c>
      <c r="O199" s="98">
        <f t="shared" si="166"/>
        <v>1.3594895901085287</v>
      </c>
      <c r="P199" s="98">
        <f t="shared" si="166"/>
        <v>0.17215503713038216</v>
      </c>
      <c r="Q199" s="98">
        <f t="shared" ref="Q199" si="167">Q$121 * Q139</f>
        <v>0</v>
      </c>
      <c r="R199" s="79"/>
      <c r="S199" s="79"/>
      <c r="T199" s="79"/>
      <c r="U199" s="79"/>
      <c r="V199" s="79"/>
      <c r="W199" s="79"/>
      <c r="X199" s="79"/>
      <c r="Y199" s="79"/>
    </row>
    <row r="200" spans="3:25" x14ac:dyDescent="0.3">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1.2753355350293767</v>
      </c>
      <c r="O200" s="98">
        <f t="shared" si="170"/>
        <v>5.2898928663883647E-2</v>
      </c>
      <c r="P200" s="98">
        <f t="shared" si="170"/>
        <v>0</v>
      </c>
      <c r="Q200" s="98">
        <f t="shared" ref="Q200" si="171">Q$121 * Q140</f>
        <v>0</v>
      </c>
      <c r="R200" s="79"/>
      <c r="S200" s="79"/>
      <c r="T200" s="79"/>
      <c r="U200" s="79"/>
      <c r="V200" s="79"/>
      <c r="W200" s="79"/>
      <c r="X200" s="79"/>
      <c r="Y200" s="79"/>
    </row>
    <row r="201" spans="3:25" x14ac:dyDescent="0.3">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2.9187377414370504E-2</v>
      </c>
      <c r="O201" s="98">
        <f t="shared" si="174"/>
        <v>0</v>
      </c>
      <c r="P201" s="98">
        <f t="shared" si="174"/>
        <v>0</v>
      </c>
      <c r="Q201" s="98">
        <f t="shared" ref="Q201" si="175">Q$121 * Q141</f>
        <v>0</v>
      </c>
      <c r="R201" s="79"/>
      <c r="S201" s="79"/>
      <c r="T201" s="79"/>
      <c r="U201" s="79"/>
      <c r="V201" s="79"/>
      <c r="W201" s="79"/>
      <c r="X201" s="79"/>
      <c r="Y201" s="79"/>
    </row>
    <row r="202" spans="3:25" x14ac:dyDescent="0.3">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3">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3">
      <c r="C204" s="88"/>
      <c r="D204"/>
      <c r="J204" s="89"/>
      <c r="K204" s="89"/>
      <c r="L204" s="89"/>
      <c r="M204" s="89"/>
      <c r="N204" s="89"/>
      <c r="O204" s="89"/>
      <c r="P204" s="89"/>
      <c r="Q204" s="89"/>
      <c r="R204" s="89"/>
      <c r="S204" s="89"/>
      <c r="T204" s="89"/>
      <c r="U204" s="89"/>
      <c r="V204" s="89"/>
      <c r="W204" s="89"/>
      <c r="X204" s="89"/>
      <c r="Y204" s="89"/>
    </row>
    <row r="205" spans="3:25" x14ac:dyDescent="0.3">
      <c r="C205" s="88"/>
      <c r="D205"/>
      <c r="E205" s="32" t="s">
        <v>621</v>
      </c>
      <c r="J205" s="89"/>
      <c r="K205" s="89"/>
      <c r="L205" s="89"/>
      <c r="M205" s="89"/>
      <c r="N205" s="89"/>
      <c r="O205" s="89"/>
      <c r="P205" s="89"/>
      <c r="Q205" s="89"/>
      <c r="R205" s="89"/>
      <c r="S205" s="89"/>
      <c r="T205" s="89"/>
      <c r="U205" s="89"/>
      <c r="V205" s="89"/>
      <c r="W205" s="89"/>
      <c r="X205" s="89"/>
      <c r="Y205" s="89"/>
    </row>
    <row r="206" spans="3:25" x14ac:dyDescent="0.3">
      <c r="C206" s="88"/>
      <c r="D206"/>
      <c r="F206" s="23" t="s">
        <v>188</v>
      </c>
      <c r="G206" s="23" t="s">
        <v>270</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3">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3">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3">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3">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0.22782071981550883</v>
      </c>
      <c r="Q210" s="98">
        <f t="shared" ref="Q210" si="195">Q$121 * Q150</f>
        <v>0</v>
      </c>
      <c r="R210" s="79"/>
      <c r="S210" s="79"/>
      <c r="T210" s="79"/>
      <c r="U210" s="79"/>
      <c r="V210" s="79"/>
      <c r="W210" s="79"/>
      <c r="X210" s="79"/>
      <c r="Y210" s="79"/>
    </row>
    <row r="211" spans="3:27" x14ac:dyDescent="0.3">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0.7185504197611019</v>
      </c>
      <c r="Q211" s="98">
        <f t="shared" ref="Q211" si="199">Q$121 * Q151</f>
        <v>0</v>
      </c>
      <c r="R211" s="79"/>
      <c r="S211" s="79"/>
      <c r="T211" s="79"/>
      <c r="U211" s="79"/>
      <c r="V211" s="79"/>
      <c r="W211" s="79"/>
      <c r="X211" s="79"/>
      <c r="Y211" s="79"/>
    </row>
    <row r="212" spans="3:27" x14ac:dyDescent="0.3">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3">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0.19508542673801621</v>
      </c>
      <c r="O213" s="98">
        <f t="shared" si="206"/>
        <v>0.94404790638069636</v>
      </c>
      <c r="P213" s="98">
        <f t="shared" si="206"/>
        <v>0.92980828565551632</v>
      </c>
      <c r="Q213" s="98">
        <f t="shared" ref="Q213" si="207">Q$121 * Q153</f>
        <v>0</v>
      </c>
      <c r="R213" s="79"/>
      <c r="S213" s="79"/>
      <c r="T213" s="79"/>
      <c r="U213" s="79"/>
      <c r="V213" s="79"/>
      <c r="W213" s="79"/>
      <c r="X213" s="79"/>
      <c r="Y213" s="79"/>
    </row>
    <row r="214" spans="3:27" x14ac:dyDescent="0.3">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0.88561019557440979</v>
      </c>
      <c r="O214" s="98">
        <f t="shared" si="210"/>
        <v>0.8571203548937345</v>
      </c>
      <c r="P214" s="98">
        <f t="shared" si="210"/>
        <v>0</v>
      </c>
      <c r="Q214" s="98">
        <f t="shared" ref="Q214" si="211">Q$121 * Q154</f>
        <v>0</v>
      </c>
      <c r="R214" s="79"/>
      <c r="S214" s="79"/>
      <c r="T214" s="79"/>
      <c r="U214" s="79"/>
      <c r="V214" s="79"/>
      <c r="W214" s="79"/>
      <c r="X214" s="79"/>
      <c r="Y214" s="79"/>
    </row>
    <row r="215" spans="3:27" x14ac:dyDescent="0.3">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0.4729225320758309</v>
      </c>
      <c r="O215" s="98">
        <f t="shared" si="214"/>
        <v>0</v>
      </c>
      <c r="P215" s="98">
        <f t="shared" si="214"/>
        <v>0</v>
      </c>
      <c r="Q215" s="98">
        <f t="shared" ref="Q215" si="215">Q$121 * Q155</f>
        <v>0</v>
      </c>
      <c r="R215" s="79"/>
      <c r="S215" s="79"/>
      <c r="T215" s="79"/>
      <c r="U215" s="79"/>
      <c r="V215" s="79"/>
      <c r="W215" s="79"/>
      <c r="X215" s="79"/>
      <c r="Y215" s="79"/>
    </row>
    <row r="216" spans="3:27" x14ac:dyDescent="0.3">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3">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3">
      <c r="C218" s="88"/>
      <c r="J218" s="89"/>
      <c r="K218" s="89"/>
      <c r="L218" s="89"/>
      <c r="M218" s="89"/>
      <c r="N218" s="89"/>
      <c r="O218" s="89"/>
      <c r="P218" s="89"/>
      <c r="Q218" s="89"/>
      <c r="R218" s="89"/>
      <c r="S218" s="89"/>
      <c r="T218" s="89"/>
      <c r="U218" s="89"/>
      <c r="V218" s="89"/>
      <c r="W218" s="89"/>
      <c r="X218" s="89"/>
      <c r="Y218" s="89"/>
    </row>
    <row r="219" spans="3:27" x14ac:dyDescent="0.3">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3">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3">
      <c r="C221" s="88"/>
      <c r="D221"/>
      <c r="E221" s="32" t="s">
        <v>620</v>
      </c>
      <c r="J221" s="89"/>
      <c r="K221" s="89"/>
      <c r="L221" s="89"/>
      <c r="M221" s="89"/>
      <c r="N221" s="89"/>
      <c r="O221" s="89"/>
      <c r="P221" s="89"/>
      <c r="Q221" s="89"/>
      <c r="R221" s="89"/>
      <c r="S221" s="89"/>
      <c r="T221" s="89"/>
      <c r="U221" s="89"/>
      <c r="V221" s="89"/>
      <c r="W221" s="89"/>
      <c r="X221" s="89"/>
      <c r="Y221" s="89"/>
    </row>
    <row r="222" spans="3:27" x14ac:dyDescent="0.3">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3">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3">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3">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3">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0.46868065987338725</v>
      </c>
      <c r="Q226" s="98">
        <f t="shared" ref="Q226" si="227">Q$122 * Q166</f>
        <v>0</v>
      </c>
      <c r="R226" s="79"/>
      <c r="S226" s="79"/>
      <c r="T226" s="79"/>
      <c r="U226" s="79"/>
      <c r="V226" s="79"/>
      <c r="W226" s="79"/>
      <c r="X226" s="79"/>
      <c r="Y226" s="79"/>
    </row>
    <row r="227" spans="3:25" x14ac:dyDescent="0.3">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1.4782267616336759</v>
      </c>
      <c r="Q227" s="98">
        <f t="shared" ref="Q227" si="231">Q$122 * Q167</f>
        <v>0</v>
      </c>
      <c r="R227" s="79"/>
      <c r="S227" s="79"/>
      <c r="T227" s="79"/>
      <c r="U227" s="79"/>
      <c r="V227" s="79"/>
      <c r="W227" s="79"/>
      <c r="X227" s="79"/>
      <c r="Y227" s="79"/>
    </row>
    <row r="228" spans="3:25" x14ac:dyDescent="0.3">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3">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0.40133648339491607</v>
      </c>
      <c r="O229" s="98">
        <f t="shared" si="238"/>
        <v>1.9421279858693268</v>
      </c>
      <c r="P229" s="98">
        <f t="shared" si="238"/>
        <v>1.9128337458931355</v>
      </c>
      <c r="Q229" s="98">
        <f t="shared" ref="Q229" si="239">Q$122 * Q169</f>
        <v>0</v>
      </c>
      <c r="R229" s="79"/>
      <c r="S229" s="79"/>
      <c r="T229" s="79"/>
      <c r="U229" s="79"/>
      <c r="V229" s="79"/>
      <c r="W229" s="79"/>
      <c r="X229" s="79"/>
      <c r="Y229" s="79"/>
    </row>
    <row r="230" spans="3:25" x14ac:dyDescent="0.3">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1.8219079071848236</v>
      </c>
      <c r="O230" s="98">
        <f t="shared" si="242"/>
        <v>1.7632976221294532</v>
      </c>
      <c r="P230" s="98">
        <f t="shared" si="242"/>
        <v>0</v>
      </c>
      <c r="Q230" s="98">
        <f t="shared" ref="Q230" si="243">Q$122 * Q170</f>
        <v>0</v>
      </c>
      <c r="R230" s="79"/>
      <c r="S230" s="79"/>
      <c r="T230" s="79"/>
      <c r="U230" s="79"/>
      <c r="V230" s="79"/>
      <c r="W230" s="79"/>
      <c r="X230" s="79"/>
      <c r="Y230" s="79"/>
    </row>
    <row r="231" spans="3:25" x14ac:dyDescent="0.3">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0.97291258047901585</v>
      </c>
      <c r="O231" s="98">
        <f t="shared" si="246"/>
        <v>0</v>
      </c>
      <c r="P231" s="98">
        <f t="shared" si="246"/>
        <v>0</v>
      </c>
      <c r="Q231" s="98">
        <f t="shared" ref="Q231" si="247">Q$122 * Q171</f>
        <v>0</v>
      </c>
      <c r="R231" s="79"/>
      <c r="S231" s="79"/>
      <c r="T231" s="79"/>
      <c r="U231" s="79"/>
      <c r="V231" s="79"/>
      <c r="W231" s="79"/>
      <c r="X231" s="79"/>
      <c r="Y231" s="79"/>
    </row>
    <row r="232" spans="3:25" x14ac:dyDescent="0.3">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3">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3">
      <c r="C234" s="88"/>
      <c r="D234"/>
      <c r="J234" s="89"/>
      <c r="K234" s="89"/>
      <c r="L234" s="89"/>
      <c r="M234" s="89"/>
      <c r="N234" s="89"/>
      <c r="O234" s="89"/>
      <c r="P234" s="89"/>
      <c r="Q234" s="89"/>
      <c r="R234" s="89"/>
      <c r="S234" s="89"/>
      <c r="T234" s="89"/>
      <c r="U234" s="89"/>
      <c r="V234" s="89"/>
      <c r="W234" s="89"/>
      <c r="X234" s="89"/>
      <c r="Y234" s="89"/>
    </row>
    <row r="235" spans="3:25" x14ac:dyDescent="0.3">
      <c r="C235" s="88"/>
      <c r="D235"/>
      <c r="E235" s="32" t="s">
        <v>621</v>
      </c>
      <c r="J235" s="89"/>
      <c r="K235" s="89"/>
      <c r="L235" s="89"/>
      <c r="M235" s="89"/>
      <c r="N235" s="89"/>
      <c r="O235" s="89"/>
      <c r="P235" s="89"/>
      <c r="Q235" s="89"/>
      <c r="R235" s="89"/>
      <c r="S235" s="89"/>
      <c r="T235" s="89"/>
      <c r="U235" s="89"/>
      <c r="V235" s="89"/>
      <c r="W235" s="89"/>
      <c r="X235" s="89"/>
      <c r="Y235" s="89"/>
    </row>
    <row r="236" spans="3:25" x14ac:dyDescent="0.3">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3">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3">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3">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3">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0.22782071981550883</v>
      </c>
      <c r="Q240" s="98">
        <f t="shared" ref="Q240" si="267">Q$122 * Q180</f>
        <v>0</v>
      </c>
      <c r="R240" s="79"/>
      <c r="S240" s="79"/>
      <c r="T240" s="79"/>
      <c r="U240" s="79"/>
      <c r="V240" s="79"/>
      <c r="W240" s="79"/>
      <c r="X240" s="79"/>
      <c r="Y240" s="79"/>
    </row>
    <row r="241" spans="2:27" x14ac:dyDescent="0.3">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0.7185504197611019</v>
      </c>
      <c r="Q241" s="98">
        <f t="shared" ref="Q241" si="271">Q$122 * Q181</f>
        <v>0</v>
      </c>
      <c r="R241" s="79"/>
      <c r="S241" s="79"/>
      <c r="T241" s="79"/>
      <c r="U241" s="79"/>
      <c r="V241" s="79"/>
      <c r="W241" s="79"/>
      <c r="X241" s="79"/>
      <c r="Y241" s="79"/>
    </row>
    <row r="242" spans="2:27" x14ac:dyDescent="0.3">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3">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0.19508542673801621</v>
      </c>
      <c r="O243" s="98">
        <f t="shared" si="278"/>
        <v>0.94404790638069636</v>
      </c>
      <c r="P243" s="98">
        <f t="shared" si="278"/>
        <v>0.92980828565551632</v>
      </c>
      <c r="Q243" s="98">
        <f t="shared" ref="Q243" si="279">Q$122 * Q183</f>
        <v>0</v>
      </c>
      <c r="R243" s="79"/>
      <c r="S243" s="79"/>
      <c r="T243" s="79"/>
      <c r="U243" s="79"/>
      <c r="V243" s="79"/>
      <c r="W243" s="79"/>
      <c r="X243" s="79"/>
      <c r="Y243" s="79"/>
    </row>
    <row r="244" spans="2:27" x14ac:dyDescent="0.3">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0.88561019557440979</v>
      </c>
      <c r="O244" s="98">
        <f t="shared" si="282"/>
        <v>0.8571203548937345</v>
      </c>
      <c r="P244" s="98">
        <f t="shared" si="282"/>
        <v>0</v>
      </c>
      <c r="Q244" s="98">
        <f t="shared" ref="Q244" si="283">Q$122 * Q184</f>
        <v>0</v>
      </c>
      <c r="R244" s="79"/>
      <c r="S244" s="79"/>
      <c r="T244" s="79"/>
      <c r="U244" s="79"/>
      <c r="V244" s="79"/>
      <c r="W244" s="79"/>
      <c r="X244" s="79"/>
      <c r="Y244" s="79"/>
    </row>
    <row r="245" spans="2:27" x14ac:dyDescent="0.3">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0.4729225320758309</v>
      </c>
      <c r="O245" s="98">
        <f t="shared" si="286"/>
        <v>0</v>
      </c>
      <c r="P245" s="98">
        <f t="shared" si="286"/>
        <v>0</v>
      </c>
      <c r="Q245" s="98">
        <f t="shared" ref="Q245" si="287">Q$122 * Q185</f>
        <v>0</v>
      </c>
      <c r="R245" s="79"/>
      <c r="S245" s="79"/>
      <c r="T245" s="79"/>
      <c r="U245" s="79"/>
      <c r="V245" s="79"/>
      <c r="W245" s="79"/>
      <c r="X245" s="79"/>
      <c r="Y245" s="79"/>
    </row>
    <row r="246" spans="2:27" x14ac:dyDescent="0.3">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3">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3">
      <c r="C248" s="88"/>
      <c r="J248" s="89"/>
      <c r="K248" s="89"/>
      <c r="L248" s="89"/>
      <c r="M248" s="89"/>
      <c r="N248" s="89"/>
      <c r="O248" s="89"/>
      <c r="P248" s="89"/>
      <c r="Q248" s="89"/>
      <c r="R248" s="89"/>
      <c r="S248" s="89"/>
      <c r="T248" s="89"/>
      <c r="U248" s="89"/>
      <c r="V248" s="89"/>
      <c r="W248" s="89"/>
      <c r="X248" s="89"/>
      <c r="Y248" s="89"/>
    </row>
    <row r="249" spans="2:27" x14ac:dyDescent="0.3">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3">
      <c r="J250" s="89"/>
      <c r="K250" s="89"/>
      <c r="L250" s="89"/>
      <c r="M250" s="89"/>
      <c r="N250" s="89"/>
      <c r="O250" s="89"/>
      <c r="P250" s="89"/>
      <c r="Q250" s="89"/>
      <c r="R250" s="89"/>
      <c r="S250" s="89"/>
      <c r="T250" s="89"/>
      <c r="U250" s="89"/>
      <c r="V250" s="89"/>
      <c r="W250" s="89"/>
      <c r="X250" s="89"/>
      <c r="Y250" s="89"/>
    </row>
    <row r="251" spans="2:27" x14ac:dyDescent="0.3">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3">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3">
      <c r="J253" s="89"/>
      <c r="K253" s="89"/>
      <c r="L253" s="89"/>
      <c r="M253" s="89"/>
      <c r="N253" s="89"/>
      <c r="O253" s="89"/>
      <c r="P253" s="89"/>
      <c r="Q253" s="89"/>
      <c r="R253" s="89"/>
      <c r="S253" s="89"/>
      <c r="T253" s="89"/>
      <c r="U253" s="89"/>
      <c r="V253" s="89"/>
      <c r="W253" s="89"/>
      <c r="X253" s="89"/>
      <c r="Y253" s="89"/>
    </row>
    <row r="254" spans="2:27" x14ac:dyDescent="0.3">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3">
      <c r="J255" s="89"/>
      <c r="K255" s="89"/>
      <c r="L255" s="89"/>
      <c r="M255" s="89"/>
      <c r="N255" s="89"/>
      <c r="O255" s="89"/>
      <c r="P255" s="89"/>
      <c r="Q255" s="89"/>
      <c r="R255" s="89"/>
      <c r="S255" s="89"/>
      <c r="T255" s="89"/>
      <c r="U255" s="89"/>
      <c r="V255" s="89"/>
      <c r="W255" s="89"/>
      <c r="X255" s="89"/>
      <c r="Y255" s="89"/>
    </row>
    <row r="256" spans="2:27" x14ac:dyDescent="0.3">
      <c r="E256" t="s">
        <v>709</v>
      </c>
      <c r="G256" t="s">
        <v>270</v>
      </c>
      <c r="I256" t="s">
        <v>153</v>
      </c>
      <c r="J256" s="131">
        <f t="shared" ref="J256:K256" si="288">SUM(J192:J203,J206:J217)</f>
        <v>0</v>
      </c>
      <c r="K256" s="131">
        <f t="shared" si="288"/>
        <v>0</v>
      </c>
      <c r="L256" s="131">
        <f t="shared" ref="L256:M256" si="289">SUM(L192:L203,L206:L217)</f>
        <v>0</v>
      </c>
      <c r="M256" s="131">
        <f t="shared" si="289"/>
        <v>0</v>
      </c>
      <c r="N256" s="131">
        <f t="shared" ref="N256:P256" si="290">SUM(N192:N203,N206:N217)</f>
        <v>3.1390766052084453</v>
      </c>
      <c r="O256" s="131">
        <f t="shared" si="290"/>
        <v>3.2135567800468432</v>
      </c>
      <c r="P256" s="131">
        <f t="shared" si="290"/>
        <v>3.1526526297383777</v>
      </c>
      <c r="Q256" s="131">
        <f t="shared" ref="Q256" si="291">SUM(Q192:Q203,Q206:Q217)</f>
        <v>0</v>
      </c>
      <c r="R256" s="79"/>
      <c r="S256" s="79"/>
      <c r="T256" s="79"/>
      <c r="U256" s="79"/>
      <c r="V256" s="79"/>
      <c r="W256" s="79"/>
      <c r="X256" s="79"/>
      <c r="Y256" s="79"/>
      <c r="AA256" t="s">
        <v>710</v>
      </c>
    </row>
    <row r="257" spans="3:27" x14ac:dyDescent="0.3">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4.7497751254470124</v>
      </c>
      <c r="O257" s="121">
        <f t="shared" si="294"/>
        <v>5.5065938692732104</v>
      </c>
      <c r="P257" s="121">
        <f t="shared" si="294"/>
        <v>5.7359205926323256</v>
      </c>
      <c r="Q257" s="121">
        <f t="shared" ref="Q257" si="295">SUM(Q222:Q233,Q236:Q247)</f>
        <v>0</v>
      </c>
      <c r="R257" s="79"/>
      <c r="S257" s="79"/>
      <c r="T257" s="79"/>
      <c r="U257" s="79"/>
      <c r="V257" s="79"/>
      <c r="W257" s="79"/>
      <c r="X257" s="79"/>
      <c r="Y257" s="79"/>
      <c r="AA257" t="s">
        <v>710</v>
      </c>
    </row>
    <row r="258" spans="3:27" x14ac:dyDescent="0.3">
      <c r="C258" s="88"/>
      <c r="J258" s="89"/>
      <c r="K258" s="89"/>
      <c r="L258" s="89"/>
      <c r="M258" s="89"/>
      <c r="N258" s="89"/>
      <c r="O258" s="89"/>
      <c r="P258" s="89"/>
      <c r="Q258" s="89"/>
      <c r="R258" s="89"/>
      <c r="S258" s="89"/>
      <c r="T258" s="89"/>
      <c r="U258" s="89"/>
      <c r="V258" s="89"/>
      <c r="W258" s="89"/>
      <c r="X258" s="89"/>
      <c r="Y258" s="89"/>
    </row>
    <row r="259" spans="3:27" x14ac:dyDescent="0.3">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3">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3">
      <c r="C261" s="88"/>
      <c r="D261"/>
      <c r="E261" s="32" t="s">
        <v>620</v>
      </c>
      <c r="J261" s="89"/>
      <c r="K261" s="89"/>
      <c r="L261" s="89"/>
      <c r="M261" s="89"/>
      <c r="N261" s="89"/>
      <c r="O261" s="89"/>
      <c r="P261" s="89"/>
      <c r="Q261" s="89"/>
      <c r="R261" s="89"/>
      <c r="S261" s="89"/>
      <c r="T261" s="89"/>
      <c r="U261" s="89"/>
      <c r="V261" s="89"/>
      <c r="W261" s="89"/>
      <c r="X261" s="89"/>
      <c r="Y261" s="89"/>
    </row>
    <row r="262" spans="3:27" x14ac:dyDescent="0.3">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3">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3">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3">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3">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3">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3">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3">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3">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3">
      <c r="C271" s="88"/>
      <c r="D271"/>
      <c r="F271" t="s">
        <v>198</v>
      </c>
      <c r="G271" t="s">
        <v>270</v>
      </c>
      <c r="J271" s="121">
        <f t="shared" ref="J271:K271" si="324">J$123 * J141</f>
        <v>2.9187377414370504E-2</v>
      </c>
      <c r="K271" s="121">
        <f t="shared" si="324"/>
        <v>0</v>
      </c>
      <c r="L271" s="121">
        <f t="shared" ref="L271:M271" si="325">L$123 * L141</f>
        <v>2.9187377414370504E-2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3">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3">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3">
      <c r="C274" s="88"/>
      <c r="D274"/>
      <c r="J274" s="89"/>
      <c r="K274" s="89"/>
      <c r="L274" s="89"/>
      <c r="M274" s="89"/>
      <c r="N274" s="89"/>
      <c r="O274" s="89"/>
      <c r="P274" s="89"/>
      <c r="Q274" s="89"/>
      <c r="R274" s="89"/>
      <c r="S274" s="89"/>
      <c r="T274" s="89"/>
      <c r="U274" s="89"/>
      <c r="V274" s="89"/>
      <c r="W274" s="89"/>
      <c r="X274" s="89"/>
      <c r="Y274" s="89"/>
    </row>
    <row r="275" spans="3:25" x14ac:dyDescent="0.3">
      <c r="C275" s="88"/>
      <c r="D275"/>
      <c r="E275" s="32" t="s">
        <v>713</v>
      </c>
      <c r="J275" s="89"/>
      <c r="K275" s="89"/>
      <c r="L275" s="89"/>
      <c r="M275" s="89"/>
      <c r="N275" s="89"/>
      <c r="O275" s="89"/>
      <c r="P275" s="89"/>
      <c r="Q275" s="89"/>
      <c r="R275" s="89"/>
      <c r="S275" s="89"/>
      <c r="T275" s="89"/>
      <c r="U275" s="89"/>
      <c r="V275" s="89"/>
      <c r="W275" s="89"/>
      <c r="X275" s="89"/>
      <c r="Y275" s="89"/>
    </row>
    <row r="276" spans="3:25" x14ac:dyDescent="0.3">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3">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3">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3">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3">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3">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3">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3">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3">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3">
      <c r="C285" s="88"/>
      <c r="D285"/>
      <c r="F285" t="s">
        <v>198</v>
      </c>
      <c r="G285" t="s">
        <v>270</v>
      </c>
      <c r="J285" s="121">
        <f t="shared" ref="J285:K285" si="364">J$123 * J155</f>
        <v>0.4729225320758309</v>
      </c>
      <c r="K285" s="121">
        <f t="shared" si="364"/>
        <v>0</v>
      </c>
      <c r="L285" s="121">
        <f t="shared" ref="L285:M285" si="365">L$123 * L155</f>
        <v>0.4729225320758309</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3">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3">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3">
      <c r="C288" s="88"/>
    </row>
    <row r="289" spans="2:27" x14ac:dyDescent="0.3">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3">
      <c r="C291" s="88"/>
      <c r="E291" t="s">
        <v>231</v>
      </c>
      <c r="G291" s="6" t="s">
        <v>54</v>
      </c>
      <c r="H291" s="187">
        <f t="array" ref="H291">SUM(IF(ISERROR(H51:Y287), 1))</f>
        <v>0</v>
      </c>
    </row>
    <row r="293" spans="2:27" x14ac:dyDescent="0.3">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3">
      <c r="C295" s="88"/>
      <c r="E295" t="s">
        <v>238</v>
      </c>
      <c r="G295" s="6" t="s">
        <v>54</v>
      </c>
      <c r="H295" s="103">
        <f>H291 + H293</f>
        <v>0</v>
      </c>
    </row>
    <row r="297" spans="2:27" x14ac:dyDescent="0.3">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4" width="24.5546875" hidden="1" customWidth="1"/>
    <col min="315" max="16384" width="8.5546875" hidden="1"/>
  </cols>
  <sheetData>
    <row r="1" spans="1:27" s="1" customFormat="1" x14ac:dyDescent="0.3">
      <c r="A1" s="1" t="str">
        <f ca="1">MID(CELL("filename",A1),FIND("]",CELL("filename",A1))+1,255)</f>
        <v>Reactive power charges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H254 &amp; IF(H254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660</v>
      </c>
      <c r="D9"/>
    </row>
    <row r="10" spans="1:27" x14ac:dyDescent="0.3">
      <c r="C10" s="29" t="s">
        <v>661</v>
      </c>
      <c r="D10"/>
      <c r="E10"/>
    </row>
    <row r="11" spans="1:27" x14ac:dyDescent="0.3">
      <c r="C11" s="91" t="s">
        <v>662</v>
      </c>
    </row>
    <row r="13" spans="1:27" x14ac:dyDescent="0.3">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3">
      <c r="C15" s="29" t="s">
        <v>664</v>
      </c>
    </row>
    <row r="17" spans="3:27" x14ac:dyDescent="0.3">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3">
      <c r="C18" s="32"/>
      <c r="D18"/>
      <c r="E18" s="32"/>
    </row>
    <row r="19" spans="3:27" x14ac:dyDescent="0.3">
      <c r="D19" s="32" t="s">
        <v>284</v>
      </c>
    </row>
    <row r="20" spans="3:27" x14ac:dyDescent="0.3">
      <c r="D20" s="29" t="s">
        <v>665</v>
      </c>
      <c r="E20"/>
    </row>
    <row r="21" spans="3:27" x14ac:dyDescent="0.3">
      <c r="C21" s="88"/>
      <c r="E21" s="23" t="s">
        <v>188</v>
      </c>
      <c r="F21" s="23"/>
      <c r="G21" s="23" t="s">
        <v>666</v>
      </c>
      <c r="H21" s="83"/>
    </row>
    <row r="22" spans="3:27" x14ac:dyDescent="0.3">
      <c r="C22" s="88"/>
      <c r="E22" t="s">
        <v>190</v>
      </c>
      <c r="G22" t="s">
        <v>666</v>
      </c>
      <c r="H22" s="120">
        <f t="array" ref="H22:H30">TRANSPOSE('Inputs by network level'!K21:S21)</f>
        <v>0.1021674158235461</v>
      </c>
    </row>
    <row r="23" spans="3:27" x14ac:dyDescent="0.3">
      <c r="C23" s="88"/>
      <c r="E23" t="s">
        <v>191</v>
      </c>
      <c r="G23" t="s">
        <v>666</v>
      </c>
      <c r="H23" s="120">
        <v>0.1021674158235461</v>
      </c>
    </row>
    <row r="24" spans="3:27" x14ac:dyDescent="0.3">
      <c r="C24" s="88"/>
      <c r="E24" t="s">
        <v>192</v>
      </c>
      <c r="G24" t="s">
        <v>666</v>
      </c>
      <c r="H24" s="120">
        <v>0.14137231812674694</v>
      </c>
    </row>
    <row r="25" spans="3:27" x14ac:dyDescent="0.3">
      <c r="C25" s="88"/>
      <c r="E25" t="s">
        <v>193</v>
      </c>
      <c r="G25" t="s">
        <v>666</v>
      </c>
      <c r="H25" s="120">
        <v>0.14137231812674694</v>
      </c>
    </row>
    <row r="26" spans="3:27" x14ac:dyDescent="0.3">
      <c r="C26" s="88"/>
      <c r="E26" t="s">
        <v>194</v>
      </c>
      <c r="G26" t="s">
        <v>666</v>
      </c>
      <c r="H26" s="120">
        <v>0.12653835536518473</v>
      </c>
    </row>
    <row r="27" spans="3:27" x14ac:dyDescent="0.3">
      <c r="C27" s="88"/>
      <c r="E27" t="s">
        <v>195</v>
      </c>
      <c r="G27" t="s">
        <v>666</v>
      </c>
      <c r="H27" s="120">
        <v>0</v>
      </c>
    </row>
    <row r="28" spans="3:27" x14ac:dyDescent="0.3">
      <c r="C28" s="88"/>
      <c r="E28" t="s">
        <v>196</v>
      </c>
      <c r="G28" t="s">
        <v>666</v>
      </c>
      <c r="H28" s="120">
        <v>0.12653835536518473</v>
      </c>
    </row>
    <row r="29" spans="3:27" x14ac:dyDescent="0.3">
      <c r="C29" s="88"/>
      <c r="E29" t="s">
        <v>197</v>
      </c>
      <c r="G29" t="s">
        <v>666</v>
      </c>
      <c r="H29" s="120">
        <v>0.12653835536518473</v>
      </c>
    </row>
    <row r="30" spans="3:27" x14ac:dyDescent="0.3">
      <c r="C30" s="88"/>
      <c r="E30" t="s">
        <v>198</v>
      </c>
      <c r="G30" t="s">
        <v>666</v>
      </c>
      <c r="H30" s="120">
        <v>0.12653835536518473</v>
      </c>
    </row>
    <row r="31" spans="3:27" x14ac:dyDescent="0.3">
      <c r="C31" s="88"/>
      <c r="E31" t="s">
        <v>375</v>
      </c>
      <c r="G31" t="s">
        <v>666</v>
      </c>
      <c r="H31" s="79"/>
    </row>
    <row r="32" spans="3:27" x14ac:dyDescent="0.3">
      <c r="C32" s="88"/>
      <c r="E32" s="37" t="s">
        <v>376</v>
      </c>
      <c r="F32" s="37"/>
      <c r="G32" s="37" t="s">
        <v>666</v>
      </c>
      <c r="H32" s="81"/>
    </row>
    <row r="33" spans="3:8" x14ac:dyDescent="0.3">
      <c r="C33" s="88"/>
      <c r="H33" s="89"/>
    </row>
    <row r="34" spans="3:8" x14ac:dyDescent="0.3">
      <c r="D34" s="88" t="s">
        <v>393</v>
      </c>
      <c r="H34" s="89"/>
    </row>
    <row r="35" spans="3:8" x14ac:dyDescent="0.3">
      <c r="C35" s="88"/>
      <c r="E35" s="23" t="s">
        <v>188</v>
      </c>
      <c r="F35" s="23"/>
      <c r="G35" s="64" t="s">
        <v>282</v>
      </c>
      <c r="H35" s="124">
        <f t="array" ref="H35:H44">TRANSPOSE('Load &amp; loss characteristics'!J29:S29)</f>
        <v>1</v>
      </c>
    </row>
    <row r="36" spans="3:8" x14ac:dyDescent="0.3">
      <c r="C36" s="88"/>
      <c r="E36" t="s">
        <v>190</v>
      </c>
      <c r="G36" s="28" t="s">
        <v>282</v>
      </c>
      <c r="H36" s="120">
        <v>1</v>
      </c>
    </row>
    <row r="37" spans="3:8" x14ac:dyDescent="0.3">
      <c r="C37" s="88"/>
      <c r="E37" t="s">
        <v>191</v>
      </c>
      <c r="G37" s="28" t="s">
        <v>282</v>
      </c>
      <c r="H37" s="120">
        <v>1.0069921140018139</v>
      </c>
    </row>
    <row r="38" spans="3:8" x14ac:dyDescent="0.3">
      <c r="C38" s="88"/>
      <c r="E38" t="s">
        <v>192</v>
      </c>
      <c r="G38" s="28" t="s">
        <v>282</v>
      </c>
      <c r="H38" s="120">
        <v>1.0120298017682567</v>
      </c>
    </row>
    <row r="39" spans="3:8" x14ac:dyDescent="0.3">
      <c r="C39" s="88"/>
      <c r="E39" t="s">
        <v>193</v>
      </c>
      <c r="G39" s="28" t="s">
        <v>282</v>
      </c>
      <c r="H39" s="120">
        <v>1.0169672276140249</v>
      </c>
    </row>
    <row r="40" spans="3:8" x14ac:dyDescent="0.3">
      <c r="C40" s="88"/>
      <c r="E40" t="s">
        <v>194</v>
      </c>
      <c r="G40" s="28" t="s">
        <v>282</v>
      </c>
      <c r="H40" s="120">
        <v>1.022345392317251</v>
      </c>
    </row>
    <row r="41" spans="3:8" x14ac:dyDescent="0.3">
      <c r="C41" s="88"/>
      <c r="E41" t="s">
        <v>195</v>
      </c>
      <c r="G41" s="28" t="s">
        <v>282</v>
      </c>
      <c r="H41" s="120">
        <v>1.022345392317251</v>
      </c>
    </row>
    <row r="42" spans="3:8" x14ac:dyDescent="0.3">
      <c r="C42" s="88"/>
      <c r="E42" t="s">
        <v>196</v>
      </c>
      <c r="G42" s="28" t="s">
        <v>282</v>
      </c>
      <c r="H42" s="120">
        <v>1.030550424378613</v>
      </c>
    </row>
    <row r="43" spans="3:8" x14ac:dyDescent="0.3">
      <c r="C43" s="88"/>
      <c r="E43" t="s">
        <v>197</v>
      </c>
      <c r="G43" s="28" t="s">
        <v>282</v>
      </c>
      <c r="H43" s="120">
        <v>1.0463328683595021</v>
      </c>
    </row>
    <row r="44" spans="3:8" x14ac:dyDescent="0.3">
      <c r="C44" s="88"/>
      <c r="E44" t="s">
        <v>198</v>
      </c>
      <c r="G44" s="28" t="s">
        <v>282</v>
      </c>
      <c r="H44" s="120">
        <v>1.0811119475731934</v>
      </c>
    </row>
    <row r="45" spans="3:8" x14ac:dyDescent="0.3">
      <c r="C45" s="88"/>
      <c r="E45" t="s">
        <v>375</v>
      </c>
      <c r="G45" s="28" t="s">
        <v>282</v>
      </c>
      <c r="H45" s="79"/>
    </row>
    <row r="46" spans="3:8" x14ac:dyDescent="0.3">
      <c r="C46" s="88"/>
      <c r="E46" s="37" t="s">
        <v>376</v>
      </c>
      <c r="F46" s="37"/>
      <c r="G46" s="67" t="s">
        <v>282</v>
      </c>
      <c r="H46" s="81"/>
    </row>
    <row r="47" spans="3:8" x14ac:dyDescent="0.3">
      <c r="C47" s="88"/>
      <c r="H47" s="89"/>
    </row>
    <row r="48" spans="3:8" x14ac:dyDescent="0.3">
      <c r="D48" s="32" t="s">
        <v>667</v>
      </c>
      <c r="H48" s="89"/>
    </row>
    <row r="49" spans="3:8" x14ac:dyDescent="0.3">
      <c r="C49" s="88"/>
      <c r="E49" s="23" t="s">
        <v>188</v>
      </c>
      <c r="F49" s="23"/>
      <c r="G49" s="23" t="s">
        <v>584</v>
      </c>
      <c r="H49" s="83"/>
    </row>
    <row r="50" spans="3:8" x14ac:dyDescent="0.3">
      <c r="C50" s="88"/>
      <c r="E50" t="s">
        <v>190</v>
      </c>
      <c r="G50" t="s">
        <v>584</v>
      </c>
      <c r="H50" s="79"/>
    </row>
    <row r="51" spans="3:8" x14ac:dyDescent="0.3">
      <c r="C51" s="88"/>
      <c r="E51" t="s">
        <v>191</v>
      </c>
      <c r="G51" t="s">
        <v>584</v>
      </c>
      <c r="H51" s="120">
        <f t="array" ref="H51:H58">TRANSPOSE('Unit costs'!L114:S114)</f>
        <v>11.027391141184008</v>
      </c>
    </row>
    <row r="52" spans="3:8" x14ac:dyDescent="0.3">
      <c r="C52" s="88"/>
      <c r="E52" t="s">
        <v>192</v>
      </c>
      <c r="G52" t="s">
        <v>584</v>
      </c>
      <c r="H52" s="120">
        <v>4.3837654479733201</v>
      </c>
    </row>
    <row r="53" spans="3:8" x14ac:dyDescent="0.3">
      <c r="C53" s="88"/>
      <c r="E53" t="s">
        <v>193</v>
      </c>
      <c r="G53" t="s">
        <v>584</v>
      </c>
      <c r="H53" s="120">
        <v>11.123308344706246</v>
      </c>
    </row>
    <row r="54" spans="3:8" x14ac:dyDescent="0.3">
      <c r="C54" s="88"/>
      <c r="E54" t="s">
        <v>194</v>
      </c>
      <c r="G54" t="s">
        <v>584</v>
      </c>
      <c r="H54" s="120">
        <v>7.0537276288480797</v>
      </c>
    </row>
    <row r="55" spans="3:8" x14ac:dyDescent="0.3">
      <c r="C55" s="88"/>
      <c r="E55" t="s">
        <v>195</v>
      </c>
      <c r="G55" t="s">
        <v>584</v>
      </c>
      <c r="H55" s="120">
        <v>0</v>
      </c>
    </row>
    <row r="56" spans="3:8" x14ac:dyDescent="0.3">
      <c r="C56" s="88"/>
      <c r="E56" t="s">
        <v>196</v>
      </c>
      <c r="G56" t="s">
        <v>584</v>
      </c>
      <c r="H56" s="120">
        <v>12.908682469210778</v>
      </c>
    </row>
    <row r="57" spans="3:8" x14ac:dyDescent="0.3">
      <c r="C57" s="88"/>
      <c r="E57" t="s">
        <v>197</v>
      </c>
      <c r="G57" t="s">
        <v>584</v>
      </c>
      <c r="H57" s="120">
        <v>11.899543884382707</v>
      </c>
    </row>
    <row r="58" spans="3:8" x14ac:dyDescent="0.3">
      <c r="C58" s="88"/>
      <c r="E58" t="s">
        <v>198</v>
      </c>
      <c r="G58" t="s">
        <v>584</v>
      </c>
      <c r="H58" s="120">
        <v>6.8159177153305075</v>
      </c>
    </row>
    <row r="59" spans="3:8" x14ac:dyDescent="0.3">
      <c r="C59" s="88"/>
      <c r="E59" t="s">
        <v>375</v>
      </c>
      <c r="G59" t="s">
        <v>584</v>
      </c>
      <c r="H59" s="79"/>
    </row>
    <row r="60" spans="3:8" x14ac:dyDescent="0.3">
      <c r="C60" s="88"/>
      <c r="E60" s="37" t="s">
        <v>376</v>
      </c>
      <c r="F60" s="37"/>
      <c r="G60" s="37" t="s">
        <v>584</v>
      </c>
      <c r="H60" s="81"/>
    </row>
    <row r="61" spans="3:8" x14ac:dyDescent="0.3">
      <c r="C61" s="88"/>
      <c r="H61" s="89"/>
    </row>
    <row r="62" spans="3:8" x14ac:dyDescent="0.3">
      <c r="C62" s="88"/>
      <c r="D62" s="32" t="s">
        <v>668</v>
      </c>
      <c r="E62"/>
      <c r="H62" s="89"/>
    </row>
    <row r="63" spans="3:8" x14ac:dyDescent="0.3">
      <c r="C63" s="88"/>
      <c r="E63" s="23" t="s">
        <v>188</v>
      </c>
      <c r="F63" s="23"/>
      <c r="G63" s="23" t="s">
        <v>584</v>
      </c>
      <c r="H63" s="124">
        <f t="array" ref="H63:H72">TRANSPOSE('Unit costs'!J115:S115)</f>
        <v>5.7700431279977353</v>
      </c>
    </row>
    <row r="64" spans="3:8" x14ac:dyDescent="0.3">
      <c r="C64" s="88"/>
      <c r="E64" t="s">
        <v>190</v>
      </c>
      <c r="G64" t="s">
        <v>584</v>
      </c>
      <c r="H64" s="120">
        <v>0</v>
      </c>
    </row>
    <row r="65" spans="3:42" x14ac:dyDescent="0.3">
      <c r="C65" s="88"/>
      <c r="E65" t="s">
        <v>191</v>
      </c>
      <c r="G65" t="s">
        <v>584</v>
      </c>
      <c r="H65" s="120">
        <v>5.360298391980562</v>
      </c>
    </row>
    <row r="66" spans="3:42" x14ac:dyDescent="0.3">
      <c r="C66" s="88"/>
      <c r="E66" t="s">
        <v>192</v>
      </c>
      <c r="G66" t="s">
        <v>584</v>
      </c>
      <c r="H66" s="120">
        <v>2.1309020946787904</v>
      </c>
    </row>
    <row r="67" spans="3:42" x14ac:dyDescent="0.3">
      <c r="C67" s="88"/>
      <c r="E67" t="s">
        <v>193</v>
      </c>
      <c r="G67" t="s">
        <v>584</v>
      </c>
      <c r="H67" s="120">
        <v>5.4069227317923003</v>
      </c>
    </row>
    <row r="68" spans="3:42" x14ac:dyDescent="0.3">
      <c r="C68" s="88"/>
      <c r="E68" t="s">
        <v>194</v>
      </c>
      <c r="G68" t="s">
        <v>584</v>
      </c>
      <c r="H68" s="120">
        <v>3.4287425178176432</v>
      </c>
    </row>
    <row r="69" spans="3:42" x14ac:dyDescent="0.3">
      <c r="C69" s="88"/>
      <c r="E69" t="s">
        <v>195</v>
      </c>
      <c r="G69" t="s">
        <v>584</v>
      </c>
      <c r="H69" s="120">
        <v>0</v>
      </c>
    </row>
    <row r="70" spans="3:42" x14ac:dyDescent="0.3">
      <c r="C70" s="88"/>
      <c r="E70" t="s">
        <v>196</v>
      </c>
      <c r="G70" t="s">
        <v>584</v>
      </c>
      <c r="H70" s="120">
        <v>6.2747742413777141</v>
      </c>
    </row>
    <row r="71" spans="3:42" x14ac:dyDescent="0.3">
      <c r="C71" s="88"/>
      <c r="E71" t="s">
        <v>197</v>
      </c>
      <c r="G71" t="s">
        <v>584</v>
      </c>
      <c r="H71" s="120">
        <v>5.7842426311097705</v>
      </c>
    </row>
    <row r="72" spans="3:42" x14ac:dyDescent="0.3">
      <c r="C72" s="88"/>
      <c r="E72" t="s">
        <v>198</v>
      </c>
      <c r="G72" t="s">
        <v>584</v>
      </c>
      <c r="H72" s="120">
        <v>3.3131456299676656</v>
      </c>
    </row>
    <row r="73" spans="3:42" x14ac:dyDescent="0.3">
      <c r="C73" s="88"/>
      <c r="E73" t="s">
        <v>375</v>
      </c>
      <c r="G73" t="s">
        <v>584</v>
      </c>
      <c r="H73" s="79"/>
    </row>
    <row r="74" spans="3:42" x14ac:dyDescent="0.3">
      <c r="C74" s="88"/>
      <c r="E74" s="37" t="s">
        <v>376</v>
      </c>
      <c r="F74" s="37"/>
      <c r="G74" s="37" t="s">
        <v>584</v>
      </c>
      <c r="H74" s="81"/>
    </row>
    <row r="75" spans="3:42" x14ac:dyDescent="0.3">
      <c r="C75" s="88"/>
      <c r="H75" s="63"/>
    </row>
    <row r="76" spans="3:42" x14ac:dyDescent="0.3">
      <c r="D76" s="88" t="s">
        <v>669</v>
      </c>
    </row>
    <row r="77" spans="3:42" x14ac:dyDescent="0.3">
      <c r="D77" s="29" t="s">
        <v>670</v>
      </c>
      <c r="E77" s="203"/>
    </row>
    <row r="78" spans="3:42" x14ac:dyDescent="0.3">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3">
      <c r="C79" s="88"/>
    </row>
    <row r="80" spans="3:42" x14ac:dyDescent="0.3">
      <c r="D80" s="32" t="s">
        <v>119</v>
      </c>
      <c r="E80"/>
      <c r="H80" s="14"/>
      <c r="J80" s="63"/>
      <c r="K80" s="63"/>
      <c r="L80" s="63"/>
      <c r="M80" s="63"/>
      <c r="N80" s="63"/>
      <c r="O80" s="63"/>
      <c r="P80" s="63"/>
      <c r="Q80" s="63"/>
      <c r="R80" s="63"/>
      <c r="S80" s="63"/>
      <c r="T80" s="63"/>
      <c r="U80" s="63"/>
      <c r="V80" s="63"/>
      <c r="W80" s="63"/>
      <c r="X80" s="63"/>
      <c r="Y80" s="63"/>
      <c r="AP80" s="3"/>
    </row>
    <row r="81" spans="3:42" x14ac:dyDescent="0.3">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3">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3">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3">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3">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3">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3">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3">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3">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3">
      <c r="C90" s="88"/>
    </row>
    <row r="91" spans="3:42" x14ac:dyDescent="0.3">
      <c r="D91" s="32" t="s">
        <v>403</v>
      </c>
      <c r="E91" s="32"/>
      <c r="I91" t="s">
        <v>153</v>
      </c>
      <c r="AA91" t="s">
        <v>673</v>
      </c>
    </row>
    <row r="92" spans="3:42" x14ac:dyDescent="0.3">
      <c r="D92" s="29" t="s">
        <v>400</v>
      </c>
      <c r="E92"/>
      <c r="AA92" s="204"/>
    </row>
    <row r="93" spans="3:42" x14ac:dyDescent="0.3">
      <c r="D93"/>
      <c r="E93" s="23" t="s">
        <v>188</v>
      </c>
      <c r="F93" s="23"/>
      <c r="G93" s="64" t="s">
        <v>282</v>
      </c>
      <c r="H93" s="23"/>
      <c r="I93" s="23"/>
      <c r="J93" s="83"/>
      <c r="K93" s="83"/>
      <c r="L93" s="83"/>
      <c r="M93" s="83"/>
      <c r="N93" s="83"/>
      <c r="O93" s="83"/>
      <c r="P93" s="83"/>
      <c r="Q93" s="83"/>
      <c r="R93" s="124">
        <f t="array" ref="R93:Y102">TRANSPOSE('Load &amp; loss characteristics'!J172:S179)</f>
        <v>-1.0811119475731934</v>
      </c>
      <c r="S93" s="124">
        <v>-1.0463328683595021</v>
      </c>
      <c r="T93" s="124">
        <v>-1.0811119475731934</v>
      </c>
      <c r="U93" s="124">
        <v>-1.0811119475731934</v>
      </c>
      <c r="V93" s="124">
        <v>-1.0463328683595021</v>
      </c>
      <c r="W93" s="124">
        <v>-1.0463328683595021</v>
      </c>
      <c r="X93" s="124">
        <v>-1.030550424378613</v>
      </c>
      <c r="Y93" s="124">
        <v>-1.030550424378613</v>
      </c>
    </row>
    <row r="94" spans="3:42" x14ac:dyDescent="0.3">
      <c r="D94"/>
      <c r="E94" t="s">
        <v>190</v>
      </c>
      <c r="G94" s="28" t="s">
        <v>282</v>
      </c>
      <c r="J94" s="79"/>
      <c r="K94" s="79"/>
      <c r="L94" s="79"/>
      <c r="M94" s="79"/>
      <c r="N94" s="79"/>
      <c r="O94" s="79"/>
      <c r="P94" s="79"/>
      <c r="Q94" s="79"/>
      <c r="R94" s="120">
        <v>-1.0811119475731934</v>
      </c>
      <c r="S94" s="120">
        <v>-1.0463328683595021</v>
      </c>
      <c r="T94" s="120">
        <v>-1.0811119475731934</v>
      </c>
      <c r="U94" s="120">
        <v>-1.0811119475731934</v>
      </c>
      <c r="V94" s="120">
        <v>-1.0463328683595021</v>
      </c>
      <c r="W94" s="120">
        <v>-1.0463328683595021</v>
      </c>
      <c r="X94" s="120">
        <v>-1.030550424378613</v>
      </c>
      <c r="Y94" s="120">
        <v>-1.030550424378613</v>
      </c>
    </row>
    <row r="95" spans="3:42" x14ac:dyDescent="0.3">
      <c r="D95"/>
      <c r="E95" t="s">
        <v>191</v>
      </c>
      <c r="G95" s="28" t="s">
        <v>282</v>
      </c>
      <c r="J95" s="79"/>
      <c r="K95" s="79"/>
      <c r="L95" s="79"/>
      <c r="M95" s="79"/>
      <c r="N95" s="79"/>
      <c r="O95" s="79"/>
      <c r="P95" s="79"/>
      <c r="Q95" s="79"/>
      <c r="R95" s="120">
        <v>-1.0811119475731934</v>
      </c>
      <c r="S95" s="120">
        <v>-1.0463328683595021</v>
      </c>
      <c r="T95" s="120">
        <v>-1.0811119475731934</v>
      </c>
      <c r="U95" s="120">
        <v>-1.0811119475731934</v>
      </c>
      <c r="V95" s="120">
        <v>-1.0463328683595021</v>
      </c>
      <c r="W95" s="120">
        <v>-1.0463328683595021</v>
      </c>
      <c r="X95" s="120">
        <v>-1.030550424378613</v>
      </c>
      <c r="Y95" s="120">
        <v>-1.030550424378613</v>
      </c>
    </row>
    <row r="96" spans="3:42" x14ac:dyDescent="0.3">
      <c r="D96"/>
      <c r="E96" t="s">
        <v>192</v>
      </c>
      <c r="G96" s="28" t="s">
        <v>282</v>
      </c>
      <c r="J96" s="79"/>
      <c r="K96" s="79"/>
      <c r="L96" s="79"/>
      <c r="M96" s="79"/>
      <c r="N96" s="79"/>
      <c r="O96" s="79"/>
      <c r="P96" s="79"/>
      <c r="Q96" s="79"/>
      <c r="R96" s="120">
        <v>-1.0811119475731934</v>
      </c>
      <c r="S96" s="120">
        <v>-1.0463328683595021</v>
      </c>
      <c r="T96" s="120">
        <v>-1.0811119475731934</v>
      </c>
      <c r="U96" s="120">
        <v>-1.0811119475731934</v>
      </c>
      <c r="V96" s="120">
        <v>-1.0463328683595021</v>
      </c>
      <c r="W96" s="120">
        <v>-1.0463328683595021</v>
      </c>
      <c r="X96" s="120">
        <v>-1.030550424378613</v>
      </c>
      <c r="Y96" s="120">
        <v>-1.030550424378613</v>
      </c>
    </row>
    <row r="97" spans="3:25" x14ac:dyDescent="0.3">
      <c r="D97"/>
      <c r="E97" t="s">
        <v>193</v>
      </c>
      <c r="G97" s="28" t="s">
        <v>282</v>
      </c>
      <c r="J97" s="79"/>
      <c r="K97" s="79"/>
      <c r="L97" s="79"/>
      <c r="M97" s="79"/>
      <c r="N97" s="79"/>
      <c r="O97" s="79"/>
      <c r="P97" s="79"/>
      <c r="Q97" s="79"/>
      <c r="R97" s="120">
        <v>-1.0811119475731934</v>
      </c>
      <c r="S97" s="120">
        <v>-1.0463328683595021</v>
      </c>
      <c r="T97" s="120">
        <v>-1.0811119475731934</v>
      </c>
      <c r="U97" s="120">
        <v>-1.0811119475731934</v>
      </c>
      <c r="V97" s="120">
        <v>-1.0463328683595021</v>
      </c>
      <c r="W97" s="120">
        <v>-1.0463328683595021</v>
      </c>
      <c r="X97" s="120">
        <v>-1.030550424378613</v>
      </c>
      <c r="Y97" s="120">
        <v>-1.030550424378613</v>
      </c>
    </row>
    <row r="98" spans="3:25" x14ac:dyDescent="0.3">
      <c r="D98"/>
      <c r="E98" t="s">
        <v>194</v>
      </c>
      <c r="G98" s="28" t="s">
        <v>282</v>
      </c>
      <c r="J98" s="79"/>
      <c r="K98" s="79"/>
      <c r="L98" s="79"/>
      <c r="M98" s="79"/>
      <c r="N98" s="79"/>
      <c r="O98" s="79"/>
      <c r="P98" s="79"/>
      <c r="Q98" s="79"/>
      <c r="R98" s="120">
        <v>-1.0811119475731934</v>
      </c>
      <c r="S98" s="120">
        <v>-1.0463328683595021</v>
      </c>
      <c r="T98" s="120">
        <v>-1.0811119475731934</v>
      </c>
      <c r="U98" s="120">
        <v>-1.0811119475731934</v>
      </c>
      <c r="V98" s="120">
        <v>-1.0463328683595021</v>
      </c>
      <c r="W98" s="120">
        <v>-1.0463328683595021</v>
      </c>
      <c r="X98" s="120">
        <v>-1.030550424378613</v>
      </c>
      <c r="Y98" s="120">
        <v>-1.030550424378613</v>
      </c>
    </row>
    <row r="99" spans="3:25" x14ac:dyDescent="0.3">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3">
      <c r="D100"/>
      <c r="E100" t="s">
        <v>196</v>
      </c>
      <c r="G100" s="28" t="s">
        <v>282</v>
      </c>
      <c r="J100" s="79"/>
      <c r="K100" s="79"/>
      <c r="L100" s="79"/>
      <c r="M100" s="79"/>
      <c r="N100" s="79"/>
      <c r="O100" s="79"/>
      <c r="P100" s="79"/>
      <c r="Q100" s="79"/>
      <c r="R100" s="120">
        <v>-1.0811119475731934</v>
      </c>
      <c r="S100" s="120">
        <v>-1.0463328683595021</v>
      </c>
      <c r="T100" s="120">
        <v>-1.0811119475731934</v>
      </c>
      <c r="U100" s="120">
        <v>-1.0811119475731934</v>
      </c>
      <c r="V100" s="120">
        <v>-1.0463328683595021</v>
      </c>
      <c r="W100" s="120">
        <v>-1.0463328683595021</v>
      </c>
      <c r="X100" s="120">
        <v>-1.030550424378613</v>
      </c>
      <c r="Y100" s="120">
        <v>-1.030550424378613</v>
      </c>
    </row>
    <row r="101" spans="3:25" x14ac:dyDescent="0.3">
      <c r="D101"/>
      <c r="E101" t="s">
        <v>197</v>
      </c>
      <c r="G101" s="28" t="s">
        <v>282</v>
      </c>
      <c r="J101" s="79"/>
      <c r="K101" s="79"/>
      <c r="L101" s="79"/>
      <c r="M101" s="79"/>
      <c r="N101" s="79"/>
      <c r="O101" s="79"/>
      <c r="P101" s="79"/>
      <c r="Q101" s="79"/>
      <c r="R101" s="120">
        <v>-1.0811119475731934</v>
      </c>
      <c r="S101" s="120">
        <v>-1.0463328683595021</v>
      </c>
      <c r="T101" s="120">
        <v>-1.0811119475731934</v>
      </c>
      <c r="U101" s="120">
        <v>-1.0811119475731934</v>
      </c>
      <c r="V101" s="120">
        <v>-1.0463328683595021</v>
      </c>
      <c r="W101" s="120">
        <v>-1.0463328683595021</v>
      </c>
      <c r="X101" s="120">
        <v>0</v>
      </c>
      <c r="Y101" s="120">
        <v>0</v>
      </c>
    </row>
    <row r="102" spans="3:25" x14ac:dyDescent="0.3">
      <c r="D102"/>
      <c r="E102" t="s">
        <v>198</v>
      </c>
      <c r="G102" s="28" t="s">
        <v>282</v>
      </c>
      <c r="J102" s="79"/>
      <c r="K102" s="79"/>
      <c r="L102" s="79"/>
      <c r="M102" s="79"/>
      <c r="N102" s="79"/>
      <c r="O102" s="79"/>
      <c r="P102" s="79"/>
      <c r="Q102" s="79"/>
      <c r="R102" s="120">
        <v>-1.0811119475731934</v>
      </c>
      <c r="S102" s="120">
        <v>0</v>
      </c>
      <c r="T102" s="120">
        <v>-1.0811119475731934</v>
      </c>
      <c r="U102" s="120">
        <v>-1.0811119475731934</v>
      </c>
      <c r="V102" s="120">
        <v>0</v>
      </c>
      <c r="W102" s="120">
        <v>0</v>
      </c>
      <c r="X102" s="120">
        <v>0</v>
      </c>
      <c r="Y102" s="120">
        <v>0</v>
      </c>
    </row>
    <row r="103" spans="3:25" x14ac:dyDescent="0.3">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3">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3">
      <c r="C105" s="88"/>
    </row>
    <row r="106" spans="3:25" x14ac:dyDescent="0.3">
      <c r="D106" s="32" t="s">
        <v>415</v>
      </c>
      <c r="E106"/>
    </row>
    <row r="107" spans="3:25" x14ac:dyDescent="0.3">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3">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3">
      <c r="C109" s="88"/>
      <c r="E109" t="s">
        <v>191</v>
      </c>
      <c r="G109" t="s">
        <v>166</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3">
      <c r="C110" s="88"/>
      <c r="E110" t="s">
        <v>192</v>
      </c>
      <c r="G110" t="s">
        <v>166</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3">
      <c r="C111" s="88"/>
      <c r="E111" t="s">
        <v>193</v>
      </c>
      <c r="G111" t="s">
        <v>166</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25" x14ac:dyDescent="0.3">
      <c r="C112" s="88"/>
      <c r="E112" t="s">
        <v>194</v>
      </c>
      <c r="G112" t="s">
        <v>166</v>
      </c>
      <c r="J112" s="25">
        <v>0</v>
      </c>
      <c r="K112" s="25">
        <v>0</v>
      </c>
      <c r="L112" s="25">
        <v>0</v>
      </c>
      <c r="M112" s="25">
        <v>0</v>
      </c>
      <c r="N112" s="25">
        <v>0</v>
      </c>
      <c r="O112" s="25">
        <v>0</v>
      </c>
      <c r="P112" s="25">
        <v>0.56999999999999995</v>
      </c>
      <c r="Q112" s="25">
        <v>0</v>
      </c>
      <c r="R112" s="25">
        <v>0</v>
      </c>
      <c r="S112" s="25">
        <v>0</v>
      </c>
      <c r="T112" s="25">
        <v>0</v>
      </c>
      <c r="U112" s="25">
        <v>0</v>
      </c>
      <c r="V112" s="25">
        <v>0</v>
      </c>
      <c r="W112" s="25">
        <v>0</v>
      </c>
      <c r="X112" s="25">
        <v>0.56999999999999995</v>
      </c>
      <c r="Y112" s="25">
        <v>0.56999999999999995</v>
      </c>
    </row>
    <row r="113" spans="3:27" x14ac:dyDescent="0.3">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3">
      <c r="C114" s="88"/>
      <c r="E114" t="s">
        <v>196</v>
      </c>
      <c r="G114" t="s">
        <v>166</v>
      </c>
      <c r="J114" s="25">
        <v>0.3</v>
      </c>
      <c r="K114" s="25">
        <v>0.3</v>
      </c>
      <c r="L114" s="25">
        <v>0.3</v>
      </c>
      <c r="M114" s="25">
        <v>0.3</v>
      </c>
      <c r="N114" s="25">
        <v>0.3</v>
      </c>
      <c r="O114" s="25">
        <v>0.3</v>
      </c>
      <c r="P114" s="25">
        <v>0.91</v>
      </c>
      <c r="Q114" s="25">
        <v>0.3</v>
      </c>
      <c r="R114" s="25">
        <v>0.3</v>
      </c>
      <c r="S114" s="25">
        <v>0.3</v>
      </c>
      <c r="T114" s="25">
        <v>0.3</v>
      </c>
      <c r="U114" s="25">
        <v>0.3</v>
      </c>
      <c r="V114" s="25">
        <v>0.3</v>
      </c>
      <c r="W114" s="25">
        <v>0.3</v>
      </c>
      <c r="X114" s="25">
        <v>0.91</v>
      </c>
      <c r="Y114" s="25">
        <v>0.91</v>
      </c>
    </row>
    <row r="115" spans="3:27" x14ac:dyDescent="0.3">
      <c r="C115" s="88"/>
      <c r="E115" t="s">
        <v>197</v>
      </c>
      <c r="G115" t="s">
        <v>166</v>
      </c>
      <c r="J115" s="25">
        <v>0.3</v>
      </c>
      <c r="K115" s="25">
        <v>0.3</v>
      </c>
      <c r="L115" s="25">
        <v>0.3</v>
      </c>
      <c r="M115" s="25">
        <v>0.3</v>
      </c>
      <c r="N115" s="25">
        <v>0.3</v>
      </c>
      <c r="O115" s="25">
        <v>0.97</v>
      </c>
      <c r="P115" s="25">
        <v>0</v>
      </c>
      <c r="Q115" s="25">
        <v>0.3</v>
      </c>
      <c r="R115" s="25">
        <v>0.3</v>
      </c>
      <c r="S115" s="25">
        <v>0.97</v>
      </c>
      <c r="T115" s="25">
        <v>0.3</v>
      </c>
      <c r="U115" s="25">
        <v>0.3</v>
      </c>
      <c r="V115" s="25">
        <v>0.97</v>
      </c>
      <c r="W115" s="25">
        <v>0.97</v>
      </c>
      <c r="X115" s="25">
        <v>0</v>
      </c>
      <c r="Y115" s="25">
        <v>0</v>
      </c>
    </row>
    <row r="116" spans="3:27" x14ac:dyDescent="0.3">
      <c r="C116" s="88"/>
      <c r="E116" t="s">
        <v>198</v>
      </c>
      <c r="G116" t="s">
        <v>166</v>
      </c>
      <c r="J116" s="25">
        <v>0.97</v>
      </c>
      <c r="K116" s="25">
        <v>0.97</v>
      </c>
      <c r="L116" s="25">
        <v>0.97</v>
      </c>
      <c r="M116" s="25">
        <v>0.97</v>
      </c>
      <c r="N116" s="25">
        <v>0.97</v>
      </c>
      <c r="O116" s="25">
        <v>0</v>
      </c>
      <c r="P116" s="25">
        <v>0</v>
      </c>
      <c r="Q116" s="25">
        <v>0.97</v>
      </c>
      <c r="R116" s="25">
        <v>0.97</v>
      </c>
      <c r="S116" s="25">
        <v>0</v>
      </c>
      <c r="T116" s="25">
        <v>0.97</v>
      </c>
      <c r="U116" s="25">
        <v>0.97</v>
      </c>
      <c r="V116" s="25">
        <v>0</v>
      </c>
      <c r="W116" s="25">
        <v>0</v>
      </c>
      <c r="X116" s="25">
        <v>0</v>
      </c>
      <c r="Y116" s="25">
        <v>0</v>
      </c>
    </row>
    <row r="117" spans="3:27" x14ac:dyDescent="0.3">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3">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3">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3">
      <c r="C121" s="32"/>
      <c r="D121"/>
      <c r="E121" s="32"/>
    </row>
    <row r="122" spans="3:27" x14ac:dyDescent="0.3">
      <c r="D122" s="32" t="s">
        <v>620</v>
      </c>
      <c r="E122"/>
    </row>
    <row r="123" spans="3:27" x14ac:dyDescent="0.3">
      <c r="E123" s="23" t="s">
        <v>188</v>
      </c>
      <c r="F123" s="23"/>
      <c r="G123" s="23" t="s">
        <v>268</v>
      </c>
      <c r="H123" s="258"/>
      <c r="I123" s="258"/>
      <c r="J123" s="272"/>
      <c r="K123" s="272"/>
      <c r="L123" s="272"/>
      <c r="M123" s="272"/>
      <c r="N123" s="272"/>
      <c r="O123" s="272"/>
      <c r="P123" s="272"/>
      <c r="Q123" s="272"/>
      <c r="R123" s="272"/>
      <c r="S123" s="272"/>
      <c r="T123" s="272"/>
      <c r="U123" s="272"/>
      <c r="V123" s="272"/>
      <c r="W123" s="272"/>
      <c r="X123" s="272"/>
      <c r="Y123" s="272"/>
      <c r="Z123" s="259"/>
      <c r="AA123" s="259"/>
    </row>
    <row r="124" spans="3:27" x14ac:dyDescent="0.3">
      <c r="E124" t="s">
        <v>190</v>
      </c>
      <c r="G124" t="s">
        <v>268</v>
      </c>
      <c r="H124" s="259"/>
      <c r="I124" s="259"/>
      <c r="J124" s="260"/>
      <c r="K124" s="260"/>
      <c r="L124" s="260"/>
      <c r="M124" s="260"/>
      <c r="N124" s="260"/>
      <c r="O124" s="260"/>
      <c r="P124" s="260"/>
      <c r="Q124" s="260"/>
      <c r="R124" s="260"/>
      <c r="S124" s="260"/>
      <c r="T124" s="260"/>
      <c r="U124" s="260"/>
      <c r="V124" s="260"/>
      <c r="W124" s="260"/>
      <c r="X124" s="260"/>
      <c r="Y124" s="260"/>
      <c r="Z124" s="259"/>
      <c r="AA124" s="259"/>
    </row>
    <row r="125" spans="3:27" x14ac:dyDescent="0.3">
      <c r="E125" t="s">
        <v>191</v>
      </c>
      <c r="G125" t="s">
        <v>268</v>
      </c>
      <c r="H125" s="259"/>
      <c r="I125" s="259"/>
      <c r="J125" s="271">
        <f>'Initial unit rates'!J125</f>
        <v>0.23759892582135297</v>
      </c>
      <c r="K125" s="271">
        <f>'Initial unit rates'!K125</f>
        <v>0.23759892582135297</v>
      </c>
      <c r="L125" s="271">
        <f>'Initial unit rates'!L125</f>
        <v>0.24200377409067181</v>
      </c>
      <c r="M125" s="271">
        <f>'Initial unit rates'!M125</f>
        <v>0.24200377409067181</v>
      </c>
      <c r="N125" s="271">
        <f>'Initial unit rates'!N125</f>
        <v>0.21185845431148512</v>
      </c>
      <c r="O125" s="271">
        <f>'Initial unit rates'!O125</f>
        <v>0.19130583023060949</v>
      </c>
      <c r="P125" s="271">
        <f>'Initial unit rates'!P125</f>
        <v>0.1591712527038516</v>
      </c>
      <c r="Q125" s="271">
        <f>'Initial unit rates'!Q125</f>
        <v>0.17284994874488899</v>
      </c>
      <c r="R125" s="260"/>
      <c r="S125" s="260"/>
      <c r="T125" s="260"/>
      <c r="U125" s="260"/>
      <c r="V125" s="260"/>
      <c r="W125" s="260"/>
      <c r="X125" s="260"/>
      <c r="Y125" s="260"/>
      <c r="Z125" s="259"/>
      <c r="AA125" s="259"/>
    </row>
    <row r="126" spans="3:27" x14ac:dyDescent="0.3">
      <c r="E126" t="s">
        <v>192</v>
      </c>
      <c r="G126" t="s">
        <v>268</v>
      </c>
      <c r="H126" s="259"/>
      <c r="I126" s="259"/>
      <c r="J126" s="271">
        <f>'Initial unit rates'!J126</f>
        <v>9.3983533861856941E-2</v>
      </c>
      <c r="K126" s="271">
        <f>'Initial unit rates'!K126</f>
        <v>9.3983533861856941E-2</v>
      </c>
      <c r="L126" s="271">
        <f>'Initial unit rates'!L126</f>
        <v>9.5725895301601555E-2</v>
      </c>
      <c r="M126" s="271">
        <f>'Initial unit rates'!M126</f>
        <v>9.5725895301601555E-2</v>
      </c>
      <c r="N126" s="271">
        <f>'Initial unit rates'!N126</f>
        <v>8.3801751821365844E-2</v>
      </c>
      <c r="O126" s="271">
        <f>'Initial unit rates'!O126</f>
        <v>7.5672050752315811E-2</v>
      </c>
      <c r="P126" s="271">
        <f>'Initial unit rates'!P126</f>
        <v>6.2961045663878237E-2</v>
      </c>
      <c r="Q126" s="271">
        <f>'Initial unit rates'!Q126</f>
        <v>6.8371727501411003E-2</v>
      </c>
      <c r="R126" s="260"/>
      <c r="S126" s="260"/>
      <c r="T126" s="260"/>
      <c r="U126" s="260"/>
      <c r="V126" s="260"/>
      <c r="W126" s="260"/>
      <c r="X126" s="260"/>
      <c r="Y126" s="260"/>
      <c r="Z126" s="259"/>
      <c r="AA126" s="259"/>
    </row>
    <row r="127" spans="3:27" x14ac:dyDescent="0.3">
      <c r="E127" t="s">
        <v>193</v>
      </c>
      <c r="G127" t="s">
        <v>268</v>
      </c>
      <c r="H127" s="259"/>
      <c r="I127" s="259"/>
      <c r="J127" s="271">
        <f>'Initial unit rates'!J127</f>
        <v>0.23731477709448481</v>
      </c>
      <c r="K127" s="271">
        <f>'Initial unit rates'!K127</f>
        <v>0.23731477709448481</v>
      </c>
      <c r="L127" s="271">
        <f>'Initial unit rates'!L127</f>
        <v>0.24171435752842324</v>
      </c>
      <c r="M127" s="271">
        <f>'Initial unit rates'!M127</f>
        <v>0.24171435752842324</v>
      </c>
      <c r="N127" s="271">
        <f>'Initial unit rates'!N127</f>
        <v>0.21160508906641606</v>
      </c>
      <c r="O127" s="271">
        <f>'Initial unit rates'!O127</f>
        <v>0.19107704422951721</v>
      </c>
      <c r="P127" s="271">
        <f>'Initial unit rates'!P127</f>
        <v>0.15898089700820414</v>
      </c>
      <c r="Q127" s="271">
        <f>'Initial unit rates'!Q127</f>
        <v>0.17264323445649182</v>
      </c>
      <c r="R127" s="260"/>
      <c r="S127" s="260"/>
      <c r="T127" s="260"/>
      <c r="U127" s="260"/>
      <c r="V127" s="260"/>
      <c r="W127" s="260"/>
      <c r="X127" s="260"/>
      <c r="Y127" s="260"/>
      <c r="Z127" s="259"/>
      <c r="AA127" s="259"/>
    </row>
    <row r="128" spans="3:27" x14ac:dyDescent="0.3">
      <c r="E128" t="s">
        <v>194</v>
      </c>
      <c r="G128" t="s">
        <v>268</v>
      </c>
      <c r="H128" s="259"/>
      <c r="I128" s="259"/>
      <c r="J128" s="271">
        <f>'Initial unit rates'!J128</f>
        <v>0.14969896753451145</v>
      </c>
      <c r="K128" s="271">
        <f>'Initial unit rates'!K128</f>
        <v>0.14969896753451145</v>
      </c>
      <c r="L128" s="271">
        <f>'Initial unit rates'!L128</f>
        <v>0.15247423781733668</v>
      </c>
      <c r="M128" s="271">
        <f>'Initial unit rates'!M128</f>
        <v>0.15247423781733668</v>
      </c>
      <c r="N128" s="271">
        <f>'Initial unit rates'!N128</f>
        <v>0.13348120899221913</v>
      </c>
      <c r="O128" s="271">
        <f>'Initial unit rates'!O128</f>
        <v>0.1205320485766314</v>
      </c>
      <c r="P128" s="271">
        <f>'Initial unit rates'!P128</f>
        <v>4.3122846648762078E-2</v>
      </c>
      <c r="Q128" s="271">
        <f>'Initial unit rates'!Q128</f>
        <v>0.1089039387533194</v>
      </c>
      <c r="R128" s="260"/>
      <c r="S128" s="260"/>
      <c r="T128" s="260"/>
      <c r="U128" s="260"/>
      <c r="V128" s="260"/>
      <c r="W128" s="260"/>
      <c r="X128" s="260"/>
      <c r="Y128" s="260"/>
      <c r="Z128" s="259"/>
      <c r="AA128" s="259"/>
    </row>
    <row r="129" spans="4:27" x14ac:dyDescent="0.3">
      <c r="E129" t="s">
        <v>195</v>
      </c>
      <c r="G129" t="s">
        <v>268</v>
      </c>
      <c r="H129" s="259"/>
      <c r="I129" s="259"/>
      <c r="J129" s="271">
        <f>'Initial unit rates'!J129</f>
        <v>0</v>
      </c>
      <c r="K129" s="271">
        <f>'Initial unit rates'!K129</f>
        <v>0</v>
      </c>
      <c r="L129" s="271">
        <f>'Initial unit rates'!L129</f>
        <v>0</v>
      </c>
      <c r="M129" s="271">
        <f>'Initial unit rates'!M129</f>
        <v>0</v>
      </c>
      <c r="N129" s="271">
        <f>'Initial unit rates'!N129</f>
        <v>0</v>
      </c>
      <c r="O129" s="271">
        <f>'Initial unit rates'!O129</f>
        <v>0</v>
      </c>
      <c r="P129" s="271">
        <f>'Initial unit rates'!P129</f>
        <v>0</v>
      </c>
      <c r="Q129" s="271">
        <f>'Initial unit rates'!Q129</f>
        <v>0</v>
      </c>
      <c r="R129" s="260"/>
      <c r="S129" s="260"/>
      <c r="T129" s="260"/>
      <c r="U129" s="260"/>
      <c r="V129" s="260"/>
      <c r="W129" s="260"/>
      <c r="X129" s="260"/>
      <c r="Y129" s="260"/>
      <c r="Z129" s="259"/>
      <c r="AA129" s="259"/>
    </row>
    <row r="130" spans="4:27" x14ac:dyDescent="0.3">
      <c r="E130" t="s">
        <v>196</v>
      </c>
      <c r="G130" t="s">
        <v>268</v>
      </c>
      <c r="H130" s="259"/>
      <c r="I130" s="259"/>
      <c r="J130" s="271">
        <f>'Initial unit rates'!J130</f>
        <v>0.19024290751452377</v>
      </c>
      <c r="K130" s="271">
        <f>'Initial unit rates'!K130</f>
        <v>0.19024290751452377</v>
      </c>
      <c r="L130" s="271">
        <f>'Initial unit rates'!L130</f>
        <v>0.19376982220497824</v>
      </c>
      <c r="M130" s="271">
        <f>'Initial unit rates'!M130</f>
        <v>0.19376982220497824</v>
      </c>
      <c r="N130" s="271">
        <f>'Initial unit rates'!N130</f>
        <v>0.16963278849187316</v>
      </c>
      <c r="O130" s="271">
        <f>'Initial unit rates'!O130</f>
        <v>0.15317652317551114</v>
      </c>
      <c r="P130" s="271">
        <f>'Initial unit rates'!P130</f>
        <v>1.6386005848293587E-2</v>
      </c>
      <c r="Q130" s="271">
        <f>'Initial unit rates'!Q130</f>
        <v>0.13839909713097223</v>
      </c>
      <c r="R130" s="260"/>
      <c r="S130" s="260"/>
      <c r="T130" s="260"/>
      <c r="U130" s="260"/>
      <c r="V130" s="260"/>
      <c r="W130" s="260"/>
      <c r="X130" s="260"/>
      <c r="Y130" s="260"/>
      <c r="Z130" s="259"/>
      <c r="AA130" s="259"/>
    </row>
    <row r="131" spans="4:27" x14ac:dyDescent="0.3">
      <c r="E131" t="s">
        <v>197</v>
      </c>
      <c r="G131" t="s">
        <v>268</v>
      </c>
      <c r="H131" s="259"/>
      <c r="I131" s="259"/>
      <c r="J131" s="271">
        <f>'Initial unit rates'!J131</f>
        <v>0.1727254171136402</v>
      </c>
      <c r="K131" s="271">
        <f>'Initial unit rates'!K131</f>
        <v>0.1727254171136402</v>
      </c>
      <c r="L131" s="271">
        <f>'Initial unit rates'!L131</f>
        <v>0.17592757491805905</v>
      </c>
      <c r="M131" s="271">
        <f>'Initial unit rates'!M131</f>
        <v>0.17592757491805905</v>
      </c>
      <c r="N131" s="271">
        <f>'Initial unit rates'!N131</f>
        <v>0.15401306956040839</v>
      </c>
      <c r="O131" s="271">
        <f>'Initial unit rates'!O131</f>
        <v>5.9602324515013226E-3</v>
      </c>
      <c r="P131" s="271">
        <f>'Initial unit rates'!P131</f>
        <v>0</v>
      </c>
      <c r="Q131" s="271">
        <f>'Initial unit rates'!Q131</f>
        <v>0.12565536393662083</v>
      </c>
      <c r="R131" s="260"/>
      <c r="S131" s="260"/>
      <c r="T131" s="260"/>
      <c r="U131" s="260"/>
      <c r="V131" s="260"/>
      <c r="W131" s="260"/>
      <c r="X131" s="260"/>
      <c r="Y131" s="260"/>
      <c r="Z131" s="259"/>
      <c r="AA131" s="259"/>
    </row>
    <row r="132" spans="4:27" x14ac:dyDescent="0.3">
      <c r="E132" t="s">
        <v>198</v>
      </c>
      <c r="G132" t="s">
        <v>268</v>
      </c>
      <c r="H132" s="259"/>
      <c r="I132" s="259"/>
      <c r="J132" s="271">
        <f>'Initial unit rates'!J132</f>
        <v>4.1036724609133683E-3</v>
      </c>
      <c r="K132" s="271">
        <f>'Initial unit rates'!K132</f>
        <v>4.1036724609133683E-3</v>
      </c>
      <c r="L132" s="271">
        <f>'Initial unit rates'!L132</f>
        <v>4.1797504754701202E-3</v>
      </c>
      <c r="M132" s="271">
        <f>'Initial unit rates'!M132</f>
        <v>4.1797504754701202E-3</v>
      </c>
      <c r="N132" s="271">
        <f>'Initial unit rates'!N132</f>
        <v>3.6590977908014678E-3</v>
      </c>
      <c r="O132" s="271">
        <f>'Initial unit rates'!O132</f>
        <v>0</v>
      </c>
      <c r="P132" s="271">
        <f>'Initial unit rates'!P132</f>
        <v>0</v>
      </c>
      <c r="Q132" s="271">
        <f>'Initial unit rates'!Q132</f>
        <v>2.9853652413732493E-3</v>
      </c>
      <c r="R132" s="260"/>
      <c r="S132" s="260"/>
      <c r="T132" s="260"/>
      <c r="U132" s="260"/>
      <c r="V132" s="260"/>
      <c r="W132" s="260"/>
      <c r="X132" s="260"/>
      <c r="Y132" s="260"/>
      <c r="Z132" s="259"/>
      <c r="AA132" s="259"/>
    </row>
    <row r="133" spans="4:27" x14ac:dyDescent="0.3">
      <c r="E133" t="s">
        <v>375</v>
      </c>
      <c r="G133" t="s">
        <v>268</v>
      </c>
      <c r="H133" s="259"/>
      <c r="I133" s="259"/>
      <c r="J133" s="260"/>
      <c r="K133" s="260"/>
      <c r="L133" s="260"/>
      <c r="M133" s="260"/>
      <c r="N133" s="260"/>
      <c r="O133" s="260"/>
      <c r="P133" s="260"/>
      <c r="Q133" s="260"/>
      <c r="R133" s="260"/>
      <c r="S133" s="260"/>
      <c r="T133" s="260"/>
      <c r="U133" s="260"/>
      <c r="V133" s="260"/>
      <c r="W133" s="260"/>
      <c r="X133" s="260"/>
      <c r="Y133" s="260"/>
      <c r="Z133" s="259"/>
      <c r="AA133" s="259"/>
    </row>
    <row r="134" spans="4:27" x14ac:dyDescent="0.3">
      <c r="E134" s="37" t="s">
        <v>376</v>
      </c>
      <c r="F134" s="37"/>
      <c r="G134" s="37" t="s">
        <v>268</v>
      </c>
      <c r="H134" s="261"/>
      <c r="I134" s="261"/>
      <c r="J134" s="262"/>
      <c r="K134" s="262"/>
      <c r="L134" s="262"/>
      <c r="M134" s="262"/>
      <c r="N134" s="262"/>
      <c r="O134" s="262"/>
      <c r="P134" s="262"/>
      <c r="Q134" s="262"/>
      <c r="R134" s="262"/>
      <c r="S134" s="262"/>
      <c r="T134" s="262"/>
      <c r="U134" s="262"/>
      <c r="V134" s="262"/>
      <c r="W134" s="262"/>
      <c r="X134" s="262"/>
      <c r="Y134" s="262"/>
      <c r="Z134" s="259"/>
      <c r="AA134" s="259"/>
    </row>
    <row r="135" spans="4:27" x14ac:dyDescent="0.3">
      <c r="E135"/>
      <c r="J135" s="89"/>
      <c r="K135" s="89"/>
      <c r="L135" s="89"/>
      <c r="M135" s="89"/>
      <c r="N135" s="89"/>
      <c r="O135" s="89"/>
      <c r="P135" s="89"/>
      <c r="Q135" s="89"/>
      <c r="R135" s="89"/>
      <c r="S135" s="89"/>
      <c r="T135" s="89"/>
      <c r="U135" s="89"/>
      <c r="V135" s="89"/>
      <c r="W135" s="89"/>
      <c r="X135" s="89"/>
      <c r="Y135" s="89"/>
    </row>
    <row r="136" spans="4:27" x14ac:dyDescent="0.3">
      <c r="D136" s="32" t="s">
        <v>621</v>
      </c>
      <c r="E136"/>
      <c r="J136" s="89"/>
      <c r="K136" s="89"/>
      <c r="L136" s="89"/>
      <c r="M136" s="89"/>
      <c r="N136" s="89"/>
      <c r="O136" s="89"/>
      <c r="P136" s="89"/>
      <c r="Q136" s="89"/>
      <c r="R136" s="89"/>
      <c r="S136" s="89"/>
      <c r="T136" s="89"/>
      <c r="U136" s="89"/>
      <c r="V136" s="89"/>
      <c r="W136" s="89"/>
      <c r="X136" s="89"/>
      <c r="Y136" s="89"/>
    </row>
    <row r="137" spans="4:27" x14ac:dyDescent="0.3">
      <c r="E137" s="23" t="s">
        <v>188</v>
      </c>
      <c r="F137" s="23"/>
      <c r="G137" s="23" t="s">
        <v>268</v>
      </c>
      <c r="H137" s="258"/>
      <c r="I137" s="258"/>
      <c r="J137" s="270">
        <f>'Initial unit rates'!J135</f>
        <v>0.12519207058743018</v>
      </c>
      <c r="K137" s="270">
        <f>'Initial unit rates'!K135</f>
        <v>0.12519207058743018</v>
      </c>
      <c r="L137" s="270">
        <f>'Initial unit rates'!L135</f>
        <v>0.12751300732379448</v>
      </c>
      <c r="M137" s="270">
        <f>'Initial unit rates'!M135</f>
        <v>0.12751300732379448</v>
      </c>
      <c r="N137" s="270">
        <f>'Initial unit rates'!N135</f>
        <v>0.1116292865172696</v>
      </c>
      <c r="O137" s="270">
        <f>'Initial unit rates'!O135</f>
        <v>0.10080000538396801</v>
      </c>
      <c r="P137" s="270">
        <f>'Initial unit rates'!P135</f>
        <v>8.3868134652145127E-2</v>
      </c>
      <c r="Q137" s="270">
        <f>'Initial unit rates'!Q135</f>
        <v>9.107550848346091E-2</v>
      </c>
      <c r="R137" s="272"/>
      <c r="S137" s="272"/>
      <c r="T137" s="272"/>
      <c r="U137" s="272"/>
      <c r="V137" s="272"/>
      <c r="W137" s="272"/>
      <c r="X137" s="272"/>
      <c r="Y137" s="272"/>
      <c r="Z137" s="259"/>
      <c r="AA137" s="259"/>
    </row>
    <row r="138" spans="4:27" x14ac:dyDescent="0.3">
      <c r="E138" t="s">
        <v>190</v>
      </c>
      <c r="G138" t="s">
        <v>268</v>
      </c>
      <c r="H138" s="259"/>
      <c r="I138" s="259"/>
      <c r="J138" s="271">
        <f>'Initial unit rates'!J136</f>
        <v>0</v>
      </c>
      <c r="K138" s="271">
        <f>'Initial unit rates'!K136</f>
        <v>0</v>
      </c>
      <c r="L138" s="271">
        <f>'Initial unit rates'!L136</f>
        <v>0</v>
      </c>
      <c r="M138" s="271">
        <f>'Initial unit rates'!M136</f>
        <v>0</v>
      </c>
      <c r="N138" s="271">
        <f>'Initial unit rates'!N136</f>
        <v>0</v>
      </c>
      <c r="O138" s="271">
        <f>'Initial unit rates'!O136</f>
        <v>0</v>
      </c>
      <c r="P138" s="271">
        <f>'Initial unit rates'!P136</f>
        <v>0</v>
      </c>
      <c r="Q138" s="271">
        <f>'Initial unit rates'!Q136</f>
        <v>0</v>
      </c>
      <c r="R138" s="260"/>
      <c r="S138" s="260"/>
      <c r="T138" s="260"/>
      <c r="U138" s="260"/>
      <c r="V138" s="260"/>
      <c r="W138" s="260"/>
      <c r="X138" s="260"/>
      <c r="Y138" s="260"/>
      <c r="Z138" s="259"/>
      <c r="AA138" s="259"/>
    </row>
    <row r="139" spans="4:27" x14ac:dyDescent="0.3">
      <c r="E139" t="s">
        <v>191</v>
      </c>
      <c r="G139" t="s">
        <v>268</v>
      </c>
      <c r="H139" s="259"/>
      <c r="I139" s="259"/>
      <c r="J139" s="271">
        <f>'Initial unit rates'!J137</f>
        <v>0.11549432895873146</v>
      </c>
      <c r="K139" s="271">
        <f>'Initial unit rates'!K137</f>
        <v>0.11549432895873146</v>
      </c>
      <c r="L139" s="271">
        <f>'Initial unit rates'!L137</f>
        <v>0.11763547919024604</v>
      </c>
      <c r="M139" s="271">
        <f>'Initial unit rates'!M137</f>
        <v>0.11763547919024604</v>
      </c>
      <c r="N139" s="271">
        <f>'Initial unit rates'!N137</f>
        <v>0.1029821575596537</v>
      </c>
      <c r="O139" s="271">
        <f>'Initial unit rates'!O137</f>
        <v>9.2991744015669259E-2</v>
      </c>
      <c r="P139" s="271">
        <f>'Initial unit rates'!P137</f>
        <v>7.737146519919115E-2</v>
      </c>
      <c r="Q139" s="271">
        <f>'Initial unit rates'!Q137</f>
        <v>8.4020534907014277E-2</v>
      </c>
      <c r="R139" s="260"/>
      <c r="S139" s="260"/>
      <c r="T139" s="260"/>
      <c r="U139" s="260"/>
      <c r="V139" s="260"/>
      <c r="W139" s="260"/>
      <c r="X139" s="260"/>
      <c r="Y139" s="260"/>
      <c r="Z139" s="259"/>
      <c r="AA139" s="259"/>
    </row>
    <row r="140" spans="4:27" x14ac:dyDescent="0.3">
      <c r="E140" t="s">
        <v>192</v>
      </c>
      <c r="G140" t="s">
        <v>268</v>
      </c>
      <c r="H140" s="259"/>
      <c r="I140" s="259"/>
      <c r="J140" s="271">
        <f>'Initial unit rates'!J138</f>
        <v>4.5684403408064102E-2</v>
      </c>
      <c r="K140" s="271">
        <f>'Initial unit rates'!K138</f>
        <v>4.5684403408064102E-2</v>
      </c>
      <c r="L140" s="271">
        <f>'Initial unit rates'!L138</f>
        <v>4.653134690577241E-2</v>
      </c>
      <c r="M140" s="271">
        <f>'Initial unit rates'!M138</f>
        <v>4.653134690577241E-2</v>
      </c>
      <c r="N140" s="271">
        <f>'Initial unit rates'!N138</f>
        <v>4.0735146670873496E-2</v>
      </c>
      <c r="O140" s="271">
        <f>'Initial unit rates'!O138</f>
        <v>3.6783384825321265E-2</v>
      </c>
      <c r="P140" s="271">
        <f>'Initial unit rates'!P138</f>
        <v>3.0604699471398739E-2</v>
      </c>
      <c r="Q140" s="271">
        <f>'Initial unit rates'!Q138</f>
        <v>3.3234774779503866E-2</v>
      </c>
      <c r="R140" s="260"/>
      <c r="S140" s="260"/>
      <c r="T140" s="260"/>
      <c r="U140" s="260"/>
      <c r="V140" s="260"/>
      <c r="W140" s="260"/>
      <c r="X140" s="260"/>
      <c r="Y140" s="260"/>
      <c r="Z140" s="259"/>
      <c r="AA140" s="259"/>
    </row>
    <row r="141" spans="4:27" x14ac:dyDescent="0.3">
      <c r="E141" t="s">
        <v>193</v>
      </c>
      <c r="G141" t="s">
        <v>268</v>
      </c>
      <c r="H141" s="259"/>
      <c r="I141" s="259"/>
      <c r="J141" s="271">
        <f>'Initial unit rates'!J139</f>
        <v>0.11535620726301812</v>
      </c>
      <c r="K141" s="271">
        <f>'Initial unit rates'!K139</f>
        <v>0.11535620726301812</v>
      </c>
      <c r="L141" s="271">
        <f>'Initial unit rates'!L139</f>
        <v>0.11749479685537907</v>
      </c>
      <c r="M141" s="271">
        <f>'Initial unit rates'!M139</f>
        <v>0.11749479685537907</v>
      </c>
      <c r="N141" s="271">
        <f>'Initial unit rates'!N139</f>
        <v>0.10285899938939029</v>
      </c>
      <c r="O141" s="271">
        <f>'Initial unit rates'!O139</f>
        <v>9.2880533556362874E-2</v>
      </c>
      <c r="P141" s="271">
        <f>'Initial unit rates'!P139</f>
        <v>7.7278935305563581E-2</v>
      </c>
      <c r="Q141" s="271">
        <f>'Initial unit rates'!Q139</f>
        <v>8.3920053274186696E-2</v>
      </c>
      <c r="R141" s="260"/>
      <c r="S141" s="260"/>
      <c r="T141" s="260"/>
      <c r="U141" s="260"/>
      <c r="V141" s="260"/>
      <c r="W141" s="260"/>
      <c r="X141" s="260"/>
      <c r="Y141" s="260"/>
      <c r="Z141" s="259"/>
      <c r="AA141" s="259"/>
    </row>
    <row r="142" spans="4:27" x14ac:dyDescent="0.3">
      <c r="E142" t="s">
        <v>194</v>
      </c>
      <c r="G142" t="s">
        <v>268</v>
      </c>
      <c r="H142" s="259"/>
      <c r="I142" s="259"/>
      <c r="J142" s="271">
        <f>'Initial unit rates'!J140</f>
        <v>7.27670873992627E-2</v>
      </c>
      <c r="K142" s="271">
        <f>'Initial unit rates'!K140</f>
        <v>7.27670873992627E-2</v>
      </c>
      <c r="L142" s="271">
        <f>'Initial unit rates'!L140</f>
        <v>7.4116116978777777E-2</v>
      </c>
      <c r="M142" s="271">
        <f>'Initial unit rates'!M140</f>
        <v>7.4116116978777777E-2</v>
      </c>
      <c r="N142" s="271">
        <f>'Initial unit rates'!N140</f>
        <v>6.4883806220352364E-2</v>
      </c>
      <c r="O142" s="271">
        <f>'Initial unit rates'!O140</f>
        <v>5.8589356076660409E-2</v>
      </c>
      <c r="P142" s="271">
        <f>'Initial unit rates'!P140</f>
        <v>4.8747814902412263E-2</v>
      </c>
      <c r="Q142" s="271">
        <f>'Initial unit rates'!Q140</f>
        <v>5.2937054676478058E-2</v>
      </c>
      <c r="R142" s="260"/>
      <c r="S142" s="260"/>
      <c r="T142" s="260"/>
      <c r="U142" s="260"/>
      <c r="V142" s="260"/>
      <c r="W142" s="260"/>
      <c r="X142" s="260"/>
      <c r="Y142" s="260"/>
      <c r="Z142" s="259"/>
      <c r="AA142" s="259"/>
    </row>
    <row r="143" spans="4:27" x14ac:dyDescent="0.3">
      <c r="E143" t="s">
        <v>195</v>
      </c>
      <c r="G143" t="s">
        <v>268</v>
      </c>
      <c r="H143" s="259"/>
      <c r="I143" s="259"/>
      <c r="J143" s="271">
        <f>'Initial unit rates'!J141</f>
        <v>0</v>
      </c>
      <c r="K143" s="271">
        <f>'Initial unit rates'!K141</f>
        <v>0</v>
      </c>
      <c r="L143" s="271">
        <f>'Initial unit rates'!L141</f>
        <v>0</v>
      </c>
      <c r="M143" s="271">
        <f>'Initial unit rates'!M141</f>
        <v>0</v>
      </c>
      <c r="N143" s="271">
        <f>'Initial unit rates'!N141</f>
        <v>0</v>
      </c>
      <c r="O143" s="271">
        <f>'Initial unit rates'!O141</f>
        <v>0</v>
      </c>
      <c r="P143" s="271">
        <f>'Initial unit rates'!P141</f>
        <v>0</v>
      </c>
      <c r="Q143" s="271">
        <f>'Initial unit rates'!Q141</f>
        <v>0</v>
      </c>
      <c r="R143" s="260"/>
      <c r="S143" s="260"/>
      <c r="T143" s="260"/>
      <c r="U143" s="260"/>
      <c r="V143" s="260"/>
      <c r="W143" s="260"/>
      <c r="X143" s="260"/>
      <c r="Y143" s="260"/>
      <c r="Z143" s="259"/>
      <c r="AA143" s="259"/>
    </row>
    <row r="144" spans="4:27" x14ac:dyDescent="0.3">
      <c r="E144" t="s">
        <v>196</v>
      </c>
      <c r="G144" t="s">
        <v>268</v>
      </c>
      <c r="H144" s="259"/>
      <c r="I144" s="259"/>
      <c r="J144" s="271">
        <f>'Initial unit rates'!J142</f>
        <v>0.13210724072445837</v>
      </c>
      <c r="K144" s="271">
        <f>'Initial unit rates'!K142</f>
        <v>0.13210724072445837</v>
      </c>
      <c r="L144" s="271">
        <f>'Initial unit rates'!L142</f>
        <v>0.13455637785190122</v>
      </c>
      <c r="M144" s="271">
        <f>'Initial unit rates'!M142</f>
        <v>0.13455637785190122</v>
      </c>
      <c r="N144" s="271">
        <f>'Initial unit rates'!N142</f>
        <v>0.1177952961129244</v>
      </c>
      <c r="O144" s="271">
        <f>'Initial unit rates'!O142</f>
        <v>0.1063678435367582</v>
      </c>
      <c r="P144" s="271">
        <f>'Initial unit rates'!P142</f>
        <v>8.8500715753116257E-2</v>
      </c>
      <c r="Q144" s="271">
        <f>'Initial unit rates'!Q142</f>
        <v>9.6106199592924213E-2</v>
      </c>
      <c r="R144" s="260"/>
      <c r="S144" s="260"/>
      <c r="T144" s="260"/>
      <c r="U144" s="260"/>
      <c r="V144" s="260"/>
      <c r="W144" s="260"/>
      <c r="X144" s="260"/>
      <c r="Y144" s="260"/>
      <c r="Z144" s="259"/>
      <c r="AA144" s="259"/>
    </row>
    <row r="145" spans="2:27" x14ac:dyDescent="0.3">
      <c r="E145" t="s">
        <v>197</v>
      </c>
      <c r="G145" t="s">
        <v>268</v>
      </c>
      <c r="H145" s="259"/>
      <c r="I145" s="259"/>
      <c r="J145" s="271">
        <f>'Initial unit rates'!J143</f>
        <v>0.1199428591371908</v>
      </c>
      <c r="K145" s="271">
        <f>'Initial unit rates'!K143</f>
        <v>0.1199428591371908</v>
      </c>
      <c r="L145" s="271">
        <f>'Initial unit rates'!L143</f>
        <v>0.12216648070307637</v>
      </c>
      <c r="M145" s="271">
        <f>'Initial unit rates'!M143</f>
        <v>0.12216648070307637</v>
      </c>
      <c r="N145" s="271">
        <f>'Initial unit rates'!N143</f>
        <v>0.10694875262866933</v>
      </c>
      <c r="O145" s="271">
        <f>'Initial unit rates'!O143</f>
        <v>9.6573535289153231E-2</v>
      </c>
      <c r="P145" s="271">
        <f>'Initial unit rates'!P143</f>
        <v>0</v>
      </c>
      <c r="Q145" s="271">
        <f>'Initial unit rates'!Q143</f>
        <v>8.7256779392037465E-2</v>
      </c>
      <c r="R145" s="260"/>
      <c r="S145" s="260"/>
      <c r="T145" s="260"/>
      <c r="U145" s="260"/>
      <c r="V145" s="260"/>
      <c r="W145" s="260"/>
      <c r="X145" s="260"/>
      <c r="Y145" s="260"/>
      <c r="Z145" s="259"/>
      <c r="AA145" s="259"/>
    </row>
    <row r="146" spans="2:27" x14ac:dyDescent="0.3">
      <c r="E146" t="s">
        <v>198</v>
      </c>
      <c r="G146" t="s">
        <v>268</v>
      </c>
      <c r="H146" s="259"/>
      <c r="I146" s="259"/>
      <c r="J146" s="271">
        <f>'Initial unit rates'!J144</f>
        <v>6.6491728375345116E-2</v>
      </c>
      <c r="K146" s="271">
        <f>'Initial unit rates'!K144</f>
        <v>6.6491728375345116E-2</v>
      </c>
      <c r="L146" s="271">
        <f>'Initial unit rates'!L144</f>
        <v>6.7724419026810312E-2</v>
      </c>
      <c r="M146" s="271">
        <f>'Initial unit rates'!M144</f>
        <v>6.7724419026810312E-2</v>
      </c>
      <c r="N146" s="271">
        <f>'Initial unit rates'!N144</f>
        <v>5.9288293284168334E-2</v>
      </c>
      <c r="O146" s="271">
        <f>'Initial unit rates'!O144</f>
        <v>0</v>
      </c>
      <c r="P146" s="271">
        <f>'Initial unit rates'!P144</f>
        <v>0</v>
      </c>
      <c r="Q146" s="271">
        <f>'Initial unit rates'!Q144</f>
        <v>4.8371817346846785E-2</v>
      </c>
      <c r="R146" s="260"/>
      <c r="S146" s="260"/>
      <c r="T146" s="260"/>
      <c r="U146" s="260"/>
      <c r="V146" s="260"/>
      <c r="W146" s="260"/>
      <c r="X146" s="260"/>
      <c r="Y146" s="260"/>
      <c r="Z146" s="259"/>
      <c r="AA146" s="259"/>
    </row>
    <row r="147" spans="2:27" x14ac:dyDescent="0.3">
      <c r="E147" t="s">
        <v>375</v>
      </c>
      <c r="G147" t="s">
        <v>268</v>
      </c>
      <c r="H147" s="259"/>
      <c r="I147" s="259"/>
      <c r="J147" s="260"/>
      <c r="K147" s="260"/>
      <c r="L147" s="260"/>
      <c r="M147" s="260"/>
      <c r="N147" s="260"/>
      <c r="O147" s="260"/>
      <c r="P147" s="260"/>
      <c r="Q147" s="260"/>
      <c r="R147" s="260"/>
      <c r="S147" s="260"/>
      <c r="T147" s="260"/>
      <c r="U147" s="260"/>
      <c r="V147" s="260"/>
      <c r="W147" s="260"/>
      <c r="X147" s="260"/>
      <c r="Y147" s="260"/>
      <c r="Z147" s="259"/>
      <c r="AA147" s="259"/>
    </row>
    <row r="148" spans="2:27" x14ac:dyDescent="0.3">
      <c r="E148" s="37" t="s">
        <v>376</v>
      </c>
      <c r="F148" s="37"/>
      <c r="G148" s="37" t="s">
        <v>268</v>
      </c>
      <c r="H148" s="261"/>
      <c r="I148" s="261"/>
      <c r="J148" s="262"/>
      <c r="K148" s="262"/>
      <c r="L148" s="262"/>
      <c r="M148" s="262"/>
      <c r="N148" s="262"/>
      <c r="O148" s="262"/>
      <c r="P148" s="262"/>
      <c r="Q148" s="262"/>
      <c r="R148" s="262"/>
      <c r="S148" s="262"/>
      <c r="T148" s="262"/>
      <c r="U148" s="262"/>
      <c r="V148" s="262"/>
      <c r="W148" s="262"/>
      <c r="X148" s="262"/>
      <c r="Y148" s="262"/>
      <c r="Z148" s="259"/>
      <c r="AA148" s="259"/>
    </row>
    <row r="149" spans="2:27" x14ac:dyDescent="0.3">
      <c r="D149"/>
      <c r="E149"/>
      <c r="J149" s="89"/>
      <c r="K149" s="89"/>
      <c r="L149" s="89"/>
      <c r="M149" s="89"/>
      <c r="N149" s="89"/>
      <c r="O149" s="89"/>
      <c r="P149" s="89"/>
      <c r="Q149" s="89"/>
      <c r="R149" s="89"/>
      <c r="S149" s="89"/>
      <c r="T149" s="89"/>
      <c r="U149" s="89"/>
      <c r="V149" s="89"/>
      <c r="W149" s="89"/>
      <c r="X149" s="89"/>
      <c r="Y149" s="89"/>
    </row>
    <row r="150" spans="2:27" x14ac:dyDescent="0.3">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3">
      <c r="C151" s="205"/>
      <c r="D151"/>
      <c r="E151"/>
      <c r="J151" s="89"/>
      <c r="K151" s="89"/>
      <c r="L151" s="89"/>
      <c r="M151" s="89"/>
      <c r="N151" s="89"/>
      <c r="O151" s="89"/>
      <c r="P151" s="89"/>
      <c r="Q151" s="89"/>
      <c r="R151" s="89"/>
      <c r="S151" s="89"/>
      <c r="T151" s="89"/>
      <c r="U151" s="89"/>
      <c r="V151" s="89"/>
      <c r="W151" s="89"/>
      <c r="X151" s="89"/>
      <c r="Y151" s="89"/>
    </row>
    <row r="152" spans="2:27" x14ac:dyDescent="0.3">
      <c r="C152" s="29" t="s">
        <v>675</v>
      </c>
      <c r="D152"/>
      <c r="E152"/>
      <c r="J152" s="89"/>
      <c r="K152" s="89"/>
      <c r="L152" s="89"/>
      <c r="M152" s="89"/>
      <c r="N152" s="89"/>
      <c r="O152" s="89"/>
      <c r="P152" s="89"/>
      <c r="Q152" s="89"/>
      <c r="R152" s="89"/>
      <c r="S152" s="89"/>
      <c r="T152" s="89"/>
      <c r="U152" s="89"/>
      <c r="V152" s="89"/>
      <c r="W152" s="89"/>
      <c r="X152" s="89"/>
      <c r="Y152" s="89"/>
    </row>
    <row r="153" spans="2:27" x14ac:dyDescent="0.3">
      <c r="C153" s="29" t="s">
        <v>676</v>
      </c>
      <c r="D153"/>
      <c r="E153"/>
      <c r="J153" s="89"/>
      <c r="K153" s="89"/>
      <c r="L153" s="89"/>
      <c r="M153" s="89"/>
      <c r="N153" s="89"/>
      <c r="O153" s="89"/>
      <c r="P153" s="89"/>
      <c r="Q153" s="89"/>
      <c r="R153" s="89"/>
      <c r="S153" s="89"/>
      <c r="T153" s="89"/>
      <c r="U153" s="89"/>
      <c r="V153" s="89"/>
      <c r="W153" s="89"/>
      <c r="X153" s="89"/>
      <c r="Y153" s="89"/>
    </row>
    <row r="154" spans="2:27" x14ac:dyDescent="0.3">
      <c r="C154" s="205"/>
      <c r="D154"/>
      <c r="E154"/>
      <c r="J154" s="89"/>
      <c r="K154" s="89"/>
      <c r="L154" s="89"/>
      <c r="M154" s="89"/>
      <c r="N154" s="89"/>
      <c r="O154" s="89"/>
      <c r="P154" s="89"/>
      <c r="Q154" s="89"/>
      <c r="R154" s="89"/>
      <c r="S154" s="89"/>
      <c r="T154" s="89"/>
      <c r="U154" s="89"/>
      <c r="V154" s="89"/>
      <c r="W154" s="89"/>
      <c r="X154" s="89"/>
      <c r="Y154" s="89"/>
    </row>
    <row r="155" spans="2:27" x14ac:dyDescent="0.3">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3">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3">
      <c r="D157"/>
      <c r="E157" s="32" t="s">
        <v>620</v>
      </c>
      <c r="J157" s="89"/>
      <c r="K157" s="89"/>
      <c r="L157" s="89"/>
      <c r="M157" s="89"/>
      <c r="N157" s="89"/>
      <c r="O157" s="89"/>
      <c r="P157" s="89"/>
      <c r="Q157" s="89"/>
      <c r="R157" s="89"/>
      <c r="S157" s="89"/>
      <c r="T157" s="89"/>
      <c r="U157" s="89"/>
      <c r="V157" s="89"/>
      <c r="W157" s="89"/>
      <c r="X157" s="89"/>
      <c r="Y157" s="89"/>
    </row>
    <row r="158" spans="2:27" x14ac:dyDescent="0.3">
      <c r="D158"/>
      <c r="F158" s="23" t="s">
        <v>188</v>
      </c>
      <c r="G158" s="23" t="s">
        <v>268</v>
      </c>
      <c r="H158" s="258"/>
      <c r="I158" s="258"/>
      <c r="J158" s="272"/>
      <c r="K158" s="272"/>
      <c r="L158" s="272"/>
      <c r="M158" s="272"/>
      <c r="N158" s="272"/>
      <c r="O158" s="272"/>
      <c r="P158" s="272"/>
      <c r="Q158" s="272"/>
      <c r="R158" s="272"/>
      <c r="S158" s="272"/>
      <c r="T158" s="272"/>
      <c r="U158" s="272"/>
      <c r="V158" s="272"/>
      <c r="W158" s="272"/>
      <c r="X158" s="272"/>
      <c r="Y158" s="272"/>
      <c r="Z158" s="259"/>
      <c r="AA158" s="259"/>
    </row>
    <row r="159" spans="2:27" x14ac:dyDescent="0.3">
      <c r="D159"/>
      <c r="F159" t="s">
        <v>190</v>
      </c>
      <c r="G159" t="s">
        <v>268</v>
      </c>
      <c r="H159" s="259"/>
      <c r="I159" s="259"/>
      <c r="J159" s="260"/>
      <c r="K159" s="260"/>
      <c r="L159" s="260"/>
      <c r="M159" s="260"/>
      <c r="N159" s="260"/>
      <c r="O159" s="260"/>
      <c r="P159" s="260"/>
      <c r="Q159" s="260"/>
      <c r="R159" s="260"/>
      <c r="S159" s="260"/>
      <c r="T159" s="260"/>
      <c r="U159" s="260"/>
      <c r="V159" s="260"/>
      <c r="W159" s="260"/>
      <c r="X159" s="260"/>
      <c r="Y159" s="260"/>
      <c r="Z159" s="259"/>
      <c r="AA159" s="259"/>
    </row>
    <row r="160" spans="2:27" x14ac:dyDescent="0.3">
      <c r="D160"/>
      <c r="F160" t="s">
        <v>191</v>
      </c>
      <c r="G160" t="s">
        <v>268</v>
      </c>
      <c r="H160" s="259"/>
      <c r="I160" s="259"/>
      <c r="J160" s="260"/>
      <c r="K160" s="260"/>
      <c r="L160" s="260"/>
      <c r="M160" s="260"/>
      <c r="N160" s="260"/>
      <c r="O160" s="260"/>
      <c r="P160" s="260"/>
      <c r="Q160" s="260"/>
      <c r="R160" s="274">
        <f t="shared" ref="R160:S160" si="0">hundred * $H51 * R95 / $H37 * (1 - R109) / hours_in_year</f>
        <v>-0.1351491350062784</v>
      </c>
      <c r="S160" s="274">
        <f t="shared" si="0"/>
        <v>-0.13080142385333421</v>
      </c>
      <c r="T160" s="274">
        <f t="shared" ref="T160:U160" si="1">hundred * $H51 * T95 / $H37 * (1 - T109) / hours_in_year</f>
        <v>-0.1351491350062784</v>
      </c>
      <c r="U160" s="274">
        <f t="shared" si="1"/>
        <v>-0.1351491350062784</v>
      </c>
      <c r="V160" s="274">
        <f t="shared" ref="V160:W160" si="2">hundred * $H51 * V95 / $H37 * (1 - V109) / hours_in_year</f>
        <v>-0.13080142385333421</v>
      </c>
      <c r="W160" s="274">
        <f t="shared" si="2"/>
        <v>-0.13080142385333421</v>
      </c>
      <c r="X160" s="274">
        <f t="shared" ref="X160:Y160" si="3">hundred * $H51 * X95 / $H37 * (1 - X109) / hours_in_year</f>
        <v>-0.12882847030574812</v>
      </c>
      <c r="Y160" s="274">
        <f t="shared" si="3"/>
        <v>-0.12882847030574812</v>
      </c>
      <c r="Z160" s="259"/>
      <c r="AA160" s="259"/>
    </row>
    <row r="161" spans="5:27" customFormat="1" x14ac:dyDescent="0.3">
      <c r="E161" s="2"/>
      <c r="F161" t="s">
        <v>192</v>
      </c>
      <c r="G161" t="s">
        <v>268</v>
      </c>
      <c r="H161" s="259"/>
      <c r="I161" s="259"/>
      <c r="J161" s="260"/>
      <c r="K161" s="260"/>
      <c r="L161" s="260"/>
      <c r="M161" s="260"/>
      <c r="N161" s="260"/>
      <c r="O161" s="260"/>
      <c r="P161" s="260"/>
      <c r="Q161" s="260"/>
      <c r="R161" s="274">
        <f t="shared" ref="R161:S161" si="4">hundred * $H52 * R96 / $H38 * (1 - R110) / hours_in_year</f>
        <v>-5.3458967721990151E-2</v>
      </c>
      <c r="S161" s="274">
        <f t="shared" si="4"/>
        <v>-5.1739207176138467E-2</v>
      </c>
      <c r="T161" s="274">
        <f t="shared" ref="T161:U161" si="5">hundred * $H52 * T96 / $H38 * (1 - T110) / hours_in_year</f>
        <v>-5.3458967721990151E-2</v>
      </c>
      <c r="U161" s="274">
        <f t="shared" si="5"/>
        <v>-5.3458967721990151E-2</v>
      </c>
      <c r="V161" s="274">
        <f t="shared" ref="V161:W161" si="6">hundred * $H52 * V96 / $H38 * (1 - V110) / hours_in_year</f>
        <v>-5.1739207176138467E-2</v>
      </c>
      <c r="W161" s="274">
        <f t="shared" si="6"/>
        <v>-5.1739207176138467E-2</v>
      </c>
      <c r="X161" s="274">
        <f t="shared" ref="X161:Y161" si="7">hundred * $H52 * X96 / $H38 * (1 - X110) / hours_in_year</f>
        <v>-5.0958794781989669E-2</v>
      </c>
      <c r="Y161" s="274">
        <f t="shared" si="7"/>
        <v>-5.0958794781989669E-2</v>
      </c>
      <c r="Z161" s="259"/>
      <c r="AA161" s="259"/>
    </row>
    <row r="162" spans="5:27" customFormat="1" x14ac:dyDescent="0.3">
      <c r="E162" s="2"/>
      <c r="F162" t="s">
        <v>193</v>
      </c>
      <c r="G162" t="s">
        <v>268</v>
      </c>
      <c r="H162" s="259"/>
      <c r="I162" s="259"/>
      <c r="J162" s="260"/>
      <c r="K162" s="260"/>
      <c r="L162" s="260"/>
      <c r="M162" s="260"/>
      <c r="N162" s="260"/>
      <c r="O162" s="260"/>
      <c r="P162" s="260"/>
      <c r="Q162" s="260"/>
      <c r="R162" s="274">
        <f t="shared" ref="R162:S162" si="8">hundred * $H53 * R97 / $H39 * (1 - R111) / hours_in_year</f>
        <v>-0.13498750778293714</v>
      </c>
      <c r="S162" s="274">
        <f t="shared" si="8"/>
        <v>-0.13064499613409269</v>
      </c>
      <c r="T162" s="274">
        <f t="shared" ref="T162:U162" si="9">hundred * $H53 * T97 / $H39 * (1 - T111) / hours_in_year</f>
        <v>-0.13498750778293714</v>
      </c>
      <c r="U162" s="274">
        <f t="shared" si="9"/>
        <v>-0.13498750778293714</v>
      </c>
      <c r="V162" s="274">
        <f t="shared" ref="V162:W162" si="10">hundred * $H53 * V97 / $H39 * (1 - V111) / hours_in_year</f>
        <v>-0.13064499613409269</v>
      </c>
      <c r="W162" s="274">
        <f t="shared" si="10"/>
        <v>-0.13064499613409269</v>
      </c>
      <c r="X162" s="274">
        <f t="shared" ref="X162:Y162" si="11">hundred * $H53 * X97 / $H39 * (1 - X111) / hours_in_year</f>
        <v>-0.12867440207629294</v>
      </c>
      <c r="Y162" s="274">
        <f t="shared" si="11"/>
        <v>-0.12867440207629294</v>
      </c>
      <c r="Z162" s="259"/>
      <c r="AA162" s="259"/>
    </row>
    <row r="163" spans="5:27" customFormat="1" x14ac:dyDescent="0.3">
      <c r="E163" s="2"/>
      <c r="F163" t="s">
        <v>194</v>
      </c>
      <c r="G163" t="s">
        <v>268</v>
      </c>
      <c r="H163" s="259"/>
      <c r="I163" s="259"/>
      <c r="J163" s="260"/>
      <c r="K163" s="260"/>
      <c r="L163" s="260"/>
      <c r="M163" s="260"/>
      <c r="N163" s="260"/>
      <c r="O163" s="260"/>
      <c r="P163" s="260"/>
      <c r="Q163" s="260"/>
      <c r="R163" s="274">
        <f t="shared" ref="R163:S163" si="12">hundred * $H54 * R98 / $H40 * (1 - R112) / hours_in_year</f>
        <v>-8.5150578453515702E-2</v>
      </c>
      <c r="S163" s="274">
        <f t="shared" si="12"/>
        <v>-8.2411307354186766E-2</v>
      </c>
      <c r="T163" s="274">
        <f t="shared" ref="T163:U163" si="13">hundred * $H54 * T98 / $H40 * (1 - T112) / hours_in_year</f>
        <v>-8.5150578453515702E-2</v>
      </c>
      <c r="U163" s="274">
        <f t="shared" si="13"/>
        <v>-8.5150578453515702E-2</v>
      </c>
      <c r="V163" s="274">
        <f t="shared" ref="V163:W163" si="14">hundred * $H54 * V98 / $H40 * (1 - V112) / hours_in_year</f>
        <v>-8.2411307354186766E-2</v>
      </c>
      <c r="W163" s="274">
        <f t="shared" si="14"/>
        <v>-8.2411307354186766E-2</v>
      </c>
      <c r="X163" s="274">
        <f t="shared" ref="X163:Y163" si="15">hundred * $H54 * X98 / $H40 * (1 - X112) / hours_in_year</f>
        <v>-3.4902347469273558E-2</v>
      </c>
      <c r="Y163" s="274">
        <f t="shared" si="15"/>
        <v>-3.4902347469273558E-2</v>
      </c>
      <c r="Z163" s="259"/>
      <c r="AA163" s="259"/>
    </row>
    <row r="164" spans="5:27" customFormat="1" x14ac:dyDescent="0.3">
      <c r="E164" s="2"/>
      <c r="F164" t="s">
        <v>195</v>
      </c>
      <c r="G164" t="s">
        <v>268</v>
      </c>
      <c r="H164" s="259"/>
      <c r="I164" s="259"/>
      <c r="J164" s="260"/>
      <c r="K164" s="260"/>
      <c r="L164" s="260"/>
      <c r="M164" s="260"/>
      <c r="N164" s="260"/>
      <c r="O164" s="260"/>
      <c r="P164" s="260"/>
      <c r="Q164" s="260"/>
      <c r="R164" s="274">
        <f t="shared" ref="R164:S164" si="16">hundred * $H55 * R99 / $H41 * (1 - R113) / hours_in_year</f>
        <v>0</v>
      </c>
      <c r="S164" s="274">
        <f t="shared" si="16"/>
        <v>0</v>
      </c>
      <c r="T164" s="274">
        <f t="shared" ref="T164:U164" si="17">hundred * $H55 * T99 / $H41 * (1 - T113) / hours_in_year</f>
        <v>0</v>
      </c>
      <c r="U164" s="274">
        <f t="shared" si="17"/>
        <v>0</v>
      </c>
      <c r="V164" s="274">
        <f t="shared" ref="V164:W164" si="18">hundred * $H55 * V99 / $H41 * (1 - V113) / hours_in_year</f>
        <v>0</v>
      </c>
      <c r="W164" s="274">
        <f t="shared" si="18"/>
        <v>0</v>
      </c>
      <c r="X164" s="274">
        <f t="shared" ref="X164:Y164" si="19">hundred * $H55 * X99 / $H41 * (1 - X113) / hours_in_year</f>
        <v>0</v>
      </c>
      <c r="Y164" s="274">
        <f t="shared" si="19"/>
        <v>0</v>
      </c>
      <c r="Z164" s="259"/>
      <c r="AA164" s="259"/>
    </row>
    <row r="165" spans="5:27" customFormat="1" x14ac:dyDescent="0.3">
      <c r="E165" s="2"/>
      <c r="F165" t="s">
        <v>196</v>
      </c>
      <c r="G165" t="s">
        <v>268</v>
      </c>
      <c r="H165" s="259"/>
      <c r="I165" s="259"/>
      <c r="J165" s="260"/>
      <c r="K165" s="260"/>
      <c r="L165" s="260"/>
      <c r="M165" s="260"/>
      <c r="N165" s="260"/>
      <c r="O165" s="260"/>
      <c r="P165" s="260"/>
      <c r="Q165" s="260"/>
      <c r="R165" s="274">
        <f t="shared" ref="R165:S165" si="20">hundred * $H56 * R100 / $H42 * (1 - R114) / hours_in_year</f>
        <v>-0.10821246056894696</v>
      </c>
      <c r="S165" s="274">
        <f t="shared" si="20"/>
        <v>-0.10473129495378197</v>
      </c>
      <c r="T165" s="274">
        <f t="shared" ref="T165:U165" si="21">hundred * $H56 * T100 / $H42 * (1 - T114) / hours_in_year</f>
        <v>-0.10821246056894696</v>
      </c>
      <c r="U165" s="274">
        <f t="shared" si="21"/>
        <v>-0.10821246056894696</v>
      </c>
      <c r="V165" s="274">
        <f t="shared" ref="V165:W165" si="22">hundred * $H56 * V100 / $H42 * (1 - V114) / hours_in_year</f>
        <v>-0.10473129495378197</v>
      </c>
      <c r="W165" s="274">
        <f t="shared" si="22"/>
        <v>-0.10473129495378197</v>
      </c>
      <c r="X165" s="274">
        <f t="shared" ref="X165:Y165" si="23">hundred * $H56 * X100 / $H42 * (1 - X114) / hours_in_year</f>
        <v>-1.3262345002613809E-2</v>
      </c>
      <c r="Y165" s="274">
        <f t="shared" si="23"/>
        <v>-1.3262345002613809E-2</v>
      </c>
      <c r="Z165" s="259"/>
      <c r="AA165" s="259"/>
    </row>
    <row r="166" spans="5:27" customFormat="1" x14ac:dyDescent="0.3">
      <c r="E166" s="2"/>
      <c r="F166" t="s">
        <v>197</v>
      </c>
      <c r="G166" t="s">
        <v>268</v>
      </c>
      <c r="H166" s="259"/>
      <c r="I166" s="259"/>
      <c r="J166" s="260"/>
      <c r="K166" s="260"/>
      <c r="L166" s="260"/>
      <c r="M166" s="260"/>
      <c r="N166" s="260"/>
      <c r="O166" s="260"/>
      <c r="P166" s="260"/>
      <c r="Q166" s="260"/>
      <c r="R166" s="274">
        <f t="shared" ref="R166:S166" si="24">hundred * $H57 * R101 / $H43 * (1 - R115) / hours_in_year</f>
        <v>-9.8248300726994336E-2</v>
      </c>
      <c r="S166" s="274">
        <f t="shared" si="24"/>
        <v>-4.0751862617749027E-3</v>
      </c>
      <c r="T166" s="274">
        <f t="shared" ref="T166:U166" si="25">hundred * $H57 * T101 / $H43 * (1 - T115) / hours_in_year</f>
        <v>-9.8248300726994336E-2</v>
      </c>
      <c r="U166" s="274">
        <f t="shared" si="25"/>
        <v>-9.8248300726994336E-2</v>
      </c>
      <c r="V166" s="274">
        <f t="shared" ref="V166:W166" si="26">hundred * $H57 * V101 / $H43 * (1 - V115) / hours_in_year</f>
        <v>-4.0751862617749027E-3</v>
      </c>
      <c r="W166" s="274">
        <f t="shared" si="26"/>
        <v>-4.0751862617749027E-3</v>
      </c>
      <c r="X166" s="274">
        <f t="shared" ref="X166:Y166" si="27">hundred * $H57 * X101 / $H43 * (1 - X115) / hours_in_year</f>
        <v>0</v>
      </c>
      <c r="Y166" s="274">
        <f t="shared" si="27"/>
        <v>0</v>
      </c>
      <c r="Z166" s="259"/>
      <c r="AA166" s="259"/>
    </row>
    <row r="167" spans="5:27" customFormat="1" x14ac:dyDescent="0.3">
      <c r="E167" s="2"/>
      <c r="F167" t="s">
        <v>198</v>
      </c>
      <c r="G167" t="s">
        <v>268</v>
      </c>
      <c r="H167" s="259"/>
      <c r="I167" s="259"/>
      <c r="J167" s="260"/>
      <c r="K167" s="260"/>
      <c r="L167" s="260"/>
      <c r="M167" s="260"/>
      <c r="N167" s="260"/>
      <c r="O167" s="260"/>
      <c r="P167" s="260"/>
      <c r="Q167" s="260"/>
      <c r="R167" s="274">
        <f t="shared" ref="R167:S167" si="28">hundred * $H58 * R102 / $H44 * (1 - R116) / hours_in_year</f>
        <v>-2.3342183956611348E-3</v>
      </c>
      <c r="S167" s="274">
        <f t="shared" si="28"/>
        <v>0</v>
      </c>
      <c r="T167" s="274">
        <f t="shared" ref="T167:U167" si="29">hundred * $H58 * T102 / $H44 * (1 - T116) / hours_in_year</f>
        <v>-2.3342183956611348E-3</v>
      </c>
      <c r="U167" s="274">
        <f t="shared" si="29"/>
        <v>-2.3342183956611348E-3</v>
      </c>
      <c r="V167" s="274">
        <f t="shared" ref="V167:W167" si="30">hundred * $H58 * V102 / $H44 * (1 - V116) / hours_in_year</f>
        <v>0</v>
      </c>
      <c r="W167" s="274">
        <f t="shared" si="30"/>
        <v>0</v>
      </c>
      <c r="X167" s="274">
        <f t="shared" ref="X167:Y167" si="31">hundred * $H58 * X102 / $H44 * (1 - X116) / hours_in_year</f>
        <v>0</v>
      </c>
      <c r="Y167" s="274">
        <f t="shared" si="31"/>
        <v>0</v>
      </c>
      <c r="Z167" s="259"/>
      <c r="AA167" s="259"/>
    </row>
    <row r="168" spans="5:27" customFormat="1" x14ac:dyDescent="0.3">
      <c r="E168" s="2"/>
      <c r="F168" t="s">
        <v>375</v>
      </c>
      <c r="G168" t="s">
        <v>268</v>
      </c>
      <c r="H168" s="259"/>
      <c r="I168" s="259"/>
      <c r="J168" s="260"/>
      <c r="K168" s="260"/>
      <c r="L168" s="260"/>
      <c r="M168" s="260"/>
      <c r="N168" s="260"/>
      <c r="O168" s="260"/>
      <c r="P168" s="260"/>
      <c r="Q168" s="260"/>
      <c r="R168" s="260"/>
      <c r="S168" s="260"/>
      <c r="T168" s="260"/>
      <c r="U168" s="260"/>
      <c r="V168" s="260"/>
      <c r="W168" s="260"/>
      <c r="X168" s="260"/>
      <c r="Y168" s="260"/>
      <c r="Z168" s="259"/>
      <c r="AA168" s="259"/>
    </row>
    <row r="169" spans="5:27" customFormat="1" x14ac:dyDescent="0.3">
      <c r="E169" s="2"/>
      <c r="F169" s="37" t="s">
        <v>376</v>
      </c>
      <c r="G169" s="37" t="s">
        <v>268</v>
      </c>
      <c r="H169" s="261"/>
      <c r="I169" s="261"/>
      <c r="J169" s="262"/>
      <c r="K169" s="262"/>
      <c r="L169" s="262"/>
      <c r="M169" s="262"/>
      <c r="N169" s="262"/>
      <c r="O169" s="262"/>
      <c r="P169" s="262"/>
      <c r="Q169" s="262"/>
      <c r="R169" s="262"/>
      <c r="S169" s="262"/>
      <c r="T169" s="262"/>
      <c r="U169" s="262"/>
      <c r="V169" s="262"/>
      <c r="W169" s="262"/>
      <c r="X169" s="262"/>
      <c r="Y169" s="262"/>
      <c r="Z169" s="259"/>
      <c r="AA169" s="259"/>
    </row>
    <row r="170" spans="5:27" customFormat="1" x14ac:dyDescent="0.3">
      <c r="E170" s="2"/>
      <c r="J170" s="89"/>
      <c r="K170" s="89"/>
      <c r="L170" s="89"/>
      <c r="M170" s="89"/>
      <c r="N170" s="89"/>
      <c r="O170" s="89"/>
      <c r="P170" s="89"/>
      <c r="Q170" s="89"/>
      <c r="R170" s="89"/>
      <c r="S170" s="89"/>
      <c r="T170" s="89"/>
      <c r="U170" s="89"/>
      <c r="V170" s="89"/>
      <c r="W170" s="89"/>
      <c r="X170" s="89"/>
      <c r="Y170" s="89"/>
    </row>
    <row r="171" spans="5:27" customFormat="1" x14ac:dyDescent="0.3">
      <c r="E171" s="32" t="s">
        <v>621</v>
      </c>
      <c r="J171" s="89"/>
      <c r="K171" s="89"/>
      <c r="L171" s="89"/>
      <c r="M171" s="89"/>
      <c r="N171" s="89"/>
      <c r="O171" s="89"/>
      <c r="P171" s="89"/>
      <c r="Q171" s="89"/>
      <c r="R171" s="89"/>
      <c r="S171" s="89"/>
      <c r="T171" s="89"/>
      <c r="U171" s="89"/>
      <c r="V171" s="89"/>
      <c r="W171" s="89"/>
      <c r="X171" s="89"/>
      <c r="Y171" s="89"/>
    </row>
    <row r="172" spans="5:27" customFormat="1" x14ac:dyDescent="0.3">
      <c r="E172" s="2"/>
      <c r="F172" s="23" t="s">
        <v>188</v>
      </c>
      <c r="G172" s="23" t="s">
        <v>268</v>
      </c>
      <c r="H172" s="258"/>
      <c r="I172" s="258"/>
      <c r="J172" s="272"/>
      <c r="K172" s="272"/>
      <c r="L172" s="272"/>
      <c r="M172" s="272"/>
      <c r="N172" s="272"/>
      <c r="O172" s="272"/>
      <c r="P172" s="272"/>
      <c r="Q172" s="272"/>
      <c r="R172" s="273">
        <f t="shared" ref="R172:S172" si="32">hundred * $H63 * R93 / $H35 / hours_in_year</f>
        <v>-7.1210759859485759E-2</v>
      </c>
      <c r="S172" s="273">
        <f t="shared" si="32"/>
        <v>-6.8919928957487497E-2</v>
      </c>
      <c r="T172" s="273">
        <f t="shared" ref="T172:U172" si="33">hundred * $H63 * T93 / $H35 / hours_in_year</f>
        <v>-7.1210759859485759E-2</v>
      </c>
      <c r="U172" s="273">
        <f t="shared" si="33"/>
        <v>-7.1210759859485759E-2</v>
      </c>
      <c r="V172" s="273">
        <f t="shared" ref="V172:W172" si="34">hundred * $H63 * V93 / $H35 / hours_in_year</f>
        <v>-6.8919928957487497E-2</v>
      </c>
      <c r="W172" s="273">
        <f t="shared" si="34"/>
        <v>-6.8919928957487497E-2</v>
      </c>
      <c r="X172" s="273">
        <f t="shared" ref="X172:Y172" si="35">hundred * $H63 * X93 / $H35 / hours_in_year</f>
        <v>-6.78803697972713E-2</v>
      </c>
      <c r="Y172" s="273">
        <f t="shared" si="35"/>
        <v>-6.78803697972713E-2</v>
      </c>
      <c r="Z172" s="259"/>
      <c r="AA172" s="259"/>
    </row>
    <row r="173" spans="5:27" customFormat="1" x14ac:dyDescent="0.3">
      <c r="E173" s="2"/>
      <c r="F173" t="s">
        <v>190</v>
      </c>
      <c r="G173" t="s">
        <v>268</v>
      </c>
      <c r="H173" s="259"/>
      <c r="I173" s="259"/>
      <c r="J173" s="260"/>
      <c r="K173" s="260"/>
      <c r="L173" s="260"/>
      <c r="M173" s="260"/>
      <c r="N173" s="260"/>
      <c r="O173" s="260"/>
      <c r="P173" s="260"/>
      <c r="Q173" s="260"/>
      <c r="R173" s="274">
        <f t="shared" ref="R173:S173" si="36">hundred * $H64 * R94 / $H36 / hours_in_year</f>
        <v>0</v>
      </c>
      <c r="S173" s="274">
        <f t="shared" si="36"/>
        <v>0</v>
      </c>
      <c r="T173" s="274">
        <f t="shared" ref="T173:U173" si="37">hundred * $H64 * T94 / $H36 / hours_in_year</f>
        <v>0</v>
      </c>
      <c r="U173" s="274">
        <f t="shared" si="37"/>
        <v>0</v>
      </c>
      <c r="V173" s="274">
        <f t="shared" ref="V173:W173" si="38">hundred * $H64 * V94 / $H36 / hours_in_year</f>
        <v>0</v>
      </c>
      <c r="W173" s="274">
        <f t="shared" si="38"/>
        <v>0</v>
      </c>
      <c r="X173" s="274">
        <f t="shared" ref="X173:Y173" si="39">hundred * $H64 * X94 / $H36 / hours_in_year</f>
        <v>0</v>
      </c>
      <c r="Y173" s="274">
        <f t="shared" si="39"/>
        <v>0</v>
      </c>
      <c r="Z173" s="259"/>
      <c r="AA173" s="259"/>
    </row>
    <row r="174" spans="5:27" customFormat="1" x14ac:dyDescent="0.3">
      <c r="E174" s="2"/>
      <c r="F174" t="s">
        <v>191</v>
      </c>
      <c r="G174" t="s">
        <v>268</v>
      </c>
      <c r="H174" s="259"/>
      <c r="I174" s="259"/>
      <c r="J174" s="260"/>
      <c r="K174" s="260"/>
      <c r="L174" s="260"/>
      <c r="M174" s="260"/>
      <c r="N174" s="260"/>
      <c r="O174" s="260"/>
      <c r="P174" s="260"/>
      <c r="Q174" s="260"/>
      <c r="R174" s="274">
        <f t="shared" ref="R174:S174" si="40">hundred * $H65 * R95 / $H37 / hours_in_year</f>
        <v>-6.5694567443622481E-2</v>
      </c>
      <c r="S174" s="274">
        <f t="shared" si="40"/>
        <v>-6.3581190961048514E-2</v>
      </c>
      <c r="T174" s="274">
        <f t="shared" ref="T174:U174" si="41">hundred * $H65 * T95 / $H37 / hours_in_year</f>
        <v>-6.5694567443622481E-2</v>
      </c>
      <c r="U174" s="274">
        <f t="shared" si="41"/>
        <v>-6.5694567443622481E-2</v>
      </c>
      <c r="V174" s="274">
        <f t="shared" ref="V174:W174" si="42">hundred * $H65 * V95 / $H37 / hours_in_year</f>
        <v>-6.3581190961048514E-2</v>
      </c>
      <c r="W174" s="274">
        <f t="shared" si="42"/>
        <v>-6.3581190961048514E-2</v>
      </c>
      <c r="X174" s="274">
        <f t="shared" ref="X174:Y174" si="43">hundred * $H65 * X95 / $H37 / hours_in_year</f>
        <v>-6.2622159074614284E-2</v>
      </c>
      <c r="Y174" s="274">
        <f t="shared" si="43"/>
        <v>-6.2622159074614284E-2</v>
      </c>
      <c r="Z174" s="259"/>
      <c r="AA174" s="259"/>
    </row>
    <row r="175" spans="5:27" customFormat="1" x14ac:dyDescent="0.3">
      <c r="E175" s="2"/>
      <c r="F175" t="s">
        <v>192</v>
      </c>
      <c r="G175" t="s">
        <v>268</v>
      </c>
      <c r="H175" s="259"/>
      <c r="I175" s="259"/>
      <c r="J175" s="260"/>
      <c r="K175" s="260"/>
      <c r="L175" s="260"/>
      <c r="M175" s="260"/>
      <c r="N175" s="260"/>
      <c r="O175" s="260"/>
      <c r="P175" s="260"/>
      <c r="Q175" s="260"/>
      <c r="R175" s="274">
        <f t="shared" ref="R175:S175" si="44">hundred * $H66 * R96 / $H38 / hours_in_year</f>
        <v>-2.5985839719326144E-2</v>
      </c>
      <c r="S175" s="274">
        <f t="shared" si="44"/>
        <v>-2.5149882277489124E-2</v>
      </c>
      <c r="T175" s="274">
        <f t="shared" ref="T175:U175" si="45">hundred * $H66 * T96 / $H38 / hours_in_year</f>
        <v>-2.5985839719326144E-2</v>
      </c>
      <c r="U175" s="274">
        <f t="shared" si="45"/>
        <v>-2.5985839719326144E-2</v>
      </c>
      <c r="V175" s="274">
        <f t="shared" ref="V175:W175" si="46">hundred * $H66 * V96 / $H38 / hours_in_year</f>
        <v>-2.5149882277489124E-2</v>
      </c>
      <c r="W175" s="274">
        <f t="shared" si="46"/>
        <v>-2.5149882277489124E-2</v>
      </c>
      <c r="X175" s="274">
        <f t="shared" ref="X175:Y175" si="47">hundred * $H66 * X96 / $H38 / hours_in_year</f>
        <v>-2.477053205331739E-2</v>
      </c>
      <c r="Y175" s="274">
        <f t="shared" si="47"/>
        <v>-2.477053205331739E-2</v>
      </c>
      <c r="Z175" s="259"/>
      <c r="AA175" s="259"/>
    </row>
    <row r="176" spans="5:27" customFormat="1" x14ac:dyDescent="0.3">
      <c r="E176" s="2"/>
      <c r="F176" t="s">
        <v>193</v>
      </c>
      <c r="G176" t="s">
        <v>268</v>
      </c>
      <c r="H176" s="259"/>
      <c r="I176" s="259"/>
      <c r="J176" s="260"/>
      <c r="K176" s="260"/>
      <c r="L176" s="260"/>
      <c r="M176" s="260"/>
      <c r="N176" s="260"/>
      <c r="O176" s="260"/>
      <c r="P176" s="260"/>
      <c r="Q176" s="260"/>
      <c r="R176" s="274">
        <f t="shared" ref="R176:S176" si="48">hundred * $H67 * R97 / $H39 / hours_in_year</f>
        <v>-6.561600215702984E-2</v>
      </c>
      <c r="S176" s="274">
        <f t="shared" si="48"/>
        <v>-6.3505153098495526E-2</v>
      </c>
      <c r="T176" s="274">
        <f t="shared" ref="T176:U176" si="49">hundred * $H67 * T97 / $H39 / hours_in_year</f>
        <v>-6.561600215702984E-2</v>
      </c>
      <c r="U176" s="274">
        <f t="shared" si="49"/>
        <v>-6.561600215702984E-2</v>
      </c>
      <c r="V176" s="274">
        <f t="shared" ref="V176:W176" si="50">hundred * $H67 * V97 / $H39 / hours_in_year</f>
        <v>-6.3505153098495526E-2</v>
      </c>
      <c r="W176" s="274">
        <f t="shared" si="50"/>
        <v>-6.3505153098495526E-2</v>
      </c>
      <c r="X176" s="274">
        <f t="shared" ref="X176:Y176" si="51">hundred * $H67 * X97 / $H39 / hours_in_year</f>
        <v>-6.2547268135131812E-2</v>
      </c>
      <c r="Y176" s="274">
        <f t="shared" si="51"/>
        <v>-6.2547268135131812E-2</v>
      </c>
      <c r="Z176" s="259"/>
      <c r="AA176" s="259"/>
    </row>
    <row r="177" spans="2:27" x14ac:dyDescent="0.3">
      <c r="D177"/>
      <c r="F177" t="s">
        <v>194</v>
      </c>
      <c r="G177" t="s">
        <v>268</v>
      </c>
      <c r="H177" s="259"/>
      <c r="I177" s="259"/>
      <c r="J177" s="260"/>
      <c r="K177" s="260"/>
      <c r="L177" s="260"/>
      <c r="M177" s="260"/>
      <c r="N177" s="260"/>
      <c r="O177" s="260"/>
      <c r="P177" s="260"/>
      <c r="Q177" s="260"/>
      <c r="R177" s="274">
        <f t="shared" ref="R177:S177" si="52">hundred * $H68 * R98 / $H40 / hours_in_year</f>
        <v>-4.1390797054069839E-2</v>
      </c>
      <c r="S177" s="274">
        <f t="shared" si="52"/>
        <v>-4.0059266297525445E-2</v>
      </c>
      <c r="T177" s="274">
        <f t="shared" ref="T177:U177" si="53">hundred * $H68 * T98 / $H40 / hours_in_year</f>
        <v>-4.1390797054069839E-2</v>
      </c>
      <c r="U177" s="274">
        <f t="shared" si="53"/>
        <v>-4.1390797054069839E-2</v>
      </c>
      <c r="V177" s="274">
        <f t="shared" ref="V177:W177" si="54">hundred * $H68 * V98 / $H40 / hours_in_year</f>
        <v>-4.0059266297525445E-2</v>
      </c>
      <c r="W177" s="274">
        <f t="shared" si="54"/>
        <v>-4.0059266297525445E-2</v>
      </c>
      <c r="X177" s="274">
        <f t="shared" ref="X177:Y177" si="55">hundred * $H68 * X98 / $H40 / hours_in_year</f>
        <v>-3.9455029208760886E-2</v>
      </c>
      <c r="Y177" s="274">
        <f t="shared" si="55"/>
        <v>-3.9455029208760886E-2</v>
      </c>
      <c r="Z177" s="259"/>
      <c r="AA177" s="259"/>
    </row>
    <row r="178" spans="2:27" x14ac:dyDescent="0.3">
      <c r="D178"/>
      <c r="F178" t="s">
        <v>195</v>
      </c>
      <c r="G178" t="s">
        <v>268</v>
      </c>
      <c r="H178" s="259"/>
      <c r="I178" s="259"/>
      <c r="J178" s="260"/>
      <c r="K178" s="260"/>
      <c r="L178" s="260"/>
      <c r="M178" s="260"/>
      <c r="N178" s="260"/>
      <c r="O178" s="260"/>
      <c r="P178" s="260"/>
      <c r="Q178" s="260"/>
      <c r="R178" s="274">
        <f t="shared" ref="R178:S178" si="56">hundred * $H69 * R99 / $H41 / hours_in_year</f>
        <v>0</v>
      </c>
      <c r="S178" s="274">
        <f t="shared" si="56"/>
        <v>0</v>
      </c>
      <c r="T178" s="274">
        <f t="shared" ref="T178:U178" si="57">hundred * $H69 * T99 / $H41 / hours_in_year</f>
        <v>0</v>
      </c>
      <c r="U178" s="274">
        <f t="shared" si="57"/>
        <v>0</v>
      </c>
      <c r="V178" s="274">
        <f t="shared" ref="V178:W178" si="58">hundred * $H69 * V99 / $H41 / hours_in_year</f>
        <v>0</v>
      </c>
      <c r="W178" s="274">
        <f t="shared" si="58"/>
        <v>0</v>
      </c>
      <c r="X178" s="274">
        <f t="shared" ref="X178:Y178" si="59">hundred * $H69 * X99 / $H41 / hours_in_year</f>
        <v>0</v>
      </c>
      <c r="Y178" s="274">
        <f t="shared" si="59"/>
        <v>0</v>
      </c>
      <c r="Z178" s="259"/>
      <c r="AA178" s="259"/>
    </row>
    <row r="179" spans="2:27" x14ac:dyDescent="0.3">
      <c r="D179"/>
      <c r="F179" t="s">
        <v>196</v>
      </c>
      <c r="G179" t="s">
        <v>268</v>
      </c>
      <c r="H179" s="259"/>
      <c r="I179" s="259"/>
      <c r="J179" s="260"/>
      <c r="K179" s="260"/>
      <c r="L179" s="260"/>
      <c r="M179" s="260"/>
      <c r="N179" s="260"/>
      <c r="O179" s="260"/>
      <c r="P179" s="260"/>
      <c r="Q179" s="260"/>
      <c r="R179" s="274">
        <f t="shared" ref="R179:S179" si="60">hundred * $H70 * R100 / $H42 / hours_in_year</f>
        <v>-7.5144192046562669E-2</v>
      </c>
      <c r="S179" s="274">
        <f t="shared" si="60"/>
        <v>-7.2726823694004253E-2</v>
      </c>
      <c r="T179" s="274">
        <f t="shared" ref="T179:U179" si="61">hundred * $H70 * T100 / $H42 / hours_in_year</f>
        <v>-7.5144192046562669E-2</v>
      </c>
      <c r="U179" s="274">
        <f t="shared" si="61"/>
        <v>-7.5144192046562669E-2</v>
      </c>
      <c r="V179" s="274">
        <f t="shared" ref="V179:W179" si="62">hundred * $H70 * V100 / $H42 / hours_in_year</f>
        <v>-7.2726823694004253E-2</v>
      </c>
      <c r="W179" s="274">
        <f t="shared" si="62"/>
        <v>-7.2726823694004253E-2</v>
      </c>
      <c r="X179" s="274">
        <f t="shared" ref="X179:Y179" si="63">hundred * $H70 * X100 / $H42 / hours_in_year</f>
        <v>-7.1629842938101762E-2</v>
      </c>
      <c r="Y179" s="274">
        <f t="shared" si="63"/>
        <v>-7.1629842938101762E-2</v>
      </c>
      <c r="Z179" s="259"/>
      <c r="AA179" s="259"/>
    </row>
    <row r="180" spans="2:27" x14ac:dyDescent="0.3">
      <c r="D180"/>
      <c r="F180" t="s">
        <v>197</v>
      </c>
      <c r="G180" t="s">
        <v>268</v>
      </c>
      <c r="H180" s="259"/>
      <c r="I180" s="259"/>
      <c r="J180" s="260"/>
      <c r="K180" s="260"/>
      <c r="L180" s="260"/>
      <c r="M180" s="260"/>
      <c r="N180" s="260"/>
      <c r="O180" s="260"/>
      <c r="P180" s="260"/>
      <c r="Q180" s="260"/>
      <c r="R180" s="274">
        <f t="shared" ref="R180:S180" si="64">hundred * $H71 * R101 / $H43 / hours_in_year</f>
        <v>-6.8224945068814893E-2</v>
      </c>
      <c r="S180" s="274">
        <f t="shared" si="64"/>
        <v>-6.6030167021801034E-2</v>
      </c>
      <c r="T180" s="274">
        <f t="shared" ref="T180:U180" si="65">hundred * $H71 * T101 / $H43 / hours_in_year</f>
        <v>-6.8224945068814893E-2</v>
      </c>
      <c r="U180" s="274">
        <f t="shared" si="65"/>
        <v>-6.8224945068814893E-2</v>
      </c>
      <c r="V180" s="274">
        <f t="shared" ref="V180:W180" si="66">hundred * $H71 * V101 / $H43 / hours_in_year</f>
        <v>-6.6030167021801034E-2</v>
      </c>
      <c r="W180" s="274">
        <f t="shared" si="66"/>
        <v>-6.6030167021801034E-2</v>
      </c>
      <c r="X180" s="274">
        <f t="shared" ref="X180:Y180" si="67">hundred * $H71 * X101 / $H43 / hours_in_year</f>
        <v>0</v>
      </c>
      <c r="Y180" s="274">
        <f t="shared" si="67"/>
        <v>0</v>
      </c>
      <c r="Z180" s="259"/>
      <c r="AA180" s="259"/>
    </row>
    <row r="181" spans="2:27" x14ac:dyDescent="0.3">
      <c r="D181"/>
      <c r="F181" t="s">
        <v>198</v>
      </c>
      <c r="G181" t="s">
        <v>268</v>
      </c>
      <c r="H181" s="259"/>
      <c r="I181" s="259"/>
      <c r="J181" s="260"/>
      <c r="K181" s="260"/>
      <c r="L181" s="260"/>
      <c r="M181" s="260"/>
      <c r="N181" s="260"/>
      <c r="O181" s="260"/>
      <c r="P181" s="260"/>
      <c r="Q181" s="260"/>
      <c r="R181" s="274">
        <f t="shared" ref="R181:S181" si="68">hundred * $H72 * R102 / $H44 / hours_in_year</f>
        <v>-3.7821297145749604E-2</v>
      </c>
      <c r="S181" s="274">
        <f t="shared" si="68"/>
        <v>0</v>
      </c>
      <c r="T181" s="274">
        <f t="shared" ref="T181:U181" si="69">hundred * $H72 * T102 / $H44 / hours_in_year</f>
        <v>-3.7821297145749604E-2</v>
      </c>
      <c r="U181" s="274">
        <f t="shared" si="69"/>
        <v>-3.7821297145749604E-2</v>
      </c>
      <c r="V181" s="274">
        <f t="shared" ref="V181:W181" si="70">hundred * $H72 * V102 / $H44 / hours_in_year</f>
        <v>0</v>
      </c>
      <c r="W181" s="274">
        <f t="shared" si="70"/>
        <v>0</v>
      </c>
      <c r="X181" s="274">
        <f t="shared" ref="X181:Y181" si="71">hundred * $H72 * X102 / $H44 / hours_in_year</f>
        <v>0</v>
      </c>
      <c r="Y181" s="274">
        <f t="shared" si="71"/>
        <v>0</v>
      </c>
      <c r="Z181" s="259"/>
      <c r="AA181" s="259"/>
    </row>
    <row r="182" spans="2:27" x14ac:dyDescent="0.3">
      <c r="D182"/>
      <c r="F182" t="s">
        <v>375</v>
      </c>
      <c r="G182" t="s">
        <v>268</v>
      </c>
      <c r="H182" s="259"/>
      <c r="I182" s="259"/>
      <c r="J182" s="260"/>
      <c r="K182" s="260"/>
      <c r="L182" s="260"/>
      <c r="M182" s="260"/>
      <c r="N182" s="260"/>
      <c r="O182" s="260"/>
      <c r="P182" s="260"/>
      <c r="Q182" s="260"/>
      <c r="R182" s="260"/>
      <c r="S182" s="260"/>
      <c r="T182" s="260"/>
      <c r="U182" s="260"/>
      <c r="V182" s="260"/>
      <c r="W182" s="260"/>
      <c r="X182" s="260"/>
      <c r="Y182" s="260"/>
      <c r="Z182" s="259"/>
      <c r="AA182" s="259"/>
    </row>
    <row r="183" spans="2:27" x14ac:dyDescent="0.3">
      <c r="D183"/>
      <c r="F183" s="37" t="s">
        <v>376</v>
      </c>
      <c r="G183" s="37" t="s">
        <v>268</v>
      </c>
      <c r="H183" s="261"/>
      <c r="I183" s="261"/>
      <c r="J183" s="262"/>
      <c r="K183" s="262"/>
      <c r="L183" s="262"/>
      <c r="M183" s="262"/>
      <c r="N183" s="262"/>
      <c r="O183" s="262"/>
      <c r="P183" s="262"/>
      <c r="Q183" s="262"/>
      <c r="R183" s="262"/>
      <c r="S183" s="262"/>
      <c r="T183" s="262"/>
      <c r="U183" s="262"/>
      <c r="V183" s="262"/>
      <c r="W183" s="262"/>
      <c r="X183" s="262"/>
      <c r="Y183" s="262"/>
      <c r="Z183" s="259"/>
      <c r="AA183" s="259"/>
    </row>
    <row r="184" spans="2:27" x14ac:dyDescent="0.3">
      <c r="D184"/>
      <c r="E184"/>
      <c r="J184" s="89"/>
      <c r="K184" s="89"/>
      <c r="L184" s="89"/>
      <c r="M184" s="89"/>
      <c r="N184" s="89"/>
      <c r="O184" s="89"/>
      <c r="P184" s="89"/>
      <c r="Q184" s="89"/>
      <c r="R184" s="89"/>
      <c r="S184" s="89"/>
      <c r="T184" s="89"/>
      <c r="U184" s="89"/>
      <c r="V184" s="89"/>
      <c r="W184" s="89"/>
      <c r="X184" s="89"/>
      <c r="Y184" s="89"/>
    </row>
    <row r="185" spans="2:27" x14ac:dyDescent="0.3">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3">
      <c r="B186" s="206"/>
      <c r="J186" s="89"/>
      <c r="K186" s="89"/>
      <c r="L186" s="89"/>
      <c r="M186" s="89"/>
      <c r="N186" s="89"/>
      <c r="O186" s="89"/>
      <c r="P186" s="89"/>
      <c r="Q186" s="89"/>
      <c r="R186" s="89"/>
      <c r="S186" s="89"/>
      <c r="T186" s="89"/>
      <c r="U186" s="89"/>
      <c r="V186" s="89"/>
      <c r="W186" s="89"/>
      <c r="X186" s="89"/>
      <c r="Y186" s="89"/>
    </row>
    <row r="187" spans="2:27" x14ac:dyDescent="0.3">
      <c r="B187" s="206"/>
      <c r="C187" s="29" t="s">
        <v>679</v>
      </c>
      <c r="J187" s="89"/>
      <c r="K187" s="89"/>
      <c r="L187" s="89"/>
      <c r="M187" s="89"/>
      <c r="N187" s="89"/>
      <c r="O187" s="89"/>
      <c r="P187" s="89"/>
      <c r="Q187" s="89"/>
      <c r="R187" s="89"/>
      <c r="S187" s="89"/>
      <c r="T187" s="89"/>
      <c r="U187" s="89"/>
      <c r="V187" s="89"/>
      <c r="W187" s="89"/>
      <c r="X187" s="89"/>
      <c r="Y187" s="89"/>
    </row>
    <row r="188" spans="2:27" x14ac:dyDescent="0.3">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3">
      <c r="B189" s="206"/>
      <c r="J189" s="89"/>
      <c r="K189" s="89"/>
      <c r="L189" s="89"/>
      <c r="M189" s="89"/>
      <c r="N189" s="89"/>
      <c r="O189" s="89"/>
      <c r="P189" s="89"/>
      <c r="Q189" s="89"/>
      <c r="R189" s="89"/>
      <c r="S189" s="89"/>
      <c r="T189" s="89"/>
      <c r="U189" s="89"/>
      <c r="V189" s="89"/>
      <c r="W189" s="89"/>
      <c r="X189" s="89"/>
      <c r="Y189" s="89"/>
    </row>
    <row r="190" spans="2:27" x14ac:dyDescent="0.3">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3">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3">
      <c r="E192" s="32" t="s">
        <v>620</v>
      </c>
      <c r="J192" s="89"/>
      <c r="K192" s="89"/>
      <c r="L192" s="89"/>
      <c r="M192" s="89"/>
      <c r="N192" s="89"/>
      <c r="O192" s="89"/>
      <c r="P192" s="89"/>
      <c r="Q192" s="89"/>
      <c r="R192" s="89"/>
      <c r="S192" s="89"/>
      <c r="T192" s="89"/>
      <c r="U192" s="89"/>
      <c r="V192" s="89"/>
      <c r="W192" s="89"/>
      <c r="X192" s="89"/>
      <c r="Y192" s="89"/>
    </row>
    <row r="193" spans="4:27" x14ac:dyDescent="0.3">
      <c r="F193" s="23" t="s">
        <v>188</v>
      </c>
      <c r="G193" s="23" t="s">
        <v>271</v>
      </c>
      <c r="H193" s="258"/>
      <c r="I193" s="258"/>
      <c r="J193" s="272"/>
      <c r="K193" s="272"/>
      <c r="L193" s="272"/>
      <c r="M193" s="272"/>
      <c r="N193" s="272"/>
      <c r="O193" s="272"/>
      <c r="P193" s="272"/>
      <c r="Q193" s="272"/>
      <c r="R193" s="272"/>
      <c r="S193" s="272"/>
      <c r="T193" s="272"/>
      <c r="U193" s="272"/>
      <c r="V193" s="272"/>
      <c r="W193" s="272"/>
      <c r="X193" s="272"/>
      <c r="Y193" s="272"/>
      <c r="Z193" s="259"/>
      <c r="AA193" s="259"/>
    </row>
    <row r="194" spans="4:27" x14ac:dyDescent="0.3">
      <c r="F194" t="s">
        <v>190</v>
      </c>
      <c r="G194" t="s">
        <v>271</v>
      </c>
      <c r="H194" s="259"/>
      <c r="I194" s="259"/>
      <c r="J194" s="260"/>
      <c r="K194" s="260"/>
      <c r="L194" s="260"/>
      <c r="M194" s="260"/>
      <c r="N194" s="260"/>
      <c r="O194" s="260"/>
      <c r="P194" s="260"/>
      <c r="Q194" s="260"/>
      <c r="R194" s="260"/>
      <c r="S194" s="260"/>
      <c r="T194" s="260"/>
      <c r="U194" s="260"/>
      <c r="V194" s="260"/>
      <c r="W194" s="260"/>
      <c r="X194" s="260"/>
      <c r="Y194" s="260"/>
      <c r="Z194" s="259"/>
      <c r="AA194" s="259"/>
    </row>
    <row r="195" spans="4:27" x14ac:dyDescent="0.3">
      <c r="F195" t="s">
        <v>191</v>
      </c>
      <c r="G195" t="s">
        <v>271</v>
      </c>
      <c r="H195" s="259"/>
      <c r="I195" s="259"/>
      <c r="J195" s="274">
        <f t="shared" ref="J195:K195" si="72">ABS(J125 + J160)*(1-J82)*PowerFactor*$H23</f>
        <v>2.3061124840937149E-2</v>
      </c>
      <c r="K195" s="274">
        <f t="shared" si="72"/>
        <v>2.3061124840937149E-2</v>
      </c>
      <c r="L195" s="274">
        <f t="shared" ref="L195:M195" si="73">ABS(L125 + L160)*(1-L82)*PowerFactor*$H23</f>
        <v>2.3488655207469719E-2</v>
      </c>
      <c r="M195" s="274">
        <f t="shared" si="73"/>
        <v>2.3488655207469719E-2</v>
      </c>
      <c r="N195" s="274">
        <f t="shared" ref="N195:P195" si="74">ABS(N125 + N160)*(1-N82)*PowerFactor*$H23</f>
        <v>2.0562779257506481E-2</v>
      </c>
      <c r="O195" s="274">
        <f t="shared" si="74"/>
        <v>1.8567961191307426E-2</v>
      </c>
      <c r="P195" s="274">
        <f t="shared" si="74"/>
        <v>1.5449009784041685E-2</v>
      </c>
      <c r="Q195" s="274">
        <f t="shared" ref="Q195:S195" si="75">ABS(Q125 + Q160)*(1-Q82)*PowerFactor*$H23</f>
        <v>1.6776650959072818E-2</v>
      </c>
      <c r="R195" s="274">
        <f t="shared" si="75"/>
        <v>1.3117445980660065E-2</v>
      </c>
      <c r="S195" s="274">
        <f t="shared" si="75"/>
        <v>1.2695461288078724E-2</v>
      </c>
      <c r="T195" s="274">
        <f t="shared" ref="T195:U195" si="76">ABS(T125 + T160)*(1-T82)*PowerFactor*$H23</f>
        <v>1.3117445980660065E-2</v>
      </c>
      <c r="U195" s="274">
        <f t="shared" si="76"/>
        <v>1.3117445980660065E-2</v>
      </c>
      <c r="V195" s="274">
        <f t="shared" ref="V195:W195" si="77">ABS(V125 + V160)*(1-V82)*PowerFactor*$H23</f>
        <v>1.2695461288078724E-2</v>
      </c>
      <c r="W195" s="274">
        <f t="shared" si="77"/>
        <v>1.2695461288078724E-2</v>
      </c>
      <c r="X195" s="274">
        <f t="shared" ref="X195:Y195" si="78">ABS(X125 + X160)*(1-X82)*PowerFactor*$H23</f>
        <v>1.2503968300856793E-2</v>
      </c>
      <c r="Y195" s="274">
        <f t="shared" si="78"/>
        <v>1.2503968300856793E-2</v>
      </c>
      <c r="Z195" s="259"/>
      <c r="AA195" s="259"/>
    </row>
    <row r="196" spans="4:27" x14ac:dyDescent="0.3">
      <c r="F196" t="s">
        <v>192</v>
      </c>
      <c r="G196" t="s">
        <v>271</v>
      </c>
      <c r="H196" s="259"/>
      <c r="I196" s="259"/>
      <c r="J196" s="274">
        <f t="shared" ref="J196:K196" si="79">ABS(J126 + J161)*(1-J83)*PowerFactor*$H24</f>
        <v>1.2622336545404617E-2</v>
      </c>
      <c r="K196" s="274">
        <f t="shared" si="79"/>
        <v>1.2622336545404617E-2</v>
      </c>
      <c r="L196" s="274">
        <f t="shared" ref="L196:M196" si="80">ABS(L126 + L161)*(1-L83)*PowerFactor*$H24</f>
        <v>1.2856342137368401E-2</v>
      </c>
      <c r="M196" s="274">
        <f t="shared" si="80"/>
        <v>1.2856342137368401E-2</v>
      </c>
      <c r="N196" s="274">
        <f t="shared" ref="N196:P196" si="81">ABS(N126 + N161)*(1-N83)*PowerFactor*$H24</f>
        <v>1.1254885522165385E-2</v>
      </c>
      <c r="O196" s="274">
        <f t="shared" si="81"/>
        <v>1.0163036570646744E-2</v>
      </c>
      <c r="P196" s="274">
        <f t="shared" si="81"/>
        <v>8.455901528327113E-3</v>
      </c>
      <c r="Q196" s="274">
        <f t="shared" ref="Q196:S196" si="82">ABS(Q126 + Q161)*(1-Q83)*PowerFactor*$H24</f>
        <v>9.1825761306444913E-3</v>
      </c>
      <c r="R196" s="274">
        <f t="shared" si="82"/>
        <v>7.1797372819446537E-3</v>
      </c>
      <c r="S196" s="274">
        <f t="shared" si="82"/>
        <v>6.9487670737041797E-3</v>
      </c>
      <c r="T196" s="274">
        <f t="shared" ref="T196:U196" si="83">ABS(T126 + T161)*(1-T83)*PowerFactor*$H24</f>
        <v>7.1797372819446537E-3</v>
      </c>
      <c r="U196" s="274">
        <f t="shared" si="83"/>
        <v>7.1797372819446537E-3</v>
      </c>
      <c r="V196" s="274">
        <f t="shared" ref="V196:W196" si="84">ABS(V126 + V161)*(1-V83)*PowerFactor*$H24</f>
        <v>6.9487670737041797E-3</v>
      </c>
      <c r="W196" s="274">
        <f t="shared" si="84"/>
        <v>6.9487670737041797E-3</v>
      </c>
      <c r="X196" s="274">
        <f t="shared" ref="X196:Y196" si="85">ABS(X126 + X161)*(1-X83)*PowerFactor*$H24</f>
        <v>6.8439547999113023E-3</v>
      </c>
      <c r="Y196" s="274">
        <f t="shared" si="85"/>
        <v>6.8439547999113023E-3</v>
      </c>
      <c r="Z196" s="259"/>
      <c r="AA196" s="259"/>
    </row>
    <row r="197" spans="4:27" x14ac:dyDescent="0.3">
      <c r="F197" t="s">
        <v>193</v>
      </c>
      <c r="G197" t="s">
        <v>271</v>
      </c>
      <c r="H197" s="259"/>
      <c r="I197" s="259"/>
      <c r="J197" s="274">
        <f t="shared" ref="J197:K197" si="86">ABS(J127 + J162)*(1-J84)*PowerFactor*$H25</f>
        <v>3.1872253155400564E-2</v>
      </c>
      <c r="K197" s="274">
        <f t="shared" si="86"/>
        <v>3.1872253155400564E-2</v>
      </c>
      <c r="L197" s="274">
        <f t="shared" ref="L197:M197" si="87">ABS(L127 + L162)*(1-L84)*PowerFactor*$H25</f>
        <v>3.2463133095894971E-2</v>
      </c>
      <c r="M197" s="274">
        <f t="shared" si="87"/>
        <v>3.2463133095894971E-2</v>
      </c>
      <c r="N197" s="274">
        <f t="shared" ref="N197:P197" si="88">ABS(N127 + N162)*(1-N84)*PowerFactor*$H25</f>
        <v>2.8419346870299192E-2</v>
      </c>
      <c r="O197" s="274">
        <f t="shared" si="88"/>
        <v>2.5662354449357112E-2</v>
      </c>
      <c r="P197" s="274">
        <f t="shared" si="88"/>
        <v>1.7081378440418765E-2</v>
      </c>
      <c r="Q197" s="274">
        <f t="shared" ref="Q197:S197" si="89">ABS(Q127 + Q162)*(1-Q84)*PowerFactor*$H25</f>
        <v>2.3186625550813033E-2</v>
      </c>
      <c r="R197" s="274">
        <f t="shared" si="89"/>
        <v>1.8129322048754812E-2</v>
      </c>
      <c r="S197" s="274">
        <f t="shared" si="89"/>
        <v>1.7546106657379747E-2</v>
      </c>
      <c r="T197" s="274">
        <f t="shared" ref="T197:U197" si="90">ABS(T127 + T162)*(1-T84)*PowerFactor*$H25</f>
        <v>1.8129322048754812E-2</v>
      </c>
      <c r="U197" s="274">
        <f t="shared" si="90"/>
        <v>1.8129322048754812E-2</v>
      </c>
      <c r="V197" s="274">
        <f t="shared" ref="V197:W197" si="91">ABS(V127 + V162)*(1-V84)*PowerFactor*$H25</f>
        <v>1.7546106657379747E-2</v>
      </c>
      <c r="W197" s="274">
        <f t="shared" si="91"/>
        <v>1.7546106657379747E-2</v>
      </c>
      <c r="X197" s="274">
        <f t="shared" ref="X197:Y197" si="92">ABS(X127 + X162)*(1-X84)*PowerFactor*$H25</f>
        <v>1.7281448579843699E-2</v>
      </c>
      <c r="Y197" s="274">
        <f t="shared" si="92"/>
        <v>1.7281448579843699E-2</v>
      </c>
      <c r="Z197" s="259"/>
      <c r="AA197" s="259"/>
    </row>
    <row r="198" spans="4:27" x14ac:dyDescent="0.3">
      <c r="F198" t="s">
        <v>194</v>
      </c>
      <c r="G198" t="s">
        <v>271</v>
      </c>
      <c r="H198" s="259"/>
      <c r="I198" s="259"/>
      <c r="J198" s="274">
        <f t="shared" ref="J198:K198" si="93">ABS(J128 + J163)*(1-J85)*PowerFactor*$H26</f>
        <v>1.7995528094099097E-2</v>
      </c>
      <c r="K198" s="274">
        <f t="shared" si="93"/>
        <v>1.7995528094099097E-2</v>
      </c>
      <c r="L198" s="274">
        <f t="shared" ref="L198:M198" si="94">ABS(L128 + L163)*(1-L85)*PowerFactor*$H26</f>
        <v>1.8329147324517549E-2</v>
      </c>
      <c r="M198" s="274">
        <f t="shared" si="94"/>
        <v>1.8329147324517549E-2</v>
      </c>
      <c r="N198" s="274">
        <f t="shared" ref="N198:P198" si="95">ABS(N128 + N163)*(1-N85)*PowerFactor*$H26</f>
        <v>1.6045968025130319E-2</v>
      </c>
      <c r="O198" s="274">
        <f t="shared" si="95"/>
        <v>1.4489330835899318E-2</v>
      </c>
      <c r="P198" s="274">
        <f t="shared" si="95"/>
        <v>0</v>
      </c>
      <c r="Q198" s="274">
        <f t="shared" ref="Q198:S198" si="96">ABS(Q128 + Q163)*(1-Q85)*PowerFactor*$H26</f>
        <v>1.3091499037504051E-2</v>
      </c>
      <c r="R198" s="274">
        <f t="shared" si="96"/>
        <v>1.0236073448106911E-2</v>
      </c>
      <c r="S198" s="274">
        <f t="shared" si="96"/>
        <v>9.9067817312888697E-3</v>
      </c>
      <c r="T198" s="274">
        <f t="shared" ref="T198:U198" si="97">ABS(T128 + T163)*(1-T85)*PowerFactor*$H26</f>
        <v>1.0236073448106911E-2</v>
      </c>
      <c r="U198" s="274">
        <f t="shared" si="97"/>
        <v>1.0236073448106911E-2</v>
      </c>
      <c r="V198" s="274">
        <f t="shared" ref="V198:W198" si="98">ABS(V128 + V163)*(1-V85)*PowerFactor*$H26</f>
        <v>9.9067817312888697E-3</v>
      </c>
      <c r="W198" s="274">
        <f t="shared" si="98"/>
        <v>9.9067817312888697E-3</v>
      </c>
      <c r="X198" s="274">
        <f t="shared" ref="X198:Y198" si="99">ABS(X128 + X163)*(1-X85)*PowerFactor*$H26</f>
        <v>4.1956613647887884E-3</v>
      </c>
      <c r="Y198" s="274">
        <f t="shared" si="99"/>
        <v>4.1956613647887884E-3</v>
      </c>
      <c r="Z198" s="259"/>
      <c r="AA198" s="259"/>
    </row>
    <row r="199" spans="4:27" x14ac:dyDescent="0.3">
      <c r="F199" t="s">
        <v>195</v>
      </c>
      <c r="G199" t="s">
        <v>271</v>
      </c>
      <c r="H199" s="259"/>
      <c r="I199" s="259"/>
      <c r="J199" s="274">
        <f t="shared" ref="J199:K199" si="100">ABS(J129 + J164)*(1-J86)*PowerFactor*$H27</f>
        <v>0</v>
      </c>
      <c r="K199" s="274">
        <f t="shared" si="100"/>
        <v>0</v>
      </c>
      <c r="L199" s="274">
        <f t="shared" ref="L199:M199" si="101">ABS(L129 + L164)*(1-L86)*PowerFactor*$H27</f>
        <v>0</v>
      </c>
      <c r="M199" s="274">
        <f t="shared" si="101"/>
        <v>0</v>
      </c>
      <c r="N199" s="274">
        <f t="shared" ref="N199:P199" si="102">ABS(N129 + N164)*(1-N86)*PowerFactor*$H27</f>
        <v>0</v>
      </c>
      <c r="O199" s="274">
        <f t="shared" si="102"/>
        <v>0</v>
      </c>
      <c r="P199" s="274">
        <f t="shared" si="102"/>
        <v>0</v>
      </c>
      <c r="Q199" s="274">
        <f t="shared" ref="Q199:S199" si="103">ABS(Q129 + Q164)*(1-Q86)*PowerFactor*$H27</f>
        <v>0</v>
      </c>
      <c r="R199" s="274">
        <f t="shared" si="103"/>
        <v>0</v>
      </c>
      <c r="S199" s="274">
        <f t="shared" si="103"/>
        <v>0</v>
      </c>
      <c r="T199" s="274">
        <f t="shared" ref="T199:U199" si="104">ABS(T129 + T164)*(1-T86)*PowerFactor*$H27</f>
        <v>0</v>
      </c>
      <c r="U199" s="274">
        <f t="shared" si="104"/>
        <v>0</v>
      </c>
      <c r="V199" s="274">
        <f t="shared" ref="V199:W199" si="105">ABS(V129 + V164)*(1-V86)*PowerFactor*$H27</f>
        <v>0</v>
      </c>
      <c r="W199" s="274">
        <f t="shared" si="105"/>
        <v>0</v>
      </c>
      <c r="X199" s="274">
        <f t="shared" ref="X199:Y199" si="106">ABS(X129 + X164)*(1-X86)*PowerFactor*$H27</f>
        <v>0</v>
      </c>
      <c r="Y199" s="274">
        <f t="shared" si="106"/>
        <v>0</v>
      </c>
      <c r="Z199" s="259"/>
      <c r="AA199" s="259"/>
    </row>
    <row r="200" spans="4:27" x14ac:dyDescent="0.3">
      <c r="F200" t="s">
        <v>196</v>
      </c>
      <c r="G200" t="s">
        <v>271</v>
      </c>
      <c r="H200" s="259"/>
      <c r="I200" s="259"/>
      <c r="J200" s="274">
        <f t="shared" ref="J200:K200" si="107">ABS(J130 + J165)*(1-J87)*PowerFactor*$H28</f>
        <v>2.286937340493984E-2</v>
      </c>
      <c r="K200" s="274">
        <f t="shared" si="107"/>
        <v>2.286937340493984E-2</v>
      </c>
      <c r="L200" s="274">
        <f t="shared" ref="L200:M200" si="108">ABS(L130 + L165)*(1-L87)*PowerFactor*$H28</f>
        <v>2.3293348890161089E-2</v>
      </c>
      <c r="M200" s="274">
        <f t="shared" si="108"/>
        <v>2.3293348890161089E-2</v>
      </c>
      <c r="N200" s="274">
        <f t="shared" ref="N200:P200" si="109">ABS(N130 + N165)*(1-N87)*PowerFactor*$H28</f>
        <v>1.6313441094546619E-2</v>
      </c>
      <c r="O200" s="274">
        <f t="shared" si="109"/>
        <v>0</v>
      </c>
      <c r="P200" s="274">
        <f t="shared" si="109"/>
        <v>0</v>
      </c>
      <c r="Q200" s="274">
        <f t="shared" ref="Q200:S200" si="110">ABS(Q130 + Q165)*(1-Q87)*PowerFactor*$H28</f>
        <v>1.6637154428230699E-2</v>
      </c>
      <c r="R200" s="274">
        <f t="shared" si="110"/>
        <v>1.3008375450893726E-2</v>
      </c>
      <c r="S200" s="274">
        <f t="shared" si="110"/>
        <v>1.2589899527781759E-2</v>
      </c>
      <c r="T200" s="274">
        <f t="shared" ref="T200:U200" si="111">ABS(T130 + T165)*(1-T87)*PowerFactor*$H28</f>
        <v>1.3008375450893726E-2</v>
      </c>
      <c r="U200" s="274">
        <f t="shared" si="111"/>
        <v>1.3008375450893726E-2</v>
      </c>
      <c r="V200" s="274">
        <f t="shared" ref="V200:W200" si="112">ABS(V130 + V165)*(1-V87)*PowerFactor*$H28</f>
        <v>1.2589899527781759E-2</v>
      </c>
      <c r="W200" s="274">
        <f t="shared" si="112"/>
        <v>1.2589899527781759E-2</v>
      </c>
      <c r="X200" s="274">
        <f t="shared" ref="X200:Y200" si="113">ABS(X130 + X165)*(1-X87)*PowerFactor*$H28</f>
        <v>1.5942855586706065E-3</v>
      </c>
      <c r="Y200" s="274">
        <f t="shared" si="113"/>
        <v>1.5942855586706065E-3</v>
      </c>
      <c r="Z200" s="259"/>
      <c r="AA200" s="259"/>
    </row>
    <row r="201" spans="4:27" x14ac:dyDescent="0.3">
      <c r="F201" t="s">
        <v>197</v>
      </c>
      <c r="G201" t="s">
        <v>271</v>
      </c>
      <c r="H201" s="259"/>
      <c r="I201" s="259"/>
      <c r="J201" s="274">
        <f t="shared" ref="J201:K201" si="114">ABS(J131 + J166)*(1-J88)*PowerFactor*$H29</f>
        <v>2.0763570700759286E-2</v>
      </c>
      <c r="K201" s="274">
        <f t="shared" si="114"/>
        <v>2.0763570700759286E-2</v>
      </c>
      <c r="L201" s="274">
        <f t="shared" ref="L201:M201" si="115">ABS(L131 + L166)*(1-L88)*PowerFactor*$H29</f>
        <v>2.1148506693840687E-2</v>
      </c>
      <c r="M201" s="274">
        <f t="shared" si="115"/>
        <v>2.1148506693840687E-2</v>
      </c>
      <c r="N201" s="274">
        <f t="shared" ref="N201:P201" si="116">ABS(N131 + N166)*(1-N88)*PowerFactor*$H29</f>
        <v>0</v>
      </c>
      <c r="O201" s="274">
        <f t="shared" si="116"/>
        <v>0</v>
      </c>
      <c r="P201" s="274">
        <f t="shared" si="116"/>
        <v>0</v>
      </c>
      <c r="Q201" s="274">
        <f t="shared" ref="Q201:S201" si="117">ABS(Q131 + Q166)*(1-Q88)*PowerFactor*$H29</f>
        <v>1.5105211940586057E-2</v>
      </c>
      <c r="R201" s="274">
        <f t="shared" si="117"/>
        <v>1.1810569471847049E-2</v>
      </c>
      <c r="S201" s="274">
        <f t="shared" si="117"/>
        <v>4.8988399900320176E-4</v>
      </c>
      <c r="T201" s="274">
        <f t="shared" ref="T201:U201" si="118">ABS(T131 + T166)*(1-T88)*PowerFactor*$H29</f>
        <v>1.1810569471847049E-2</v>
      </c>
      <c r="U201" s="274">
        <f t="shared" si="118"/>
        <v>1.1810569471847049E-2</v>
      </c>
      <c r="V201" s="274">
        <f t="shared" ref="V201:W201" si="119">ABS(V131 + V166)*(1-V88)*PowerFactor*$H29</f>
        <v>4.8988399900320176E-4</v>
      </c>
      <c r="W201" s="274">
        <f t="shared" si="119"/>
        <v>4.8988399900320176E-4</v>
      </c>
      <c r="X201" s="274">
        <f t="shared" ref="X201:Y201" si="120">ABS(X131 + X166)*(1-X88)*PowerFactor*$H29</f>
        <v>0</v>
      </c>
      <c r="Y201" s="274">
        <f t="shared" si="120"/>
        <v>0</v>
      </c>
      <c r="Z201" s="259"/>
      <c r="AA201" s="259"/>
    </row>
    <row r="202" spans="4:27" x14ac:dyDescent="0.3">
      <c r="F202" t="s">
        <v>198</v>
      </c>
      <c r="G202" t="s">
        <v>271</v>
      </c>
      <c r="H202" s="259"/>
      <c r="I202" s="259"/>
      <c r="J202" s="274">
        <f t="shared" ref="J202:K202" si="121">ABS(J132 + J167)*(1-J89)*PowerFactor*$H30</f>
        <v>0</v>
      </c>
      <c r="K202" s="274">
        <f t="shared" si="121"/>
        <v>0</v>
      </c>
      <c r="L202" s="274">
        <f t="shared" ref="L202:M202" si="122">ABS(L132 + L167)*(1-L89)*PowerFactor*$H30</f>
        <v>0</v>
      </c>
      <c r="M202" s="274">
        <f t="shared" si="122"/>
        <v>0</v>
      </c>
      <c r="N202" s="274">
        <f t="shared" ref="N202:P202" si="123">ABS(N132 + N167)*(1-N89)*PowerFactor*$H30</f>
        <v>0</v>
      </c>
      <c r="O202" s="274">
        <f t="shared" si="123"/>
        <v>0</v>
      </c>
      <c r="P202" s="274">
        <f t="shared" si="123"/>
        <v>0</v>
      </c>
      <c r="Q202" s="274">
        <f t="shared" ref="Q202:S202" si="124">ABS(Q132 + Q167)*(1-Q89)*PowerFactor*$H30</f>
        <v>3.5887504741737079E-4</v>
      </c>
      <c r="R202" s="274">
        <f t="shared" si="124"/>
        <v>2.8059974900761404E-4</v>
      </c>
      <c r="S202" s="274">
        <f t="shared" si="124"/>
        <v>0</v>
      </c>
      <c r="T202" s="274">
        <f t="shared" ref="T202:U202" si="125">ABS(T132 + T167)*(1-T89)*PowerFactor*$H30</f>
        <v>2.8059974900761404E-4</v>
      </c>
      <c r="U202" s="274">
        <f t="shared" si="125"/>
        <v>2.8059974900761404E-4</v>
      </c>
      <c r="V202" s="274">
        <f t="shared" ref="V202:W202" si="126">ABS(V132 + V167)*(1-V89)*PowerFactor*$H30</f>
        <v>0</v>
      </c>
      <c r="W202" s="274">
        <f t="shared" si="126"/>
        <v>0</v>
      </c>
      <c r="X202" s="274">
        <f t="shared" ref="X202:Y202" si="127">ABS(X132 + X167)*(1-X89)*PowerFactor*$H30</f>
        <v>0</v>
      </c>
      <c r="Y202" s="274">
        <f t="shared" si="127"/>
        <v>0</v>
      </c>
      <c r="Z202" s="259"/>
      <c r="AA202" s="259"/>
    </row>
    <row r="203" spans="4:27" x14ac:dyDescent="0.3">
      <c r="F203" t="s">
        <v>375</v>
      </c>
      <c r="G203" t="s">
        <v>271</v>
      </c>
      <c r="H203" s="259"/>
      <c r="I203" s="259"/>
      <c r="J203" s="260"/>
      <c r="K203" s="260"/>
      <c r="L203" s="260"/>
      <c r="M203" s="260"/>
      <c r="N203" s="260"/>
      <c r="O203" s="260"/>
      <c r="P203" s="260"/>
      <c r="Q203" s="260"/>
      <c r="R203" s="260"/>
      <c r="S203" s="260"/>
      <c r="T203" s="260"/>
      <c r="U203" s="260"/>
      <c r="V203" s="260"/>
      <c r="W203" s="260"/>
      <c r="X203" s="260"/>
      <c r="Y203" s="260"/>
      <c r="Z203" s="259"/>
      <c r="AA203" s="259"/>
    </row>
    <row r="204" spans="4:27" x14ac:dyDescent="0.3">
      <c r="F204" s="37" t="s">
        <v>376</v>
      </c>
      <c r="G204" s="37" t="s">
        <v>271</v>
      </c>
      <c r="H204" s="261"/>
      <c r="I204" s="261"/>
      <c r="J204" s="262"/>
      <c r="K204" s="262"/>
      <c r="L204" s="262"/>
      <c r="M204" s="262"/>
      <c r="N204" s="262"/>
      <c r="O204" s="262"/>
      <c r="P204" s="262"/>
      <c r="Q204" s="262"/>
      <c r="R204" s="262"/>
      <c r="S204" s="262"/>
      <c r="T204" s="262"/>
      <c r="U204" s="262"/>
      <c r="V204" s="262"/>
      <c r="W204" s="262"/>
      <c r="X204" s="262"/>
      <c r="Y204" s="262"/>
      <c r="Z204" s="259"/>
      <c r="AA204" s="259"/>
    </row>
    <row r="205" spans="4:27" x14ac:dyDescent="0.3">
      <c r="D205"/>
      <c r="J205" s="89"/>
      <c r="K205" s="89"/>
      <c r="L205" s="89"/>
      <c r="M205" s="89"/>
      <c r="N205" s="89"/>
      <c r="O205" s="89"/>
      <c r="P205" s="89"/>
      <c r="Q205" s="89"/>
      <c r="R205" s="89"/>
      <c r="S205" s="89"/>
      <c r="T205" s="89"/>
      <c r="U205" s="89"/>
      <c r="V205" s="89"/>
      <c r="W205" s="89"/>
      <c r="X205" s="89"/>
      <c r="Y205" s="89"/>
    </row>
    <row r="206" spans="4:27" x14ac:dyDescent="0.3">
      <c r="E206" s="32" t="s">
        <v>621</v>
      </c>
      <c r="J206" s="89"/>
      <c r="K206" s="89"/>
      <c r="L206" s="89"/>
      <c r="M206" s="89"/>
      <c r="N206" s="89"/>
      <c r="O206" s="89"/>
      <c r="P206" s="89"/>
      <c r="Q206" s="89"/>
      <c r="R206" s="89"/>
      <c r="S206" s="89"/>
      <c r="T206" s="89"/>
      <c r="U206" s="89"/>
      <c r="V206" s="89"/>
      <c r="W206" s="89"/>
      <c r="X206" s="89"/>
      <c r="Y206" s="89"/>
    </row>
    <row r="207" spans="4:27" x14ac:dyDescent="0.3">
      <c r="F207" s="23" t="s">
        <v>188</v>
      </c>
      <c r="G207" s="23" t="s">
        <v>271</v>
      </c>
      <c r="H207" s="258"/>
      <c r="I207" s="258"/>
      <c r="J207" s="420">
        <f t="shared" ref="J207:K207" si="128">ABS(J137 + J172)*(1-J81)*PowerFactor*$H22</f>
        <v>1.2151022816840877E-2</v>
      </c>
      <c r="K207" s="420">
        <f t="shared" si="128"/>
        <v>1.2151022816840877E-2</v>
      </c>
      <c r="L207" s="420">
        <f t="shared" ref="L207:M207" si="129">ABS(L137 + L172)*(1-L81)*PowerFactor*$H22</f>
        <v>1.2376290720052941E-2</v>
      </c>
      <c r="M207" s="420">
        <f t="shared" si="129"/>
        <v>1.2376290720052941E-2</v>
      </c>
      <c r="N207" s="420">
        <f t="shared" ref="N207:P207" si="130">ABS(N137 + N172)*(1-N81)*PowerFactor*$H22</f>
        <v>1.0834631947010868E-2</v>
      </c>
      <c r="O207" s="420">
        <f t="shared" si="130"/>
        <v>9.7835522618255674E-3</v>
      </c>
      <c r="P207" s="420">
        <f t="shared" si="130"/>
        <v>8.1401610579833229E-3</v>
      </c>
      <c r="Q207" s="420">
        <f t="shared" ref="Q207:S207" si="131">ABS(Q137 + Q172)*(1-Q81)*PowerFactor*$H22</f>
        <v>8.8397018792421185E-3</v>
      </c>
      <c r="R207" s="420">
        <f t="shared" si="131"/>
        <v>6.9116483479910286E-3</v>
      </c>
      <c r="S207" s="420">
        <f t="shared" si="131"/>
        <v>6.6893024883124368E-3</v>
      </c>
      <c r="T207" s="420">
        <f t="shared" ref="T207:U207" si="132">ABS(T137 + T172)*(1-T81)*PowerFactor*$H22</f>
        <v>6.9116483479910286E-3</v>
      </c>
      <c r="U207" s="420">
        <f t="shared" si="132"/>
        <v>6.9116483479910286E-3</v>
      </c>
      <c r="V207" s="420">
        <f t="shared" ref="V207:W207" si="133">ABS(V137 + V172)*(1-V81)*PowerFactor*$H22</f>
        <v>6.6893024883124368E-3</v>
      </c>
      <c r="W207" s="420">
        <f t="shared" si="133"/>
        <v>6.6893024883124368E-3</v>
      </c>
      <c r="X207" s="420">
        <f t="shared" ref="X207:Y207" si="134">ABS(X137 + X172)*(1-X81)*PowerFactor*$H22</f>
        <v>6.5884038689672016E-3</v>
      </c>
      <c r="Y207" s="420">
        <f t="shared" si="134"/>
        <v>6.5884038689672016E-3</v>
      </c>
      <c r="Z207" s="259"/>
      <c r="AA207" s="259"/>
    </row>
    <row r="208" spans="4:27" x14ac:dyDescent="0.3">
      <c r="F208" t="s">
        <v>190</v>
      </c>
      <c r="G208" t="s">
        <v>271</v>
      </c>
      <c r="H208" s="259"/>
      <c r="I208" s="259"/>
      <c r="J208" s="274">
        <f t="shared" ref="J208:K208" si="135">ABS(J138 + J173)*(1-J81)*PowerFactor*$H22</f>
        <v>0</v>
      </c>
      <c r="K208" s="274">
        <f t="shared" si="135"/>
        <v>0</v>
      </c>
      <c r="L208" s="274">
        <f t="shared" ref="L208:M208" si="136">ABS(L138 + L173)*(1-L81)*PowerFactor*$H22</f>
        <v>0</v>
      </c>
      <c r="M208" s="274">
        <f t="shared" si="136"/>
        <v>0</v>
      </c>
      <c r="N208" s="274">
        <f t="shared" ref="N208:P208" si="137">ABS(N138 + N173)*(1-N81)*PowerFactor*$H22</f>
        <v>0</v>
      </c>
      <c r="O208" s="274">
        <f t="shared" si="137"/>
        <v>0</v>
      </c>
      <c r="P208" s="274">
        <f t="shared" si="137"/>
        <v>0</v>
      </c>
      <c r="Q208" s="274">
        <f t="shared" ref="Q208:S208" si="138">ABS(Q138 + Q173)*(1-Q81)*PowerFactor*$H22</f>
        <v>0</v>
      </c>
      <c r="R208" s="274">
        <f t="shared" si="138"/>
        <v>0</v>
      </c>
      <c r="S208" s="274">
        <f t="shared" si="138"/>
        <v>0</v>
      </c>
      <c r="T208" s="274">
        <f t="shared" ref="T208:U208" si="139">ABS(T138 + T173)*(1-T81)*PowerFactor*$H22</f>
        <v>0</v>
      </c>
      <c r="U208" s="274">
        <f t="shared" si="139"/>
        <v>0</v>
      </c>
      <c r="V208" s="274">
        <f t="shared" ref="V208:W208" si="140">ABS(V138 + V173)*(1-V81)*PowerFactor*$H22</f>
        <v>0</v>
      </c>
      <c r="W208" s="274">
        <f t="shared" si="140"/>
        <v>0</v>
      </c>
      <c r="X208" s="274">
        <f t="shared" ref="X208:Y208" si="141">ABS(X138 + X173)*(1-X81)*PowerFactor*$H22</f>
        <v>0</v>
      </c>
      <c r="Y208" s="274">
        <f t="shared" si="141"/>
        <v>0</v>
      </c>
      <c r="Z208" s="259"/>
      <c r="AA208" s="259"/>
    </row>
    <row r="209" spans="3:27" x14ac:dyDescent="0.3">
      <c r="F209" t="s">
        <v>191</v>
      </c>
      <c r="G209" t="s">
        <v>271</v>
      </c>
      <c r="H209" s="259"/>
      <c r="I209" s="259"/>
      <c r="J209" s="274">
        <f t="shared" ref="J209:K209" si="142">ABS(J139 + J174)*(1-J82)*PowerFactor*$H23</f>
        <v>1.1209769275388732E-2</v>
      </c>
      <c r="K209" s="274">
        <f t="shared" si="142"/>
        <v>1.1209769275388732E-2</v>
      </c>
      <c r="L209" s="274">
        <f t="shared" ref="L209:M209" si="143">ABS(L139 + L174)*(1-L82)*PowerFactor*$H23</f>
        <v>1.1417587272130372E-2</v>
      </c>
      <c r="M209" s="274">
        <f t="shared" si="143"/>
        <v>1.1417587272130372E-2</v>
      </c>
      <c r="N209" s="274">
        <f t="shared" ref="N209:P209" si="144">ABS(N139 + N174)*(1-N82)*PowerFactor*$H23</f>
        <v>9.9953498681129276E-3</v>
      </c>
      <c r="O209" s="274">
        <f t="shared" si="144"/>
        <v>9.0256898700553541E-3</v>
      </c>
      <c r="P209" s="274">
        <f t="shared" si="144"/>
        <v>7.5096005249886497E-3</v>
      </c>
      <c r="Q209" s="274">
        <f t="shared" ref="Q209:S209" si="145">ABS(Q139 + Q174)*(1-Q82)*PowerFactor*$H23</f>
        <v>8.1549528811836122E-3</v>
      </c>
      <c r="R209" s="274">
        <f t="shared" si="145"/>
        <v>6.3762519798925433E-3</v>
      </c>
      <c r="S209" s="274">
        <f t="shared" si="145"/>
        <v>6.1711296767000476E-3</v>
      </c>
      <c r="T209" s="274">
        <f t="shared" ref="T209:U209" si="146">ABS(T139 + T174)*(1-T82)*PowerFactor*$H23</f>
        <v>6.3762519798925433E-3</v>
      </c>
      <c r="U209" s="274">
        <f t="shared" si="146"/>
        <v>6.3762519798925433E-3</v>
      </c>
      <c r="V209" s="274">
        <f t="shared" ref="V209:W209" si="147">ABS(V139 + V174)*(1-V82)*PowerFactor*$H23</f>
        <v>6.1711296767000476E-3</v>
      </c>
      <c r="W209" s="274">
        <f t="shared" si="147"/>
        <v>6.1711296767000476E-3</v>
      </c>
      <c r="X209" s="274">
        <f t="shared" ref="X209:Y209" si="148">ABS(X139 + X174)*(1-X82)*PowerFactor*$H23</f>
        <v>6.0780469576471492E-3</v>
      </c>
      <c r="Y209" s="274">
        <f t="shared" si="148"/>
        <v>6.0780469576471492E-3</v>
      </c>
      <c r="Z209" s="259"/>
      <c r="AA209" s="259"/>
    </row>
    <row r="210" spans="3:27" x14ac:dyDescent="0.3">
      <c r="F210" t="s">
        <v>192</v>
      </c>
      <c r="G210" t="s">
        <v>271</v>
      </c>
      <c r="H210" s="259"/>
      <c r="I210" s="259"/>
      <c r="J210" s="274">
        <f t="shared" ref="J210:K210" si="149">ABS(J140 + J175)*(1-J83)*PowerFactor*$H24</f>
        <v>6.1355845114337056E-3</v>
      </c>
      <c r="K210" s="274">
        <f t="shared" si="149"/>
        <v>6.1355845114337056E-3</v>
      </c>
      <c r="L210" s="274">
        <f t="shared" ref="L210:M210" si="150">ABS(L140 + L175)*(1-L83)*PowerFactor*$H24</f>
        <v>6.2493321587474343E-3</v>
      </c>
      <c r="M210" s="274">
        <f t="shared" si="150"/>
        <v>6.2493321587474343E-3</v>
      </c>
      <c r="N210" s="274">
        <f t="shared" ref="N210:P210" si="151">ABS(N140 + N175)*(1-N83)*PowerFactor*$H24</f>
        <v>5.4708810083897025E-3</v>
      </c>
      <c r="O210" s="274">
        <f t="shared" si="151"/>
        <v>4.9401447622386798E-3</v>
      </c>
      <c r="P210" s="274">
        <f t="shared" si="151"/>
        <v>4.1103244443518629E-3</v>
      </c>
      <c r="Q210" s="274">
        <f t="shared" ref="Q210:S210" si="152">ABS(Q140 + Q175)*(1-Q83)*PowerFactor*$H24</f>
        <v>4.4635532953488655E-3</v>
      </c>
      <c r="R210" s="274">
        <f t="shared" si="152"/>
        <v>3.48999447961167E-3</v>
      </c>
      <c r="S210" s="274">
        <f t="shared" si="152"/>
        <v>3.3777223002742561E-3</v>
      </c>
      <c r="T210" s="274">
        <f t="shared" ref="T210:U210" si="153">ABS(T140 + T175)*(1-T83)*PowerFactor*$H24</f>
        <v>3.48999447961167E-3</v>
      </c>
      <c r="U210" s="274">
        <f t="shared" si="153"/>
        <v>3.48999447961167E-3</v>
      </c>
      <c r="V210" s="274">
        <f t="shared" ref="V210:W210" si="154">ABS(V140 + V175)*(1-V83)*PowerFactor*$H24</f>
        <v>3.3777223002742561E-3</v>
      </c>
      <c r="W210" s="274">
        <f t="shared" si="154"/>
        <v>3.3777223002742561E-3</v>
      </c>
      <c r="X210" s="274">
        <f t="shared" ref="X210:Y210" si="155">ABS(X140 + X175)*(1-X83)*PowerFactor*$H24</f>
        <v>3.3267741607298494E-3</v>
      </c>
      <c r="Y210" s="274">
        <f t="shared" si="155"/>
        <v>3.3267741607298494E-3</v>
      </c>
      <c r="Z210" s="259"/>
      <c r="AA210" s="259"/>
    </row>
    <row r="211" spans="3:27" x14ac:dyDescent="0.3">
      <c r="F211" t="s">
        <v>193</v>
      </c>
      <c r="G211" t="s">
        <v>271</v>
      </c>
      <c r="H211" s="259"/>
      <c r="I211" s="259"/>
      <c r="J211" s="274">
        <f t="shared" ref="J211:K211" si="156">ABS(J141 + J176)*(1-J84)*PowerFactor*$H25</f>
        <v>1.5492765709528237E-2</v>
      </c>
      <c r="K211" s="274">
        <f t="shared" si="156"/>
        <v>1.5492765709528237E-2</v>
      </c>
      <c r="L211" s="274">
        <f t="shared" ref="L211:M211" si="157">ABS(L141 + L176)*(1-L84)*PowerFactor*$H25</f>
        <v>1.5779986209312348E-2</v>
      </c>
      <c r="M211" s="274">
        <f t="shared" si="157"/>
        <v>1.5779986209312348E-2</v>
      </c>
      <c r="N211" s="274">
        <f t="shared" ref="N211:P211" si="158">ABS(N141 + N176)*(1-N84)*PowerFactor*$H25</f>
        <v>1.3814344424681966E-2</v>
      </c>
      <c r="O211" s="274">
        <f t="shared" si="158"/>
        <v>1.2474199520826521E-2</v>
      </c>
      <c r="P211" s="274">
        <f t="shared" si="158"/>
        <v>8.3030776921509675E-3</v>
      </c>
      <c r="Q211" s="274">
        <f t="shared" ref="Q211:S211" si="159">ABS(Q141 + Q176)*(1-Q84)*PowerFactor*$H25</f>
        <v>1.1270773845257279E-2</v>
      </c>
      <c r="R211" s="274">
        <f t="shared" si="159"/>
        <v>8.8124720145914895E-3</v>
      </c>
      <c r="S211" s="274">
        <f t="shared" si="159"/>
        <v>8.5289771712018635E-3</v>
      </c>
      <c r="T211" s="274">
        <f t="shared" ref="T211:U211" si="160">ABS(T141 + T176)*(1-T84)*PowerFactor*$H25</f>
        <v>8.8124720145914895E-3</v>
      </c>
      <c r="U211" s="274">
        <f t="shared" si="160"/>
        <v>8.8124720145914895E-3</v>
      </c>
      <c r="V211" s="274">
        <f t="shared" ref="V211:W211" si="161">ABS(V141 + V176)*(1-V84)*PowerFactor*$H25</f>
        <v>8.5289771712018635E-3</v>
      </c>
      <c r="W211" s="274">
        <f t="shared" si="161"/>
        <v>8.5289771712018635E-3</v>
      </c>
      <c r="X211" s="274">
        <f t="shared" ref="X211:Y211" si="162">ABS(X141 + X176)*(1-X84)*PowerFactor*$H25</f>
        <v>8.4003296743208559E-3</v>
      </c>
      <c r="Y211" s="274">
        <f t="shared" si="162"/>
        <v>8.4003296743208559E-3</v>
      </c>
      <c r="Z211" s="259"/>
      <c r="AA211" s="259"/>
    </row>
    <row r="212" spans="3:27" x14ac:dyDescent="0.3">
      <c r="F212" t="s">
        <v>194</v>
      </c>
      <c r="G212" t="s">
        <v>271</v>
      </c>
      <c r="H212" s="259"/>
      <c r="I212" s="259"/>
      <c r="J212" s="274">
        <f t="shared" ref="J212:K212" si="163">ABS(J142 + J177)*(1-J85)*PowerFactor*$H26</f>
        <v>8.7474361860064905E-3</v>
      </c>
      <c r="K212" s="274">
        <f t="shared" si="163"/>
        <v>8.7474361860064905E-3</v>
      </c>
      <c r="L212" s="274">
        <f t="shared" ref="L212:M212" si="164">ABS(L142 + L177)*(1-L85)*PowerFactor*$H26</f>
        <v>8.9096049711207739E-3</v>
      </c>
      <c r="M212" s="274">
        <f t="shared" si="164"/>
        <v>8.9096049711207739E-3</v>
      </c>
      <c r="N212" s="274">
        <f t="shared" ref="N212:P212" si="165">ABS(N142 + N177)*(1-N85)*PowerFactor*$H26</f>
        <v>7.7997756225088944E-3</v>
      </c>
      <c r="O212" s="274">
        <f t="shared" si="165"/>
        <v>7.0431107218535101E-3</v>
      </c>
      <c r="P212" s="274">
        <f t="shared" si="165"/>
        <v>0</v>
      </c>
      <c r="Q212" s="274">
        <f t="shared" ref="Q212:S212" si="166">ABS(Q142 + Q177)*(1-Q85)*PowerFactor*$H26</f>
        <v>6.3636394448064754E-3</v>
      </c>
      <c r="R212" s="274">
        <f t="shared" si="166"/>
        <v>4.9756472171523236E-3</v>
      </c>
      <c r="S212" s="274">
        <f t="shared" si="166"/>
        <v>4.8155819907036001E-3</v>
      </c>
      <c r="T212" s="274">
        <f t="shared" ref="T212:U212" si="167">ABS(T142 + T177)*(1-T85)*PowerFactor*$H26</f>
        <v>4.9756472171523236E-3</v>
      </c>
      <c r="U212" s="274">
        <f t="shared" si="167"/>
        <v>4.9756472171523236E-3</v>
      </c>
      <c r="V212" s="274">
        <f t="shared" ref="V212:W212" si="168">ABS(V142 + V177)*(1-V85)*PowerFactor*$H26</f>
        <v>4.8155819907036001E-3</v>
      </c>
      <c r="W212" s="274">
        <f t="shared" si="168"/>
        <v>4.8155819907036001E-3</v>
      </c>
      <c r="X212" s="274">
        <f t="shared" ref="X212:Y212" si="169">ABS(X142 + X177)*(1-X85)*PowerFactor*$H26</f>
        <v>4.742945781613832E-3</v>
      </c>
      <c r="Y212" s="274">
        <f t="shared" si="169"/>
        <v>4.742945781613832E-3</v>
      </c>
      <c r="Z212" s="259"/>
      <c r="AA212" s="259"/>
    </row>
    <row r="213" spans="3:27" x14ac:dyDescent="0.3">
      <c r="F213" t="s">
        <v>195</v>
      </c>
      <c r="G213" t="s">
        <v>271</v>
      </c>
      <c r="H213" s="259"/>
      <c r="I213" s="259"/>
      <c r="J213" s="274">
        <f t="shared" ref="J213:K213" si="170">ABS(J143 + J178)*(1-J86)*PowerFactor*$H27</f>
        <v>0</v>
      </c>
      <c r="K213" s="274">
        <f t="shared" si="170"/>
        <v>0</v>
      </c>
      <c r="L213" s="274">
        <f t="shared" ref="L213:M213" si="171">ABS(L143 + L178)*(1-L86)*PowerFactor*$H27</f>
        <v>0</v>
      </c>
      <c r="M213" s="274">
        <f t="shared" si="171"/>
        <v>0</v>
      </c>
      <c r="N213" s="274">
        <f t="shared" ref="N213:P213" si="172">ABS(N143 + N178)*(1-N86)*PowerFactor*$H27</f>
        <v>0</v>
      </c>
      <c r="O213" s="274">
        <f t="shared" si="172"/>
        <v>0</v>
      </c>
      <c r="P213" s="274">
        <f t="shared" si="172"/>
        <v>0</v>
      </c>
      <c r="Q213" s="274">
        <f t="shared" ref="Q213:S213" si="173">ABS(Q143 + Q178)*(1-Q86)*PowerFactor*$H27</f>
        <v>0</v>
      </c>
      <c r="R213" s="274">
        <f t="shared" si="173"/>
        <v>0</v>
      </c>
      <c r="S213" s="274">
        <f t="shared" si="173"/>
        <v>0</v>
      </c>
      <c r="T213" s="274">
        <f t="shared" ref="T213:U213" si="174">ABS(T143 + T178)*(1-T86)*PowerFactor*$H27</f>
        <v>0</v>
      </c>
      <c r="U213" s="274">
        <f t="shared" si="174"/>
        <v>0</v>
      </c>
      <c r="V213" s="274">
        <f t="shared" ref="V213:W213" si="175">ABS(V143 + V178)*(1-V86)*PowerFactor*$H27</f>
        <v>0</v>
      </c>
      <c r="W213" s="274">
        <f t="shared" si="175"/>
        <v>0</v>
      </c>
      <c r="X213" s="274">
        <f t="shared" ref="X213:Y213" si="176">ABS(X143 + X178)*(1-X86)*PowerFactor*$H27</f>
        <v>0</v>
      </c>
      <c r="Y213" s="274">
        <f t="shared" si="176"/>
        <v>0</v>
      </c>
      <c r="Z213" s="259"/>
      <c r="AA213" s="259"/>
    </row>
    <row r="214" spans="3:27" x14ac:dyDescent="0.3">
      <c r="F214" t="s">
        <v>196</v>
      </c>
      <c r="G214" t="s">
        <v>271</v>
      </c>
      <c r="H214" s="259"/>
      <c r="I214" s="259"/>
      <c r="J214" s="274">
        <f t="shared" ref="J214:K214" si="177">ABS(J144 + J179)*(1-J87)*PowerFactor*$H28</f>
        <v>1.5880801324450241E-2</v>
      </c>
      <c r="K214" s="274">
        <f t="shared" si="177"/>
        <v>1.5880801324450241E-2</v>
      </c>
      <c r="L214" s="274">
        <f t="shared" ref="L214:M214" si="178">ABS(L144 + L179)*(1-L87)*PowerFactor*$H28</f>
        <v>1.617521561941215E-2</v>
      </c>
      <c r="M214" s="274">
        <f t="shared" si="178"/>
        <v>1.617521561941215E-2</v>
      </c>
      <c r="N214" s="274">
        <f t="shared" ref="N214:P214" si="179">ABS(N144 + N179)*(1-N87)*PowerFactor*$H28</f>
        <v>1.1328273510312138E-2</v>
      </c>
      <c r="O214" s="274">
        <f t="shared" si="179"/>
        <v>0</v>
      </c>
      <c r="P214" s="274">
        <f t="shared" si="179"/>
        <v>0</v>
      </c>
      <c r="Q214" s="274">
        <f t="shared" ref="Q214:S214" si="180">ABS(Q144 + Q179)*(1-Q87)*PowerFactor*$H28</f>
        <v>1.1553064415042474E-2</v>
      </c>
      <c r="R214" s="274">
        <f t="shared" si="180"/>
        <v>9.0331913529767532E-3</v>
      </c>
      <c r="S214" s="274">
        <f t="shared" si="180"/>
        <v>8.7425960281143945E-3</v>
      </c>
      <c r="T214" s="274">
        <f t="shared" ref="T214:U214" si="181">ABS(T144 + T179)*(1-T87)*PowerFactor*$H28</f>
        <v>9.0331913529767532E-3</v>
      </c>
      <c r="U214" s="274">
        <f t="shared" si="181"/>
        <v>9.0331913529767532E-3</v>
      </c>
      <c r="V214" s="274">
        <f t="shared" ref="V214:W214" si="182">ABS(V144 + V179)*(1-V87)*PowerFactor*$H28</f>
        <v>8.7425960281143945E-3</v>
      </c>
      <c r="W214" s="274">
        <f t="shared" si="182"/>
        <v>8.7425960281143945E-3</v>
      </c>
      <c r="X214" s="274">
        <f t="shared" ref="X214:Y214" si="183">ABS(X144 + X179)*(1-X87)*PowerFactor*$H28</f>
        <v>8.6107263944311934E-3</v>
      </c>
      <c r="Y214" s="274">
        <f t="shared" si="183"/>
        <v>8.6107263944311934E-3</v>
      </c>
      <c r="Z214" s="259"/>
      <c r="AA214" s="259"/>
    </row>
    <row r="215" spans="3:27" x14ac:dyDescent="0.3">
      <c r="F215" t="s">
        <v>197</v>
      </c>
      <c r="G215" t="s">
        <v>271</v>
      </c>
      <c r="H215" s="259"/>
      <c r="I215" s="259"/>
      <c r="J215" s="274">
        <f t="shared" ref="J215:K215" si="184">ABS(J145 + J180)*(1-J88)*PowerFactor*$H29</f>
        <v>1.4418503526367235E-2</v>
      </c>
      <c r="K215" s="274">
        <f t="shared" si="184"/>
        <v>1.4418503526367235E-2</v>
      </c>
      <c r="L215" s="274">
        <f t="shared" ref="L215:M215" si="185">ABS(L145 + L180)*(1-L88)*PowerFactor*$H29</f>
        <v>1.4685808271473868E-2</v>
      </c>
      <c r="M215" s="274">
        <f t="shared" si="185"/>
        <v>1.4685808271473868E-2</v>
      </c>
      <c r="N215" s="274">
        <f t="shared" ref="N215:P215" si="186">ABS(N145 + N180)*(1-N88)*PowerFactor*$H29</f>
        <v>0</v>
      </c>
      <c r="O215" s="274">
        <f t="shared" si="186"/>
        <v>0</v>
      </c>
      <c r="P215" s="274">
        <f t="shared" si="186"/>
        <v>0</v>
      </c>
      <c r="Q215" s="274">
        <f t="shared" ref="Q215:S215" si="187">ABS(Q145 + Q180)*(1-Q88)*PowerFactor*$H29</f>
        <v>1.0489262890794606E-2</v>
      </c>
      <c r="R215" s="274">
        <f t="shared" si="187"/>
        <v>8.2014187266935112E-3</v>
      </c>
      <c r="S215" s="274">
        <f t="shared" si="187"/>
        <v>7.9375813024558026E-3</v>
      </c>
      <c r="T215" s="274">
        <f t="shared" ref="T215:U215" si="188">ABS(T145 + T180)*(1-T88)*PowerFactor*$H29</f>
        <v>8.2014187266935112E-3</v>
      </c>
      <c r="U215" s="274">
        <f t="shared" si="188"/>
        <v>8.2014187266935112E-3</v>
      </c>
      <c r="V215" s="274">
        <f t="shared" ref="V215:W215" si="189">ABS(V145 + V180)*(1-V88)*PowerFactor*$H29</f>
        <v>7.9375813024558026E-3</v>
      </c>
      <c r="W215" s="274">
        <f t="shared" si="189"/>
        <v>7.9375813024558026E-3</v>
      </c>
      <c r="X215" s="274">
        <f t="shared" ref="X215:Y215" si="190">ABS(X145 + X180)*(1-X88)*PowerFactor*$H29</f>
        <v>0</v>
      </c>
      <c r="Y215" s="274">
        <f t="shared" si="190"/>
        <v>0</v>
      </c>
      <c r="Z215" s="259"/>
      <c r="AA215" s="259"/>
    </row>
    <row r="216" spans="3:27" x14ac:dyDescent="0.3">
      <c r="F216" t="s">
        <v>198</v>
      </c>
      <c r="G216" t="s">
        <v>271</v>
      </c>
      <c r="H216" s="259"/>
      <c r="I216" s="259"/>
      <c r="J216" s="274">
        <f t="shared" ref="J216:K216" si="191">ABS(J146 + J181)*(1-J89)*PowerFactor*$H30</f>
        <v>0</v>
      </c>
      <c r="K216" s="274">
        <f t="shared" si="191"/>
        <v>0</v>
      </c>
      <c r="L216" s="274">
        <f t="shared" ref="L216:M216" si="192">ABS(L146 + L181)*(1-L89)*PowerFactor*$H30</f>
        <v>0</v>
      </c>
      <c r="M216" s="274">
        <f t="shared" si="192"/>
        <v>0</v>
      </c>
      <c r="N216" s="274">
        <f t="shared" ref="N216:P216" si="193">ABS(N146 + N181)*(1-N89)*PowerFactor*$H30</f>
        <v>0</v>
      </c>
      <c r="O216" s="274">
        <f t="shared" si="193"/>
        <v>0</v>
      </c>
      <c r="P216" s="274">
        <f t="shared" si="193"/>
        <v>0</v>
      </c>
      <c r="Q216" s="274">
        <f t="shared" ref="Q216:S216" si="194">ABS(Q146 + Q181)*(1-Q89)*PowerFactor*$H30</f>
        <v>5.8148457024403506E-3</v>
      </c>
      <c r="R216" s="274">
        <f t="shared" si="194"/>
        <v>4.5465525016710551E-3</v>
      </c>
      <c r="S216" s="274">
        <f t="shared" si="194"/>
        <v>0</v>
      </c>
      <c r="T216" s="274">
        <f t="shared" ref="T216:U216" si="195">ABS(T146 + T181)*(1-T89)*PowerFactor*$H30</f>
        <v>4.5465525016710551E-3</v>
      </c>
      <c r="U216" s="274">
        <f t="shared" si="195"/>
        <v>4.5465525016710551E-3</v>
      </c>
      <c r="V216" s="274">
        <f t="shared" ref="V216:W216" si="196">ABS(V146 + V181)*(1-V89)*PowerFactor*$H30</f>
        <v>0</v>
      </c>
      <c r="W216" s="274">
        <f t="shared" si="196"/>
        <v>0</v>
      </c>
      <c r="X216" s="274">
        <f t="shared" ref="X216:Y216" si="197">ABS(X146 + X181)*(1-X89)*PowerFactor*$H30</f>
        <v>0</v>
      </c>
      <c r="Y216" s="274">
        <f t="shared" si="197"/>
        <v>0</v>
      </c>
      <c r="Z216" s="259"/>
      <c r="AA216" s="259"/>
    </row>
    <row r="217" spans="3:27" x14ac:dyDescent="0.3">
      <c r="F217" t="s">
        <v>375</v>
      </c>
      <c r="G217" t="s">
        <v>271</v>
      </c>
      <c r="H217" s="259"/>
      <c r="I217" s="259"/>
      <c r="J217" s="260"/>
      <c r="K217" s="260"/>
      <c r="L217" s="260"/>
      <c r="M217" s="260"/>
      <c r="N217" s="260"/>
      <c r="O217" s="260"/>
      <c r="P217" s="260"/>
      <c r="Q217" s="260"/>
      <c r="R217" s="260"/>
      <c r="S217" s="260"/>
      <c r="T217" s="260"/>
      <c r="U217" s="260"/>
      <c r="V217" s="260"/>
      <c r="W217" s="260"/>
      <c r="X217" s="260"/>
      <c r="Y217" s="260"/>
      <c r="Z217" s="259"/>
      <c r="AA217" s="259"/>
    </row>
    <row r="218" spans="3:27" x14ac:dyDescent="0.3">
      <c r="F218" s="37" t="s">
        <v>376</v>
      </c>
      <c r="G218" s="37" t="s">
        <v>271</v>
      </c>
      <c r="H218" s="261"/>
      <c r="I218" s="261"/>
      <c r="J218" s="262"/>
      <c r="K218" s="262"/>
      <c r="L218" s="262"/>
      <c r="M218" s="262"/>
      <c r="N218" s="262"/>
      <c r="O218" s="262"/>
      <c r="P218" s="262"/>
      <c r="Q218" s="262"/>
      <c r="R218" s="262"/>
      <c r="S218" s="262"/>
      <c r="T218" s="262"/>
      <c r="U218" s="262"/>
      <c r="V218" s="262"/>
      <c r="W218" s="262"/>
      <c r="X218" s="262"/>
      <c r="Y218" s="262"/>
      <c r="Z218" s="259"/>
      <c r="AA218" s="259"/>
    </row>
    <row r="219" spans="3:27" x14ac:dyDescent="0.3">
      <c r="J219" s="89"/>
      <c r="K219" s="89"/>
      <c r="L219" s="89"/>
      <c r="M219" s="89"/>
      <c r="N219" s="89"/>
      <c r="O219" s="89"/>
      <c r="P219" s="89"/>
      <c r="Q219" s="89"/>
      <c r="R219" s="89"/>
      <c r="S219" s="89"/>
      <c r="T219" s="89"/>
      <c r="U219" s="89"/>
      <c r="V219" s="89"/>
      <c r="W219" s="89"/>
      <c r="X219" s="89"/>
      <c r="Y219" s="89"/>
    </row>
    <row r="220" spans="3:27" x14ac:dyDescent="0.3">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3">
      <c r="D221" s="32"/>
      <c r="E221" s="32"/>
      <c r="J221" s="89"/>
      <c r="K221" s="89"/>
      <c r="L221" s="89"/>
      <c r="M221" s="89"/>
      <c r="N221" s="89"/>
      <c r="O221" s="89"/>
      <c r="P221" s="89"/>
      <c r="Q221" s="89"/>
      <c r="R221" s="89"/>
      <c r="S221" s="89"/>
      <c r="T221" s="89"/>
      <c r="U221" s="89"/>
      <c r="V221" s="89"/>
      <c r="W221" s="89"/>
      <c r="X221" s="89"/>
      <c r="Y221" s="89"/>
    </row>
    <row r="222" spans="3:27" x14ac:dyDescent="0.3">
      <c r="D222"/>
      <c r="E222" s="32" t="s">
        <v>620</v>
      </c>
      <c r="J222" s="89"/>
      <c r="K222" s="89"/>
      <c r="L222" s="89"/>
      <c r="M222" s="89"/>
      <c r="N222" s="89"/>
      <c r="O222" s="89"/>
      <c r="P222" s="89"/>
      <c r="Q222" s="89"/>
      <c r="R222" s="89"/>
      <c r="S222" s="89"/>
      <c r="T222" s="89"/>
      <c r="U222" s="89"/>
      <c r="V222" s="89"/>
      <c r="W222" s="89"/>
      <c r="X222" s="89"/>
      <c r="Y222" s="89"/>
    </row>
    <row r="223" spans="3:27" x14ac:dyDescent="0.3">
      <c r="D223"/>
      <c r="F223" s="23" t="s">
        <v>188</v>
      </c>
      <c r="G223" s="23" t="s">
        <v>271</v>
      </c>
      <c r="H223" s="258"/>
      <c r="I223" s="258"/>
      <c r="J223" s="272"/>
      <c r="K223" s="272"/>
      <c r="L223" s="272"/>
      <c r="M223" s="272"/>
      <c r="N223" s="272"/>
      <c r="O223" s="272"/>
      <c r="P223" s="272"/>
      <c r="Q223" s="272"/>
      <c r="R223" s="272"/>
      <c r="S223" s="272"/>
      <c r="T223" s="272"/>
      <c r="U223" s="272"/>
      <c r="V223" s="272"/>
      <c r="W223" s="272"/>
      <c r="X223" s="272"/>
      <c r="Y223" s="272"/>
      <c r="Z223" s="259"/>
      <c r="AA223" s="259"/>
    </row>
    <row r="224" spans="3:27" x14ac:dyDescent="0.3">
      <c r="D224"/>
      <c r="F224" t="s">
        <v>190</v>
      </c>
      <c r="G224" t="s">
        <v>271</v>
      </c>
      <c r="H224" s="259"/>
      <c r="I224" s="259"/>
      <c r="J224" s="260"/>
      <c r="K224" s="260"/>
      <c r="L224" s="260"/>
      <c r="M224" s="260"/>
      <c r="N224" s="260"/>
      <c r="O224" s="260"/>
      <c r="P224" s="260"/>
      <c r="Q224" s="260"/>
      <c r="R224" s="260"/>
      <c r="S224" s="260"/>
      <c r="T224" s="260"/>
      <c r="U224" s="260"/>
      <c r="V224" s="260"/>
      <c r="W224" s="260"/>
      <c r="X224" s="260"/>
      <c r="Y224" s="260"/>
      <c r="Z224" s="259"/>
      <c r="AA224" s="259"/>
    </row>
    <row r="225" spans="5:27" customFormat="1" x14ac:dyDescent="0.3">
      <c r="E225" s="2"/>
      <c r="F225" t="s">
        <v>191</v>
      </c>
      <c r="G225" t="s">
        <v>271</v>
      </c>
      <c r="H225" s="259"/>
      <c r="I225" s="259"/>
      <c r="J225" s="274">
        <f t="shared" ref="J225:K225" si="198">J$78 * J195</f>
        <v>0</v>
      </c>
      <c r="K225" s="274">
        <f t="shared" si="198"/>
        <v>0</v>
      </c>
      <c r="L225" s="274">
        <f t="shared" ref="L225:M225" si="199">L$78 * L195</f>
        <v>0</v>
      </c>
      <c r="M225" s="274">
        <f t="shared" si="199"/>
        <v>0</v>
      </c>
      <c r="N225" s="274">
        <f t="shared" ref="N225:P225" si="200">N$78 * N195</f>
        <v>2.0562779257506481E-2</v>
      </c>
      <c r="O225" s="274">
        <f t="shared" si="200"/>
        <v>1.8567961191307426E-2</v>
      </c>
      <c r="P225" s="274">
        <f t="shared" si="200"/>
        <v>1.5449009784041685E-2</v>
      </c>
      <c r="Q225" s="274">
        <f t="shared" ref="Q225:S225" si="201">Q$78 * Q195</f>
        <v>0</v>
      </c>
      <c r="R225" s="274">
        <f t="shared" si="201"/>
        <v>0</v>
      </c>
      <c r="S225" s="274">
        <f t="shared" si="201"/>
        <v>0</v>
      </c>
      <c r="T225" s="274">
        <f t="shared" ref="T225:U225" si="202">T$78 * T195</f>
        <v>1.3117445980660065E-2</v>
      </c>
      <c r="U225" s="274">
        <f t="shared" si="202"/>
        <v>0</v>
      </c>
      <c r="V225" s="274">
        <f t="shared" ref="V225:W225" si="203">V$78 * V195</f>
        <v>1.2695461288078724E-2</v>
      </c>
      <c r="W225" s="274">
        <f t="shared" si="203"/>
        <v>0</v>
      </c>
      <c r="X225" s="274">
        <f t="shared" ref="X225:Y225" si="204">X$78 * X195</f>
        <v>1.2503968300856793E-2</v>
      </c>
      <c r="Y225" s="274">
        <f t="shared" si="204"/>
        <v>0</v>
      </c>
      <c r="Z225" s="259"/>
      <c r="AA225" s="259"/>
    </row>
    <row r="226" spans="5:27" customFormat="1" x14ac:dyDescent="0.3">
      <c r="E226" s="2"/>
      <c r="F226" t="s">
        <v>192</v>
      </c>
      <c r="G226" t="s">
        <v>271</v>
      </c>
      <c r="H226" s="259"/>
      <c r="I226" s="259"/>
      <c r="J226" s="274">
        <f t="shared" ref="J226:K226" si="205">J$78 * J196</f>
        <v>0</v>
      </c>
      <c r="K226" s="274">
        <f t="shared" si="205"/>
        <v>0</v>
      </c>
      <c r="L226" s="274">
        <f t="shared" ref="L226:M226" si="206">L$78 * L196</f>
        <v>0</v>
      </c>
      <c r="M226" s="274">
        <f t="shared" si="206"/>
        <v>0</v>
      </c>
      <c r="N226" s="274">
        <f t="shared" ref="N226:P226" si="207">N$78 * N196</f>
        <v>1.1254885522165385E-2</v>
      </c>
      <c r="O226" s="274">
        <f t="shared" si="207"/>
        <v>1.0163036570646744E-2</v>
      </c>
      <c r="P226" s="274">
        <f t="shared" si="207"/>
        <v>8.455901528327113E-3</v>
      </c>
      <c r="Q226" s="274">
        <f t="shared" ref="Q226:S226" si="208">Q$78 * Q196</f>
        <v>0</v>
      </c>
      <c r="R226" s="274">
        <f t="shared" si="208"/>
        <v>0</v>
      </c>
      <c r="S226" s="274">
        <f t="shared" si="208"/>
        <v>0</v>
      </c>
      <c r="T226" s="274">
        <f t="shared" ref="T226:U226" si="209">T$78 * T196</f>
        <v>7.1797372819446537E-3</v>
      </c>
      <c r="U226" s="274">
        <f t="shared" si="209"/>
        <v>0</v>
      </c>
      <c r="V226" s="274">
        <f t="shared" ref="V226:W226" si="210">V$78 * V196</f>
        <v>6.9487670737041797E-3</v>
      </c>
      <c r="W226" s="274">
        <f t="shared" si="210"/>
        <v>0</v>
      </c>
      <c r="X226" s="274">
        <f t="shared" ref="X226:Y226" si="211">X$78 * X196</f>
        <v>6.8439547999113023E-3</v>
      </c>
      <c r="Y226" s="274">
        <f t="shared" si="211"/>
        <v>0</v>
      </c>
      <c r="Z226" s="259"/>
      <c r="AA226" s="259"/>
    </row>
    <row r="227" spans="5:27" customFormat="1" x14ac:dyDescent="0.3">
      <c r="E227" s="2"/>
      <c r="F227" t="s">
        <v>193</v>
      </c>
      <c r="G227" t="s">
        <v>271</v>
      </c>
      <c r="H227" s="259"/>
      <c r="I227" s="259"/>
      <c r="J227" s="274">
        <f t="shared" ref="J227:K227" si="212">J$78 * J197</f>
        <v>0</v>
      </c>
      <c r="K227" s="274">
        <f t="shared" si="212"/>
        <v>0</v>
      </c>
      <c r="L227" s="274">
        <f t="shared" ref="L227:M227" si="213">L$78 * L197</f>
        <v>0</v>
      </c>
      <c r="M227" s="274">
        <f t="shared" si="213"/>
        <v>0</v>
      </c>
      <c r="N227" s="274">
        <f t="shared" ref="N227:P227" si="214">N$78 * N197</f>
        <v>2.8419346870299192E-2</v>
      </c>
      <c r="O227" s="274">
        <f t="shared" si="214"/>
        <v>2.5662354449357112E-2</v>
      </c>
      <c r="P227" s="274">
        <f t="shared" si="214"/>
        <v>1.7081378440418765E-2</v>
      </c>
      <c r="Q227" s="274">
        <f t="shared" ref="Q227:S227" si="215">Q$78 * Q197</f>
        <v>0</v>
      </c>
      <c r="R227" s="274">
        <f t="shared" si="215"/>
        <v>0</v>
      </c>
      <c r="S227" s="274">
        <f t="shared" si="215"/>
        <v>0</v>
      </c>
      <c r="T227" s="274">
        <f t="shared" ref="T227:U227" si="216">T$78 * T197</f>
        <v>1.8129322048754812E-2</v>
      </c>
      <c r="U227" s="274">
        <f t="shared" si="216"/>
        <v>0</v>
      </c>
      <c r="V227" s="274">
        <f t="shared" ref="V227:W227" si="217">V$78 * V197</f>
        <v>1.7546106657379747E-2</v>
      </c>
      <c r="W227" s="274">
        <f t="shared" si="217"/>
        <v>0</v>
      </c>
      <c r="X227" s="274">
        <f t="shared" ref="X227:Y227" si="218">X$78 * X197</f>
        <v>1.7281448579843699E-2</v>
      </c>
      <c r="Y227" s="274">
        <f t="shared" si="218"/>
        <v>0</v>
      </c>
      <c r="Z227" s="259"/>
      <c r="AA227" s="259"/>
    </row>
    <row r="228" spans="5:27" customFormat="1" x14ac:dyDescent="0.3">
      <c r="E228" s="2"/>
      <c r="F228" t="s">
        <v>194</v>
      </c>
      <c r="G228" t="s">
        <v>271</v>
      </c>
      <c r="H228" s="259"/>
      <c r="I228" s="259"/>
      <c r="J228" s="274">
        <f t="shared" ref="J228:K228" si="219">J$78 * J198</f>
        <v>0</v>
      </c>
      <c r="K228" s="274">
        <f t="shared" si="219"/>
        <v>0</v>
      </c>
      <c r="L228" s="274">
        <f t="shared" ref="L228:M228" si="220">L$78 * L198</f>
        <v>0</v>
      </c>
      <c r="M228" s="274">
        <f t="shared" si="220"/>
        <v>0</v>
      </c>
      <c r="N228" s="274">
        <f t="shared" ref="N228:P228" si="221">N$78 * N198</f>
        <v>1.6045968025130319E-2</v>
      </c>
      <c r="O228" s="274">
        <f t="shared" si="221"/>
        <v>1.4489330835899318E-2</v>
      </c>
      <c r="P228" s="274">
        <f t="shared" si="221"/>
        <v>0</v>
      </c>
      <c r="Q228" s="274">
        <f t="shared" ref="Q228:S228" si="222">Q$78 * Q198</f>
        <v>0</v>
      </c>
      <c r="R228" s="274">
        <f t="shared" si="222"/>
        <v>0</v>
      </c>
      <c r="S228" s="274">
        <f t="shared" si="222"/>
        <v>0</v>
      </c>
      <c r="T228" s="274">
        <f t="shared" ref="T228:U228" si="223">T$78 * T198</f>
        <v>1.0236073448106911E-2</v>
      </c>
      <c r="U228" s="274">
        <f t="shared" si="223"/>
        <v>0</v>
      </c>
      <c r="V228" s="274">
        <f t="shared" ref="V228:W228" si="224">V$78 * V198</f>
        <v>9.9067817312888697E-3</v>
      </c>
      <c r="W228" s="274">
        <f t="shared" si="224"/>
        <v>0</v>
      </c>
      <c r="X228" s="274">
        <f t="shared" ref="X228:Y228" si="225">X$78 * X198</f>
        <v>4.1956613647887884E-3</v>
      </c>
      <c r="Y228" s="274">
        <f t="shared" si="225"/>
        <v>0</v>
      </c>
      <c r="Z228" s="259"/>
      <c r="AA228" s="259"/>
    </row>
    <row r="229" spans="5:27" customFormat="1" x14ac:dyDescent="0.3">
      <c r="E229" s="2"/>
      <c r="F229" t="s">
        <v>195</v>
      </c>
      <c r="G229" t="s">
        <v>271</v>
      </c>
      <c r="H229" s="259"/>
      <c r="I229" s="259"/>
      <c r="J229" s="274">
        <f t="shared" ref="J229:K229" si="226">J$78 * J199</f>
        <v>0</v>
      </c>
      <c r="K229" s="274">
        <f t="shared" si="226"/>
        <v>0</v>
      </c>
      <c r="L229" s="274">
        <f t="shared" ref="L229:M229" si="227">L$78 * L199</f>
        <v>0</v>
      </c>
      <c r="M229" s="274">
        <f t="shared" si="227"/>
        <v>0</v>
      </c>
      <c r="N229" s="274">
        <f t="shared" ref="N229:P229" si="228">N$78 * N199</f>
        <v>0</v>
      </c>
      <c r="O229" s="274">
        <f t="shared" si="228"/>
        <v>0</v>
      </c>
      <c r="P229" s="274">
        <f t="shared" si="228"/>
        <v>0</v>
      </c>
      <c r="Q229" s="274">
        <f t="shared" ref="Q229:S229" si="229">Q$78 * Q199</f>
        <v>0</v>
      </c>
      <c r="R229" s="274">
        <f t="shared" si="229"/>
        <v>0</v>
      </c>
      <c r="S229" s="274">
        <f t="shared" si="229"/>
        <v>0</v>
      </c>
      <c r="T229" s="274">
        <f t="shared" ref="T229:U229" si="230">T$78 * T199</f>
        <v>0</v>
      </c>
      <c r="U229" s="274">
        <f t="shared" si="230"/>
        <v>0</v>
      </c>
      <c r="V229" s="274">
        <f t="shared" ref="V229:W229" si="231">V$78 * V199</f>
        <v>0</v>
      </c>
      <c r="W229" s="274">
        <f t="shared" si="231"/>
        <v>0</v>
      </c>
      <c r="X229" s="274">
        <f t="shared" ref="X229:Y229" si="232">X$78 * X199</f>
        <v>0</v>
      </c>
      <c r="Y229" s="274">
        <f t="shared" si="232"/>
        <v>0</v>
      </c>
      <c r="Z229" s="259"/>
      <c r="AA229" s="259"/>
    </row>
    <row r="230" spans="5:27" customFormat="1" x14ac:dyDescent="0.3">
      <c r="E230" s="2"/>
      <c r="F230" t="s">
        <v>196</v>
      </c>
      <c r="G230" t="s">
        <v>271</v>
      </c>
      <c r="H230" s="259"/>
      <c r="I230" s="259"/>
      <c r="J230" s="274">
        <f t="shared" ref="J230:K230" si="233">J$78 * J200</f>
        <v>0</v>
      </c>
      <c r="K230" s="274">
        <f t="shared" si="233"/>
        <v>0</v>
      </c>
      <c r="L230" s="274">
        <f t="shared" ref="L230:M230" si="234">L$78 * L200</f>
        <v>0</v>
      </c>
      <c r="M230" s="274">
        <f t="shared" si="234"/>
        <v>0</v>
      </c>
      <c r="N230" s="274">
        <f t="shared" ref="N230:P230" si="235">N$78 * N200</f>
        <v>1.6313441094546619E-2</v>
      </c>
      <c r="O230" s="274">
        <f t="shared" si="235"/>
        <v>0</v>
      </c>
      <c r="P230" s="274">
        <f t="shared" si="235"/>
        <v>0</v>
      </c>
      <c r="Q230" s="274">
        <f t="shared" ref="Q230:S230" si="236">Q$78 * Q200</f>
        <v>0</v>
      </c>
      <c r="R230" s="274">
        <f t="shared" si="236"/>
        <v>0</v>
      </c>
      <c r="S230" s="274">
        <f t="shared" si="236"/>
        <v>0</v>
      </c>
      <c r="T230" s="274">
        <f t="shared" ref="T230:U230" si="237">T$78 * T200</f>
        <v>1.3008375450893726E-2</v>
      </c>
      <c r="U230" s="274">
        <f t="shared" si="237"/>
        <v>0</v>
      </c>
      <c r="V230" s="274">
        <f t="shared" ref="V230:W230" si="238">V$78 * V200</f>
        <v>1.2589899527781759E-2</v>
      </c>
      <c r="W230" s="274">
        <f t="shared" si="238"/>
        <v>0</v>
      </c>
      <c r="X230" s="274">
        <f t="shared" ref="X230:Y230" si="239">X$78 * X200</f>
        <v>1.5942855586706065E-3</v>
      </c>
      <c r="Y230" s="274">
        <f t="shared" si="239"/>
        <v>0</v>
      </c>
      <c r="Z230" s="259"/>
      <c r="AA230" s="259"/>
    </row>
    <row r="231" spans="5:27" customFormat="1" x14ac:dyDescent="0.3">
      <c r="E231" s="2"/>
      <c r="F231" t="s">
        <v>197</v>
      </c>
      <c r="G231" t="s">
        <v>271</v>
      </c>
      <c r="H231" s="259"/>
      <c r="I231" s="259"/>
      <c r="J231" s="274">
        <f t="shared" ref="J231:K231" si="240">J$78 * J201</f>
        <v>0</v>
      </c>
      <c r="K231" s="274">
        <f t="shared" si="240"/>
        <v>0</v>
      </c>
      <c r="L231" s="274">
        <f t="shared" ref="L231:M231" si="241">L$78 * L201</f>
        <v>0</v>
      </c>
      <c r="M231" s="274">
        <f t="shared" si="241"/>
        <v>0</v>
      </c>
      <c r="N231" s="274">
        <f t="shared" ref="N231:P231" si="242">N$78 * N201</f>
        <v>0</v>
      </c>
      <c r="O231" s="274">
        <f t="shared" si="242"/>
        <v>0</v>
      </c>
      <c r="P231" s="274">
        <f t="shared" si="242"/>
        <v>0</v>
      </c>
      <c r="Q231" s="274">
        <f t="shared" ref="Q231:S231" si="243">Q$78 * Q201</f>
        <v>0</v>
      </c>
      <c r="R231" s="274">
        <f t="shared" si="243"/>
        <v>0</v>
      </c>
      <c r="S231" s="274">
        <f t="shared" si="243"/>
        <v>0</v>
      </c>
      <c r="T231" s="274">
        <f t="shared" ref="T231:U231" si="244">T$78 * T201</f>
        <v>1.1810569471847049E-2</v>
      </c>
      <c r="U231" s="274">
        <f t="shared" si="244"/>
        <v>0</v>
      </c>
      <c r="V231" s="274">
        <f t="shared" ref="V231:W231" si="245">V$78 * V201</f>
        <v>4.8988399900320176E-4</v>
      </c>
      <c r="W231" s="274">
        <f t="shared" si="245"/>
        <v>0</v>
      </c>
      <c r="X231" s="274">
        <f t="shared" ref="X231:Y231" si="246">X$78 * X201</f>
        <v>0</v>
      </c>
      <c r="Y231" s="274">
        <f t="shared" si="246"/>
        <v>0</v>
      </c>
      <c r="Z231" s="259"/>
      <c r="AA231" s="259"/>
    </row>
    <row r="232" spans="5:27" customFormat="1" x14ac:dyDescent="0.3">
      <c r="E232" s="2"/>
      <c r="F232" t="s">
        <v>198</v>
      </c>
      <c r="G232" t="s">
        <v>271</v>
      </c>
      <c r="H232" s="259"/>
      <c r="I232" s="259"/>
      <c r="J232" s="274">
        <f t="shared" ref="J232:K232" si="247">J$78 * J202</f>
        <v>0</v>
      </c>
      <c r="K232" s="274">
        <f t="shared" si="247"/>
        <v>0</v>
      </c>
      <c r="L232" s="274">
        <f t="shared" ref="L232:M232" si="248">L$78 * L202</f>
        <v>0</v>
      </c>
      <c r="M232" s="274">
        <f t="shared" si="248"/>
        <v>0</v>
      </c>
      <c r="N232" s="274">
        <f t="shared" ref="N232:P232" si="249">N$78 * N202</f>
        <v>0</v>
      </c>
      <c r="O232" s="274">
        <f t="shared" si="249"/>
        <v>0</v>
      </c>
      <c r="P232" s="274">
        <f t="shared" si="249"/>
        <v>0</v>
      </c>
      <c r="Q232" s="274">
        <f t="shared" ref="Q232:S232" si="250">Q$78 * Q202</f>
        <v>0</v>
      </c>
      <c r="R232" s="274">
        <f t="shared" si="250"/>
        <v>0</v>
      </c>
      <c r="S232" s="274">
        <f t="shared" si="250"/>
        <v>0</v>
      </c>
      <c r="T232" s="274">
        <f t="shared" ref="T232:U232" si="251">T$78 * T202</f>
        <v>2.8059974900761404E-4</v>
      </c>
      <c r="U232" s="274">
        <f t="shared" si="251"/>
        <v>0</v>
      </c>
      <c r="V232" s="274">
        <f t="shared" ref="V232:W232" si="252">V$78 * V202</f>
        <v>0</v>
      </c>
      <c r="W232" s="274">
        <f t="shared" si="252"/>
        <v>0</v>
      </c>
      <c r="X232" s="274">
        <f t="shared" ref="X232:Y232" si="253">X$78 * X202</f>
        <v>0</v>
      </c>
      <c r="Y232" s="274">
        <f t="shared" si="253"/>
        <v>0</v>
      </c>
      <c r="Z232" s="259"/>
      <c r="AA232" s="259"/>
    </row>
    <row r="233" spans="5:27" customFormat="1" x14ac:dyDescent="0.3">
      <c r="E233" s="2"/>
      <c r="F233" t="s">
        <v>375</v>
      </c>
      <c r="G233" t="s">
        <v>271</v>
      </c>
      <c r="H233" s="259"/>
      <c r="I233" s="259"/>
      <c r="J233" s="260"/>
      <c r="K233" s="260"/>
      <c r="L233" s="260"/>
      <c r="M233" s="260"/>
      <c r="N233" s="260"/>
      <c r="O233" s="260"/>
      <c r="P233" s="260"/>
      <c r="Q233" s="260"/>
      <c r="R233" s="260"/>
      <c r="S233" s="260"/>
      <c r="T233" s="260"/>
      <c r="U233" s="260"/>
      <c r="V233" s="260"/>
      <c r="W233" s="260"/>
      <c r="X233" s="260"/>
      <c r="Y233" s="260"/>
      <c r="Z233" s="259"/>
      <c r="AA233" s="259"/>
    </row>
    <row r="234" spans="5:27" customFormat="1" x14ac:dyDescent="0.3">
      <c r="E234" s="2"/>
      <c r="F234" s="37" t="s">
        <v>376</v>
      </c>
      <c r="G234" s="37" t="s">
        <v>271</v>
      </c>
      <c r="H234" s="261"/>
      <c r="I234" s="261"/>
      <c r="J234" s="262"/>
      <c r="K234" s="262"/>
      <c r="L234" s="262"/>
      <c r="M234" s="262"/>
      <c r="N234" s="262"/>
      <c r="O234" s="262"/>
      <c r="P234" s="262"/>
      <c r="Q234" s="262"/>
      <c r="R234" s="262"/>
      <c r="S234" s="262"/>
      <c r="T234" s="262"/>
      <c r="U234" s="262"/>
      <c r="V234" s="262"/>
      <c r="W234" s="262"/>
      <c r="X234" s="262"/>
      <c r="Y234" s="262"/>
      <c r="Z234" s="259"/>
      <c r="AA234" s="259"/>
    </row>
    <row r="235" spans="5:27" customFormat="1" x14ac:dyDescent="0.3">
      <c r="E235" s="2"/>
      <c r="J235" s="89"/>
      <c r="K235" s="89"/>
      <c r="L235" s="89"/>
      <c r="M235" s="89"/>
      <c r="N235" s="89"/>
      <c r="O235" s="89"/>
      <c r="P235" s="89"/>
      <c r="Q235" s="89"/>
      <c r="R235" s="89"/>
      <c r="S235" s="89"/>
      <c r="T235" s="89"/>
      <c r="U235" s="89"/>
      <c r="V235" s="89"/>
      <c r="W235" s="89"/>
      <c r="X235" s="89"/>
      <c r="Y235" s="89"/>
    </row>
    <row r="236" spans="5:27" customFormat="1" x14ac:dyDescent="0.3">
      <c r="E236" s="32" t="s">
        <v>621</v>
      </c>
      <c r="J236" s="89"/>
      <c r="K236" s="89"/>
      <c r="L236" s="89"/>
      <c r="M236" s="89"/>
      <c r="N236" s="89"/>
      <c r="O236" s="89"/>
      <c r="P236" s="89"/>
      <c r="Q236" s="89"/>
      <c r="R236" s="89"/>
      <c r="S236" s="89"/>
      <c r="T236" s="89"/>
      <c r="U236" s="89"/>
      <c r="V236" s="89"/>
      <c r="W236" s="89"/>
      <c r="X236" s="89"/>
      <c r="Y236" s="89"/>
    </row>
    <row r="237" spans="5:27" customFormat="1" x14ac:dyDescent="0.3">
      <c r="E237" s="2"/>
      <c r="F237" s="23" t="s">
        <v>188</v>
      </c>
      <c r="G237" s="23" t="s">
        <v>271</v>
      </c>
      <c r="H237" s="258"/>
      <c r="I237" s="258"/>
      <c r="J237" s="273">
        <f t="shared" ref="J237:K237" si="254">J$78 * J207</f>
        <v>0</v>
      </c>
      <c r="K237" s="273">
        <f t="shared" si="254"/>
        <v>0</v>
      </c>
      <c r="L237" s="273">
        <f t="shared" ref="L237:M237" si="255">L$78 * L207</f>
        <v>0</v>
      </c>
      <c r="M237" s="273">
        <f t="shared" si="255"/>
        <v>0</v>
      </c>
      <c r="N237" s="273">
        <f t="shared" ref="N237:P237" si="256">N$78 * N207</f>
        <v>1.0834631947010868E-2</v>
      </c>
      <c r="O237" s="273">
        <f t="shared" si="256"/>
        <v>9.7835522618255674E-3</v>
      </c>
      <c r="P237" s="273">
        <f t="shared" si="256"/>
        <v>8.1401610579833229E-3</v>
      </c>
      <c r="Q237" s="273">
        <f t="shared" ref="Q237:S237" si="257">Q$78 * Q207</f>
        <v>0</v>
      </c>
      <c r="R237" s="273">
        <f t="shared" si="257"/>
        <v>0</v>
      </c>
      <c r="S237" s="273">
        <f t="shared" si="257"/>
        <v>0</v>
      </c>
      <c r="T237" s="273">
        <f t="shared" ref="T237:U237" si="258">T$78 * T207</f>
        <v>6.9116483479910286E-3</v>
      </c>
      <c r="U237" s="273">
        <f t="shared" si="258"/>
        <v>0</v>
      </c>
      <c r="V237" s="273">
        <f t="shared" ref="V237:W237" si="259">V$78 * V207</f>
        <v>6.6893024883124368E-3</v>
      </c>
      <c r="W237" s="273">
        <f t="shared" si="259"/>
        <v>0</v>
      </c>
      <c r="X237" s="273">
        <f t="shared" ref="X237:Y237" si="260">X$78 * X207</f>
        <v>6.5884038689672016E-3</v>
      </c>
      <c r="Y237" s="273">
        <f t="shared" si="260"/>
        <v>0</v>
      </c>
      <c r="Z237" s="259"/>
      <c r="AA237" s="259"/>
    </row>
    <row r="238" spans="5:27" customFormat="1" x14ac:dyDescent="0.3">
      <c r="E238" s="2"/>
      <c r="F238" t="s">
        <v>190</v>
      </c>
      <c r="G238" t="s">
        <v>271</v>
      </c>
      <c r="H238" s="259"/>
      <c r="I238" s="259"/>
      <c r="J238" s="274">
        <f t="shared" ref="J238:K238" si="261">J$78 * J208</f>
        <v>0</v>
      </c>
      <c r="K238" s="274">
        <f t="shared" si="261"/>
        <v>0</v>
      </c>
      <c r="L238" s="274">
        <f t="shared" ref="L238:M238" si="262">L$78 * L208</f>
        <v>0</v>
      </c>
      <c r="M238" s="274">
        <f t="shared" si="262"/>
        <v>0</v>
      </c>
      <c r="N238" s="274">
        <f t="shared" ref="N238:P238" si="263">N$78 * N208</f>
        <v>0</v>
      </c>
      <c r="O238" s="274">
        <f t="shared" si="263"/>
        <v>0</v>
      </c>
      <c r="P238" s="274">
        <f t="shared" si="263"/>
        <v>0</v>
      </c>
      <c r="Q238" s="274">
        <f t="shared" ref="Q238:S238" si="264">Q$78 * Q208</f>
        <v>0</v>
      </c>
      <c r="R238" s="274">
        <f t="shared" si="264"/>
        <v>0</v>
      </c>
      <c r="S238" s="274">
        <f t="shared" si="264"/>
        <v>0</v>
      </c>
      <c r="T238" s="274">
        <f t="shared" ref="T238:U238" si="265">T$78 * T208</f>
        <v>0</v>
      </c>
      <c r="U238" s="274">
        <f t="shared" si="265"/>
        <v>0</v>
      </c>
      <c r="V238" s="274">
        <f t="shared" ref="V238:W238" si="266">V$78 * V208</f>
        <v>0</v>
      </c>
      <c r="W238" s="274">
        <f t="shared" si="266"/>
        <v>0</v>
      </c>
      <c r="X238" s="274">
        <f t="shared" ref="X238:Y238" si="267">X$78 * X208</f>
        <v>0</v>
      </c>
      <c r="Y238" s="274">
        <f t="shared" si="267"/>
        <v>0</v>
      </c>
      <c r="Z238" s="259"/>
      <c r="AA238" s="259"/>
    </row>
    <row r="239" spans="5:27" customFormat="1" x14ac:dyDescent="0.3">
      <c r="E239" s="2"/>
      <c r="F239" t="s">
        <v>191</v>
      </c>
      <c r="G239" t="s">
        <v>271</v>
      </c>
      <c r="H239" s="259"/>
      <c r="I239" s="259"/>
      <c r="J239" s="274">
        <f t="shared" ref="J239:K239" si="268">J$78 * J209</f>
        <v>0</v>
      </c>
      <c r="K239" s="274">
        <f t="shared" si="268"/>
        <v>0</v>
      </c>
      <c r="L239" s="274">
        <f t="shared" ref="L239:M239" si="269">L$78 * L209</f>
        <v>0</v>
      </c>
      <c r="M239" s="274">
        <f t="shared" si="269"/>
        <v>0</v>
      </c>
      <c r="N239" s="274">
        <f t="shared" ref="N239:P239" si="270">N$78 * N209</f>
        <v>9.9953498681129276E-3</v>
      </c>
      <c r="O239" s="274">
        <f t="shared" si="270"/>
        <v>9.0256898700553541E-3</v>
      </c>
      <c r="P239" s="274">
        <f t="shared" si="270"/>
        <v>7.5096005249886497E-3</v>
      </c>
      <c r="Q239" s="274">
        <f t="shared" ref="Q239:S239" si="271">Q$78 * Q209</f>
        <v>0</v>
      </c>
      <c r="R239" s="274">
        <f t="shared" si="271"/>
        <v>0</v>
      </c>
      <c r="S239" s="274">
        <f t="shared" si="271"/>
        <v>0</v>
      </c>
      <c r="T239" s="274">
        <f t="shared" ref="T239:U239" si="272">T$78 * T209</f>
        <v>6.3762519798925433E-3</v>
      </c>
      <c r="U239" s="274">
        <f t="shared" si="272"/>
        <v>0</v>
      </c>
      <c r="V239" s="274">
        <f t="shared" ref="V239:W239" si="273">V$78 * V209</f>
        <v>6.1711296767000476E-3</v>
      </c>
      <c r="W239" s="274">
        <f t="shared" si="273"/>
        <v>0</v>
      </c>
      <c r="X239" s="274">
        <f t="shared" ref="X239:Y239" si="274">X$78 * X209</f>
        <v>6.0780469576471492E-3</v>
      </c>
      <c r="Y239" s="274">
        <f t="shared" si="274"/>
        <v>0</v>
      </c>
      <c r="Z239" s="259"/>
      <c r="AA239" s="259"/>
    </row>
    <row r="240" spans="5:27" customFormat="1" x14ac:dyDescent="0.3">
      <c r="E240" s="2"/>
      <c r="F240" t="s">
        <v>192</v>
      </c>
      <c r="G240" t="s">
        <v>271</v>
      </c>
      <c r="H240" s="259"/>
      <c r="I240" s="259"/>
      <c r="J240" s="274">
        <f t="shared" ref="J240:K240" si="275">J$78 * J210</f>
        <v>0</v>
      </c>
      <c r="K240" s="274">
        <f t="shared" si="275"/>
        <v>0</v>
      </c>
      <c r="L240" s="274">
        <f t="shared" ref="L240:M240" si="276">L$78 * L210</f>
        <v>0</v>
      </c>
      <c r="M240" s="274">
        <f t="shared" si="276"/>
        <v>0</v>
      </c>
      <c r="N240" s="274">
        <f t="shared" ref="N240:P240" si="277">N$78 * N210</f>
        <v>5.4708810083897025E-3</v>
      </c>
      <c r="O240" s="274">
        <f t="shared" si="277"/>
        <v>4.9401447622386798E-3</v>
      </c>
      <c r="P240" s="274">
        <f t="shared" si="277"/>
        <v>4.1103244443518629E-3</v>
      </c>
      <c r="Q240" s="274">
        <f t="shared" ref="Q240:S240" si="278">Q$78 * Q210</f>
        <v>0</v>
      </c>
      <c r="R240" s="274">
        <f t="shared" si="278"/>
        <v>0</v>
      </c>
      <c r="S240" s="274">
        <f t="shared" si="278"/>
        <v>0</v>
      </c>
      <c r="T240" s="274">
        <f t="shared" ref="T240:U240" si="279">T$78 * T210</f>
        <v>3.48999447961167E-3</v>
      </c>
      <c r="U240" s="274">
        <f t="shared" si="279"/>
        <v>0</v>
      </c>
      <c r="V240" s="274">
        <f t="shared" ref="V240:W240" si="280">V$78 * V210</f>
        <v>3.3777223002742561E-3</v>
      </c>
      <c r="W240" s="274">
        <f t="shared" si="280"/>
        <v>0</v>
      </c>
      <c r="X240" s="274">
        <f t="shared" ref="X240:Y240" si="281">X$78 * X210</f>
        <v>3.3267741607298494E-3</v>
      </c>
      <c r="Y240" s="274">
        <f t="shared" si="281"/>
        <v>0</v>
      </c>
      <c r="Z240" s="259"/>
      <c r="AA240" s="259"/>
    </row>
    <row r="241" spans="2:27" x14ac:dyDescent="0.3">
      <c r="D241"/>
      <c r="F241" t="s">
        <v>193</v>
      </c>
      <c r="G241" t="s">
        <v>271</v>
      </c>
      <c r="H241" s="259"/>
      <c r="I241" s="259"/>
      <c r="J241" s="274">
        <f t="shared" ref="J241:K241" si="282">J$78 * J211</f>
        <v>0</v>
      </c>
      <c r="K241" s="274">
        <f t="shared" si="282"/>
        <v>0</v>
      </c>
      <c r="L241" s="274">
        <f t="shared" ref="L241:M241" si="283">L$78 * L211</f>
        <v>0</v>
      </c>
      <c r="M241" s="274">
        <f t="shared" si="283"/>
        <v>0</v>
      </c>
      <c r="N241" s="274">
        <f t="shared" ref="N241:P241" si="284">N$78 * N211</f>
        <v>1.3814344424681966E-2</v>
      </c>
      <c r="O241" s="274">
        <f t="shared" si="284"/>
        <v>1.2474199520826521E-2</v>
      </c>
      <c r="P241" s="274">
        <f t="shared" si="284"/>
        <v>8.3030776921509675E-3</v>
      </c>
      <c r="Q241" s="274">
        <f t="shared" ref="Q241:S241" si="285">Q$78 * Q211</f>
        <v>0</v>
      </c>
      <c r="R241" s="274">
        <f t="shared" si="285"/>
        <v>0</v>
      </c>
      <c r="S241" s="274">
        <f t="shared" si="285"/>
        <v>0</v>
      </c>
      <c r="T241" s="274">
        <f t="shared" ref="T241:U241" si="286">T$78 * T211</f>
        <v>8.8124720145914895E-3</v>
      </c>
      <c r="U241" s="274">
        <f t="shared" si="286"/>
        <v>0</v>
      </c>
      <c r="V241" s="274">
        <f t="shared" ref="V241:W241" si="287">V$78 * V211</f>
        <v>8.5289771712018635E-3</v>
      </c>
      <c r="W241" s="274">
        <f t="shared" si="287"/>
        <v>0</v>
      </c>
      <c r="X241" s="274">
        <f t="shared" ref="X241:Y241" si="288">X$78 * X211</f>
        <v>8.4003296743208559E-3</v>
      </c>
      <c r="Y241" s="274">
        <f t="shared" si="288"/>
        <v>0</v>
      </c>
      <c r="Z241" s="259"/>
      <c r="AA241" s="259"/>
    </row>
    <row r="242" spans="2:27" x14ac:dyDescent="0.3">
      <c r="D242"/>
      <c r="F242" t="s">
        <v>194</v>
      </c>
      <c r="G242" t="s">
        <v>271</v>
      </c>
      <c r="H242" s="259"/>
      <c r="I242" s="259"/>
      <c r="J242" s="274">
        <f t="shared" ref="J242:K242" si="289">J$78 * J212</f>
        <v>0</v>
      </c>
      <c r="K242" s="274">
        <f t="shared" si="289"/>
        <v>0</v>
      </c>
      <c r="L242" s="274">
        <f t="shared" ref="L242:M242" si="290">L$78 * L212</f>
        <v>0</v>
      </c>
      <c r="M242" s="274">
        <f t="shared" si="290"/>
        <v>0</v>
      </c>
      <c r="N242" s="274">
        <f t="shared" ref="N242:P242" si="291">N$78 * N212</f>
        <v>7.7997756225088944E-3</v>
      </c>
      <c r="O242" s="274">
        <f t="shared" si="291"/>
        <v>7.0431107218535101E-3</v>
      </c>
      <c r="P242" s="274">
        <f t="shared" si="291"/>
        <v>0</v>
      </c>
      <c r="Q242" s="274">
        <f t="shared" ref="Q242:S242" si="292">Q$78 * Q212</f>
        <v>0</v>
      </c>
      <c r="R242" s="274">
        <f t="shared" si="292"/>
        <v>0</v>
      </c>
      <c r="S242" s="274">
        <f t="shared" si="292"/>
        <v>0</v>
      </c>
      <c r="T242" s="274">
        <f t="shared" ref="T242:U242" si="293">T$78 * T212</f>
        <v>4.9756472171523236E-3</v>
      </c>
      <c r="U242" s="274">
        <f t="shared" si="293"/>
        <v>0</v>
      </c>
      <c r="V242" s="274">
        <f t="shared" ref="V242:W242" si="294">V$78 * V212</f>
        <v>4.8155819907036001E-3</v>
      </c>
      <c r="W242" s="274">
        <f t="shared" si="294"/>
        <v>0</v>
      </c>
      <c r="X242" s="274">
        <f t="shared" ref="X242:Y242" si="295">X$78 * X212</f>
        <v>4.742945781613832E-3</v>
      </c>
      <c r="Y242" s="274">
        <f t="shared" si="295"/>
        <v>0</v>
      </c>
      <c r="Z242" s="259"/>
      <c r="AA242" s="259"/>
    </row>
    <row r="243" spans="2:27" x14ac:dyDescent="0.3">
      <c r="D243"/>
      <c r="F243" t="s">
        <v>195</v>
      </c>
      <c r="G243" t="s">
        <v>271</v>
      </c>
      <c r="H243" s="259"/>
      <c r="I243" s="259"/>
      <c r="J243" s="274">
        <f t="shared" ref="J243:K243" si="296">J$78 * J213</f>
        <v>0</v>
      </c>
      <c r="K243" s="274">
        <f t="shared" si="296"/>
        <v>0</v>
      </c>
      <c r="L243" s="274">
        <f t="shared" ref="L243:M243" si="297">L$78 * L213</f>
        <v>0</v>
      </c>
      <c r="M243" s="274">
        <f t="shared" si="297"/>
        <v>0</v>
      </c>
      <c r="N243" s="274">
        <f t="shared" ref="N243:P243" si="298">N$78 * N213</f>
        <v>0</v>
      </c>
      <c r="O243" s="274">
        <f t="shared" si="298"/>
        <v>0</v>
      </c>
      <c r="P243" s="274">
        <f t="shared" si="298"/>
        <v>0</v>
      </c>
      <c r="Q243" s="274">
        <f t="shared" ref="Q243:S243" si="299">Q$78 * Q213</f>
        <v>0</v>
      </c>
      <c r="R243" s="274">
        <f t="shared" si="299"/>
        <v>0</v>
      </c>
      <c r="S243" s="274">
        <f t="shared" si="299"/>
        <v>0</v>
      </c>
      <c r="T243" s="274">
        <f t="shared" ref="T243:U243" si="300">T$78 * T213</f>
        <v>0</v>
      </c>
      <c r="U243" s="274">
        <f t="shared" si="300"/>
        <v>0</v>
      </c>
      <c r="V243" s="274">
        <f t="shared" ref="V243:W243" si="301">V$78 * V213</f>
        <v>0</v>
      </c>
      <c r="W243" s="274">
        <f t="shared" si="301"/>
        <v>0</v>
      </c>
      <c r="X243" s="274">
        <f t="shared" ref="X243:Y243" si="302">X$78 * X213</f>
        <v>0</v>
      </c>
      <c r="Y243" s="274">
        <f t="shared" si="302"/>
        <v>0</v>
      </c>
      <c r="Z243" s="259"/>
      <c r="AA243" s="259"/>
    </row>
    <row r="244" spans="2:27" x14ac:dyDescent="0.3">
      <c r="D244"/>
      <c r="F244" t="s">
        <v>196</v>
      </c>
      <c r="G244" t="s">
        <v>271</v>
      </c>
      <c r="H244" s="259"/>
      <c r="I244" s="259"/>
      <c r="J244" s="274">
        <f t="shared" ref="J244:K244" si="303">J$78 * J214</f>
        <v>0</v>
      </c>
      <c r="K244" s="274">
        <f t="shared" si="303"/>
        <v>0</v>
      </c>
      <c r="L244" s="274">
        <f t="shared" ref="L244:M244" si="304">L$78 * L214</f>
        <v>0</v>
      </c>
      <c r="M244" s="274">
        <f t="shared" si="304"/>
        <v>0</v>
      </c>
      <c r="N244" s="274">
        <f t="shared" ref="N244:P244" si="305">N$78 * N214</f>
        <v>1.1328273510312138E-2</v>
      </c>
      <c r="O244" s="274">
        <f t="shared" si="305"/>
        <v>0</v>
      </c>
      <c r="P244" s="274">
        <f t="shared" si="305"/>
        <v>0</v>
      </c>
      <c r="Q244" s="274">
        <f t="shared" ref="Q244:S244" si="306">Q$78 * Q214</f>
        <v>0</v>
      </c>
      <c r="R244" s="274">
        <f t="shared" si="306"/>
        <v>0</v>
      </c>
      <c r="S244" s="274">
        <f t="shared" si="306"/>
        <v>0</v>
      </c>
      <c r="T244" s="274">
        <f t="shared" ref="T244:U244" si="307">T$78 * T214</f>
        <v>9.0331913529767532E-3</v>
      </c>
      <c r="U244" s="274">
        <f t="shared" si="307"/>
        <v>0</v>
      </c>
      <c r="V244" s="274">
        <f t="shared" ref="V244:W244" si="308">V$78 * V214</f>
        <v>8.7425960281143945E-3</v>
      </c>
      <c r="W244" s="274">
        <f t="shared" si="308"/>
        <v>0</v>
      </c>
      <c r="X244" s="274">
        <f t="shared" ref="X244:Y244" si="309">X$78 * X214</f>
        <v>8.6107263944311934E-3</v>
      </c>
      <c r="Y244" s="274">
        <f t="shared" si="309"/>
        <v>0</v>
      </c>
      <c r="Z244" s="259"/>
      <c r="AA244" s="259"/>
    </row>
    <row r="245" spans="2:27" x14ac:dyDescent="0.3">
      <c r="D245"/>
      <c r="F245" t="s">
        <v>197</v>
      </c>
      <c r="G245" t="s">
        <v>271</v>
      </c>
      <c r="H245" s="259"/>
      <c r="I245" s="259"/>
      <c r="J245" s="274">
        <f t="shared" ref="J245:K245" si="310">J$78 * J215</f>
        <v>0</v>
      </c>
      <c r="K245" s="274">
        <f t="shared" si="310"/>
        <v>0</v>
      </c>
      <c r="L245" s="274">
        <f t="shared" ref="L245:M245" si="311">L$78 * L215</f>
        <v>0</v>
      </c>
      <c r="M245" s="274">
        <f t="shared" si="311"/>
        <v>0</v>
      </c>
      <c r="N245" s="274">
        <f t="shared" ref="N245:P245" si="312">N$78 * N215</f>
        <v>0</v>
      </c>
      <c r="O245" s="274">
        <f t="shared" si="312"/>
        <v>0</v>
      </c>
      <c r="P245" s="274">
        <f t="shared" si="312"/>
        <v>0</v>
      </c>
      <c r="Q245" s="274">
        <f t="shared" ref="Q245:S245" si="313">Q$78 * Q215</f>
        <v>0</v>
      </c>
      <c r="R245" s="274">
        <f t="shared" si="313"/>
        <v>0</v>
      </c>
      <c r="S245" s="274">
        <f t="shared" si="313"/>
        <v>0</v>
      </c>
      <c r="T245" s="274">
        <f t="shared" ref="T245:U245" si="314">T$78 * T215</f>
        <v>8.2014187266935112E-3</v>
      </c>
      <c r="U245" s="274">
        <f t="shared" si="314"/>
        <v>0</v>
      </c>
      <c r="V245" s="274">
        <f t="shared" ref="V245:W245" si="315">V$78 * V215</f>
        <v>7.9375813024558026E-3</v>
      </c>
      <c r="W245" s="274">
        <f t="shared" si="315"/>
        <v>0</v>
      </c>
      <c r="X245" s="274">
        <f t="shared" ref="X245:Y245" si="316">X$78 * X215</f>
        <v>0</v>
      </c>
      <c r="Y245" s="274">
        <f t="shared" si="316"/>
        <v>0</v>
      </c>
      <c r="Z245" s="259"/>
      <c r="AA245" s="259"/>
    </row>
    <row r="246" spans="2:27" x14ac:dyDescent="0.3">
      <c r="D246"/>
      <c r="F246" t="s">
        <v>198</v>
      </c>
      <c r="G246" t="s">
        <v>271</v>
      </c>
      <c r="H246" s="259"/>
      <c r="I246" s="259"/>
      <c r="J246" s="274">
        <f t="shared" ref="J246:K246" si="317">J$78 * J216</f>
        <v>0</v>
      </c>
      <c r="K246" s="274">
        <f t="shared" si="317"/>
        <v>0</v>
      </c>
      <c r="L246" s="274">
        <f t="shared" ref="L246:M246" si="318">L$78 * L216</f>
        <v>0</v>
      </c>
      <c r="M246" s="274">
        <f t="shared" si="318"/>
        <v>0</v>
      </c>
      <c r="N246" s="274">
        <f t="shared" ref="N246:P246" si="319">N$78 * N216</f>
        <v>0</v>
      </c>
      <c r="O246" s="274">
        <f t="shared" si="319"/>
        <v>0</v>
      </c>
      <c r="P246" s="274">
        <f t="shared" si="319"/>
        <v>0</v>
      </c>
      <c r="Q246" s="274">
        <f t="shared" ref="Q246:S246" si="320">Q$78 * Q216</f>
        <v>0</v>
      </c>
      <c r="R246" s="274">
        <f t="shared" si="320"/>
        <v>0</v>
      </c>
      <c r="S246" s="274">
        <f t="shared" si="320"/>
        <v>0</v>
      </c>
      <c r="T246" s="274">
        <f t="shared" ref="T246:U246" si="321">T$78 * T216</f>
        <v>4.5465525016710551E-3</v>
      </c>
      <c r="U246" s="274">
        <f t="shared" si="321"/>
        <v>0</v>
      </c>
      <c r="V246" s="274">
        <f t="shared" ref="V246:W246" si="322">V$78 * V216</f>
        <v>0</v>
      </c>
      <c r="W246" s="274">
        <f t="shared" si="322"/>
        <v>0</v>
      </c>
      <c r="X246" s="274">
        <f t="shared" ref="X246:Y246" si="323">X$78 * X216</f>
        <v>0</v>
      </c>
      <c r="Y246" s="274">
        <f t="shared" si="323"/>
        <v>0</v>
      </c>
      <c r="Z246" s="259"/>
      <c r="AA246" s="259"/>
    </row>
    <row r="247" spans="2:27" x14ac:dyDescent="0.3">
      <c r="D247"/>
      <c r="F247" t="s">
        <v>375</v>
      </c>
      <c r="G247" t="s">
        <v>271</v>
      </c>
      <c r="H247" s="259"/>
      <c r="I247" s="259"/>
      <c r="J247" s="260"/>
      <c r="K247" s="260"/>
      <c r="L247" s="260"/>
      <c r="M247" s="260"/>
      <c r="N247" s="260"/>
      <c r="O247" s="260"/>
      <c r="P247" s="260"/>
      <c r="Q247" s="260"/>
      <c r="R247" s="260"/>
      <c r="S247" s="260"/>
      <c r="T247" s="260"/>
      <c r="U247" s="260"/>
      <c r="V247" s="260"/>
      <c r="W247" s="260"/>
      <c r="X247" s="260"/>
      <c r="Y247" s="260"/>
      <c r="Z247" s="259"/>
      <c r="AA247" s="259"/>
    </row>
    <row r="248" spans="2:27" x14ac:dyDescent="0.3">
      <c r="D248"/>
      <c r="F248" s="37" t="s">
        <v>376</v>
      </c>
      <c r="G248" s="37" t="s">
        <v>271</v>
      </c>
      <c r="H248" s="261"/>
      <c r="I248" s="261"/>
      <c r="J248" s="262"/>
      <c r="K248" s="262"/>
      <c r="L248" s="262"/>
      <c r="M248" s="262"/>
      <c r="N248" s="262"/>
      <c r="O248" s="262"/>
      <c r="P248" s="262"/>
      <c r="Q248" s="262"/>
      <c r="R248" s="262"/>
      <c r="S248" s="262"/>
      <c r="T248" s="262"/>
      <c r="U248" s="262"/>
      <c r="V248" s="262"/>
      <c r="W248" s="262"/>
      <c r="X248" s="262"/>
      <c r="Y248" s="262"/>
      <c r="Z248" s="259"/>
      <c r="AA248" s="259"/>
    </row>
    <row r="249" spans="2:27" x14ac:dyDescent="0.3">
      <c r="C249" s="88"/>
      <c r="J249" s="89"/>
      <c r="K249" s="89"/>
      <c r="L249" s="89"/>
      <c r="M249" s="89"/>
      <c r="N249" s="89"/>
      <c r="O249" s="89"/>
      <c r="P249" s="89"/>
      <c r="Q249" s="89"/>
      <c r="R249" s="89"/>
      <c r="S249" s="89"/>
      <c r="T249" s="89"/>
      <c r="U249" s="89"/>
      <c r="V249" s="89"/>
      <c r="W249" s="89"/>
      <c r="X249" s="89"/>
      <c r="Y249" s="89"/>
    </row>
    <row r="250" spans="2:27" x14ac:dyDescent="0.3">
      <c r="E250" t="s">
        <v>683</v>
      </c>
      <c r="G250" t="s">
        <v>271</v>
      </c>
      <c r="H250" s="259"/>
      <c r="I250" s="259" t="s">
        <v>153</v>
      </c>
      <c r="J250" s="264">
        <f t="shared" ref="J250:K250" si="324">SUM(J223:J234,J237:J248)</f>
        <v>0</v>
      </c>
      <c r="K250" s="264">
        <f t="shared" si="324"/>
        <v>0</v>
      </c>
      <c r="L250" s="264">
        <f t="shared" ref="L250:M250" si="325">SUM(L223:L234,L237:L248)</f>
        <v>0</v>
      </c>
      <c r="M250" s="264">
        <f t="shared" si="325"/>
        <v>0</v>
      </c>
      <c r="N250" s="264">
        <f t="shared" ref="N250:P250" si="326">SUM(N223:N234,N237:N248)</f>
        <v>0.15183967715066449</v>
      </c>
      <c r="O250" s="264">
        <f t="shared" si="326"/>
        <v>0.11214938018401023</v>
      </c>
      <c r="P250" s="264">
        <f t="shared" si="326"/>
        <v>6.9049453472262365E-2</v>
      </c>
      <c r="Q250" s="264">
        <f t="shared" ref="Q250:S250" si="327">SUM(Q223:Q234,Q237:Q248)</f>
        <v>0</v>
      </c>
      <c r="R250" s="264">
        <f t="shared" si="327"/>
        <v>0</v>
      </c>
      <c r="S250" s="264">
        <f t="shared" si="327"/>
        <v>0</v>
      </c>
      <c r="T250" s="264">
        <f t="shared" ref="T250:U250" si="328">SUM(T223:T234,T237:T248)</f>
        <v>0.12610930005179521</v>
      </c>
      <c r="U250" s="264">
        <f t="shared" si="328"/>
        <v>0</v>
      </c>
      <c r="V250" s="264">
        <f t="shared" ref="V250:W250" si="329">SUM(V223:V234,V237:V248)</f>
        <v>0.10643979123499889</v>
      </c>
      <c r="W250" s="264">
        <f t="shared" si="329"/>
        <v>0</v>
      </c>
      <c r="X250" s="264">
        <f t="shared" ref="X250:Y250" si="330">SUM(X223:X234,X237:X248)</f>
        <v>8.016654544178127E-2</v>
      </c>
      <c r="Y250" s="264">
        <f t="shared" si="330"/>
        <v>0</v>
      </c>
      <c r="Z250" s="259"/>
      <c r="AA250" s="259" t="s">
        <v>682</v>
      </c>
    </row>
    <row r="251" spans="2:27" x14ac:dyDescent="0.3">
      <c r="C251" s="88"/>
    </row>
    <row r="252" spans="2:27" x14ac:dyDescent="0.3">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3">
      <c r="E254" t="s">
        <v>231</v>
      </c>
      <c r="G254" s="6" t="s">
        <v>54</v>
      </c>
      <c r="H254" s="103">
        <f t="array" ref="H254">SUM(IF(ISERROR(H21:Y250), 1))</f>
        <v>0</v>
      </c>
    </row>
    <row r="256" spans="2:27" x14ac:dyDescent="0.3">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3">
      <c r="R279" s="63"/>
      <c r="S279" s="63"/>
      <c r="T279" s="63"/>
      <c r="U279" s="63"/>
      <c r="V279" s="63"/>
      <c r="W279" s="63"/>
    </row>
    <row r="280" spans="18:23" x14ac:dyDescent="0.3">
      <c r="R280" s="63"/>
      <c r="S280" s="63"/>
      <c r="T280" s="63"/>
      <c r="U280" s="63"/>
      <c r="V280" s="63"/>
      <c r="W280" s="63"/>
    </row>
    <row r="281" spans="18:23" x14ac:dyDescent="0.3">
      <c r="R281" s="63"/>
      <c r="S281" s="63"/>
      <c r="T281" s="63"/>
      <c r="U281" s="63"/>
      <c r="V281" s="63"/>
      <c r="W281" s="63"/>
    </row>
    <row r="282" spans="18:23" x14ac:dyDescent="0.3">
      <c r="R282" s="63"/>
      <c r="S282" s="63"/>
      <c r="T282" s="63"/>
      <c r="U282" s="63"/>
      <c r="V282" s="63"/>
      <c r="W282" s="63"/>
    </row>
    <row r="283" spans="18:23" x14ac:dyDescent="0.3">
      <c r="R283" s="63"/>
      <c r="S283" s="63"/>
      <c r="T283" s="63"/>
      <c r="U283" s="63"/>
      <c r="V283" s="63"/>
      <c r="W283" s="63"/>
    </row>
    <row r="284" spans="18:23" x14ac:dyDescent="0.3">
      <c r="R284" s="63"/>
      <c r="S284" s="63"/>
      <c r="T284" s="63"/>
      <c r="U284" s="63"/>
      <c r="V284" s="63"/>
      <c r="W284" s="63"/>
    </row>
    <row r="285" spans="18:23" x14ac:dyDescent="0.3">
      <c r="R285" s="63"/>
      <c r="S285" s="63"/>
      <c r="T285" s="63"/>
      <c r="U285" s="63"/>
      <c r="V285" s="63"/>
      <c r="W285" s="63"/>
    </row>
    <row r="286" spans="18:23" x14ac:dyDescent="0.3">
      <c r="R286" s="63"/>
      <c r="S286" s="63"/>
      <c r="T286" s="63"/>
      <c r="U286" s="63"/>
      <c r="V286" s="63"/>
      <c r="W286" s="63"/>
    </row>
    <row r="287" spans="18:23" x14ac:dyDescent="0.3">
      <c r="R287" s="63"/>
      <c r="S287" s="63"/>
      <c r="T287" s="63"/>
      <c r="U287" s="63"/>
      <c r="V287" s="63"/>
      <c r="W287" s="63"/>
    </row>
    <row r="288" spans="18:23" x14ac:dyDescent="0.3">
      <c r="R288" s="63"/>
      <c r="S288" s="63"/>
      <c r="T288" s="63"/>
      <c r="U288" s="63"/>
      <c r="V288" s="63"/>
      <c r="W288" s="63"/>
    </row>
    <row r="289" spans="18:23" x14ac:dyDescent="0.3">
      <c r="R289" s="63"/>
      <c r="S289" s="63"/>
      <c r="T289" s="63"/>
      <c r="U289" s="63"/>
      <c r="V289" s="63"/>
      <c r="W289" s="63"/>
    </row>
    <row r="290" spans="18:23" x14ac:dyDescent="0.3">
      <c r="R290" s="63"/>
      <c r="S290" s="63"/>
      <c r="T290" s="63"/>
      <c r="U290" s="63"/>
      <c r="V290" s="63"/>
      <c r="W290" s="63"/>
    </row>
    <row r="291" spans="18:23" x14ac:dyDescent="0.3">
      <c r="R291" s="63"/>
      <c r="S291" s="63"/>
      <c r="T291" s="63"/>
      <c r="U291" s="63"/>
      <c r="V291" s="63"/>
      <c r="W291" s="63"/>
    </row>
    <row r="292" spans="18:23" x14ac:dyDescent="0.3">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Fixed charges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H165 &amp; IF(H165 = 1, " issue", " issues") &amp;" identified in checks on this sheet"</f>
        <v>0 issues identified in checks on this sheet</v>
      </c>
      <c r="B4" s="13"/>
      <c r="C4" s="13"/>
      <c r="D4" s="13"/>
      <c r="E4" s="13"/>
      <c r="F4" s="13"/>
      <c r="G4" s="13"/>
      <c r="H4" s="14"/>
      <c r="I4" s="14"/>
    </row>
    <row r="5" spans="1:27" ht="43.2" x14ac:dyDescent="0.3">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D9" s="29" t="s">
        <v>715</v>
      </c>
      <c r="E9"/>
    </row>
    <row r="10" spans="1:27" x14ac:dyDescent="0.3">
      <c r="D10" s="91" t="s">
        <v>716</v>
      </c>
      <c r="E10"/>
    </row>
    <row r="11" spans="1:27" x14ac:dyDescent="0.3">
      <c r="D11" s="29" t="s">
        <v>717</v>
      </c>
      <c r="E11"/>
    </row>
    <row r="12" spans="1:27" x14ac:dyDescent="0.3">
      <c r="D12" s="91" t="s">
        <v>718</v>
      </c>
      <c r="E12"/>
    </row>
    <row r="14" spans="1:27" x14ac:dyDescent="0.3">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3">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3">
      <c r="D17"/>
      <c r="E17" s="32"/>
      <c r="I17" t="s">
        <v>153</v>
      </c>
      <c r="AA17" t="s">
        <v>720</v>
      </c>
    </row>
    <row r="18" spans="3:27" x14ac:dyDescent="0.3">
      <c r="C18" s="88"/>
      <c r="E18" t="s">
        <v>548</v>
      </c>
      <c r="G18" t="s">
        <v>211</v>
      </c>
      <c r="J18" s="120">
        <f>'Volume adjustments'!J275</f>
        <v>2271054.3909128611</v>
      </c>
      <c r="K18" s="120">
        <f>'Volume adjustments'!K275</f>
        <v>1739.8559938586122</v>
      </c>
      <c r="L18" s="120">
        <f>'Volume adjustments'!L275</f>
        <v>162702.15128386638</v>
      </c>
      <c r="M18" s="120">
        <f>'Volume adjustments'!M275</f>
        <v>2930.0356035322934</v>
      </c>
      <c r="N18" s="120">
        <f>'Volume adjustments'!N275</f>
        <v>13798.310204152966</v>
      </c>
      <c r="O18" s="120">
        <f>'Volume adjustments'!O275</f>
        <v>2220.1720526355821</v>
      </c>
      <c r="P18" s="120">
        <f>'Volume adjustments'!P275</f>
        <v>2131.728266274637</v>
      </c>
      <c r="Q18" s="120">
        <f>'Volume adjustments'!Q275</f>
        <v>661.01324841238045</v>
      </c>
      <c r="R18" s="120">
        <f>'Volume adjustments'!R275</f>
        <v>397.9095890410959</v>
      </c>
      <c r="S18" s="120">
        <f>'Volume adjustments'!S275</f>
        <v>0</v>
      </c>
      <c r="T18" s="120">
        <f>'Volume adjustments'!T275</f>
        <v>258.48493150684931</v>
      </c>
      <c r="U18" s="120">
        <f>'Volume adjustments'!U275</f>
        <v>0</v>
      </c>
      <c r="V18" s="120">
        <f>'Volume adjustments'!V275</f>
        <v>42</v>
      </c>
      <c r="W18" s="120">
        <f>'Volume adjustments'!W275</f>
        <v>0</v>
      </c>
      <c r="X18" s="120">
        <f>'Volume adjustments'!X275</f>
        <v>280</v>
      </c>
      <c r="Y18" s="120">
        <f>'Volume adjustments'!Y275</f>
        <v>0</v>
      </c>
    </row>
    <row r="19" spans="3:27" x14ac:dyDescent="0.3">
      <c r="C19" s="88"/>
      <c r="E19"/>
      <c r="J19" s="120"/>
      <c r="K19" s="120"/>
      <c r="L19" s="120"/>
      <c r="M19" s="120"/>
      <c r="N19" s="120"/>
      <c r="O19" s="120"/>
      <c r="P19" s="120"/>
      <c r="Q19" s="120"/>
      <c r="R19" s="120"/>
      <c r="S19" s="120"/>
      <c r="T19" s="120"/>
      <c r="U19" s="120"/>
      <c r="V19" s="120"/>
      <c r="W19" s="120"/>
      <c r="X19" s="120"/>
      <c r="Y19" s="120"/>
    </row>
    <row r="20" spans="3:27" x14ac:dyDescent="0.3">
      <c r="C20" s="88"/>
      <c r="E20" t="s">
        <v>470</v>
      </c>
      <c r="G20" t="s">
        <v>171</v>
      </c>
      <c r="H20" s="63"/>
      <c r="J20" s="120">
        <f>'System peak demand'!J200</f>
        <v>1901.5292347760608</v>
      </c>
      <c r="K20" s="120">
        <f>'System peak demand'!K200</f>
        <v>2.6543744545364407</v>
      </c>
      <c r="L20" s="120">
        <f>'System peak demand'!L200</f>
        <v>645.6647769034538</v>
      </c>
      <c r="M20" s="120">
        <f>'System peak demand'!M200</f>
        <v>10.160363455929366</v>
      </c>
      <c r="N20" s="120">
        <f>'System peak demand'!N200</f>
        <v>508.62423078464667</v>
      </c>
      <c r="O20" s="120">
        <f>'System peak demand'!O200</f>
        <v>252.98237136588386</v>
      </c>
      <c r="P20" s="120">
        <f>'System peak demand'!P200</f>
        <v>713.09608432971072</v>
      </c>
      <c r="Q20" s="120">
        <f>'System peak demand'!Q200</f>
        <v>46.771822492822295</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3">
      <c r="J21" s="89"/>
      <c r="K21" s="89"/>
      <c r="L21" s="89"/>
      <c r="M21" s="89"/>
      <c r="N21" s="89"/>
      <c r="O21" s="89"/>
      <c r="P21" s="89"/>
      <c r="Q21" s="89"/>
      <c r="R21" s="89"/>
      <c r="S21" s="89"/>
      <c r="T21" s="89"/>
      <c r="U21" s="89"/>
      <c r="V21" s="89"/>
      <c r="W21" s="89"/>
      <c r="X21" s="89"/>
      <c r="Y21" s="89"/>
    </row>
    <row r="22" spans="3:27" x14ac:dyDescent="0.3">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3">
      <c r="D23"/>
      <c r="E23" s="32"/>
      <c r="I23" t="s">
        <v>153</v>
      </c>
      <c r="J23" s="89"/>
      <c r="K23" s="89"/>
      <c r="L23" s="89"/>
      <c r="M23" s="89"/>
      <c r="N23" s="89"/>
      <c r="O23" s="89"/>
      <c r="P23" s="89"/>
      <c r="Q23" s="89"/>
      <c r="R23" s="89"/>
      <c r="S23" s="89"/>
      <c r="T23" s="89"/>
      <c r="U23" s="89"/>
      <c r="V23" s="89"/>
      <c r="W23" s="89"/>
      <c r="X23" s="89"/>
      <c r="Y23" s="89"/>
      <c r="AA23" t="s">
        <v>720</v>
      </c>
    </row>
    <row r="24" spans="3:27" x14ac:dyDescent="0.3">
      <c r="C24" s="88"/>
      <c r="E24" s="32" t="s">
        <v>620</v>
      </c>
      <c r="J24" s="89"/>
      <c r="K24" s="89"/>
      <c r="L24" s="89"/>
      <c r="M24" s="89"/>
      <c r="N24" s="89"/>
      <c r="O24" s="89"/>
      <c r="P24" s="89"/>
      <c r="Q24" s="89"/>
      <c r="R24" s="89"/>
      <c r="S24" s="89"/>
      <c r="T24" s="89"/>
      <c r="U24" s="89"/>
      <c r="V24" s="89"/>
      <c r="W24" s="89"/>
      <c r="X24" s="89"/>
      <c r="Y24" s="89"/>
    </row>
    <row r="25" spans="3:27" x14ac:dyDescent="0.3">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x14ac:dyDescent="0.3">
      <c r="C26" s="88"/>
      <c r="E26" s="29"/>
      <c r="F26" t="s">
        <v>190</v>
      </c>
      <c r="G26" t="s">
        <v>270</v>
      </c>
      <c r="J26" s="79"/>
      <c r="K26" s="79"/>
      <c r="L26" s="79"/>
      <c r="M26" s="79"/>
      <c r="N26" s="79"/>
      <c r="O26" s="79"/>
      <c r="P26" s="79"/>
      <c r="Q26" s="79"/>
      <c r="R26" s="79"/>
      <c r="S26" s="79"/>
      <c r="T26" s="79"/>
      <c r="U26" s="79"/>
      <c r="V26" s="79"/>
      <c r="W26" s="79"/>
      <c r="X26" s="79"/>
      <c r="Y26" s="79"/>
    </row>
    <row r="27" spans="3:27" x14ac:dyDescent="0.3">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3">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3">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3">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3">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3">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3">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3">
      <c r="C34" s="88"/>
      <c r="E34" s="29"/>
      <c r="F34" t="s">
        <v>198</v>
      </c>
      <c r="G34" t="s">
        <v>270</v>
      </c>
      <c r="J34" s="120">
        <f>'Capacity charges'!J271</f>
        <v>2.9187377414370504E-2</v>
      </c>
      <c r="K34" s="120">
        <f>'Capacity charges'!K271</f>
        <v>0</v>
      </c>
      <c r="L34" s="120">
        <f>'Capacity charges'!L271</f>
        <v>2.9187377414370504E-2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3">
      <c r="C35" s="88"/>
      <c r="E35" s="29"/>
      <c r="F35" t="s">
        <v>375</v>
      </c>
      <c r="G35" t="s">
        <v>270</v>
      </c>
      <c r="J35" s="79"/>
      <c r="K35" s="79"/>
      <c r="L35" s="79"/>
      <c r="M35" s="79"/>
      <c r="N35" s="79"/>
      <c r="O35" s="79"/>
      <c r="P35" s="79"/>
      <c r="Q35" s="79"/>
      <c r="R35" s="79"/>
      <c r="S35" s="79"/>
      <c r="T35" s="79"/>
      <c r="U35" s="79"/>
      <c r="V35" s="79"/>
      <c r="W35" s="79"/>
      <c r="X35" s="79"/>
      <c r="Y35" s="79"/>
    </row>
    <row r="36" spans="3:25" x14ac:dyDescent="0.3">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3">
      <c r="C37" s="88"/>
      <c r="D37"/>
      <c r="E37" s="29"/>
      <c r="J37" s="89"/>
      <c r="K37" s="89"/>
      <c r="L37" s="89"/>
      <c r="M37" s="89"/>
      <c r="N37" s="89"/>
      <c r="O37" s="89"/>
      <c r="P37" s="89"/>
      <c r="Q37" s="89"/>
      <c r="R37" s="89"/>
      <c r="S37" s="89"/>
      <c r="T37" s="89"/>
      <c r="U37" s="89"/>
      <c r="V37" s="89"/>
      <c r="W37" s="89"/>
      <c r="X37" s="89"/>
      <c r="Y37" s="89"/>
    </row>
    <row r="38" spans="3:25" x14ac:dyDescent="0.3">
      <c r="C38" s="88"/>
      <c r="E38" s="32" t="s">
        <v>621</v>
      </c>
      <c r="J38" s="89"/>
      <c r="K38" s="89"/>
      <c r="L38" s="89"/>
      <c r="M38" s="89"/>
      <c r="N38" s="89"/>
      <c r="O38" s="89"/>
      <c r="P38" s="89"/>
      <c r="Q38" s="89"/>
      <c r="R38" s="89"/>
      <c r="S38" s="89"/>
      <c r="T38" s="89"/>
      <c r="U38" s="89"/>
      <c r="V38" s="89"/>
      <c r="W38" s="89"/>
      <c r="X38" s="89"/>
      <c r="Y38" s="89"/>
    </row>
    <row r="39" spans="3:25" x14ac:dyDescent="0.3">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3">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3">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3">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3">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3">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3">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3">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3">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3">
      <c r="C48" s="88"/>
      <c r="F48" t="s">
        <v>198</v>
      </c>
      <c r="G48" t="s">
        <v>270</v>
      </c>
      <c r="J48" s="120">
        <f>'Capacity charges'!J285</f>
        <v>0.4729225320758309</v>
      </c>
      <c r="K48" s="120">
        <f>'Capacity charges'!K285</f>
        <v>0</v>
      </c>
      <c r="L48" s="120">
        <f>'Capacity charges'!L285</f>
        <v>0.4729225320758309</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3">
      <c r="C49" s="88"/>
      <c r="F49" t="s">
        <v>375</v>
      </c>
      <c r="G49" t="s">
        <v>270</v>
      </c>
      <c r="J49" s="79"/>
      <c r="K49" s="79"/>
      <c r="L49" s="79"/>
      <c r="M49" s="79"/>
      <c r="N49" s="79"/>
      <c r="O49" s="79"/>
      <c r="P49" s="79"/>
      <c r="Q49" s="79"/>
      <c r="R49" s="79"/>
      <c r="S49" s="79"/>
      <c r="T49" s="79"/>
      <c r="U49" s="79"/>
      <c r="V49" s="79"/>
      <c r="W49" s="79"/>
      <c r="X49" s="79"/>
      <c r="Y49" s="79"/>
    </row>
    <row r="50" spans="3:27" x14ac:dyDescent="0.3">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3">
      <c r="C51" s="88"/>
      <c r="J51" s="89"/>
      <c r="K51" s="89"/>
      <c r="L51" s="89"/>
      <c r="M51" s="89"/>
      <c r="N51" s="89"/>
      <c r="O51" s="89"/>
      <c r="P51" s="89"/>
      <c r="Q51" s="89"/>
      <c r="R51" s="89"/>
      <c r="S51" s="89"/>
      <c r="T51" s="89"/>
      <c r="U51" s="89"/>
      <c r="V51" s="89"/>
      <c r="W51" s="89"/>
      <c r="X51" s="89"/>
      <c r="Y51" s="89"/>
    </row>
    <row r="52" spans="3:27" x14ac:dyDescent="0.3">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3">
      <c r="D53"/>
    </row>
    <row r="54" spans="3:27" x14ac:dyDescent="0.3">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3">
      <c r="C55" s="88"/>
      <c r="D55"/>
      <c r="F55" s="23" t="s">
        <v>375</v>
      </c>
      <c r="G55" s="23" t="s">
        <v>269</v>
      </c>
      <c r="H55" s="23"/>
      <c r="I55" s="23"/>
      <c r="J55" s="124">
        <f>'Service model charges'!J42</f>
        <v>3.7416396604338464</v>
      </c>
      <c r="K55" s="124">
        <f>'Service model charges'!K42</f>
        <v>0</v>
      </c>
      <c r="L55" s="124">
        <f>'Service model charges'!L42</f>
        <v>3.7416396604338464</v>
      </c>
      <c r="M55" s="124">
        <f>'Service model charges'!M42</f>
        <v>0</v>
      </c>
      <c r="N55" s="124">
        <f>'Service model charges'!N42</f>
        <v>17.49531407933436</v>
      </c>
      <c r="O55" s="124">
        <f>'Service model charges'!O42</f>
        <v>56.467738784040058</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3">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124.16502858254897</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8.3608666107087686</v>
      </c>
      <c r="Y56" s="125">
        <f>'Service model charges'!Y43</f>
        <v>8.3608666107087686</v>
      </c>
    </row>
    <row r="57" spans="3:27" x14ac:dyDescent="0.3">
      <c r="C57" s="88"/>
      <c r="D57"/>
      <c r="F57" s="2"/>
    </row>
    <row r="58" spans="3:27" x14ac:dyDescent="0.3">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3">
      <c r="C59" s="32"/>
      <c r="D59"/>
      <c r="E59"/>
    </row>
    <row r="60" spans="3:27" x14ac:dyDescent="0.3">
      <c r="D60" s="29" t="s">
        <v>722</v>
      </c>
      <c r="E60"/>
    </row>
    <row r="61" spans="3:27" x14ac:dyDescent="0.3">
      <c r="D61" s="29" t="s">
        <v>723</v>
      </c>
      <c r="E61"/>
    </row>
    <row r="62" spans="3:27" x14ac:dyDescent="0.3">
      <c r="D62" s="29"/>
      <c r="E62"/>
    </row>
    <row r="63" spans="3:27" x14ac:dyDescent="0.3">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3">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3">
      <c r="J66" s="89"/>
      <c r="K66" s="89"/>
      <c r="L66" s="89"/>
      <c r="M66" s="89"/>
      <c r="N66" s="89"/>
      <c r="O66" s="89"/>
      <c r="P66" s="89"/>
      <c r="Q66" s="89"/>
      <c r="R66" s="89"/>
      <c r="S66" s="89"/>
      <c r="T66" s="89"/>
      <c r="U66" s="89"/>
      <c r="V66" s="89"/>
      <c r="W66" s="89"/>
      <c r="X66" s="89"/>
      <c r="Y66" s="89"/>
    </row>
    <row r="67" spans="2:27" x14ac:dyDescent="0.3">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3">
      <c r="D68"/>
      <c r="E68" s="32"/>
      <c r="I68" t="s">
        <v>153</v>
      </c>
      <c r="J68" s="89"/>
      <c r="K68" s="89"/>
      <c r="L68" s="89"/>
      <c r="M68" s="89"/>
      <c r="N68" s="89"/>
      <c r="O68" s="89"/>
      <c r="P68" s="89"/>
      <c r="Q68" s="89"/>
      <c r="R68" s="89"/>
      <c r="S68" s="89"/>
      <c r="T68" s="89"/>
      <c r="U68" s="89"/>
      <c r="V68" s="89"/>
      <c r="W68" s="89"/>
      <c r="X68" s="89"/>
      <c r="Y68" s="89"/>
      <c r="AA68" t="s">
        <v>725</v>
      </c>
    </row>
    <row r="69" spans="2:27" x14ac:dyDescent="0.3">
      <c r="C69" s="88"/>
      <c r="D69"/>
      <c r="E69" s="32" t="s">
        <v>620</v>
      </c>
      <c r="J69" s="89"/>
      <c r="K69" s="89"/>
      <c r="L69" s="89"/>
      <c r="M69" s="89"/>
      <c r="N69" s="89"/>
      <c r="O69" s="89"/>
      <c r="P69" s="89"/>
      <c r="Q69" s="89"/>
      <c r="R69" s="89"/>
      <c r="S69" s="89"/>
      <c r="T69" s="89"/>
      <c r="U69" s="89"/>
      <c r="V69" s="89"/>
      <c r="W69" s="89"/>
      <c r="X69" s="89"/>
      <c r="Y69" s="89"/>
    </row>
    <row r="70" spans="2:27" x14ac:dyDescent="0.3">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3">
      <c r="C71" s="88"/>
      <c r="D71"/>
      <c r="E71" s="29"/>
      <c r="F71" t="s">
        <v>190</v>
      </c>
      <c r="G71" t="s">
        <v>727</v>
      </c>
      <c r="J71" s="79"/>
      <c r="K71" s="79"/>
      <c r="L71" s="79"/>
      <c r="M71" s="79"/>
      <c r="N71" s="79"/>
      <c r="O71" s="79"/>
      <c r="P71" s="79"/>
      <c r="Q71" s="79"/>
      <c r="R71" s="79"/>
      <c r="S71" s="79"/>
      <c r="T71" s="79"/>
      <c r="U71" s="79"/>
      <c r="V71" s="79"/>
      <c r="W71" s="79"/>
      <c r="X71" s="79"/>
      <c r="Y71" s="79"/>
    </row>
    <row r="72" spans="2:27" x14ac:dyDescent="0.3">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3">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3">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3">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3">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3">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3">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3">
      <c r="C79" s="88"/>
      <c r="D79"/>
      <c r="E79" s="29"/>
      <c r="F79" t="s">
        <v>198</v>
      </c>
      <c r="G79" t="s">
        <v>727</v>
      </c>
      <c r="J79" s="98">
        <f t="shared" ref="J79:K79" si="49">J$20 * J34 * thousand / PowerFactor</f>
        <v>58421.738357755814</v>
      </c>
      <c r="K79" s="98">
        <f t="shared" si="49"/>
        <v>0</v>
      </c>
      <c r="L79" s="98">
        <f t="shared" ref="L79:M79" si="50">L$20 * L34 * thousand / PowerFactor</f>
        <v>19837.117396469937</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3">
      <c r="C80" s="88"/>
      <c r="D80"/>
      <c r="E80" s="29"/>
      <c r="F80" t="s">
        <v>375</v>
      </c>
      <c r="G80" t="s">
        <v>727</v>
      </c>
      <c r="J80" s="79"/>
      <c r="K80" s="79"/>
      <c r="L80" s="79"/>
      <c r="M80" s="79"/>
      <c r="N80" s="79"/>
      <c r="O80" s="79"/>
      <c r="P80" s="79"/>
      <c r="Q80" s="79"/>
      <c r="R80" s="79"/>
      <c r="S80" s="79"/>
      <c r="T80" s="79"/>
      <c r="U80" s="79"/>
      <c r="V80" s="79"/>
      <c r="W80" s="79"/>
      <c r="X80" s="79"/>
      <c r="Y80" s="79"/>
    </row>
    <row r="81" spans="3:25" x14ac:dyDescent="0.3">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3">
      <c r="C82" s="88"/>
      <c r="D82"/>
      <c r="E82" s="29"/>
      <c r="J82" s="89"/>
      <c r="K82" s="89"/>
      <c r="L82" s="89"/>
      <c r="M82" s="89"/>
      <c r="N82" s="89"/>
      <c r="O82" s="89"/>
      <c r="P82" s="89"/>
      <c r="Q82" s="89"/>
      <c r="R82" s="89"/>
      <c r="S82" s="89"/>
      <c r="T82" s="89"/>
      <c r="U82" s="89"/>
      <c r="V82" s="89"/>
      <c r="W82" s="89"/>
      <c r="X82" s="89"/>
      <c r="Y82" s="89"/>
    </row>
    <row r="83" spans="3:25" x14ac:dyDescent="0.3">
      <c r="C83" s="88"/>
      <c r="D83"/>
      <c r="E83" s="32" t="s">
        <v>621</v>
      </c>
      <c r="J83" s="89"/>
      <c r="K83" s="89"/>
      <c r="L83" s="89"/>
      <c r="M83" s="89"/>
      <c r="N83" s="89"/>
      <c r="O83" s="89"/>
      <c r="P83" s="89"/>
      <c r="Q83" s="89"/>
      <c r="R83" s="89"/>
      <c r="S83" s="89"/>
      <c r="T83" s="89"/>
      <c r="U83" s="89"/>
      <c r="V83" s="89"/>
      <c r="W83" s="89"/>
      <c r="X83" s="89"/>
      <c r="Y83" s="89"/>
    </row>
    <row r="84" spans="3:25" x14ac:dyDescent="0.3">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3">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3">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3">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3">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3">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3">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3">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3">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3">
      <c r="C93" s="88"/>
      <c r="D93"/>
      <c r="F93" t="s">
        <v>198</v>
      </c>
      <c r="G93" t="s">
        <v>727</v>
      </c>
      <c r="J93" s="98">
        <f t="shared" ref="J93:K93" si="119">J$20 * J48 * thousand / PowerFactor</f>
        <v>946606.33739632834</v>
      </c>
      <c r="K93" s="98">
        <f t="shared" si="119"/>
        <v>0</v>
      </c>
      <c r="L93" s="98">
        <f t="shared" ref="L93:M93" si="120">L$20 * L48 * thousand / PowerFactor</f>
        <v>321420.44333195564</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3">
      <c r="C94" s="88"/>
      <c r="D94"/>
      <c r="F94" t="s">
        <v>375</v>
      </c>
      <c r="G94" t="s">
        <v>727</v>
      </c>
      <c r="J94" s="79"/>
      <c r="K94" s="79"/>
      <c r="L94" s="79"/>
      <c r="M94" s="79"/>
      <c r="N94" s="79"/>
      <c r="O94" s="79"/>
      <c r="P94" s="79"/>
      <c r="Q94" s="79"/>
      <c r="R94" s="79"/>
      <c r="S94" s="79"/>
      <c r="T94" s="79"/>
      <c r="U94" s="79"/>
      <c r="V94" s="79"/>
      <c r="W94" s="79"/>
      <c r="X94" s="79"/>
      <c r="Y94" s="79"/>
    </row>
    <row r="95" spans="3:25" x14ac:dyDescent="0.3">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3">
      <c r="C96" s="88"/>
      <c r="J96" s="89"/>
      <c r="K96" s="89"/>
      <c r="L96" s="89"/>
      <c r="M96" s="89"/>
      <c r="N96" s="89"/>
      <c r="O96" s="89"/>
      <c r="P96" s="89"/>
      <c r="Q96" s="89"/>
      <c r="R96" s="89"/>
      <c r="S96" s="89"/>
      <c r="T96" s="89"/>
      <c r="U96" s="89"/>
      <c r="V96" s="89"/>
      <c r="W96" s="89"/>
      <c r="X96" s="89"/>
      <c r="Y96" s="89"/>
    </row>
    <row r="97" spans="3:27" x14ac:dyDescent="0.3">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3">
      <c r="D98"/>
      <c r="E98" s="32"/>
      <c r="I98" t="s">
        <v>153</v>
      </c>
      <c r="J98" s="89"/>
      <c r="K98" s="89"/>
      <c r="L98" s="89"/>
      <c r="M98" s="89"/>
      <c r="N98" s="89"/>
      <c r="O98" s="89"/>
      <c r="P98" s="89"/>
      <c r="Q98" s="89"/>
      <c r="R98" s="89"/>
      <c r="S98" s="89"/>
      <c r="T98" s="89"/>
      <c r="U98" s="89"/>
      <c r="V98" s="89"/>
      <c r="W98" s="89"/>
      <c r="X98" s="89"/>
      <c r="Y98" s="89"/>
      <c r="AA98" t="s">
        <v>725</v>
      </c>
    </row>
    <row r="99" spans="3:27" x14ac:dyDescent="0.3">
      <c r="C99" s="88"/>
      <c r="D99"/>
      <c r="E99" s="32" t="s">
        <v>620</v>
      </c>
      <c r="J99" s="89"/>
      <c r="K99" s="89"/>
      <c r="L99" s="89"/>
      <c r="M99" s="89"/>
      <c r="N99" s="89"/>
      <c r="O99" s="89"/>
      <c r="P99" s="89"/>
      <c r="Q99" s="89"/>
      <c r="R99" s="89"/>
      <c r="S99" s="89"/>
      <c r="T99" s="89"/>
      <c r="U99" s="89"/>
      <c r="V99" s="89"/>
      <c r="W99" s="89"/>
      <c r="X99" s="89"/>
      <c r="Y99" s="89"/>
    </row>
    <row r="100" spans="3:27" x14ac:dyDescent="0.3">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3">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3">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3">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3">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3">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3">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3">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3">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3">
      <c r="C109" s="88"/>
      <c r="D109"/>
      <c r="E109" s="29"/>
      <c r="F109" t="s">
        <v>198</v>
      </c>
      <c r="G109" t="s">
        <v>727</v>
      </c>
      <c r="J109" s="98">
        <f t="shared" ref="J109:Y109" si="133">SUMIFS($J79:$Y79,$J$63:$Y$63,J$63)</f>
        <v>78258.855754225748</v>
      </c>
      <c r="K109" s="98">
        <f t="shared" si="133"/>
        <v>0</v>
      </c>
      <c r="L109" s="98">
        <f t="shared" si="133"/>
        <v>78258.855754225748</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3">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3">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3">
      <c r="C112" s="88"/>
      <c r="D112"/>
      <c r="E112" s="29"/>
      <c r="J112" s="89"/>
      <c r="K112" s="89"/>
      <c r="L112" s="89"/>
      <c r="M112" s="89"/>
      <c r="N112" s="89"/>
      <c r="O112" s="89"/>
      <c r="P112" s="89"/>
      <c r="Q112" s="89"/>
      <c r="R112" s="89"/>
      <c r="S112" s="89"/>
      <c r="T112" s="89"/>
      <c r="U112" s="89"/>
      <c r="V112" s="89"/>
      <c r="W112" s="89"/>
      <c r="X112" s="89"/>
      <c r="Y112" s="89"/>
    </row>
    <row r="113" spans="3:27" x14ac:dyDescent="0.3">
      <c r="C113" s="88"/>
      <c r="D113"/>
      <c r="E113" s="32" t="s">
        <v>621</v>
      </c>
      <c r="J113" s="89"/>
      <c r="K113" s="89"/>
      <c r="L113" s="89"/>
      <c r="M113" s="89"/>
      <c r="N113" s="89"/>
      <c r="O113" s="89"/>
      <c r="P113" s="89"/>
      <c r="Q113" s="89"/>
      <c r="R113" s="89"/>
      <c r="S113" s="89"/>
      <c r="T113" s="89"/>
      <c r="U113" s="89"/>
      <c r="V113" s="89"/>
      <c r="W113" s="89"/>
      <c r="X113" s="89"/>
      <c r="Y113" s="89"/>
    </row>
    <row r="114" spans="3:27" x14ac:dyDescent="0.3">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3">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3">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3">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3">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3">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3">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3">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3">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3">
      <c r="C123" s="88"/>
      <c r="D123"/>
      <c r="F123" t="s">
        <v>198</v>
      </c>
      <c r="G123" t="s">
        <v>727</v>
      </c>
      <c r="J123" s="98">
        <f t="shared" ref="J123:Y123" si="143">SUMIFS($J93:$Y93,$J$63:$Y$63,J$63)</f>
        <v>1268026.780728284</v>
      </c>
      <c r="K123" s="98">
        <f t="shared" si="143"/>
        <v>0</v>
      </c>
      <c r="L123" s="98">
        <f t="shared" si="143"/>
        <v>1268026.780728284</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3">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3">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3">
      <c r="C126" s="88"/>
      <c r="J126" s="89"/>
      <c r="K126" s="89"/>
      <c r="L126" s="89"/>
      <c r="M126" s="89"/>
      <c r="N126" s="89"/>
      <c r="O126" s="89"/>
      <c r="P126" s="89"/>
      <c r="Q126" s="89"/>
      <c r="R126" s="89"/>
      <c r="S126" s="89"/>
      <c r="T126" s="89"/>
      <c r="U126" s="89"/>
      <c r="V126" s="89"/>
      <c r="W126" s="89"/>
      <c r="X126" s="89"/>
      <c r="Y126" s="89"/>
    </row>
    <row r="127" spans="3:27" x14ac:dyDescent="0.3">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3">
      <c r="D128"/>
      <c r="E128" s="32"/>
    </row>
    <row r="129" spans="3:27" x14ac:dyDescent="0.3">
      <c r="D129"/>
      <c r="E129" t="s">
        <v>728</v>
      </c>
      <c r="G129" t="s">
        <v>211</v>
      </c>
      <c r="J129" s="89">
        <f t="shared" ref="J129:Y129" si="144">SUMIFS($J$18:$Y$18,$J$63:$Y$63,J63)</f>
        <v>2433756.5421967274</v>
      </c>
      <c r="K129" s="89">
        <f t="shared" si="144"/>
        <v>24459.509889414418</v>
      </c>
      <c r="L129" s="89">
        <f t="shared" si="144"/>
        <v>2433756.5421967274</v>
      </c>
      <c r="M129" s="89">
        <f t="shared" si="144"/>
        <v>24459.509889414418</v>
      </c>
      <c r="N129" s="89">
        <f t="shared" si="144"/>
        <v>24459.509889414418</v>
      </c>
      <c r="O129" s="89">
        <f t="shared" si="144"/>
        <v>24459.509889414418</v>
      </c>
      <c r="P129" s="89">
        <f t="shared" si="144"/>
        <v>24459.509889414418</v>
      </c>
      <c r="Q129" s="89">
        <f t="shared" si="144"/>
        <v>24459.509889414418</v>
      </c>
      <c r="R129" s="89">
        <f t="shared" si="144"/>
        <v>24459.509889414418</v>
      </c>
      <c r="S129" s="89">
        <f t="shared" si="144"/>
        <v>24459.509889414418</v>
      </c>
      <c r="T129" s="89">
        <f t="shared" si="144"/>
        <v>24459.509889414418</v>
      </c>
      <c r="U129" s="89">
        <f t="shared" si="144"/>
        <v>24459.509889414418</v>
      </c>
      <c r="V129" s="89">
        <f t="shared" si="144"/>
        <v>24459.509889414418</v>
      </c>
      <c r="W129" s="89">
        <f t="shared" si="144"/>
        <v>24459.509889414418</v>
      </c>
      <c r="X129" s="89">
        <f t="shared" si="144"/>
        <v>24459.509889414418</v>
      </c>
      <c r="Y129" s="89">
        <f t="shared" si="144"/>
        <v>24459.509889414418</v>
      </c>
    </row>
    <row r="130" spans="3:27" x14ac:dyDescent="0.3">
      <c r="D130"/>
      <c r="E130"/>
    </row>
    <row r="131" spans="3:27" x14ac:dyDescent="0.3">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3">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3">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3">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3">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3">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3">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3">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3">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3">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3">
      <c r="C141" s="88"/>
      <c r="E141" s="29"/>
      <c r="F141" t="s">
        <v>198</v>
      </c>
      <c r="G141" t="s">
        <v>269</v>
      </c>
      <c r="J141" s="98">
        <f t="shared" ref="J141:K141" si="208">IF(J$129 = 0, 0, J109 / J$129)</f>
        <v>3.2155581052321983E-2</v>
      </c>
      <c r="K141" s="98">
        <f t="shared" si="208"/>
        <v>0</v>
      </c>
      <c r="L141" s="98">
        <f t="shared" ref="L141:M141" si="209">IF(L$129 = 0, 0, L109 / L$129)</f>
        <v>3.2155581052321983E-2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3">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3">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3">
      <c r="C144" s="88"/>
      <c r="D144"/>
      <c r="E144" s="29"/>
      <c r="J144" s="89"/>
      <c r="K144" s="89"/>
      <c r="L144" s="89"/>
      <c r="M144" s="89"/>
      <c r="N144" s="89"/>
      <c r="O144" s="89"/>
      <c r="P144" s="89"/>
      <c r="Q144" s="89"/>
      <c r="R144" s="89"/>
      <c r="S144" s="89"/>
      <c r="T144" s="89"/>
      <c r="U144" s="89"/>
      <c r="V144" s="89"/>
      <c r="W144" s="89"/>
      <c r="X144" s="89"/>
      <c r="Y144" s="89"/>
    </row>
    <row r="145" spans="3:27" x14ac:dyDescent="0.3">
      <c r="C145" s="88"/>
      <c r="E145" s="32" t="s">
        <v>621</v>
      </c>
      <c r="J145" s="89"/>
      <c r="K145" s="89"/>
      <c r="L145" s="89"/>
      <c r="M145" s="89"/>
      <c r="N145" s="89"/>
      <c r="O145" s="89"/>
      <c r="P145" s="89"/>
      <c r="Q145" s="89"/>
      <c r="R145" s="89"/>
      <c r="S145" s="89"/>
      <c r="T145" s="89"/>
      <c r="U145" s="89"/>
      <c r="V145" s="89"/>
      <c r="W145" s="89"/>
      <c r="X145" s="89"/>
      <c r="Y145" s="89"/>
    </row>
    <row r="146" spans="3:27" x14ac:dyDescent="0.3">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3">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3">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3">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3">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3">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3">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3">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3">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3">
      <c r="C155" s="88"/>
      <c r="F155" t="s">
        <v>198</v>
      </c>
      <c r="G155" t="s">
        <v>269</v>
      </c>
      <c r="J155" s="98">
        <f t="shared" ref="J155:K155" si="278">IF(J$129 = 0, 0, J123 / J$129)</f>
        <v>0.52101628028239555</v>
      </c>
      <c r="K155" s="98">
        <f t="shared" si="278"/>
        <v>0</v>
      </c>
      <c r="L155" s="98">
        <f t="shared" ref="L155:M155" si="279">IF(L$129 = 0, 0, L123 / L$129)</f>
        <v>0.52101628028239555</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3">
      <c r="C156" s="88"/>
      <c r="D156"/>
      <c r="F156" s="23" t="s">
        <v>375</v>
      </c>
      <c r="G156" s="23" t="s">
        <v>269</v>
      </c>
      <c r="H156" s="23"/>
      <c r="I156" s="23"/>
      <c r="J156" s="126">
        <f t="shared" ref="J156:K156" si="285">J55</f>
        <v>3.7416396604338464</v>
      </c>
      <c r="K156" s="126">
        <f t="shared" si="285"/>
        <v>0</v>
      </c>
      <c r="L156" s="126">
        <f t="shared" ref="L156:M156" si="286">L55</f>
        <v>3.7416396604338464</v>
      </c>
      <c r="M156" s="126">
        <f t="shared" si="286"/>
        <v>0</v>
      </c>
      <c r="N156" s="126">
        <f t="shared" ref="N156:P156" si="287">N55</f>
        <v>17.49531407933436</v>
      </c>
      <c r="O156" s="126">
        <f t="shared" si="287"/>
        <v>56.467738784040058</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3">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124.16502858254897</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8.3608666107087686</v>
      </c>
      <c r="Y157" s="100">
        <f t="shared" si="298"/>
        <v>8.3608666107087686</v>
      </c>
    </row>
    <row r="158" spans="3:27" x14ac:dyDescent="0.3">
      <c r="C158" s="88"/>
      <c r="J158" s="89"/>
      <c r="K158" s="89"/>
      <c r="L158" s="89"/>
      <c r="M158" s="89"/>
      <c r="N158" s="89"/>
      <c r="O158" s="89"/>
      <c r="P158" s="89"/>
      <c r="Q158" s="89"/>
      <c r="R158" s="89"/>
      <c r="S158" s="89"/>
      <c r="T158" s="89"/>
      <c r="U158" s="89"/>
      <c r="V158" s="89"/>
      <c r="W158" s="89"/>
      <c r="X158" s="89"/>
      <c r="Y158" s="89"/>
    </row>
    <row r="159" spans="3:27" x14ac:dyDescent="0.3">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
      <c r="C160" s="88"/>
      <c r="J160" s="89"/>
      <c r="K160" s="89"/>
      <c r="L160" s="89"/>
      <c r="M160" s="89"/>
      <c r="N160" s="89"/>
      <c r="O160" s="89"/>
      <c r="P160" s="89"/>
      <c r="Q160" s="89"/>
      <c r="R160" s="89"/>
      <c r="S160" s="89"/>
      <c r="T160" s="89"/>
      <c r="U160" s="89"/>
      <c r="V160" s="89"/>
      <c r="W160" s="89"/>
      <c r="X160" s="89"/>
      <c r="Y160" s="89"/>
    </row>
    <row r="161" spans="2:27" x14ac:dyDescent="0.3">
      <c r="E161" t="s">
        <v>158</v>
      </c>
      <c r="G161" t="s">
        <v>269</v>
      </c>
      <c r="J161" s="121">
        <f t="shared" ref="J161:K161" si="299">SUM(J132:J143,J146:J157)</f>
        <v>4.2948115217685636</v>
      </c>
      <c r="K161" s="121">
        <f t="shared" si="299"/>
        <v>0</v>
      </c>
      <c r="L161" s="121">
        <f t="shared" ref="L161:M161" si="300">SUM(L132:L143,L146:L157)</f>
        <v>4.2948115217685636</v>
      </c>
      <c r="M161" s="121">
        <f t="shared" si="300"/>
        <v>0</v>
      </c>
      <c r="N161" s="121">
        <f t="shared" ref="N161:P161" si="301">SUM(N132:N143,N146:N157)</f>
        <v>17.49531407933436</v>
      </c>
      <c r="O161" s="121">
        <f t="shared" si="301"/>
        <v>56.467738784040058</v>
      </c>
      <c r="P161" s="121">
        <f t="shared" si="301"/>
        <v>124.16502858254897</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8.3608666107087686</v>
      </c>
      <c r="Y161" s="121">
        <f>SUM(Y132:Y143,Y146:Y157)</f>
        <v>8.3608666107087686</v>
      </c>
    </row>
    <row r="163" spans="2:27" x14ac:dyDescent="0.3">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3">
      <c r="C165" s="88"/>
      <c r="E165" t="s">
        <v>231</v>
      </c>
      <c r="G165" s="6" t="s">
        <v>54</v>
      </c>
      <c r="H165" s="103">
        <f t="array" ref="H165">SUM(IF(ISERROR(H18:Y161), 1))</f>
        <v>0</v>
      </c>
    </row>
    <row r="167" spans="2:27" x14ac:dyDescent="0.3">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3">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4" width="24.5546875" hidden="1" customWidth="1"/>
    <col min="305" max="16384" width="8.5546875" hidden="1"/>
  </cols>
  <sheetData>
    <row r="1" spans="1:27" s="1" customFormat="1" x14ac:dyDescent="0.3">
      <c r="A1" s="1" t="str">
        <f ca="1">MID(CELL("filename",A1),FIND("]",CELL("filename",A1))+1,255)</f>
        <v>SoLR &amp; bad debt adders</v>
      </c>
    </row>
    <row r="2" spans="1:27" s="1" customFormat="1" x14ac:dyDescent="0.3">
      <c r="A2" s="1" t="str">
        <f>Cover!D21&amp;" - "&amp;Cover!D23</f>
        <v>Electricity North West Limited - Working Model</v>
      </c>
    </row>
    <row r="3" spans="1:27" s="5" customFormat="1" x14ac:dyDescent="0.3">
      <c r="A3" s="5" t="str">
        <f>Cover!D2&amp;" - "&amp;Cover!D8&amp;" v"&amp;Cover!D10&amp;" - "&amp;Cover!D19</f>
        <v>CDCM charging model - Release for charge setting v7 - 2022/23</v>
      </c>
    </row>
    <row r="4" spans="1:27" x14ac:dyDescent="0.3">
      <c r="A4" s="12" t="str">
        <f>H66 &amp; IF(H66 = 1, " issue", " issues") &amp;" identified in checks on this sheet"</f>
        <v>0 issues identified in checks on this sheet</v>
      </c>
      <c r="B4" s="13"/>
      <c r="C4" s="13"/>
      <c r="D4" s="13"/>
      <c r="E4" s="13"/>
      <c r="F4" s="13"/>
      <c r="G4" s="13"/>
      <c r="H4" s="14"/>
      <c r="I4" s="14"/>
      <c r="J4" s="13"/>
    </row>
    <row r="5" spans="1:27" ht="43.2" x14ac:dyDescent="0.3">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865</v>
      </c>
      <c r="E9"/>
    </row>
    <row r="10" spans="1:27" x14ac:dyDescent="0.3">
      <c r="C10" s="29" t="s">
        <v>866</v>
      </c>
      <c r="E10"/>
    </row>
    <row r="12" spans="1:27" x14ac:dyDescent="0.3">
      <c r="B12" s="30" t="s">
        <v>867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3">
      <c r="C14" s="29" t="s">
        <v>868</v>
      </c>
    </row>
    <row r="16" spans="1:27" x14ac:dyDescent="0.3">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3">
      <c r="E18" s="88" t="s">
        <v>211</v>
      </c>
      <c r="F18" s="32"/>
    </row>
    <row r="19" spans="3:27" x14ac:dyDescent="0.3">
      <c r="E19" s="29" t="s">
        <v>869</v>
      </c>
      <c r="F19" s="2"/>
    </row>
    <row r="20" spans="3:27" x14ac:dyDescent="0.3">
      <c r="C20" s="88"/>
      <c r="F20" s="23" t="s">
        <v>446</v>
      </c>
      <c r="G20" s="23" t="s">
        <v>211</v>
      </c>
      <c r="H20" s="270"/>
      <c r="I20" s="258"/>
      <c r="J20" s="270">
        <f>'Volume adjustments'!J202</f>
        <v>2209768.4645891488</v>
      </c>
      <c r="K20" s="270">
        <f>'Volume adjustments'!K202</f>
        <v>1739.8559938586122</v>
      </c>
      <c r="L20" s="270">
        <f>'Volume adjustments'!L202</f>
        <v>161625.84994522849</v>
      </c>
      <c r="M20" s="270">
        <f>'Volume adjustments'!M202</f>
        <v>2930.0356035322934</v>
      </c>
      <c r="N20" s="270">
        <f>'Volume adjustments'!N202</f>
        <v>13502.420622609596</v>
      </c>
      <c r="O20" s="270">
        <f>'Volume adjustments'!O202</f>
        <v>2200.6306611608024</v>
      </c>
      <c r="P20" s="270">
        <f>'Volume adjustments'!P202</f>
        <v>2114.609858747162</v>
      </c>
      <c r="Q20" s="270">
        <f>'Volume adjustments'!Q202</f>
        <v>609.61643835616439</v>
      </c>
      <c r="R20" s="270">
        <f>'Volume adjustments'!R202</f>
        <v>397.9095890410959</v>
      </c>
      <c r="S20" s="270">
        <f>'Volume adjustments'!S202</f>
        <v>0</v>
      </c>
      <c r="T20" s="270">
        <f>'Volume adjustments'!T202</f>
        <v>258.48493150684931</v>
      </c>
      <c r="U20" s="270">
        <f>'Volume adjustments'!U202</f>
        <v>0</v>
      </c>
      <c r="V20" s="270">
        <f>'Volume adjustments'!V202</f>
        <v>42</v>
      </c>
      <c r="W20" s="270">
        <f>'Volume adjustments'!W202</f>
        <v>0</v>
      </c>
      <c r="X20" s="270">
        <f>'Volume adjustments'!X202</f>
        <v>280</v>
      </c>
      <c r="Y20" s="270">
        <f>'Volume adjustments'!Y202</f>
        <v>0</v>
      </c>
      <c r="Z20" s="259"/>
      <c r="AA20" s="259"/>
    </row>
    <row r="21" spans="3:27" x14ac:dyDescent="0.3">
      <c r="C21" s="88"/>
      <c r="F21" t="s">
        <v>447</v>
      </c>
      <c r="G21" t="s">
        <v>211</v>
      </c>
      <c r="H21" s="271"/>
      <c r="I21" s="259"/>
      <c r="J21" s="271">
        <f>'Volume adjustments'!J211</f>
        <v>52808.841615088189</v>
      </c>
      <c r="K21" s="271">
        <f>'Volume adjustments'!K211</f>
        <v>0</v>
      </c>
      <c r="L21" s="271">
        <f>'Volume adjustments'!L211</f>
        <v>1010.0849315068493</v>
      </c>
      <c r="M21" s="271">
        <f>'Volume adjustments'!M211</f>
        <v>0</v>
      </c>
      <c r="N21" s="271">
        <f>'Volume adjustments'!N211</f>
        <v>43</v>
      </c>
      <c r="O21" s="271">
        <f>'Volume adjustments'!O211</f>
        <v>0</v>
      </c>
      <c r="P21" s="271">
        <f>'Volume adjustments'!P211</f>
        <v>0</v>
      </c>
      <c r="Q21" s="271">
        <f>'Volume adjustments'!Q211</f>
        <v>74</v>
      </c>
      <c r="R21" s="271">
        <f>'Volume adjustments'!R211</f>
        <v>0</v>
      </c>
      <c r="S21" s="271">
        <f>'Volume adjustments'!S211</f>
        <v>0</v>
      </c>
      <c r="T21" s="271">
        <f>'Volume adjustments'!T211</f>
        <v>0</v>
      </c>
      <c r="U21" s="271">
        <f>'Volume adjustments'!U211</f>
        <v>0</v>
      </c>
      <c r="V21" s="271">
        <f>'Volume adjustments'!V211</f>
        <v>0</v>
      </c>
      <c r="W21" s="271">
        <f>'Volume adjustments'!W211</f>
        <v>0</v>
      </c>
      <c r="X21" s="271">
        <f>'Volume adjustments'!X211</f>
        <v>0</v>
      </c>
      <c r="Y21" s="271">
        <f>'Volume adjustments'!Y211</f>
        <v>0</v>
      </c>
      <c r="Z21" s="259"/>
      <c r="AA21" s="259"/>
    </row>
    <row r="22" spans="3:27" x14ac:dyDescent="0.3">
      <c r="C22" s="88"/>
      <c r="F22" t="s">
        <v>448</v>
      </c>
      <c r="G22" t="s">
        <v>211</v>
      </c>
      <c r="H22" s="271"/>
      <c r="I22" s="259"/>
      <c r="J22" s="271">
        <f>'Volume adjustments'!J220</f>
        <v>58864.02895910322</v>
      </c>
      <c r="K22" s="271">
        <f>'Volume adjustments'!K220</f>
        <v>0</v>
      </c>
      <c r="L22" s="271">
        <f>'Volume adjustments'!L220</f>
        <v>915.90958904109584</v>
      </c>
      <c r="M22" s="271">
        <f>'Volume adjustments'!M220</f>
        <v>0</v>
      </c>
      <c r="N22" s="271">
        <f>'Volume adjustments'!N220</f>
        <v>586.42465753424653</v>
      </c>
      <c r="O22" s="271">
        <f>'Volume adjustments'!O220</f>
        <v>27</v>
      </c>
      <c r="P22" s="271">
        <f>'Volume adjustments'!P220</f>
        <v>20</v>
      </c>
      <c r="Q22" s="271">
        <f>'Volume adjustments'!Q220</f>
        <v>7</v>
      </c>
      <c r="R22" s="271">
        <f>'Volume adjustments'!R220</f>
        <v>0</v>
      </c>
      <c r="S22" s="271">
        <f>'Volume adjustments'!S220</f>
        <v>0</v>
      </c>
      <c r="T22" s="271">
        <f>'Volume adjustments'!T220</f>
        <v>0</v>
      </c>
      <c r="U22" s="271">
        <f>'Volume adjustments'!U220</f>
        <v>0</v>
      </c>
      <c r="V22" s="271">
        <f>'Volume adjustments'!V220</f>
        <v>0</v>
      </c>
      <c r="W22" s="271">
        <f>'Volume adjustments'!W220</f>
        <v>0</v>
      </c>
      <c r="X22" s="271">
        <f>'Volume adjustments'!X220</f>
        <v>0</v>
      </c>
      <c r="Y22" s="271">
        <f>'Volume adjustments'!Y220</f>
        <v>0</v>
      </c>
      <c r="Z22" s="259"/>
      <c r="AA22" s="259"/>
    </row>
    <row r="23" spans="3:27" x14ac:dyDescent="0.3">
      <c r="C23" s="88"/>
      <c r="F23" s="37" t="s">
        <v>870</v>
      </c>
      <c r="G23" s="37" t="s">
        <v>211</v>
      </c>
      <c r="H23" s="211"/>
      <c r="I23" s="37"/>
      <c r="J23" s="125">
        <f>'Inputs by customer type'!J161</f>
        <v>1585.9597882364271</v>
      </c>
      <c r="K23" s="125">
        <f>'Inputs by customer type'!K161</f>
        <v>0</v>
      </c>
      <c r="L23" s="125">
        <f>'Inputs by customer type'!L161</f>
        <v>0</v>
      </c>
      <c r="M23" s="125">
        <f>'Inputs by customer type'!M161</f>
        <v>0</v>
      </c>
      <c r="N23" s="125">
        <f>'Inputs by customer type'!N161</f>
        <v>17.117519649904168</v>
      </c>
      <c r="O23" s="125">
        <f>'Inputs by customer type'!O161</f>
        <v>0</v>
      </c>
      <c r="P23" s="125">
        <f>'Inputs by customer type'!P161</f>
        <v>0.56003796867584243</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x14ac:dyDescent="0.3">
      <c r="C24" s="88"/>
      <c r="E24"/>
      <c r="J24" s="89"/>
      <c r="K24" s="89"/>
      <c r="L24" s="89"/>
      <c r="M24" s="89"/>
      <c r="N24" s="89"/>
      <c r="O24" s="89"/>
      <c r="P24" s="89"/>
      <c r="Q24" s="89"/>
      <c r="R24" s="89"/>
      <c r="S24" s="89"/>
      <c r="T24" s="89"/>
      <c r="U24" s="89"/>
      <c r="V24" s="89"/>
      <c r="W24" s="89"/>
      <c r="X24" s="89"/>
      <c r="Y24" s="89"/>
    </row>
    <row r="25" spans="3:27" x14ac:dyDescent="0.3">
      <c r="C25" s="88"/>
      <c r="E25" s="32" t="s">
        <v>871</v>
      </c>
      <c r="J25" s="89"/>
      <c r="K25" s="89"/>
      <c r="L25" s="89"/>
      <c r="M25" s="89"/>
      <c r="N25" s="89"/>
      <c r="O25" s="89"/>
      <c r="P25" s="89"/>
      <c r="Q25" s="89"/>
      <c r="R25" s="89"/>
      <c r="S25" s="89"/>
      <c r="T25" s="89"/>
      <c r="U25" s="89"/>
      <c r="V25" s="89"/>
      <c r="W25" s="89"/>
      <c r="X25" s="89"/>
      <c r="Y25" s="89"/>
    </row>
    <row r="26" spans="3:27" x14ac:dyDescent="0.3">
      <c r="C26" s="88"/>
      <c r="E26"/>
      <c r="F26" s="23" t="s">
        <v>872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3">
      <c r="C27" s="88"/>
      <c r="E27"/>
      <c r="F27" s="37" t="s">
        <v>873</v>
      </c>
      <c r="G27" s="37" t="s">
        <v>175</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x14ac:dyDescent="0.3">
      <c r="C28" s="88"/>
      <c r="E28"/>
      <c r="J28" s="89"/>
      <c r="K28" s="89"/>
      <c r="L28" s="89"/>
      <c r="M28" s="89"/>
      <c r="N28" s="89"/>
      <c r="O28" s="89"/>
      <c r="P28" s="89"/>
      <c r="Q28" s="89"/>
      <c r="R28" s="89"/>
      <c r="S28" s="89"/>
      <c r="T28" s="89"/>
      <c r="U28" s="89"/>
      <c r="V28" s="89"/>
      <c r="W28" s="89"/>
      <c r="X28" s="89"/>
      <c r="Y28" s="89"/>
    </row>
    <row r="29" spans="3:27" x14ac:dyDescent="0.3">
      <c r="C29" s="88"/>
      <c r="E29" s="32" t="s">
        <v>874</v>
      </c>
      <c r="J29" s="89"/>
      <c r="K29" s="89"/>
      <c r="L29" s="89"/>
      <c r="M29" s="89"/>
      <c r="N29" s="89"/>
      <c r="O29" s="89"/>
      <c r="P29" s="89"/>
      <c r="Q29" s="89"/>
      <c r="R29" s="89"/>
      <c r="S29" s="89"/>
      <c r="T29" s="89"/>
      <c r="U29" s="89"/>
      <c r="V29" s="89"/>
      <c r="W29" s="89"/>
      <c r="X29" s="89"/>
      <c r="Y29" s="89"/>
    </row>
    <row r="30" spans="3:27" x14ac:dyDescent="0.3">
      <c r="C30" s="88"/>
      <c r="E30"/>
      <c r="F30" s="23" t="s">
        <v>872</v>
      </c>
      <c r="G30" s="23" t="s">
        <v>276</v>
      </c>
      <c r="H30" s="124">
        <f>'General inputs'!H53</f>
        <v>79919237.915568694</v>
      </c>
      <c r="J30" s="120"/>
      <c r="K30" s="120"/>
      <c r="L30" s="120"/>
      <c r="M30" s="120"/>
      <c r="N30" s="120"/>
      <c r="O30" s="120"/>
      <c r="P30" s="120"/>
      <c r="Q30" s="120"/>
      <c r="R30" s="120"/>
      <c r="S30" s="120"/>
      <c r="T30" s="120"/>
      <c r="U30" s="120"/>
      <c r="V30" s="120"/>
      <c r="W30" s="120"/>
      <c r="X30" s="120"/>
      <c r="Y30" s="120"/>
    </row>
    <row r="31" spans="3:27" x14ac:dyDescent="0.3">
      <c r="C31" s="88"/>
      <c r="E31"/>
      <c r="F31" s="37" t="s">
        <v>873</v>
      </c>
      <c r="G31" s="37" t="s">
        <v>276</v>
      </c>
      <c r="H31" s="125">
        <f>'General inputs'!H54</f>
        <v>355501.80032860168</v>
      </c>
      <c r="J31" s="120"/>
      <c r="K31" s="120"/>
      <c r="L31" s="120"/>
      <c r="M31" s="120"/>
      <c r="N31" s="120"/>
      <c r="O31" s="120"/>
      <c r="P31" s="120"/>
      <c r="Q31" s="120"/>
      <c r="R31" s="120"/>
      <c r="S31" s="120"/>
      <c r="T31" s="120"/>
      <c r="U31" s="120"/>
      <c r="V31" s="120"/>
      <c r="W31" s="120"/>
      <c r="X31" s="120"/>
      <c r="Y31" s="120"/>
    </row>
    <row r="33" spans="3:27" x14ac:dyDescent="0.3">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3">
      <c r="C34" s="88"/>
      <c r="E34"/>
      <c r="J34" s="89"/>
      <c r="K34" s="89"/>
      <c r="L34" s="89"/>
      <c r="M34" s="89"/>
      <c r="N34" s="89"/>
      <c r="O34" s="89"/>
      <c r="P34" s="89"/>
      <c r="Q34" s="89"/>
      <c r="R34" s="89"/>
      <c r="S34" s="89"/>
      <c r="T34" s="89"/>
      <c r="U34" s="89"/>
      <c r="V34" s="89"/>
      <c r="W34" s="89"/>
      <c r="X34" s="89"/>
      <c r="Y34" s="89"/>
    </row>
    <row r="35" spans="3:27" x14ac:dyDescent="0.3">
      <c r="C35" s="88"/>
      <c r="E35" s="32" t="s">
        <v>875</v>
      </c>
      <c r="J35" s="89"/>
      <c r="K35" s="89"/>
      <c r="L35" s="89"/>
      <c r="M35" s="89"/>
      <c r="N35" s="89"/>
      <c r="O35" s="89"/>
      <c r="P35" s="89"/>
      <c r="Q35" s="89"/>
      <c r="R35" s="89"/>
      <c r="S35" s="89"/>
      <c r="T35" s="89"/>
      <c r="U35" s="89"/>
      <c r="V35" s="89"/>
      <c r="W35" s="89"/>
      <c r="X35" s="89"/>
      <c r="Y35" s="89"/>
    </row>
    <row r="36" spans="3:27" x14ac:dyDescent="0.3">
      <c r="F36" s="23" t="s">
        <v>872</v>
      </c>
      <c r="G36" s="23" t="s">
        <v>211</v>
      </c>
      <c r="H36" s="23"/>
      <c r="I36" s="23"/>
      <c r="J36" s="158">
        <f>SUM( J$20:J$23 ) * J26</f>
        <v>2323027.2949515767</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3">
      <c r="F37" s="37" t="s">
        <v>873</v>
      </c>
      <c r="G37" s="37" t="s">
        <v>211</v>
      </c>
      <c r="H37" s="37"/>
      <c r="I37" s="37"/>
      <c r="J37" s="82">
        <f t="shared" ref="J37:Y37" si="1">SUM( J$20:J$23 ) * J27</f>
        <v>2323027.2949515767</v>
      </c>
      <c r="K37" s="82">
        <f t="shared" si="1"/>
        <v>0</v>
      </c>
      <c r="L37" s="82">
        <f t="shared" si="1"/>
        <v>163551.84446577643</v>
      </c>
      <c r="M37" s="82">
        <f t="shared" si="1"/>
        <v>0</v>
      </c>
      <c r="N37" s="82">
        <f t="shared" si="1"/>
        <v>14148.962799793746</v>
      </c>
      <c r="O37" s="82">
        <f t="shared" si="1"/>
        <v>2227.6306611608024</v>
      </c>
      <c r="P37" s="82">
        <f t="shared" si="1"/>
        <v>2135.1698967158377</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3">
      <c r="C38" s="88"/>
      <c r="E38"/>
      <c r="J38" s="89"/>
      <c r="K38" s="89"/>
      <c r="L38" s="89"/>
      <c r="M38" s="89"/>
      <c r="N38" s="89"/>
      <c r="O38" s="89"/>
      <c r="P38" s="89"/>
      <c r="Q38" s="89"/>
      <c r="R38" s="89"/>
      <c r="S38" s="89"/>
      <c r="T38" s="89"/>
      <c r="U38" s="89"/>
      <c r="V38" s="89"/>
      <c r="W38" s="89"/>
      <c r="X38" s="89"/>
      <c r="Y38" s="89"/>
    </row>
    <row r="39" spans="3:27" x14ac:dyDescent="0.3">
      <c r="C39" s="88"/>
      <c r="E39" s="32" t="s">
        <v>876</v>
      </c>
      <c r="I39" t="s">
        <v>153</v>
      </c>
      <c r="J39" s="89"/>
      <c r="K39" s="89"/>
      <c r="L39" s="89"/>
      <c r="M39" s="89"/>
      <c r="N39" s="89"/>
      <c r="O39" s="89"/>
      <c r="P39" s="89"/>
      <c r="Q39" s="89"/>
      <c r="R39" s="89"/>
      <c r="S39" s="89"/>
      <c r="T39" s="89"/>
      <c r="U39" s="89"/>
      <c r="V39" s="89"/>
      <c r="W39" s="89"/>
      <c r="X39" s="89"/>
      <c r="Y39" s="89"/>
      <c r="AA39" t="s">
        <v>905</v>
      </c>
    </row>
    <row r="40" spans="3:27" x14ac:dyDescent="0.3">
      <c r="C40" s="88"/>
      <c r="E40"/>
      <c r="F40" s="23" t="s">
        <v>872</v>
      </c>
      <c r="G40" s="23" t="s">
        <v>269</v>
      </c>
      <c r="H40" s="314">
        <f>H30 / SUM( J36:Y36 ) * hundred / days_in_year</f>
        <v>9.4254947706760213</v>
      </c>
      <c r="I40" s="14"/>
      <c r="J40" s="194"/>
      <c r="K40" s="194"/>
      <c r="L40" s="194"/>
      <c r="M40" s="194"/>
      <c r="N40" s="194"/>
      <c r="O40" s="194"/>
      <c r="P40" s="194"/>
      <c r="Q40" s="194"/>
      <c r="R40" s="194"/>
      <c r="S40" s="194"/>
      <c r="T40" s="194"/>
      <c r="U40" s="194"/>
      <c r="V40" s="194"/>
      <c r="W40" s="194"/>
      <c r="X40" s="194"/>
      <c r="Y40" s="194"/>
    </row>
    <row r="41" spans="3:27" x14ac:dyDescent="0.3">
      <c r="C41" s="88"/>
      <c r="E41"/>
      <c r="F41" s="37" t="s">
        <v>873</v>
      </c>
      <c r="G41" s="37" t="s">
        <v>269</v>
      </c>
      <c r="H41" s="315">
        <f>H31 / SUM( J37:Y37 ) * hundred / days_in_year</f>
        <v>3.8879927832875319E-2</v>
      </c>
      <c r="I41" s="14"/>
      <c r="J41" s="194"/>
      <c r="K41" s="194"/>
      <c r="L41" s="194"/>
      <c r="M41" s="194"/>
      <c r="N41" s="194"/>
      <c r="O41" s="194"/>
      <c r="P41" s="194"/>
      <c r="Q41" s="194"/>
      <c r="R41" s="194"/>
      <c r="S41" s="194"/>
      <c r="T41" s="194"/>
      <c r="U41" s="194"/>
      <c r="V41" s="194"/>
      <c r="W41" s="194"/>
      <c r="X41" s="194"/>
      <c r="Y41" s="194"/>
    </row>
    <row r="42" spans="3:27" x14ac:dyDescent="0.3">
      <c r="C42" s="88"/>
      <c r="E42"/>
      <c r="H42" s="14"/>
      <c r="I42" s="14"/>
      <c r="J42" s="163"/>
      <c r="K42" s="163"/>
      <c r="L42" s="163"/>
      <c r="M42" s="163"/>
      <c r="N42" s="163"/>
      <c r="O42" s="163"/>
      <c r="P42" s="163"/>
      <c r="Q42" s="163"/>
      <c r="R42" s="163"/>
      <c r="S42" s="163"/>
      <c r="T42" s="163"/>
      <c r="U42" s="163"/>
      <c r="V42" s="163"/>
      <c r="W42" s="163"/>
      <c r="X42" s="163"/>
      <c r="Y42" s="163"/>
    </row>
    <row r="43" spans="3:27" x14ac:dyDescent="0.3">
      <c r="C43" s="88"/>
      <c r="E43" s="32" t="s">
        <v>877</v>
      </c>
      <c r="H43" s="14"/>
      <c r="I43" s="14"/>
      <c r="J43" s="163"/>
      <c r="K43" s="163"/>
      <c r="L43" s="163"/>
      <c r="M43" s="163"/>
      <c r="N43" s="163"/>
      <c r="O43" s="163"/>
      <c r="P43" s="163"/>
      <c r="Q43" s="163"/>
      <c r="R43" s="163"/>
      <c r="S43" s="163"/>
      <c r="T43" s="163"/>
      <c r="U43" s="163"/>
      <c r="V43" s="163"/>
      <c r="W43" s="163"/>
      <c r="X43" s="163"/>
      <c r="Y43" s="163"/>
    </row>
    <row r="44" spans="3:27" x14ac:dyDescent="0.3">
      <c r="C44" s="88"/>
      <c r="E44"/>
      <c r="F44" s="23" t="s">
        <v>872</v>
      </c>
      <c r="G44" s="23" t="s">
        <v>269</v>
      </c>
      <c r="H44" s="314"/>
      <c r="I44" s="314"/>
      <c r="J44" s="314">
        <f>IF( J26 = 1, $H40, 0)</f>
        <v>9.4254947706760213</v>
      </c>
      <c r="K44" s="314">
        <f t="shared" ref="K44:Y44" si="2">IF( K26 = 1, $H40, 0)</f>
        <v>0</v>
      </c>
      <c r="L44" s="314">
        <f t="shared" si="2"/>
        <v>0</v>
      </c>
      <c r="M44" s="314">
        <f t="shared" si="2"/>
        <v>0</v>
      </c>
      <c r="N44" s="314">
        <f t="shared" si="2"/>
        <v>0</v>
      </c>
      <c r="O44" s="314">
        <f t="shared" si="2"/>
        <v>0</v>
      </c>
      <c r="P44" s="314">
        <f t="shared" si="2"/>
        <v>0</v>
      </c>
      <c r="Q44" s="314">
        <f t="shared" si="2"/>
        <v>0</v>
      </c>
      <c r="R44" s="314">
        <f t="shared" si="2"/>
        <v>0</v>
      </c>
      <c r="S44" s="314">
        <f t="shared" si="2"/>
        <v>0</v>
      </c>
      <c r="T44" s="314">
        <f t="shared" si="2"/>
        <v>0</v>
      </c>
      <c r="U44" s="314">
        <f t="shared" si="2"/>
        <v>0</v>
      </c>
      <c r="V44" s="314">
        <f t="shared" si="2"/>
        <v>0</v>
      </c>
      <c r="W44" s="314">
        <f t="shared" si="2"/>
        <v>0</v>
      </c>
      <c r="X44" s="314">
        <f t="shared" si="2"/>
        <v>0</v>
      </c>
      <c r="Y44" s="314">
        <f t="shared" si="2"/>
        <v>0</v>
      </c>
    </row>
    <row r="45" spans="3:27" x14ac:dyDescent="0.3">
      <c r="C45" s="88"/>
      <c r="E45"/>
      <c r="F45" s="37" t="s">
        <v>873</v>
      </c>
      <c r="G45" s="37" t="s">
        <v>269</v>
      </c>
      <c r="H45" s="315"/>
      <c r="I45" s="315"/>
      <c r="J45" s="315">
        <f t="shared" ref="J45:Y45" si="3">IF( J27 = 1, $H41, 0)</f>
        <v>3.8879927832875319E-2</v>
      </c>
      <c r="K45" s="315">
        <f t="shared" si="3"/>
        <v>0</v>
      </c>
      <c r="L45" s="315">
        <f t="shared" si="3"/>
        <v>3.8879927832875319E-2</v>
      </c>
      <c r="M45" s="315">
        <f t="shared" si="3"/>
        <v>0</v>
      </c>
      <c r="N45" s="315">
        <f t="shared" si="3"/>
        <v>3.8879927832875319E-2</v>
      </c>
      <c r="O45" s="315">
        <f t="shared" si="3"/>
        <v>3.8879927832875319E-2</v>
      </c>
      <c r="P45" s="315">
        <f t="shared" si="3"/>
        <v>3.8879927832875319E-2</v>
      </c>
      <c r="Q45" s="315">
        <f t="shared" si="3"/>
        <v>0</v>
      </c>
      <c r="R45" s="315">
        <f t="shared" si="3"/>
        <v>0</v>
      </c>
      <c r="S45" s="315">
        <f t="shared" si="3"/>
        <v>0</v>
      </c>
      <c r="T45" s="315">
        <f t="shared" si="3"/>
        <v>0</v>
      </c>
      <c r="U45" s="315">
        <f t="shared" si="3"/>
        <v>0</v>
      </c>
      <c r="V45" s="315">
        <f t="shared" si="3"/>
        <v>0</v>
      </c>
      <c r="W45" s="315">
        <f t="shared" si="3"/>
        <v>0</v>
      </c>
      <c r="X45" s="315">
        <f t="shared" si="3"/>
        <v>0</v>
      </c>
      <c r="Y45" s="315">
        <f t="shared" si="3"/>
        <v>0</v>
      </c>
    </row>
    <row r="46" spans="3:27" x14ac:dyDescent="0.3">
      <c r="C46" s="88"/>
      <c r="E46"/>
      <c r="F46" s="108" t="s">
        <v>544</v>
      </c>
      <c r="G46" s="108" t="s">
        <v>269</v>
      </c>
      <c r="H46" s="216"/>
      <c r="I46" s="216"/>
      <c r="J46" s="316">
        <f xml:space="preserve"> J44 + J45</f>
        <v>9.4643746985088963</v>
      </c>
      <c r="K46" s="316">
        <f t="shared" ref="K46:Y46" si="4" xml:space="preserve"> K44 + K45</f>
        <v>0</v>
      </c>
      <c r="L46" s="316">
        <f t="shared" si="4"/>
        <v>3.8879927832875319E-2</v>
      </c>
      <c r="M46" s="316">
        <f t="shared" si="4"/>
        <v>0</v>
      </c>
      <c r="N46" s="316">
        <f t="shared" si="4"/>
        <v>3.8879927832875319E-2</v>
      </c>
      <c r="O46" s="316">
        <f t="shared" si="4"/>
        <v>3.8879927832875319E-2</v>
      </c>
      <c r="P46" s="316">
        <f t="shared" si="4"/>
        <v>3.8879927832875319E-2</v>
      </c>
      <c r="Q46" s="316">
        <f t="shared" si="4"/>
        <v>0</v>
      </c>
      <c r="R46" s="316">
        <f t="shared" si="4"/>
        <v>0</v>
      </c>
      <c r="S46" s="316">
        <f t="shared" si="4"/>
        <v>0</v>
      </c>
      <c r="T46" s="316">
        <f t="shared" si="4"/>
        <v>0</v>
      </c>
      <c r="U46" s="316">
        <f t="shared" si="4"/>
        <v>0</v>
      </c>
      <c r="V46" s="316">
        <f t="shared" si="4"/>
        <v>0</v>
      </c>
      <c r="W46" s="316">
        <f t="shared" si="4"/>
        <v>0</v>
      </c>
      <c r="X46" s="316">
        <f t="shared" si="4"/>
        <v>0</v>
      </c>
      <c r="Y46" s="316">
        <f t="shared" si="4"/>
        <v>0</v>
      </c>
    </row>
    <row r="47" spans="3:27" x14ac:dyDescent="0.3">
      <c r="C47" s="88"/>
      <c r="H47" s="14"/>
      <c r="I47" s="14"/>
      <c r="J47" s="14"/>
      <c r="K47" s="14"/>
      <c r="L47" s="14"/>
      <c r="M47" s="14"/>
      <c r="N47" s="14"/>
      <c r="O47" s="14"/>
      <c r="P47" s="14"/>
      <c r="Q47" s="14"/>
      <c r="R47" s="14"/>
      <c r="S47" s="14"/>
      <c r="T47" s="14"/>
      <c r="U47" s="14"/>
      <c r="V47" s="14"/>
      <c r="W47" s="14"/>
      <c r="X47" s="14"/>
      <c r="Y47" s="14"/>
    </row>
    <row r="48" spans="3:27" x14ac:dyDescent="0.3">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3">
      <c r="C49" s="88"/>
      <c r="E49"/>
      <c r="J49" s="89"/>
      <c r="K49" s="89"/>
      <c r="L49" s="89"/>
      <c r="M49" s="89"/>
      <c r="N49" s="89"/>
      <c r="O49" s="89"/>
      <c r="P49" s="89"/>
      <c r="Q49" s="89"/>
      <c r="R49" s="89"/>
      <c r="S49" s="89"/>
      <c r="T49" s="89"/>
      <c r="U49" s="89"/>
      <c r="V49" s="89"/>
      <c r="W49" s="89"/>
      <c r="X49" s="89"/>
      <c r="Y49" s="89"/>
    </row>
    <row r="50" spans="2:27" x14ac:dyDescent="0.3">
      <c r="E50" t="s">
        <v>878</v>
      </c>
      <c r="G50" s="6" t="s">
        <v>276</v>
      </c>
      <c r="H50" s="215"/>
      <c r="I50" s="14"/>
      <c r="J50" s="215">
        <f t="shared" ref="J50:Y50" si="5">J46 / hundred * days_in_year * SUM( J20:J22 )</f>
        <v>80194115.823563099</v>
      </c>
      <c r="K50" s="215">
        <f t="shared" si="5"/>
        <v>0</v>
      </c>
      <c r="L50" s="215">
        <f t="shared" si="5"/>
        <v>23209.926270635078</v>
      </c>
      <c r="M50" s="215">
        <f t="shared" si="5"/>
        <v>0</v>
      </c>
      <c r="N50" s="215">
        <f t="shared" si="5"/>
        <v>2005.4747049263356</v>
      </c>
      <c r="O50" s="215">
        <f t="shared" si="5"/>
        <v>316.126935606448</v>
      </c>
      <c r="P50" s="215">
        <f t="shared" si="5"/>
        <v>302.92619199693348</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3">
      <c r="H51" s="14"/>
      <c r="I51" s="14"/>
      <c r="J51" s="14"/>
      <c r="K51" s="14"/>
      <c r="L51" s="14"/>
      <c r="M51" s="14"/>
      <c r="N51" s="14"/>
      <c r="O51" s="14"/>
      <c r="P51" s="14"/>
      <c r="Q51" s="14"/>
      <c r="R51" s="14"/>
      <c r="S51" s="14"/>
      <c r="T51" s="14"/>
      <c r="U51" s="14"/>
      <c r="V51" s="14"/>
      <c r="W51" s="14"/>
      <c r="X51" s="14"/>
      <c r="Y51" s="14"/>
    </row>
    <row r="52" spans="2:27" x14ac:dyDescent="0.3">
      <c r="E52" t="s">
        <v>879</v>
      </c>
      <c r="G52" s="6" t="s">
        <v>276</v>
      </c>
      <c r="H52" s="199">
        <f>SUM( J50:Y50 )</f>
        <v>80219950.277666256</v>
      </c>
      <c r="I52" s="14"/>
      <c r="J52" s="14"/>
      <c r="K52" s="14"/>
      <c r="L52" s="14"/>
      <c r="M52" s="14"/>
      <c r="N52" s="14"/>
      <c r="O52" s="14"/>
      <c r="P52" s="14"/>
      <c r="Q52" s="14"/>
      <c r="R52" s="14"/>
      <c r="S52" s="14"/>
      <c r="T52" s="14"/>
      <c r="U52" s="14"/>
      <c r="V52" s="14"/>
      <c r="W52" s="14"/>
      <c r="X52" s="14"/>
      <c r="Y52" s="14"/>
    </row>
    <row r="53" spans="2:27" x14ac:dyDescent="0.3">
      <c r="H53" s="14"/>
      <c r="I53" s="14"/>
      <c r="J53" s="14"/>
      <c r="K53" s="14"/>
      <c r="L53" s="14"/>
      <c r="M53" s="14"/>
      <c r="N53" s="14"/>
      <c r="O53" s="14"/>
      <c r="P53" s="14"/>
      <c r="Q53" s="14"/>
      <c r="R53" s="14"/>
      <c r="S53" s="14"/>
      <c r="T53" s="14"/>
      <c r="U53" s="14"/>
      <c r="V53" s="14"/>
      <c r="W53" s="14"/>
      <c r="X53" s="14"/>
      <c r="Y53" s="14"/>
    </row>
    <row r="54" spans="2:27" x14ac:dyDescent="0.3">
      <c r="E54" t="s">
        <v>880</v>
      </c>
      <c r="G54" s="6" t="s">
        <v>276</v>
      </c>
      <c r="H54" s="215"/>
      <c r="I54" s="14"/>
      <c r="J54" s="215">
        <f t="shared" ref="J54:Y54" si="6">J46 / hundred * days_in_year * J23</f>
        <v>54786.929578126394</v>
      </c>
      <c r="K54" s="215">
        <f t="shared" si="6"/>
        <v>0</v>
      </c>
      <c r="L54" s="215">
        <f t="shared" si="6"/>
        <v>0</v>
      </c>
      <c r="M54" s="215">
        <f t="shared" si="6"/>
        <v>0</v>
      </c>
      <c r="N54" s="215">
        <f t="shared" si="6"/>
        <v>2.4291769396312617</v>
      </c>
      <c r="O54" s="215">
        <f t="shared" si="6"/>
        <v>0</v>
      </c>
      <c r="P54" s="215">
        <f t="shared" si="6"/>
        <v>7.9475960691121963E-2</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3">
      <c r="H55" s="14"/>
      <c r="I55" s="14"/>
      <c r="J55" s="14"/>
      <c r="K55" s="14"/>
      <c r="L55" s="14"/>
      <c r="M55" s="14"/>
      <c r="N55" s="14"/>
      <c r="O55" s="14"/>
      <c r="P55" s="14"/>
      <c r="Q55" s="14"/>
      <c r="R55" s="14"/>
      <c r="S55" s="14"/>
      <c r="T55" s="14"/>
      <c r="U55" s="14"/>
      <c r="V55" s="14"/>
      <c r="W55" s="14"/>
      <c r="X55" s="14"/>
      <c r="Y55" s="14"/>
    </row>
    <row r="56" spans="2:27" x14ac:dyDescent="0.3">
      <c r="E56" t="s">
        <v>881</v>
      </c>
      <c r="G56" s="6" t="s">
        <v>276</v>
      </c>
      <c r="H56" s="199">
        <f>SUM( J54:Y54 )</f>
        <v>54789.438231026717</v>
      </c>
      <c r="I56" s="14"/>
      <c r="J56" s="14"/>
      <c r="K56" s="14"/>
      <c r="L56" s="14"/>
      <c r="M56" s="14"/>
      <c r="N56" s="14"/>
      <c r="O56" s="14"/>
      <c r="P56" s="14"/>
      <c r="Q56" s="14"/>
      <c r="R56" s="14"/>
      <c r="S56" s="14"/>
      <c r="T56" s="14"/>
      <c r="U56" s="14"/>
      <c r="V56" s="14"/>
      <c r="W56" s="14"/>
      <c r="X56" s="14"/>
      <c r="Y56" s="14"/>
    </row>
    <row r="57" spans="2:27" x14ac:dyDescent="0.3">
      <c r="H57" s="14"/>
      <c r="I57" s="14"/>
      <c r="J57" s="14"/>
      <c r="K57" s="14"/>
      <c r="L57" s="14"/>
      <c r="M57" s="14"/>
      <c r="N57" s="14"/>
      <c r="O57" s="14"/>
      <c r="P57" s="14"/>
      <c r="Q57" s="14"/>
      <c r="R57" s="14"/>
      <c r="S57" s="14"/>
      <c r="T57" s="14"/>
      <c r="U57" s="14"/>
      <c r="V57" s="14"/>
      <c r="W57" s="14"/>
      <c r="X57" s="14"/>
      <c r="Y57" s="14"/>
    </row>
    <row r="58" spans="2:27" x14ac:dyDescent="0.3">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3">
      <c r="H59" s="14"/>
      <c r="I59" s="14"/>
      <c r="J59" s="14"/>
      <c r="K59" s="14"/>
      <c r="L59" s="14"/>
      <c r="M59" s="14"/>
      <c r="N59" s="14"/>
      <c r="O59" s="14"/>
      <c r="P59" s="14"/>
      <c r="Q59" s="14"/>
      <c r="R59" s="14"/>
      <c r="S59" s="14"/>
      <c r="T59" s="14"/>
      <c r="U59" s="14"/>
      <c r="V59" s="14"/>
      <c r="W59" s="14"/>
      <c r="X59" s="14"/>
      <c r="Y59" s="14"/>
    </row>
    <row r="60" spans="2:27" x14ac:dyDescent="0.3">
      <c r="E60" t="s">
        <v>882</v>
      </c>
      <c r="G60" s="6" t="s">
        <v>276</v>
      </c>
      <c r="H60" s="215"/>
      <c r="I60" s="14"/>
      <c r="J60" s="215">
        <f xml:space="preserve"> J50 + J54</f>
        <v>80248902.753141224</v>
      </c>
      <c r="K60" s="215">
        <f t="shared" ref="K60:Y60" si="7" xml:space="preserve"> K50 + K54</f>
        <v>0</v>
      </c>
      <c r="L60" s="215">
        <f t="shared" si="7"/>
        <v>23209.926270635078</v>
      </c>
      <c r="M60" s="215">
        <f t="shared" si="7"/>
        <v>0</v>
      </c>
      <c r="N60" s="215">
        <f t="shared" si="7"/>
        <v>2007.9038818659669</v>
      </c>
      <c r="O60" s="215">
        <f t="shared" si="7"/>
        <v>316.126935606448</v>
      </c>
      <c r="P60" s="215">
        <f t="shared" si="7"/>
        <v>303.00566795762461</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3">
      <c r="H61" s="14"/>
      <c r="I61" s="14"/>
      <c r="J61" s="14"/>
      <c r="K61" s="14"/>
      <c r="L61" s="14"/>
      <c r="M61" s="14"/>
      <c r="N61" s="14"/>
      <c r="O61" s="14"/>
      <c r="P61" s="14"/>
      <c r="Q61" s="14"/>
      <c r="R61" s="14"/>
      <c r="S61" s="14"/>
      <c r="T61" s="14"/>
      <c r="U61" s="14"/>
      <c r="V61" s="14"/>
      <c r="W61" s="14"/>
      <c r="X61" s="14"/>
      <c r="Y61" s="14"/>
    </row>
    <row r="62" spans="2:27" x14ac:dyDescent="0.3">
      <c r="E62" t="s">
        <v>883</v>
      </c>
      <c r="G62" s="6" t="s">
        <v>276</v>
      </c>
      <c r="H62" s="89">
        <f>SUM( J60:Y60 )</f>
        <v>80274739.715897277</v>
      </c>
      <c r="I62" s="14"/>
      <c r="J62" s="14"/>
      <c r="K62" s="14"/>
      <c r="L62" s="14"/>
      <c r="M62" s="14"/>
      <c r="N62" s="14"/>
      <c r="O62" s="14"/>
      <c r="P62" s="14"/>
      <c r="Q62" s="14"/>
      <c r="R62" s="14"/>
      <c r="S62" s="14"/>
      <c r="T62" s="14"/>
      <c r="U62" s="14"/>
      <c r="V62" s="14"/>
      <c r="W62" s="14"/>
      <c r="X62" s="14"/>
      <c r="Y62" s="14"/>
    </row>
    <row r="63" spans="2:27" x14ac:dyDescent="0.3">
      <c r="H63" s="14"/>
      <c r="I63" s="14"/>
      <c r="J63" s="14"/>
      <c r="K63" s="14"/>
      <c r="L63" s="14"/>
      <c r="M63" s="14"/>
      <c r="N63" s="14"/>
      <c r="O63" s="14"/>
      <c r="P63" s="14"/>
      <c r="Q63" s="14"/>
      <c r="R63" s="14"/>
      <c r="S63" s="14"/>
      <c r="T63" s="14"/>
      <c r="U63" s="14"/>
      <c r="V63" s="14"/>
      <c r="W63" s="14"/>
      <c r="X63" s="14"/>
      <c r="Y63" s="14"/>
    </row>
    <row r="64" spans="2:27" x14ac:dyDescent="0.3">
      <c r="E64" t="s">
        <v>884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3">
      <c r="H65" s="14"/>
      <c r="I65" s="14"/>
      <c r="J65" s="14"/>
      <c r="K65" s="14"/>
      <c r="L65" s="14"/>
      <c r="M65" s="14"/>
      <c r="N65" s="14"/>
      <c r="O65" s="14"/>
      <c r="P65" s="14"/>
      <c r="Q65" s="14"/>
      <c r="R65" s="14"/>
      <c r="S65" s="14"/>
      <c r="T65" s="14"/>
      <c r="U65" s="14"/>
      <c r="V65" s="14"/>
      <c r="W65" s="14"/>
      <c r="X65" s="14"/>
      <c r="Y65" s="14"/>
    </row>
    <row r="66" spans="2:27" x14ac:dyDescent="0.3">
      <c r="E66" t="s">
        <v>231</v>
      </c>
      <c r="G66" s="6" t="s">
        <v>54</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3">
      <c r="H67" s="14"/>
      <c r="I67" s="14"/>
      <c r="J67" s="14"/>
      <c r="K67" s="14"/>
      <c r="L67" s="14"/>
      <c r="M67" s="14"/>
      <c r="N67" s="14"/>
      <c r="O67" s="14"/>
      <c r="P67" s="14"/>
      <c r="Q67" s="14"/>
      <c r="R67" s="14"/>
      <c r="S67" s="14"/>
      <c r="T67" s="14"/>
      <c r="U67" s="14"/>
      <c r="V67" s="14"/>
      <c r="W67" s="14"/>
      <c r="X67" s="14"/>
      <c r="Y67" s="14"/>
    </row>
    <row r="68" spans="2:27" x14ac:dyDescent="0.3">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3">
      <c r="H69" s="14"/>
      <c r="I69" s="14"/>
      <c r="J69" s="14"/>
      <c r="K69" s="14"/>
      <c r="L69" s="14"/>
      <c r="M69" s="14"/>
      <c r="N69" s="14"/>
      <c r="O69" s="14"/>
      <c r="P69" s="14"/>
      <c r="Q69" s="14"/>
      <c r="R69" s="14"/>
      <c r="S69" s="14"/>
      <c r="T69" s="14"/>
      <c r="U69" s="14"/>
      <c r="V69" s="14"/>
      <c r="W69" s="14"/>
      <c r="X69" s="14"/>
      <c r="Y69" s="14"/>
    </row>
    <row r="70" spans="2:27" x14ac:dyDescent="0.3">
      <c r="H70" s="14"/>
      <c r="I70" s="14"/>
      <c r="J70" s="14"/>
      <c r="K70" s="14"/>
      <c r="L70" s="14"/>
      <c r="M70" s="14"/>
      <c r="N70" s="14"/>
      <c r="O70" s="14"/>
      <c r="P70" s="14"/>
      <c r="Q70" s="14"/>
      <c r="R70" s="14"/>
      <c r="S70" s="14"/>
      <c r="T70" s="14"/>
      <c r="U70" s="14"/>
      <c r="V70" s="14"/>
      <c r="W70" s="14"/>
      <c r="X70" s="14"/>
      <c r="Y70" s="14"/>
    </row>
    <row r="71" spans="2:27" x14ac:dyDescent="0.3">
      <c r="H71" s="14"/>
      <c r="I71" s="14"/>
      <c r="J71" s="14"/>
      <c r="K71" s="14"/>
      <c r="L71" s="14"/>
      <c r="M71" s="14"/>
      <c r="N71" s="14"/>
      <c r="O71" s="14"/>
      <c r="P71" s="14"/>
      <c r="Q71" s="14"/>
      <c r="R71" s="14"/>
      <c r="S71" s="14"/>
      <c r="T71" s="14"/>
      <c r="U71" s="14"/>
      <c r="V71" s="14"/>
      <c r="W71" s="14"/>
      <c r="X71" s="14"/>
      <c r="Y71" s="14"/>
    </row>
    <row r="72" spans="2:27" x14ac:dyDescent="0.3">
      <c r="H72" s="14"/>
      <c r="I72" s="14"/>
      <c r="J72" s="14"/>
      <c r="K72" s="14"/>
      <c r="L72" s="14"/>
      <c r="M72" s="14"/>
      <c r="N72" s="14"/>
      <c r="O72" s="14"/>
      <c r="P72" s="14"/>
      <c r="Q72" s="14"/>
      <c r="R72" s="14"/>
      <c r="S72" s="14"/>
      <c r="T72" s="14"/>
      <c r="U72" s="14"/>
      <c r="V72" s="14"/>
      <c r="W72" s="14"/>
      <c r="X72" s="14"/>
      <c r="Y72" s="14"/>
    </row>
    <row r="73" spans="2:27" x14ac:dyDescent="0.3">
      <c r="H73" s="14"/>
      <c r="I73" s="14"/>
      <c r="J73" s="14"/>
      <c r="K73" s="14"/>
      <c r="L73" s="14"/>
      <c r="M73" s="14"/>
      <c r="N73" s="14"/>
      <c r="O73" s="14"/>
      <c r="P73" s="14"/>
      <c r="Q73" s="14"/>
      <c r="R73" s="14"/>
      <c r="S73" s="14"/>
      <c r="T73" s="14"/>
      <c r="U73" s="14"/>
      <c r="V73" s="14"/>
      <c r="W73" s="14"/>
      <c r="X73" s="14"/>
      <c r="Y73" s="14"/>
    </row>
    <row r="74" spans="2:27" x14ac:dyDescent="0.3">
      <c r="H74" s="14"/>
      <c r="I74" s="14"/>
      <c r="J74" s="14"/>
      <c r="K74" s="14"/>
      <c r="L74" s="14"/>
      <c r="M74" s="14"/>
      <c r="N74" s="14"/>
      <c r="O74" s="14"/>
      <c r="P74" s="14"/>
      <c r="Q74" s="14"/>
      <c r="R74" s="14"/>
      <c r="S74" s="14"/>
      <c r="T74" s="14"/>
      <c r="U74" s="14"/>
      <c r="V74" s="14"/>
      <c r="W74" s="14"/>
      <c r="X74" s="14"/>
      <c r="Y74" s="14"/>
    </row>
    <row r="75" spans="2:27" x14ac:dyDescent="0.3">
      <c r="H75" s="14"/>
      <c r="I75" s="14"/>
      <c r="J75" s="14"/>
      <c r="K75" s="14"/>
      <c r="L75" s="14"/>
      <c r="M75" s="14"/>
      <c r="N75" s="14"/>
      <c r="O75" s="14"/>
      <c r="P75" s="14"/>
      <c r="Q75" s="14"/>
      <c r="R75" s="14"/>
      <c r="S75" s="14"/>
      <c r="T75" s="14"/>
      <c r="U75" s="14"/>
      <c r="V75" s="14"/>
      <c r="W75" s="14"/>
      <c r="X75" s="14"/>
      <c r="Y75" s="14"/>
    </row>
    <row r="76" spans="2:27" x14ac:dyDescent="0.3">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429" width="24.5546875" hidden="1" customWidth="1"/>
    <col min="430" max="16384" width="8.5546875" hidden="1"/>
  </cols>
  <sheetData>
    <row r="1" spans="1:43" s="1" customFormat="1" x14ac:dyDescent="0.3">
      <c r="A1" s="1" t="str">
        <f ca="1">MID(CELL("filename",A1),FIND("]",CELL("filename",A1))+1,255)</f>
        <v>Revenue matching</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H432 &amp; IF(H432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0" t="s">
        <v>142</v>
      </c>
      <c r="H5" s="114"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6" spans="1:43" x14ac:dyDescent="0.3">
      <c r="C6" s="88"/>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x14ac:dyDescent="0.3">
      <c r="D9" s="29" t="s">
        <v>729</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x14ac:dyDescent="0.3">
      <c r="D10" s="29" t="s">
        <v>730</v>
      </c>
      <c r="E10"/>
    </row>
    <row r="11" spans="1:43" x14ac:dyDescent="0.3">
      <c r="D11" s="29" t="s">
        <v>731</v>
      </c>
    </row>
    <row r="13" spans="1:43" x14ac:dyDescent="0.3">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x14ac:dyDescent="0.3">
      <c r="C14" s="88"/>
    </row>
    <row r="15" spans="1:43" x14ac:dyDescent="0.3">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x14ac:dyDescent="0.3">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x14ac:dyDescent="0.3">
      <c r="D17" s="29" t="s">
        <v>1032</v>
      </c>
      <c r="F17" s="2"/>
    </row>
    <row r="18" spans="1:43" x14ac:dyDescent="0.3">
      <c r="D18" s="88"/>
      <c r="F18" s="2"/>
    </row>
    <row r="19" spans="1:43" ht="43.2" x14ac:dyDescent="0.3">
      <c r="D19"/>
      <c r="E19" s="32" t="s">
        <v>733</v>
      </c>
      <c r="F19" s="32"/>
      <c r="J19" s="236" t="s">
        <v>828</v>
      </c>
      <c r="K19" s="236" t="s">
        <v>830</v>
      </c>
      <c r="L19" s="236" t="s">
        <v>829</v>
      </c>
      <c r="M19" s="236" t="s">
        <v>831</v>
      </c>
      <c r="N19" s="236" t="s">
        <v>837</v>
      </c>
      <c r="O19" s="236" t="s">
        <v>838</v>
      </c>
      <c r="P19" s="236" t="s">
        <v>839</v>
      </c>
      <c r="Q19" s="236" t="s">
        <v>840</v>
      </c>
      <c r="R19" s="236" t="s">
        <v>832</v>
      </c>
      <c r="S19" s="236" t="s">
        <v>833</v>
      </c>
      <c r="T19" s="236" t="s">
        <v>834</v>
      </c>
      <c r="U19" s="236" t="s">
        <v>843</v>
      </c>
      <c r="V19" s="236" t="s">
        <v>835</v>
      </c>
      <c r="W19" s="236" t="s">
        <v>842</v>
      </c>
      <c r="X19" s="236" t="s">
        <v>836</v>
      </c>
      <c r="Y19" s="236" t="s">
        <v>841</v>
      </c>
      <c r="Z19" s="163"/>
      <c r="AA19" s="163"/>
      <c r="AB19" s="163"/>
      <c r="AC19" s="163"/>
      <c r="AD19" s="163"/>
      <c r="AE19" s="163"/>
      <c r="AF19" s="163"/>
      <c r="AG19" s="163"/>
      <c r="AH19" s="163"/>
      <c r="AI19" s="163"/>
      <c r="AJ19" s="163"/>
      <c r="AK19" s="163"/>
      <c r="AL19" s="163"/>
      <c r="AM19" s="163"/>
      <c r="AN19" s="163"/>
      <c r="AO19" s="163"/>
    </row>
    <row r="20" spans="1:43" x14ac:dyDescent="0.3">
      <c r="D20"/>
      <c r="E20" s="88"/>
      <c r="F20" s="23" t="s">
        <v>155</v>
      </c>
      <c r="G20" s="23" t="s">
        <v>268</v>
      </c>
      <c r="H20" s="258"/>
      <c r="I20" s="258"/>
      <c r="J20" s="270">
        <f>'Unit rate charges'!J217</f>
        <v>8.3514870140558912</v>
      </c>
      <c r="K20" s="270">
        <f>'Unit rate charges'!K217</f>
        <v>8.3514870140558912</v>
      </c>
      <c r="L20" s="270">
        <f>'Unit rate charges'!L217</f>
        <v>9.6316615981711351</v>
      </c>
      <c r="M20" s="270">
        <f>'Unit rate charges'!M217</f>
        <v>9.6316615981711351</v>
      </c>
      <c r="N20" s="270">
        <f>'Unit rate charges'!N217</f>
        <v>7.0444036746190282</v>
      </c>
      <c r="O20" s="270">
        <f>'Unit rate charges'!O217</f>
        <v>5.6834108878816547</v>
      </c>
      <c r="P20" s="270">
        <f>'Unit rate charges'!P217</f>
        <v>3.9131724055976909</v>
      </c>
      <c r="Q20" s="270">
        <f>'Unit rate charges'!Q217</f>
        <v>16.003051911330189</v>
      </c>
      <c r="R20" s="270">
        <f>'Unit rate charges'!R217</f>
        <v>-6.5192956999219849</v>
      </c>
      <c r="S20" s="270">
        <f>'Unit rate charges'!S217</f>
        <v>-5.4300819577995343</v>
      </c>
      <c r="T20" s="270">
        <f>'Unit rate charges'!T217</f>
        <v>-6.5192956999219849</v>
      </c>
      <c r="U20" s="270">
        <f>'Unit rate charges'!U217</f>
        <v>-6.5192956999219849</v>
      </c>
      <c r="V20" s="270">
        <f>'Unit rate charges'!V217</f>
        <v>-5.4300819577995343</v>
      </c>
      <c r="W20" s="270">
        <f>'Unit rate charges'!W217</f>
        <v>-5.4300819577995343</v>
      </c>
      <c r="X20" s="270">
        <f>'Unit rate charges'!X217</f>
        <v>-4.1415516971992012</v>
      </c>
      <c r="Y20" s="270">
        <f>'Unit rate charges'!Y217</f>
        <v>-4.1415516971992012</v>
      </c>
      <c r="Z20" s="163"/>
      <c r="AA20" s="163"/>
      <c r="AB20" s="163"/>
      <c r="AC20" s="163"/>
      <c r="AD20" s="163"/>
      <c r="AE20" s="163"/>
      <c r="AF20" s="163"/>
      <c r="AG20" s="163"/>
      <c r="AH20" s="163"/>
      <c r="AI20" s="163"/>
      <c r="AJ20" s="163"/>
      <c r="AK20" s="163"/>
      <c r="AL20" s="163"/>
      <c r="AM20" s="163"/>
      <c r="AN20" s="163"/>
      <c r="AO20" s="163"/>
      <c r="AP20" s="259"/>
      <c r="AQ20" s="259"/>
    </row>
    <row r="21" spans="1:43" x14ac:dyDescent="0.3">
      <c r="D21"/>
      <c r="E21" s="88"/>
      <c r="F21" t="s">
        <v>156</v>
      </c>
      <c r="G21" t="s">
        <v>268</v>
      </c>
      <c r="H21" s="259"/>
      <c r="I21" s="259"/>
      <c r="J21" s="332">
        <f>'Unit rate charges'!J218</f>
        <v>1.5166758132927634</v>
      </c>
      <c r="K21" s="332">
        <f>'Unit rate charges'!K218</f>
        <v>1.5166758132927634</v>
      </c>
      <c r="L21" s="332">
        <f>'Unit rate charges'!L218</f>
        <v>1.7491625339512411</v>
      </c>
      <c r="M21" s="332">
        <f>'Unit rate charges'!M218</f>
        <v>1.7491625339512411</v>
      </c>
      <c r="N21" s="332">
        <f>'Unit rate charges'!N218</f>
        <v>1.1739839411843249</v>
      </c>
      <c r="O21" s="332">
        <f>'Unit rate charges'!O218</f>
        <v>0.86039593221703004</v>
      </c>
      <c r="P21" s="332">
        <f>'Unit rate charges'!P218</f>
        <v>0.49314204944907558</v>
      </c>
      <c r="Q21" s="332">
        <f>'Unit rate charges'!Q218</f>
        <v>3.214125871494339</v>
      </c>
      <c r="R21" s="332">
        <f>'Unit rate charges'!R218</f>
        <v>-1.1839398290548573</v>
      </c>
      <c r="S21" s="332">
        <f>'Unit rate charges'!S218</f>
        <v>-0.92197810927331569</v>
      </c>
      <c r="T21" s="332">
        <f>'Unit rate charges'!T218</f>
        <v>-1.1839398290548573</v>
      </c>
      <c r="U21" s="332">
        <f>'Unit rate charges'!U218</f>
        <v>-1.1839398290548573</v>
      </c>
      <c r="V21" s="332">
        <f>'Unit rate charges'!V218</f>
        <v>-0.92197810927331569</v>
      </c>
      <c r="W21" s="332">
        <f>'Unit rate charges'!W218</f>
        <v>-0.92197810927331569</v>
      </c>
      <c r="X21" s="332">
        <f>'Unit rate charges'!X218</f>
        <v>-0.60092414595446808</v>
      </c>
      <c r="Y21" s="332">
        <f>'Unit rate charges'!Y218</f>
        <v>-0.60092414595446808</v>
      </c>
      <c r="Z21" s="163"/>
      <c r="AA21" s="163"/>
      <c r="AB21" s="163"/>
      <c r="AC21" s="163"/>
      <c r="AD21" s="163"/>
      <c r="AE21" s="163"/>
      <c r="AF21" s="163"/>
      <c r="AG21" s="163"/>
      <c r="AH21" s="163"/>
      <c r="AI21" s="163"/>
      <c r="AJ21" s="163"/>
      <c r="AK21" s="163"/>
      <c r="AL21" s="163"/>
      <c r="AM21" s="163"/>
      <c r="AN21" s="163"/>
      <c r="AO21" s="163"/>
      <c r="AP21" s="259"/>
      <c r="AQ21" s="259"/>
    </row>
    <row r="22" spans="1:43" x14ac:dyDescent="0.3">
      <c r="D22"/>
      <c r="E22" s="88"/>
      <c r="F22" t="s">
        <v>157</v>
      </c>
      <c r="G22" t="s">
        <v>268</v>
      </c>
      <c r="H22" s="259"/>
      <c r="I22" s="259"/>
      <c r="J22" s="332">
        <f>'Unit rate charges'!J219</f>
        <v>0.21376900381029099</v>
      </c>
      <c r="K22" s="332">
        <f>'Unit rate charges'!K219</f>
        <v>0.21376900381029099</v>
      </c>
      <c r="L22" s="332">
        <f>'Unit rate charges'!L219</f>
        <v>0.24653701806798978</v>
      </c>
      <c r="M22" s="332">
        <f>'Unit rate charges'!M219</f>
        <v>0.24653701806798978</v>
      </c>
      <c r="N22" s="332">
        <f>'Unit rate charges'!N219</f>
        <v>0.17017696970973151</v>
      </c>
      <c r="O22" s="332">
        <f>'Unit rate charges'!O219</f>
        <v>0.12894799267730714</v>
      </c>
      <c r="P22" s="332">
        <f>'Unit rate charges'!P219</f>
        <v>7.9231508627719355E-2</v>
      </c>
      <c r="Q22" s="332">
        <f>'Unit rate charges'!Q219</f>
        <v>2.2971353389064215</v>
      </c>
      <c r="R22" s="332">
        <f>'Unit rate charges'!R219</f>
        <v>-0.16687128232032356</v>
      </c>
      <c r="S22" s="332">
        <f>'Unit rate charges'!S219</f>
        <v>-0.1328173286336693</v>
      </c>
      <c r="T22" s="332">
        <f>'Unit rate charges'!T219</f>
        <v>-0.16687128232032356</v>
      </c>
      <c r="U22" s="332">
        <f>'Unit rate charges'!U219</f>
        <v>-0.16687128232032356</v>
      </c>
      <c r="V22" s="332">
        <f>'Unit rate charges'!V219</f>
        <v>-0.1328173286336693</v>
      </c>
      <c r="W22" s="332">
        <f>'Unit rate charges'!W219</f>
        <v>-0.1328173286336693</v>
      </c>
      <c r="X22" s="332">
        <f>'Unit rate charges'!X219</f>
        <v>-9.1458253259940767E-2</v>
      </c>
      <c r="Y22" s="332">
        <f>'Unit rate charges'!Y219</f>
        <v>-9.1458253259940767E-2</v>
      </c>
      <c r="Z22" s="163"/>
      <c r="AA22" s="163"/>
      <c r="AB22" s="163"/>
      <c r="AC22" s="163"/>
      <c r="AD22" s="163"/>
      <c r="AE22" s="163"/>
      <c r="AF22" s="163"/>
      <c r="AG22" s="163"/>
      <c r="AH22" s="163"/>
      <c r="AI22" s="163"/>
      <c r="AJ22" s="163"/>
      <c r="AK22" s="163"/>
      <c r="AL22" s="163"/>
      <c r="AM22" s="163"/>
      <c r="AN22" s="163"/>
      <c r="AO22" s="163"/>
      <c r="AP22" s="259"/>
      <c r="AQ22" s="259"/>
    </row>
    <row r="23" spans="1:43" x14ac:dyDescent="0.3">
      <c r="D23"/>
      <c r="E23" s="88"/>
      <c r="F23" t="s">
        <v>158</v>
      </c>
      <c r="G23" t="s">
        <v>269</v>
      </c>
      <c r="J23" s="124">
        <f>'Fixed charges'!J161</f>
        <v>4.2948115217685636</v>
      </c>
      <c r="K23" s="124">
        <f>'Fixed charges'!K161</f>
        <v>0</v>
      </c>
      <c r="L23" s="124">
        <f>'Fixed charges'!L161</f>
        <v>4.2948115217685636</v>
      </c>
      <c r="M23" s="124">
        <f>'Fixed charges'!M161</f>
        <v>0</v>
      </c>
      <c r="N23" s="124">
        <f>'Fixed charges'!N161</f>
        <v>17.49531407933436</v>
      </c>
      <c r="O23" s="124">
        <f>'Fixed charges'!O161</f>
        <v>56.467738784040058</v>
      </c>
      <c r="P23" s="124">
        <f>'Fixed charges'!P161</f>
        <v>124.16502858254897</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8.3608666107087686</v>
      </c>
      <c r="Y23" s="124">
        <f>'Fixed charges'!Y161</f>
        <v>8.3608666107087686</v>
      </c>
      <c r="Z23" s="163"/>
      <c r="AA23" s="163"/>
      <c r="AB23" s="163"/>
      <c r="AC23" s="163"/>
      <c r="AD23" s="163"/>
      <c r="AE23" s="163"/>
      <c r="AF23" s="163"/>
      <c r="AG23" s="163"/>
      <c r="AH23" s="163"/>
      <c r="AI23" s="163"/>
      <c r="AJ23" s="163"/>
      <c r="AK23" s="163"/>
      <c r="AL23" s="163"/>
      <c r="AM23" s="163"/>
      <c r="AN23" s="163"/>
      <c r="AO23" s="163"/>
    </row>
    <row r="24" spans="1:43" x14ac:dyDescent="0.3">
      <c r="D24"/>
      <c r="E24" s="88"/>
      <c r="F24" t="s">
        <v>159</v>
      </c>
      <c r="G24" t="s">
        <v>270</v>
      </c>
      <c r="J24" s="124">
        <f>'Capacity charges'!J256</f>
        <v>0</v>
      </c>
      <c r="K24" s="124">
        <f>'Capacity charges'!K256</f>
        <v>0</v>
      </c>
      <c r="L24" s="124">
        <f>'Capacity charges'!L256</f>
        <v>0</v>
      </c>
      <c r="M24" s="124">
        <f>'Capacity charges'!M256</f>
        <v>0</v>
      </c>
      <c r="N24" s="124">
        <f>'Capacity charges'!N256</f>
        <v>3.1390766052084453</v>
      </c>
      <c r="O24" s="124">
        <f>'Capacity charges'!O256</f>
        <v>3.2135567800468432</v>
      </c>
      <c r="P24" s="124">
        <f>'Capacity charges'!P256</f>
        <v>3.1526526297383777</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x14ac:dyDescent="0.3">
      <c r="D25"/>
      <c r="E25" s="88"/>
      <c r="F25" t="s">
        <v>160</v>
      </c>
      <c r="G25" t="s">
        <v>270</v>
      </c>
      <c r="J25" s="125">
        <f>'Capacity charges'!J257</f>
        <v>0</v>
      </c>
      <c r="K25" s="125">
        <f>'Capacity charges'!K257</f>
        <v>0</v>
      </c>
      <c r="L25" s="125">
        <f>'Capacity charges'!L257</f>
        <v>0</v>
      </c>
      <c r="M25" s="125">
        <f>'Capacity charges'!M257</f>
        <v>0</v>
      </c>
      <c r="N25" s="125">
        <f>'Capacity charges'!N257</f>
        <v>4.7497751254470124</v>
      </c>
      <c r="O25" s="125">
        <f>'Capacity charges'!O257</f>
        <v>5.5065938692732104</v>
      </c>
      <c r="P25" s="125">
        <f>'Capacity charges'!P257</f>
        <v>5.7359205926323256</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x14ac:dyDescent="0.3">
      <c r="D26"/>
      <c r="E26" s="88"/>
      <c r="F26" s="37" t="s">
        <v>161</v>
      </c>
      <c r="G26" s="37" t="s">
        <v>271</v>
      </c>
      <c r="H26" s="261"/>
      <c r="I26" s="261"/>
      <c r="J26" s="275">
        <f>'Reactive power charges'!J250</f>
        <v>0</v>
      </c>
      <c r="K26" s="275">
        <f>'Reactive power charges'!K250</f>
        <v>0</v>
      </c>
      <c r="L26" s="275">
        <f>'Reactive power charges'!L250</f>
        <v>0</v>
      </c>
      <c r="M26" s="275">
        <f>'Reactive power charges'!M250</f>
        <v>0</v>
      </c>
      <c r="N26" s="275">
        <f>'Reactive power charges'!N250</f>
        <v>0.15183967715066449</v>
      </c>
      <c r="O26" s="275">
        <f>'Reactive power charges'!O250</f>
        <v>0.11214938018401023</v>
      </c>
      <c r="P26" s="275">
        <f>'Reactive power charges'!P250</f>
        <v>6.9049453472262365E-2</v>
      </c>
      <c r="Q26" s="275">
        <f>'Reactive power charges'!Q250</f>
        <v>0</v>
      </c>
      <c r="R26" s="275">
        <f>'Reactive power charges'!R250</f>
        <v>0</v>
      </c>
      <c r="S26" s="275">
        <f>'Reactive power charges'!S250</f>
        <v>0</v>
      </c>
      <c r="T26" s="275">
        <f>'Reactive power charges'!T250</f>
        <v>0.12610930005179521</v>
      </c>
      <c r="U26" s="275">
        <f>'Reactive power charges'!U250</f>
        <v>0</v>
      </c>
      <c r="V26" s="275">
        <f>'Reactive power charges'!V250</f>
        <v>0.10643979123499889</v>
      </c>
      <c r="W26" s="275">
        <f>'Reactive power charges'!W250</f>
        <v>0</v>
      </c>
      <c r="X26" s="275">
        <f>'Reactive power charges'!X250</f>
        <v>8.016654544178127E-2</v>
      </c>
      <c r="Y26" s="275">
        <f>'Reactive power charges'!Y250</f>
        <v>0</v>
      </c>
      <c r="Z26" s="163"/>
      <c r="AA26" s="163"/>
      <c r="AB26" s="163"/>
      <c r="AC26" s="163"/>
      <c r="AD26" s="163"/>
      <c r="AE26" s="163"/>
      <c r="AF26" s="163"/>
      <c r="AG26" s="163"/>
      <c r="AH26" s="163"/>
      <c r="AI26" s="163"/>
      <c r="AJ26" s="163"/>
      <c r="AK26" s="163"/>
      <c r="AL26" s="163"/>
      <c r="AM26" s="163"/>
      <c r="AN26" s="163"/>
      <c r="AO26" s="163"/>
      <c r="AP26" s="259"/>
      <c r="AQ26" s="259"/>
    </row>
    <row r="27" spans="1:43" x14ac:dyDescent="0.3">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43.2" x14ac:dyDescent="0.3">
      <c r="D28"/>
      <c r="E28" s="88"/>
      <c r="J28" s="236" t="s">
        <v>828</v>
      </c>
      <c r="K28" s="236" t="s">
        <v>830</v>
      </c>
      <c r="L28" s="236" t="s">
        <v>829</v>
      </c>
      <c r="M28" s="236" t="s">
        <v>831</v>
      </c>
      <c r="N28" s="236" t="s">
        <v>837</v>
      </c>
      <c r="O28" s="236" t="s">
        <v>838</v>
      </c>
      <c r="P28" s="236" t="s">
        <v>839</v>
      </c>
      <c r="Q28" s="236" t="s">
        <v>840</v>
      </c>
      <c r="R28" s="236" t="s">
        <v>832</v>
      </c>
      <c r="S28" s="236" t="s">
        <v>833</v>
      </c>
      <c r="T28" s="236" t="s">
        <v>834</v>
      </c>
      <c r="U28" s="236" t="s">
        <v>843</v>
      </c>
      <c r="V28" s="236" t="s">
        <v>835</v>
      </c>
      <c r="W28" s="236" t="s">
        <v>842</v>
      </c>
      <c r="X28" s="236" t="s">
        <v>836</v>
      </c>
      <c r="Y28" s="236" t="s">
        <v>841</v>
      </c>
      <c r="Z28" s="163"/>
      <c r="AA28" s="163"/>
      <c r="AB28" s="163"/>
      <c r="AC28" s="163"/>
      <c r="AD28" s="163"/>
      <c r="AE28" s="163"/>
      <c r="AF28" s="163"/>
      <c r="AG28" s="163"/>
      <c r="AH28" s="163"/>
      <c r="AI28" s="163"/>
      <c r="AJ28" s="163"/>
      <c r="AK28" s="163"/>
      <c r="AL28" s="163"/>
      <c r="AM28" s="163"/>
      <c r="AN28" s="163"/>
      <c r="AO28" s="163"/>
    </row>
    <row r="29" spans="1:43" x14ac:dyDescent="0.3">
      <c r="D29"/>
      <c r="E29" s="28" t="s">
        <v>876</v>
      </c>
      <c r="F29" s="324"/>
      <c r="G29" t="s">
        <v>269</v>
      </c>
      <c r="J29" s="330">
        <f>'SoLR &amp; bad debt adders'!J46</f>
        <v>9.4643746985088963</v>
      </c>
      <c r="K29" s="330">
        <f>'SoLR &amp; bad debt adders'!K46</f>
        <v>0</v>
      </c>
      <c r="L29" s="330">
        <f>'SoLR &amp; bad debt adders'!L46</f>
        <v>3.8879927832875319E-2</v>
      </c>
      <c r="M29" s="330">
        <f>'SoLR &amp; bad debt adders'!M46</f>
        <v>0</v>
      </c>
      <c r="N29" s="330">
        <f>'SoLR &amp; bad debt adders'!N46</f>
        <v>3.8879927832875319E-2</v>
      </c>
      <c r="O29" s="330">
        <f>'SoLR &amp; bad debt adders'!O46</f>
        <v>3.8879927832875319E-2</v>
      </c>
      <c r="P29" s="330">
        <f>'SoLR &amp; bad debt adders'!P46</f>
        <v>3.8879927832875319E-2</v>
      </c>
      <c r="Q29" s="330">
        <f>'SoLR &amp; bad debt adders'!Q46</f>
        <v>0</v>
      </c>
      <c r="R29" s="330">
        <f>'SoLR &amp; bad debt adders'!R46</f>
        <v>0</v>
      </c>
      <c r="S29" s="330">
        <f>'SoLR &amp; bad debt adders'!S46</f>
        <v>0</v>
      </c>
      <c r="T29" s="330">
        <f>'SoLR &amp; bad debt adders'!T46</f>
        <v>0</v>
      </c>
      <c r="U29" s="330">
        <f>'SoLR &amp; bad debt adders'!U46</f>
        <v>0</v>
      </c>
      <c r="V29" s="330">
        <f>'SoLR &amp; bad debt adders'!V46</f>
        <v>0</v>
      </c>
      <c r="W29" s="330">
        <f>'SoLR &amp; bad debt adders'!W46</f>
        <v>0</v>
      </c>
      <c r="X29" s="330">
        <f>'SoLR &amp; bad debt adders'!X46</f>
        <v>0</v>
      </c>
      <c r="Y29" s="330">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3">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3">
      <c r="A31" s="312"/>
      <c r="D31"/>
      <c r="E31" s="368" t="str">
        <f>'Fixed inputs'!E163</f>
        <v>Flags for calculation of revenue matching</v>
      </c>
    </row>
    <row r="32" spans="1:43" x14ac:dyDescent="0.3">
      <c r="A32" s="312"/>
      <c r="C32" s="29"/>
      <c r="F32" s="417" t="s">
        <v>934</v>
      </c>
      <c r="G32" s="23" t="s">
        <v>911</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3">
      <c r="B33" s="312"/>
      <c r="C33" s="29"/>
      <c r="D33"/>
      <c r="F33" s="303" t="s">
        <v>946</v>
      </c>
      <c r="G33" s="303" t="s">
        <v>911</v>
      </c>
      <c r="H33" s="303"/>
      <c r="I33" s="303"/>
      <c r="J33" s="306" t="b">
        <f>'Fixed inputs'!J165</f>
        <v>1</v>
      </c>
      <c r="K33" s="360"/>
      <c r="L33" s="360"/>
      <c r="M33" s="306" t="b">
        <f>'Fixed inputs'!M165</f>
        <v>1</v>
      </c>
      <c r="N33" s="306" t="b">
        <f>'Fixed inputs'!N165</f>
        <v>1</v>
      </c>
      <c r="O33" s="306" t="b">
        <f>'Fixed inputs'!O165</f>
        <v>1</v>
      </c>
      <c r="P33" s="306" t="b">
        <f>'Fixed inputs'!P165</f>
        <v>1</v>
      </c>
      <c r="Q33" s="360"/>
      <c r="R33" s="360"/>
      <c r="S33" s="306" t="b">
        <f>'Fixed inputs'!S165</f>
        <v>1</v>
      </c>
      <c r="T33" s="306" t="b">
        <f>'Fixed inputs'!T165</f>
        <v>1</v>
      </c>
      <c r="U33" s="306" t="b">
        <f>'Fixed inputs'!U165</f>
        <v>1</v>
      </c>
      <c r="V33" s="306" t="b">
        <f>'Fixed inputs'!V165</f>
        <v>1</v>
      </c>
      <c r="W33" s="360"/>
      <c r="X33" s="306" t="b">
        <f>'Fixed inputs'!X165</f>
        <v>1</v>
      </c>
      <c r="Y33" s="306" t="b">
        <f>'Fixed inputs'!Y165</f>
        <v>1</v>
      </c>
      <c r="Z33" s="306" t="b">
        <f>'Fixed inputs'!Z165</f>
        <v>1</v>
      </c>
      <c r="AA33" s="306" t="b">
        <f>'Fixed inputs'!AA165</f>
        <v>1</v>
      </c>
      <c r="AB33" s="360"/>
      <c r="AC33" s="306" t="b">
        <f>'Fixed inputs'!AC165</f>
        <v>1</v>
      </c>
      <c r="AD33" s="306" t="b">
        <f>'Fixed inputs'!AD165</f>
        <v>1</v>
      </c>
      <c r="AE33" s="306" t="b">
        <f>'Fixed inputs'!AE165</f>
        <v>1</v>
      </c>
      <c r="AF33" s="306" t="b">
        <f>'Fixed inputs'!AF165</f>
        <v>1</v>
      </c>
      <c r="AG33" s="306" t="b">
        <f>'Fixed inputs'!AG165</f>
        <v>0</v>
      </c>
      <c r="AH33" s="360"/>
      <c r="AI33" s="360"/>
      <c r="AJ33" s="360"/>
      <c r="AK33" s="360"/>
      <c r="AL33" s="360"/>
      <c r="AM33" s="360"/>
      <c r="AN33" s="360"/>
      <c r="AO33" s="360"/>
    </row>
    <row r="34" spans="1:43" x14ac:dyDescent="0.3">
      <c r="B34" s="312"/>
      <c r="C34" s="29"/>
      <c r="D34"/>
      <c r="F34" s="303" t="s">
        <v>947</v>
      </c>
      <c r="G34" s="303" t="s">
        <v>911</v>
      </c>
      <c r="H34" s="303"/>
      <c r="I34" s="303"/>
      <c r="J34" s="306" t="b">
        <f>'Fixed inputs'!J166</f>
        <v>0</v>
      </c>
      <c r="K34" s="360"/>
      <c r="L34" s="360"/>
      <c r="M34" s="306" t="b">
        <f>'Fixed inputs'!M166</f>
        <v>0</v>
      </c>
      <c r="N34" s="306" t="b">
        <f>'Fixed inputs'!N166</f>
        <v>0</v>
      </c>
      <c r="O34" s="306" t="b">
        <f>'Fixed inputs'!O166</f>
        <v>0</v>
      </c>
      <c r="P34" s="306" t="b">
        <f>'Fixed inputs'!P166</f>
        <v>0</v>
      </c>
      <c r="Q34" s="360"/>
      <c r="R34" s="360"/>
      <c r="S34" s="306" t="b">
        <f>'Fixed inputs'!S166</f>
        <v>0</v>
      </c>
      <c r="T34" s="306" t="b">
        <f>'Fixed inputs'!T166</f>
        <v>0</v>
      </c>
      <c r="U34" s="306" t="b">
        <f>'Fixed inputs'!U166</f>
        <v>0</v>
      </c>
      <c r="V34" s="306" t="b">
        <f>'Fixed inputs'!V166</f>
        <v>0</v>
      </c>
      <c r="W34" s="360"/>
      <c r="X34" s="306" t="b">
        <f>'Fixed inputs'!X166</f>
        <v>0</v>
      </c>
      <c r="Y34" s="306" t="b">
        <f>'Fixed inputs'!Y166</f>
        <v>0</v>
      </c>
      <c r="Z34" s="306" t="b">
        <f>'Fixed inputs'!Z166</f>
        <v>0</v>
      </c>
      <c r="AA34" s="306" t="b">
        <f>'Fixed inputs'!AA166</f>
        <v>0</v>
      </c>
      <c r="AB34" s="360"/>
      <c r="AC34" s="306" t="b">
        <f>'Fixed inputs'!AC166</f>
        <v>0</v>
      </c>
      <c r="AD34" s="306" t="b">
        <f>'Fixed inputs'!AD166</f>
        <v>0</v>
      </c>
      <c r="AE34" s="306" t="b">
        <f>'Fixed inputs'!AE166</f>
        <v>0</v>
      </c>
      <c r="AF34" s="306" t="b">
        <f>'Fixed inputs'!AF166</f>
        <v>0</v>
      </c>
      <c r="AG34" s="306" t="b">
        <f>'Fixed inputs'!AG166</f>
        <v>1</v>
      </c>
      <c r="AH34" s="360"/>
      <c r="AI34" s="360"/>
      <c r="AJ34" s="360"/>
      <c r="AK34" s="360"/>
      <c r="AL34" s="360"/>
      <c r="AM34" s="360"/>
      <c r="AN34" s="360"/>
      <c r="AO34" s="360"/>
    </row>
    <row r="35" spans="1:43" x14ac:dyDescent="0.3">
      <c r="A35" s="312"/>
      <c r="F35" s="418" t="s">
        <v>944</v>
      </c>
      <c r="G35" s="303" t="s">
        <v>148</v>
      </c>
      <c r="H35" s="303"/>
      <c r="I35" s="303"/>
      <c r="J35" s="306">
        <f>'Fixed inputs'!J167</f>
        <v>1</v>
      </c>
      <c r="K35" s="360"/>
      <c r="L35" s="360"/>
      <c r="M35" s="306">
        <f>'Fixed inputs'!M167</f>
        <v>2</v>
      </c>
      <c r="N35" s="306">
        <f>'Fixed inputs'!N167</f>
        <v>2</v>
      </c>
      <c r="O35" s="306">
        <f>'Fixed inputs'!O167</f>
        <v>2</v>
      </c>
      <c r="P35" s="306">
        <f>'Fixed inputs'!P167</f>
        <v>2</v>
      </c>
      <c r="Q35" s="360"/>
      <c r="R35" s="360"/>
      <c r="S35" s="306">
        <f>'Fixed inputs'!S167</f>
        <v>3</v>
      </c>
      <c r="T35" s="306">
        <f>'Fixed inputs'!T167</f>
        <v>3</v>
      </c>
      <c r="U35" s="306">
        <f>'Fixed inputs'!U167</f>
        <v>3</v>
      </c>
      <c r="V35" s="306">
        <f>'Fixed inputs'!V167</f>
        <v>3</v>
      </c>
      <c r="W35" s="360"/>
      <c r="X35" s="306">
        <f>'Fixed inputs'!X167</f>
        <v>3</v>
      </c>
      <c r="Y35" s="306">
        <f>'Fixed inputs'!Y167</f>
        <v>3</v>
      </c>
      <c r="Z35" s="306">
        <f>'Fixed inputs'!Z167</f>
        <v>3</v>
      </c>
      <c r="AA35" s="306">
        <f>'Fixed inputs'!AA167</f>
        <v>3</v>
      </c>
      <c r="AB35" s="360"/>
      <c r="AC35" s="306">
        <f>'Fixed inputs'!AC167</f>
        <v>4</v>
      </c>
      <c r="AD35" s="306">
        <f>'Fixed inputs'!AD167</f>
        <v>4</v>
      </c>
      <c r="AE35" s="306">
        <f>'Fixed inputs'!AE167</f>
        <v>4</v>
      </c>
      <c r="AF35" s="306">
        <f>'Fixed inputs'!AF167</f>
        <v>4</v>
      </c>
      <c r="AG35" s="306">
        <f>'Fixed inputs'!AG167</f>
        <v>5</v>
      </c>
      <c r="AH35" s="360"/>
      <c r="AI35" s="360"/>
      <c r="AJ35" s="360"/>
      <c r="AK35" s="360"/>
      <c r="AL35" s="360"/>
      <c r="AM35" s="360"/>
      <c r="AN35" s="360"/>
      <c r="AO35" s="360"/>
    </row>
    <row r="36" spans="1:43" x14ac:dyDescent="0.3">
      <c r="A36" s="312"/>
      <c r="B36" s="312"/>
      <c r="C36" s="29"/>
      <c r="F36" s="418" t="s">
        <v>943</v>
      </c>
      <c r="G36" s="303" t="s">
        <v>148</v>
      </c>
      <c r="H36" s="303"/>
      <c r="I36" s="303"/>
      <c r="J36" s="306">
        <f>'Fixed inputs'!J168</f>
        <v>1</v>
      </c>
      <c r="K36" s="360"/>
      <c r="L36" s="360"/>
      <c r="M36" s="306">
        <f>'Fixed inputs'!M168</f>
        <v>1</v>
      </c>
      <c r="N36" s="306">
        <f>'Fixed inputs'!N168</f>
        <v>2</v>
      </c>
      <c r="O36" s="306">
        <f>'Fixed inputs'!O168</f>
        <v>3</v>
      </c>
      <c r="P36" s="306">
        <f>'Fixed inputs'!P168</f>
        <v>4</v>
      </c>
      <c r="Q36" s="360"/>
      <c r="R36" s="360"/>
      <c r="S36" s="306">
        <f>'Fixed inputs'!S168</f>
        <v>1</v>
      </c>
      <c r="T36" s="306">
        <f>'Fixed inputs'!T168</f>
        <v>2</v>
      </c>
      <c r="U36" s="306">
        <f>'Fixed inputs'!U168</f>
        <v>3</v>
      </c>
      <c r="V36" s="306">
        <f>'Fixed inputs'!V168</f>
        <v>4</v>
      </c>
      <c r="W36" s="360"/>
      <c r="X36" s="306">
        <f>'Fixed inputs'!X168</f>
        <v>1</v>
      </c>
      <c r="Y36" s="306">
        <f>'Fixed inputs'!Y168</f>
        <v>2</v>
      </c>
      <c r="Z36" s="306">
        <f>'Fixed inputs'!Z168</f>
        <v>3</v>
      </c>
      <c r="AA36" s="306">
        <f>'Fixed inputs'!AA168</f>
        <v>4</v>
      </c>
      <c r="AB36" s="360"/>
      <c r="AC36" s="306">
        <f>'Fixed inputs'!AC168</f>
        <v>1</v>
      </c>
      <c r="AD36" s="306">
        <f>'Fixed inputs'!AD168</f>
        <v>2</v>
      </c>
      <c r="AE36" s="306">
        <f>'Fixed inputs'!AE168</f>
        <v>3</v>
      </c>
      <c r="AF36" s="306">
        <f>'Fixed inputs'!AF168</f>
        <v>4</v>
      </c>
      <c r="AG36" s="306">
        <f>'Fixed inputs'!AG168</f>
        <v>1</v>
      </c>
      <c r="AH36" s="360"/>
      <c r="AI36" s="360"/>
      <c r="AJ36" s="360"/>
      <c r="AK36" s="360"/>
      <c r="AL36" s="360"/>
      <c r="AM36" s="360"/>
      <c r="AN36" s="360"/>
      <c r="AO36" s="360"/>
    </row>
    <row r="37" spans="1:43" x14ac:dyDescent="0.3">
      <c r="D37" s="88"/>
      <c r="F37" s="67" t="s">
        <v>945</v>
      </c>
      <c r="G37" s="37" t="s">
        <v>148</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3">
      <c r="A38" s="312"/>
      <c r="B38" s="312"/>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3">
      <c r="D39"/>
      <c r="E39" s="32" t="s">
        <v>733</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3">
      <c r="D40"/>
      <c r="E40" s="88"/>
      <c r="F40" s="23" t="s">
        <v>155</v>
      </c>
      <c r="G40" s="23" t="s">
        <v>268</v>
      </c>
      <c r="H40" s="258"/>
      <c r="I40" s="258"/>
      <c r="J40" s="266">
        <f t="shared" ref="J40:AO40" si="0">INDEX($J20:$Y20,J$37)</f>
        <v>8.3514870140558912</v>
      </c>
      <c r="K40" s="266">
        <f t="shared" si="0"/>
        <v>8.3514870140558912</v>
      </c>
      <c r="L40" s="266">
        <f t="shared" si="0"/>
        <v>9.6316615981711351</v>
      </c>
      <c r="M40" s="266">
        <f t="shared" si="0"/>
        <v>9.6316615981711351</v>
      </c>
      <c r="N40" s="266">
        <f t="shared" si="0"/>
        <v>9.6316615981711351</v>
      </c>
      <c r="O40" s="266">
        <f t="shared" si="0"/>
        <v>9.6316615981711351</v>
      </c>
      <c r="P40" s="266">
        <f t="shared" si="0"/>
        <v>9.6316615981711351</v>
      </c>
      <c r="Q40" s="266">
        <f t="shared" si="0"/>
        <v>9.6316615981711351</v>
      </c>
      <c r="R40" s="266">
        <f t="shared" si="0"/>
        <v>7.0444036746190282</v>
      </c>
      <c r="S40" s="266">
        <f t="shared" si="0"/>
        <v>7.0444036746190282</v>
      </c>
      <c r="T40" s="266">
        <f t="shared" si="0"/>
        <v>7.0444036746190282</v>
      </c>
      <c r="U40" s="266">
        <f t="shared" si="0"/>
        <v>7.0444036746190282</v>
      </c>
      <c r="V40" s="266">
        <f t="shared" si="0"/>
        <v>7.0444036746190282</v>
      </c>
      <c r="W40" s="266">
        <f t="shared" si="0"/>
        <v>5.6834108878816547</v>
      </c>
      <c r="X40" s="266">
        <f t="shared" si="0"/>
        <v>5.6834108878816547</v>
      </c>
      <c r="Y40" s="266">
        <f t="shared" si="0"/>
        <v>5.6834108878816547</v>
      </c>
      <c r="Z40" s="266">
        <f t="shared" si="0"/>
        <v>5.6834108878816547</v>
      </c>
      <c r="AA40" s="266">
        <f t="shared" si="0"/>
        <v>5.6834108878816547</v>
      </c>
      <c r="AB40" s="266">
        <f t="shared" si="0"/>
        <v>3.9131724055976909</v>
      </c>
      <c r="AC40" s="266">
        <f t="shared" si="0"/>
        <v>3.9131724055976909</v>
      </c>
      <c r="AD40" s="266">
        <f t="shared" si="0"/>
        <v>3.9131724055976909</v>
      </c>
      <c r="AE40" s="266">
        <f t="shared" si="0"/>
        <v>3.9131724055976909</v>
      </c>
      <c r="AF40" s="266">
        <f t="shared" si="0"/>
        <v>3.9131724055976909</v>
      </c>
      <c r="AG40" s="266">
        <f t="shared" si="0"/>
        <v>16.003051911330189</v>
      </c>
      <c r="AH40" s="266">
        <f t="shared" si="0"/>
        <v>-6.5192956999219849</v>
      </c>
      <c r="AI40" s="266">
        <f t="shared" si="0"/>
        <v>-5.4300819577995343</v>
      </c>
      <c r="AJ40" s="266">
        <f t="shared" si="0"/>
        <v>-6.5192956999219849</v>
      </c>
      <c r="AK40" s="266">
        <f t="shared" si="0"/>
        <v>-6.5192956999219849</v>
      </c>
      <c r="AL40" s="266">
        <f t="shared" si="0"/>
        <v>-5.4300819577995343</v>
      </c>
      <c r="AM40" s="266">
        <f t="shared" si="0"/>
        <v>-5.4300819577995343</v>
      </c>
      <c r="AN40" s="266">
        <f t="shared" si="0"/>
        <v>-4.1415516971992012</v>
      </c>
      <c r="AO40" s="266">
        <f t="shared" si="0"/>
        <v>-4.1415516971992012</v>
      </c>
      <c r="AP40" s="259"/>
      <c r="AQ40" s="259"/>
    </row>
    <row r="41" spans="1:43" x14ac:dyDescent="0.3">
      <c r="D41"/>
      <c r="E41" s="88"/>
      <c r="F41" t="s">
        <v>156</v>
      </c>
      <c r="G41" t="s">
        <v>268</v>
      </c>
      <c r="H41" s="259"/>
      <c r="I41" s="259"/>
      <c r="J41" s="267">
        <f t="shared" ref="J41:AO41" si="1">INDEX($J21:$Y21,J$37)</f>
        <v>1.5166758132927634</v>
      </c>
      <c r="K41" s="267">
        <f t="shared" si="1"/>
        <v>1.5166758132927634</v>
      </c>
      <c r="L41" s="267">
        <f t="shared" si="1"/>
        <v>1.7491625339512411</v>
      </c>
      <c r="M41" s="267">
        <f t="shared" si="1"/>
        <v>1.7491625339512411</v>
      </c>
      <c r="N41" s="267">
        <f t="shared" si="1"/>
        <v>1.7491625339512411</v>
      </c>
      <c r="O41" s="267">
        <f t="shared" si="1"/>
        <v>1.7491625339512411</v>
      </c>
      <c r="P41" s="267">
        <f t="shared" si="1"/>
        <v>1.7491625339512411</v>
      </c>
      <c r="Q41" s="267">
        <f t="shared" si="1"/>
        <v>1.7491625339512411</v>
      </c>
      <c r="R41" s="267">
        <f t="shared" si="1"/>
        <v>1.1739839411843249</v>
      </c>
      <c r="S41" s="267">
        <f t="shared" si="1"/>
        <v>1.1739839411843249</v>
      </c>
      <c r="T41" s="267">
        <f t="shared" si="1"/>
        <v>1.1739839411843249</v>
      </c>
      <c r="U41" s="267">
        <f t="shared" si="1"/>
        <v>1.1739839411843249</v>
      </c>
      <c r="V41" s="267">
        <f t="shared" si="1"/>
        <v>1.1739839411843249</v>
      </c>
      <c r="W41" s="267">
        <f t="shared" si="1"/>
        <v>0.86039593221703004</v>
      </c>
      <c r="X41" s="267">
        <f t="shared" si="1"/>
        <v>0.86039593221703004</v>
      </c>
      <c r="Y41" s="267">
        <f t="shared" si="1"/>
        <v>0.86039593221703004</v>
      </c>
      <c r="Z41" s="267">
        <f t="shared" si="1"/>
        <v>0.86039593221703004</v>
      </c>
      <c r="AA41" s="267">
        <f t="shared" si="1"/>
        <v>0.86039593221703004</v>
      </c>
      <c r="AB41" s="267">
        <f t="shared" si="1"/>
        <v>0.49314204944907558</v>
      </c>
      <c r="AC41" s="267">
        <f t="shared" si="1"/>
        <v>0.49314204944907558</v>
      </c>
      <c r="AD41" s="267">
        <f t="shared" si="1"/>
        <v>0.49314204944907558</v>
      </c>
      <c r="AE41" s="267">
        <f t="shared" si="1"/>
        <v>0.49314204944907558</v>
      </c>
      <c r="AF41" s="267">
        <f t="shared" si="1"/>
        <v>0.49314204944907558</v>
      </c>
      <c r="AG41" s="267">
        <f t="shared" si="1"/>
        <v>3.214125871494339</v>
      </c>
      <c r="AH41" s="267">
        <f t="shared" si="1"/>
        <v>-1.1839398290548573</v>
      </c>
      <c r="AI41" s="267">
        <f t="shared" si="1"/>
        <v>-0.92197810927331569</v>
      </c>
      <c r="AJ41" s="267">
        <f t="shared" si="1"/>
        <v>-1.1839398290548573</v>
      </c>
      <c r="AK41" s="267">
        <f t="shared" si="1"/>
        <v>-1.1839398290548573</v>
      </c>
      <c r="AL41" s="267">
        <f t="shared" si="1"/>
        <v>-0.92197810927331569</v>
      </c>
      <c r="AM41" s="267">
        <f t="shared" si="1"/>
        <v>-0.92197810927331569</v>
      </c>
      <c r="AN41" s="267">
        <f t="shared" si="1"/>
        <v>-0.60092414595446808</v>
      </c>
      <c r="AO41" s="267">
        <f t="shared" si="1"/>
        <v>-0.60092414595446808</v>
      </c>
      <c r="AP41" s="259"/>
      <c r="AQ41" s="259"/>
    </row>
    <row r="42" spans="1:43" x14ac:dyDescent="0.3">
      <c r="D42"/>
      <c r="E42" s="88"/>
      <c r="F42" t="s">
        <v>157</v>
      </c>
      <c r="G42" t="s">
        <v>268</v>
      </c>
      <c r="H42" s="259"/>
      <c r="I42" s="259"/>
      <c r="J42" s="267">
        <f t="shared" ref="J42:AO42" si="2">INDEX($J22:$Y22,J$37)</f>
        <v>0.21376900381029099</v>
      </c>
      <c r="K42" s="267">
        <f t="shared" si="2"/>
        <v>0.21376900381029099</v>
      </c>
      <c r="L42" s="267">
        <f t="shared" si="2"/>
        <v>0.24653701806798978</v>
      </c>
      <c r="M42" s="267">
        <f t="shared" si="2"/>
        <v>0.24653701806798978</v>
      </c>
      <c r="N42" s="267">
        <f t="shared" si="2"/>
        <v>0.24653701806798978</v>
      </c>
      <c r="O42" s="267">
        <f t="shared" si="2"/>
        <v>0.24653701806798978</v>
      </c>
      <c r="P42" s="267">
        <f t="shared" si="2"/>
        <v>0.24653701806798978</v>
      </c>
      <c r="Q42" s="267">
        <f t="shared" si="2"/>
        <v>0.24653701806798978</v>
      </c>
      <c r="R42" s="267">
        <f t="shared" si="2"/>
        <v>0.17017696970973151</v>
      </c>
      <c r="S42" s="267">
        <f t="shared" si="2"/>
        <v>0.17017696970973151</v>
      </c>
      <c r="T42" s="267">
        <f t="shared" si="2"/>
        <v>0.17017696970973151</v>
      </c>
      <c r="U42" s="267">
        <f t="shared" si="2"/>
        <v>0.17017696970973151</v>
      </c>
      <c r="V42" s="267">
        <f t="shared" si="2"/>
        <v>0.17017696970973151</v>
      </c>
      <c r="W42" s="267">
        <f t="shared" si="2"/>
        <v>0.12894799267730714</v>
      </c>
      <c r="X42" s="267">
        <f t="shared" si="2"/>
        <v>0.12894799267730714</v>
      </c>
      <c r="Y42" s="267">
        <f t="shared" si="2"/>
        <v>0.12894799267730714</v>
      </c>
      <c r="Z42" s="267">
        <f t="shared" si="2"/>
        <v>0.12894799267730714</v>
      </c>
      <c r="AA42" s="267">
        <f t="shared" si="2"/>
        <v>0.12894799267730714</v>
      </c>
      <c r="AB42" s="267">
        <f t="shared" si="2"/>
        <v>7.9231508627719355E-2</v>
      </c>
      <c r="AC42" s="267">
        <f t="shared" si="2"/>
        <v>7.9231508627719355E-2</v>
      </c>
      <c r="AD42" s="267">
        <f t="shared" si="2"/>
        <v>7.9231508627719355E-2</v>
      </c>
      <c r="AE42" s="267">
        <f t="shared" si="2"/>
        <v>7.9231508627719355E-2</v>
      </c>
      <c r="AF42" s="267">
        <f t="shared" si="2"/>
        <v>7.9231508627719355E-2</v>
      </c>
      <c r="AG42" s="267">
        <f t="shared" si="2"/>
        <v>2.2971353389064215</v>
      </c>
      <c r="AH42" s="267">
        <f t="shared" si="2"/>
        <v>-0.16687128232032356</v>
      </c>
      <c r="AI42" s="267">
        <f t="shared" si="2"/>
        <v>-0.1328173286336693</v>
      </c>
      <c r="AJ42" s="267">
        <f t="shared" si="2"/>
        <v>-0.16687128232032356</v>
      </c>
      <c r="AK42" s="267">
        <f t="shared" si="2"/>
        <v>-0.16687128232032356</v>
      </c>
      <c r="AL42" s="267">
        <f t="shared" si="2"/>
        <v>-0.1328173286336693</v>
      </c>
      <c r="AM42" s="267">
        <f t="shared" si="2"/>
        <v>-0.1328173286336693</v>
      </c>
      <c r="AN42" s="267">
        <f t="shared" si="2"/>
        <v>-9.1458253259940767E-2</v>
      </c>
      <c r="AO42" s="267">
        <f t="shared" si="2"/>
        <v>-9.1458253259940767E-2</v>
      </c>
      <c r="AP42" s="259"/>
      <c r="AQ42" s="259"/>
    </row>
    <row r="43" spans="1:43" x14ac:dyDescent="0.3">
      <c r="D43"/>
      <c r="E43" s="88"/>
      <c r="F43" t="s">
        <v>158</v>
      </c>
      <c r="G43" t="s">
        <v>269</v>
      </c>
      <c r="J43" s="199">
        <f t="shared" ref="J43:AO43" si="3">INDEX($J23:$Y23,J$37)</f>
        <v>4.2948115217685636</v>
      </c>
      <c r="K43" s="199">
        <f t="shared" si="3"/>
        <v>0</v>
      </c>
      <c r="L43" s="199">
        <f t="shared" si="3"/>
        <v>4.2948115217685636</v>
      </c>
      <c r="M43" s="199">
        <f t="shared" si="3"/>
        <v>4.2948115217685636</v>
      </c>
      <c r="N43" s="199">
        <f t="shared" si="3"/>
        <v>4.2948115217685636</v>
      </c>
      <c r="O43" s="199">
        <f t="shared" si="3"/>
        <v>4.2948115217685636</v>
      </c>
      <c r="P43" s="199">
        <f t="shared" si="3"/>
        <v>4.2948115217685636</v>
      </c>
      <c r="Q43" s="199">
        <f t="shared" si="3"/>
        <v>0</v>
      </c>
      <c r="R43" s="199">
        <f t="shared" si="3"/>
        <v>17.49531407933436</v>
      </c>
      <c r="S43" s="199">
        <f t="shared" si="3"/>
        <v>17.49531407933436</v>
      </c>
      <c r="T43" s="199">
        <f t="shared" si="3"/>
        <v>17.49531407933436</v>
      </c>
      <c r="U43" s="199">
        <f t="shared" si="3"/>
        <v>17.49531407933436</v>
      </c>
      <c r="V43" s="199">
        <f t="shared" si="3"/>
        <v>17.49531407933436</v>
      </c>
      <c r="W43" s="199">
        <f t="shared" si="3"/>
        <v>56.467738784040058</v>
      </c>
      <c r="X43" s="199">
        <f t="shared" si="3"/>
        <v>56.467738784040058</v>
      </c>
      <c r="Y43" s="199">
        <f t="shared" si="3"/>
        <v>56.467738784040058</v>
      </c>
      <c r="Z43" s="199">
        <f t="shared" si="3"/>
        <v>56.467738784040058</v>
      </c>
      <c r="AA43" s="199">
        <f t="shared" si="3"/>
        <v>56.467738784040058</v>
      </c>
      <c r="AB43" s="199">
        <f t="shared" si="3"/>
        <v>124.16502858254897</v>
      </c>
      <c r="AC43" s="199">
        <f t="shared" si="3"/>
        <v>124.16502858254897</v>
      </c>
      <c r="AD43" s="199">
        <f t="shared" si="3"/>
        <v>124.16502858254897</v>
      </c>
      <c r="AE43" s="199">
        <f t="shared" si="3"/>
        <v>124.16502858254897</v>
      </c>
      <c r="AF43" s="199">
        <f t="shared" si="3"/>
        <v>124.16502858254897</v>
      </c>
      <c r="AG43" s="199">
        <f t="shared" si="3"/>
        <v>0</v>
      </c>
      <c r="AH43" s="199">
        <f t="shared" si="3"/>
        <v>0</v>
      </c>
      <c r="AI43" s="199">
        <f t="shared" si="3"/>
        <v>0</v>
      </c>
      <c r="AJ43" s="199">
        <f t="shared" si="3"/>
        <v>0</v>
      </c>
      <c r="AK43" s="199">
        <f t="shared" si="3"/>
        <v>0</v>
      </c>
      <c r="AL43" s="199">
        <f t="shared" si="3"/>
        <v>0</v>
      </c>
      <c r="AM43" s="199">
        <f t="shared" si="3"/>
        <v>0</v>
      </c>
      <c r="AN43" s="199">
        <f t="shared" si="3"/>
        <v>8.3608666107087686</v>
      </c>
      <c r="AO43" s="199">
        <f t="shared" si="3"/>
        <v>8.3608666107087686</v>
      </c>
    </row>
    <row r="44" spans="1:43" x14ac:dyDescent="0.3">
      <c r="D44"/>
      <c r="E44" s="88"/>
      <c r="F44" t="s">
        <v>159</v>
      </c>
      <c r="G44" t="s">
        <v>270</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3.1390766052084453</v>
      </c>
      <c r="S44" s="199">
        <f t="shared" si="4"/>
        <v>3.1390766052084453</v>
      </c>
      <c r="T44" s="199">
        <f t="shared" si="4"/>
        <v>3.1390766052084453</v>
      </c>
      <c r="U44" s="199">
        <f t="shared" si="4"/>
        <v>3.1390766052084453</v>
      </c>
      <c r="V44" s="199">
        <f t="shared" si="4"/>
        <v>3.1390766052084453</v>
      </c>
      <c r="W44" s="199">
        <f t="shared" si="4"/>
        <v>3.2135567800468432</v>
      </c>
      <c r="X44" s="199">
        <f t="shared" si="4"/>
        <v>3.2135567800468432</v>
      </c>
      <c r="Y44" s="199">
        <f t="shared" si="4"/>
        <v>3.2135567800468432</v>
      </c>
      <c r="Z44" s="199">
        <f t="shared" si="4"/>
        <v>3.2135567800468432</v>
      </c>
      <c r="AA44" s="199">
        <f t="shared" si="4"/>
        <v>3.2135567800468432</v>
      </c>
      <c r="AB44" s="199">
        <f t="shared" si="4"/>
        <v>3.1526526297383777</v>
      </c>
      <c r="AC44" s="199">
        <f t="shared" si="4"/>
        <v>3.1526526297383777</v>
      </c>
      <c r="AD44" s="199">
        <f t="shared" si="4"/>
        <v>3.1526526297383777</v>
      </c>
      <c r="AE44" s="199">
        <f t="shared" si="4"/>
        <v>3.1526526297383777</v>
      </c>
      <c r="AF44" s="199">
        <f t="shared" si="4"/>
        <v>3.1526526297383777</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3">
      <c r="D45"/>
      <c r="E45" s="88"/>
      <c r="F45" t="s">
        <v>160</v>
      </c>
      <c r="G45" t="s">
        <v>270</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4.7497751254470124</v>
      </c>
      <c r="S45" s="199">
        <f t="shared" si="5"/>
        <v>4.7497751254470124</v>
      </c>
      <c r="T45" s="199">
        <f t="shared" si="5"/>
        <v>4.7497751254470124</v>
      </c>
      <c r="U45" s="199">
        <f t="shared" si="5"/>
        <v>4.7497751254470124</v>
      </c>
      <c r="V45" s="199">
        <f t="shared" si="5"/>
        <v>4.7497751254470124</v>
      </c>
      <c r="W45" s="199">
        <f t="shared" si="5"/>
        <v>5.5065938692732104</v>
      </c>
      <c r="X45" s="199">
        <f t="shared" si="5"/>
        <v>5.5065938692732104</v>
      </c>
      <c r="Y45" s="199">
        <f t="shared" si="5"/>
        <v>5.5065938692732104</v>
      </c>
      <c r="Z45" s="199">
        <f t="shared" si="5"/>
        <v>5.5065938692732104</v>
      </c>
      <c r="AA45" s="199">
        <f t="shared" si="5"/>
        <v>5.5065938692732104</v>
      </c>
      <c r="AB45" s="199">
        <f t="shared" si="5"/>
        <v>5.7359205926323256</v>
      </c>
      <c r="AC45" s="199">
        <f t="shared" si="5"/>
        <v>5.7359205926323256</v>
      </c>
      <c r="AD45" s="199">
        <f t="shared" si="5"/>
        <v>5.7359205926323256</v>
      </c>
      <c r="AE45" s="199">
        <f t="shared" si="5"/>
        <v>5.7359205926323256</v>
      </c>
      <c r="AF45" s="199">
        <f t="shared" si="5"/>
        <v>5.7359205926323256</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3">
      <c r="D46"/>
      <c r="E46" s="88"/>
      <c r="F46" s="37" t="s">
        <v>161</v>
      </c>
      <c r="G46" s="37" t="s">
        <v>271</v>
      </c>
      <c r="H46" s="261"/>
      <c r="I46" s="261"/>
      <c r="J46" s="268">
        <f t="shared" ref="J46:AO46" si="6">INDEX($J26:$Y26,J$37)</f>
        <v>0</v>
      </c>
      <c r="K46" s="268">
        <f t="shared" si="6"/>
        <v>0</v>
      </c>
      <c r="L46" s="268">
        <f t="shared" si="6"/>
        <v>0</v>
      </c>
      <c r="M46" s="268">
        <f t="shared" si="6"/>
        <v>0</v>
      </c>
      <c r="N46" s="268">
        <f t="shared" si="6"/>
        <v>0</v>
      </c>
      <c r="O46" s="268">
        <f t="shared" si="6"/>
        <v>0</v>
      </c>
      <c r="P46" s="268">
        <f t="shared" si="6"/>
        <v>0</v>
      </c>
      <c r="Q46" s="268">
        <f t="shared" si="6"/>
        <v>0</v>
      </c>
      <c r="R46" s="268">
        <f t="shared" si="6"/>
        <v>0.15183967715066449</v>
      </c>
      <c r="S46" s="268">
        <f t="shared" si="6"/>
        <v>0.15183967715066449</v>
      </c>
      <c r="T46" s="268">
        <f t="shared" si="6"/>
        <v>0.15183967715066449</v>
      </c>
      <c r="U46" s="268">
        <f t="shared" si="6"/>
        <v>0.15183967715066449</v>
      </c>
      <c r="V46" s="268">
        <f t="shared" si="6"/>
        <v>0.15183967715066449</v>
      </c>
      <c r="W46" s="268">
        <f t="shared" si="6"/>
        <v>0.11214938018401023</v>
      </c>
      <c r="X46" s="268">
        <f t="shared" si="6"/>
        <v>0.11214938018401023</v>
      </c>
      <c r="Y46" s="268">
        <f t="shared" si="6"/>
        <v>0.11214938018401023</v>
      </c>
      <c r="Z46" s="268">
        <f t="shared" si="6"/>
        <v>0.11214938018401023</v>
      </c>
      <c r="AA46" s="268">
        <f t="shared" si="6"/>
        <v>0.11214938018401023</v>
      </c>
      <c r="AB46" s="268">
        <f t="shared" si="6"/>
        <v>6.9049453472262365E-2</v>
      </c>
      <c r="AC46" s="268">
        <f t="shared" si="6"/>
        <v>6.9049453472262365E-2</v>
      </c>
      <c r="AD46" s="268">
        <f t="shared" si="6"/>
        <v>6.9049453472262365E-2</v>
      </c>
      <c r="AE46" s="268">
        <f t="shared" si="6"/>
        <v>6.9049453472262365E-2</v>
      </c>
      <c r="AF46" s="268">
        <f t="shared" si="6"/>
        <v>6.9049453472262365E-2</v>
      </c>
      <c r="AG46" s="268">
        <f t="shared" si="6"/>
        <v>0</v>
      </c>
      <c r="AH46" s="268">
        <f t="shared" si="6"/>
        <v>0</v>
      </c>
      <c r="AI46" s="268">
        <f t="shared" si="6"/>
        <v>0</v>
      </c>
      <c r="AJ46" s="268">
        <f t="shared" si="6"/>
        <v>0.12610930005179521</v>
      </c>
      <c r="AK46" s="268">
        <f t="shared" si="6"/>
        <v>0</v>
      </c>
      <c r="AL46" s="268">
        <f t="shared" si="6"/>
        <v>0.10643979123499889</v>
      </c>
      <c r="AM46" s="268">
        <f t="shared" si="6"/>
        <v>0</v>
      </c>
      <c r="AN46" s="268">
        <f t="shared" si="6"/>
        <v>8.016654544178127E-2</v>
      </c>
      <c r="AO46" s="268">
        <f t="shared" si="6"/>
        <v>0</v>
      </c>
      <c r="AP46" s="259"/>
      <c r="AQ46" s="259"/>
    </row>
    <row r="47" spans="1:43" x14ac:dyDescent="0.3">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3">
      <c r="D48"/>
      <c r="E48" s="28" t="s">
        <v>876</v>
      </c>
      <c r="F48" s="324"/>
      <c r="G48" t="s">
        <v>269</v>
      </c>
      <c r="J48" s="199">
        <f t="shared" ref="J48:AO48" si="7">INDEX($J29:$Y29,J$37)</f>
        <v>9.4643746985088963</v>
      </c>
      <c r="K48" s="199">
        <f t="shared" si="7"/>
        <v>0</v>
      </c>
      <c r="L48" s="199">
        <f t="shared" si="7"/>
        <v>3.8879927832875319E-2</v>
      </c>
      <c r="M48" s="199">
        <f t="shared" si="7"/>
        <v>3.8879927832875319E-2</v>
      </c>
      <c r="N48" s="199">
        <f t="shared" si="7"/>
        <v>3.8879927832875319E-2</v>
      </c>
      <c r="O48" s="199">
        <f t="shared" si="7"/>
        <v>3.8879927832875319E-2</v>
      </c>
      <c r="P48" s="199">
        <f t="shared" si="7"/>
        <v>3.8879927832875319E-2</v>
      </c>
      <c r="Q48" s="199">
        <f t="shared" si="7"/>
        <v>0</v>
      </c>
      <c r="R48" s="199">
        <f t="shared" si="7"/>
        <v>3.8879927832875319E-2</v>
      </c>
      <c r="S48" s="199">
        <f t="shared" si="7"/>
        <v>3.8879927832875319E-2</v>
      </c>
      <c r="T48" s="199">
        <f t="shared" si="7"/>
        <v>3.8879927832875319E-2</v>
      </c>
      <c r="U48" s="199">
        <f t="shared" si="7"/>
        <v>3.8879927832875319E-2</v>
      </c>
      <c r="V48" s="199">
        <f t="shared" si="7"/>
        <v>3.8879927832875319E-2</v>
      </c>
      <c r="W48" s="199">
        <f t="shared" si="7"/>
        <v>3.8879927832875319E-2</v>
      </c>
      <c r="X48" s="199">
        <f t="shared" si="7"/>
        <v>3.8879927832875319E-2</v>
      </c>
      <c r="Y48" s="199">
        <f t="shared" si="7"/>
        <v>3.8879927832875319E-2</v>
      </c>
      <c r="Z48" s="199">
        <f t="shared" si="7"/>
        <v>3.8879927832875319E-2</v>
      </c>
      <c r="AA48" s="199">
        <f t="shared" si="7"/>
        <v>3.8879927832875319E-2</v>
      </c>
      <c r="AB48" s="199">
        <f t="shared" si="7"/>
        <v>3.8879927832875319E-2</v>
      </c>
      <c r="AC48" s="199">
        <f t="shared" si="7"/>
        <v>3.8879927832875319E-2</v>
      </c>
      <c r="AD48" s="199">
        <f t="shared" si="7"/>
        <v>3.8879927832875319E-2</v>
      </c>
      <c r="AE48" s="199">
        <f t="shared" si="7"/>
        <v>3.8879927832875319E-2</v>
      </c>
      <c r="AF48" s="199">
        <f t="shared" si="7"/>
        <v>3.8879927832875319E-2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3">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3">
      <c r="D50"/>
      <c r="E50" s="32" t="s">
        <v>734</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3">
      <c r="D51"/>
      <c r="E51" s="32"/>
      <c r="F51" s="29" t="s">
        <v>1038</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3">
      <c r="D52"/>
      <c r="E52" s="32"/>
      <c r="F52" s="29" t="s">
        <v>1034</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3">
      <c r="D53" s="88"/>
      <c r="F53" s="23" t="s">
        <v>155</v>
      </c>
      <c r="G53" s="23" t="s">
        <v>206</v>
      </c>
      <c r="H53" s="317">
        <v>0</v>
      </c>
      <c r="I53" s="23"/>
      <c r="J53" s="193">
        <f>INDEX('Volume adjustments'!$J$481:$Y$521, J$36 + 1 + $H53*$H$59, J$37)</f>
        <v>901691.5877829832</v>
      </c>
      <c r="K53" s="193">
        <f>INDEX('Volume adjustments'!$J$481:$Y$521, K$36 + 1 + $H53*$H$59, K$37)</f>
        <v>18.350451934590168</v>
      </c>
      <c r="L53" s="193">
        <f>INDEX('Volume adjustments'!$J$481:$Y$521, L$36 + 1 + $H53*$H$59, L$37)</f>
        <v>0.1664543847844776</v>
      </c>
      <c r="M53" s="193">
        <f>INDEX('Volume adjustments'!$J$481:$Y$521, M$36 + 1 + $H53*$H$59, M$37)</f>
        <v>9688.8224179080244</v>
      </c>
      <c r="N53" s="193">
        <f>INDEX('Volume adjustments'!$J$481:$Y$521, N$36 + 1 + $H53*$H$59, N$37)</f>
        <v>42563.805730843065</v>
      </c>
      <c r="O53" s="193">
        <f>INDEX('Volume adjustments'!$J$481:$Y$521, O$36 + 1 + $H53*$H$59, O$37)</f>
        <v>54343.391804608509</v>
      </c>
      <c r="P53" s="193">
        <f>INDEX('Volume adjustments'!$J$481:$Y$521, P$36 + 1 + $H53*$H$59, P$37)</f>
        <v>162269.91445154825</v>
      </c>
      <c r="Q53" s="193">
        <f>INDEX('Volume adjustments'!$J$481:$Y$521, Q$36 + 1 + $H53*$H$59, Q$37)</f>
        <v>30.968009054504083</v>
      </c>
      <c r="R53" s="193">
        <f>INDEX('Volume adjustments'!$J$481:$Y$521, R$36 + 1 + $H53*$H$59, R$37)</f>
        <v>6.286703172921615</v>
      </c>
      <c r="S53" s="193">
        <f>INDEX('Volume adjustments'!$J$481:$Y$521, S$36 + 1 + $H53*$H$59, S$37)</f>
        <v>33767.979079252291</v>
      </c>
      <c r="T53" s="193">
        <f>INDEX('Volume adjustments'!$J$481:$Y$521, T$36 + 1 + $H53*$H$59, T$37)</f>
        <v>77396.880887378269</v>
      </c>
      <c r="U53" s="193">
        <f>INDEX('Volume adjustments'!$J$481:$Y$521, U$36 + 1 + $H53*$H$59, U$37)</f>
        <v>44721.617157095723</v>
      </c>
      <c r="V53" s="193">
        <f>INDEX('Volume adjustments'!$J$481:$Y$521, V$36 + 1 + $H53*$H$59, V$37)</f>
        <v>98727.051407708321</v>
      </c>
      <c r="W53" s="193">
        <f>INDEX('Volume adjustments'!$J$481:$Y$521, W$36 + 1 + $H53*$H$59, W$37)</f>
        <v>19.278476192852601</v>
      </c>
      <c r="X53" s="193">
        <f>INDEX('Volume adjustments'!$J$481:$Y$521, X$36 + 1 + $H53*$H$59, X$37)</f>
        <v>16553.56334573626</v>
      </c>
      <c r="Y53" s="193">
        <f>INDEX('Volume adjustments'!$J$481:$Y$521, Y$36 + 1 + $H53*$H$59, Y$37)</f>
        <v>37941.097023446426</v>
      </c>
      <c r="Z53" s="193">
        <f>INDEX('Volume adjustments'!$J$481:$Y$521, Z$36 + 1 + $H53*$H$59, Z$37)</f>
        <v>21923.198921566669</v>
      </c>
      <c r="AA53" s="193">
        <f>INDEX('Volume adjustments'!$J$481:$Y$521, AA$36 + 1 + $H53*$H$59, AA$37)</f>
        <v>48397.462447475766</v>
      </c>
      <c r="AB53" s="193">
        <f>INDEX('Volume adjustments'!$J$481:$Y$521, AB$36 + 1 + $H53*$H$59, AB$37)</f>
        <v>48.779728202076853</v>
      </c>
      <c r="AC53" s="193">
        <f>INDEX('Volume adjustments'!$J$481:$Y$521, AC$36 + 1 + $H53*$H$59, AC$37)</f>
        <v>43057.973082427474</v>
      </c>
      <c r="AD53" s="193">
        <f>INDEX('Volume adjustments'!$J$481:$Y$521, AD$36 + 1 + $H53*$H$59, AD$37)</f>
        <v>113851.1392306112</v>
      </c>
      <c r="AE53" s="193">
        <f>INDEX('Volume adjustments'!$J$481:$Y$521, AE$36 + 1 + $H53*$H$59, AE$37)</f>
        <v>97894.383990813396</v>
      </c>
      <c r="AF53" s="193">
        <f>INDEX('Volume adjustments'!$J$481:$Y$521, AF$36 + 1 + $H53*$H$59, AF$37)</f>
        <v>185782.37895642148</v>
      </c>
      <c r="AG53" s="193">
        <f>INDEX('Volume adjustments'!$J$481:$Y$521, AG$36 + 1 + $H53*$H$59, AG$37)</f>
        <v>9047.8998172492538</v>
      </c>
      <c r="AH53" s="193">
        <f>INDEX('Volume adjustments'!$J$481:$Y$521, AH$36 + 1 + $H53*$H$59, AH$37)</f>
        <v>162.86490240768723</v>
      </c>
      <c r="AI53" s="193">
        <f>INDEX('Volume adjustments'!$J$481:$Y$521, AI$36 + 1 + $H53*$H$59, AI$37)</f>
        <v>0</v>
      </c>
      <c r="AJ53" s="193">
        <f>INDEX('Volume adjustments'!$J$481:$Y$521, AJ$36 + 1 + $H53*$H$59, AJ$37)</f>
        <v>2814.8705870277408</v>
      </c>
      <c r="AK53" s="193">
        <f>INDEX('Volume adjustments'!$J$481:$Y$521, AK$36 + 1 + $H53*$H$59, AK$37)</f>
        <v>0</v>
      </c>
      <c r="AL53" s="193">
        <f>INDEX('Volume adjustments'!$J$481:$Y$521, AL$36 + 1 + $H53*$H$59, AL$37)</f>
        <v>359.61906314590294</v>
      </c>
      <c r="AM53" s="193">
        <f>INDEX('Volume adjustments'!$J$481:$Y$521, AM$36 + 1 + $H53*$H$59, AM$37)</f>
        <v>0</v>
      </c>
      <c r="AN53" s="193">
        <f>INDEX('Volume adjustments'!$J$481:$Y$521, AN$36 + 1 + $H53*$H$59, AN$37)</f>
        <v>134754.49574344291</v>
      </c>
      <c r="AO53" s="193">
        <f>INDEX('Volume adjustments'!$J$481:$Y$521, AO$36 + 1 + $H53*$H$59, AO$37)</f>
        <v>0</v>
      </c>
    </row>
    <row r="54" spans="4:41" x14ac:dyDescent="0.3">
      <c r="D54" s="88"/>
      <c r="F54" t="s">
        <v>156</v>
      </c>
      <c r="G54" t="s">
        <v>206</v>
      </c>
      <c r="H54" s="365">
        <v>1</v>
      </c>
      <c r="J54" s="330">
        <f>INDEX('Volume adjustments'!$J$481:$Y$521, J$36 + 1 + $H54*$H$59, J$37)</f>
        <v>2271681.4299374898</v>
      </c>
      <c r="K54" s="330">
        <f>INDEX('Volume adjustments'!$J$481:$Y$521, K$36 + 1 + $H54*$H$59, K$37)</f>
        <v>442.08512771373279</v>
      </c>
      <c r="L54" s="330">
        <f>INDEX('Volume adjustments'!$J$481:$Y$521, L$36 + 1 + $H54*$H$59, L$37)</f>
        <v>0.59787580461090495</v>
      </c>
      <c r="M54" s="330">
        <f>INDEX('Volume adjustments'!$J$481:$Y$521, M$36 + 1 + $H54*$H$59, M$37)</f>
        <v>34800.600214522688</v>
      </c>
      <c r="N54" s="330">
        <f>INDEX('Volume adjustments'!$J$481:$Y$521, N$36 + 1 + $H54*$H$59, N$37)</f>
        <v>152881.9419901706</v>
      </c>
      <c r="O54" s="330">
        <f>INDEX('Volume adjustments'!$J$481:$Y$521, O$36 + 1 + $H54*$H$59, O$37)</f>
        <v>195192.20922016719</v>
      </c>
      <c r="P54" s="330">
        <f>INDEX('Volume adjustments'!$J$481:$Y$521, P$36 + 1 + $H54*$H$59, P$37)</f>
        <v>582845.89974892209</v>
      </c>
      <c r="Q54" s="330">
        <f>INDEX('Volume adjustments'!$J$481:$Y$521, Q$36 + 1 + $H54*$H$59, Q$37)</f>
        <v>924.22425525108804</v>
      </c>
      <c r="R54" s="330">
        <f>INDEX('Volume adjustments'!$J$481:$Y$521, R$36 + 1 + $H54*$H$59, R$37)</f>
        <v>22.675065430603073</v>
      </c>
      <c r="S54" s="330">
        <f>INDEX('Volume adjustments'!$J$481:$Y$521, S$36 + 1 + $H54*$H$59, S$37)</f>
        <v>121621.59144121558</v>
      </c>
      <c r="T54" s="330">
        <f>INDEX('Volume adjustments'!$J$481:$Y$521, T$36 + 1 + $H54*$H$59, T$37)</f>
        <v>278759.11093218956</v>
      </c>
      <c r="U54" s="330">
        <f>INDEX('Volume adjustments'!$J$481:$Y$521, U$36 + 1 + $H54*$H$59, U$37)</f>
        <v>161073.13492777693</v>
      </c>
      <c r="V54" s="330">
        <f>INDEX('Volume adjustments'!$J$481:$Y$521, V$36 + 1 + $H54*$H$59, V$37)</f>
        <v>355583.64574685891</v>
      </c>
      <c r="W54" s="330">
        <f>INDEX('Volume adjustments'!$J$481:$Y$521, W$36 + 1 + $H54*$H$59, W$37)</f>
        <v>70.918314424861464</v>
      </c>
      <c r="X54" s="330">
        <f>INDEX('Volume adjustments'!$J$481:$Y$521, X$36 + 1 + $H54*$H$59, X$37)</f>
        <v>60846.910142387082</v>
      </c>
      <c r="Y54" s="330">
        <f>INDEX('Volume adjustments'!$J$481:$Y$521, Y$36 + 1 + $H54*$H$59, Y$37)</f>
        <v>139462.33044040427</v>
      </c>
      <c r="Z54" s="330">
        <f>INDEX('Volume adjustments'!$J$481:$Y$521, Z$36 + 1 + $H54*$H$59, Z$37)</f>
        <v>80584.396661510051</v>
      </c>
      <c r="AA54" s="330">
        <f>INDEX('Volume adjustments'!$J$481:$Y$521, AA$36 + 1 + $H54*$H$59, AA$37)</f>
        <v>177897.4101923269</v>
      </c>
      <c r="AB54" s="330">
        <f>INDEX('Volume adjustments'!$J$481:$Y$521, AB$36 + 1 + $H54*$H$59, AB$37)</f>
        <v>165.60985233193685</v>
      </c>
      <c r="AC54" s="330">
        <f>INDEX('Volume adjustments'!$J$481:$Y$521, AC$36 + 1 + $H54*$H$59, AC$37)</f>
        <v>146150.85147460975</v>
      </c>
      <c r="AD54" s="330">
        <f>INDEX('Volume adjustments'!$J$481:$Y$521, AD$36 + 1 + $H54*$H$59, AD$37)</f>
        <v>386442.736355812</v>
      </c>
      <c r="AE54" s="330">
        <f>INDEX('Volume adjustments'!$J$481:$Y$521, AE$36 + 1 + $H54*$H$59, AE$37)</f>
        <v>332281.028357993</v>
      </c>
      <c r="AF54" s="330">
        <f>INDEX('Volume adjustments'!$J$481:$Y$521, AF$36 + 1 + $H54*$H$59, AF$37)</f>
        <v>630597.56253461028</v>
      </c>
      <c r="AG54" s="330">
        <f>INDEX('Volume adjustments'!$J$481:$Y$521, AG$36 + 1 + $H54*$H$59, AG$37)</f>
        <v>30030.873438694278</v>
      </c>
      <c r="AH54" s="330">
        <f>INDEX('Volume adjustments'!$J$481:$Y$521, AH$36 + 1 + $H54*$H$59, AH$37)</f>
        <v>602.4003628152069</v>
      </c>
      <c r="AI54" s="330">
        <f>INDEX('Volume adjustments'!$J$481:$Y$521, AI$36 + 1 + $H54*$H$59, AI$37)</f>
        <v>0</v>
      </c>
      <c r="AJ54" s="330">
        <f>INDEX('Volume adjustments'!$J$481:$Y$521, AJ$36 + 1 + $H54*$H$59, AJ$37)</f>
        <v>10411.568347971635</v>
      </c>
      <c r="AK54" s="330">
        <f>INDEX('Volume adjustments'!$J$481:$Y$521, AK$36 + 1 + $H54*$H$59, AK$37)</f>
        <v>0</v>
      </c>
      <c r="AL54" s="330">
        <f>INDEX('Volume adjustments'!$J$481:$Y$521, AL$36 + 1 + $H54*$H$59, AL$37)</f>
        <v>1554.6705868586694</v>
      </c>
      <c r="AM54" s="330">
        <f>INDEX('Volume adjustments'!$J$481:$Y$521, AM$36 + 1 + $H54*$H$59, AM$37)</f>
        <v>0</v>
      </c>
      <c r="AN54" s="330">
        <f>INDEX('Volume adjustments'!$J$481:$Y$521, AN$36 + 1 + $H54*$H$59, AN$37)</f>
        <v>332893.45294245722</v>
      </c>
      <c r="AO54" s="330">
        <f>INDEX('Volume adjustments'!$J$481:$Y$521, AO$36 + 1 + $H54*$H$59, AO$37)</f>
        <v>0</v>
      </c>
    </row>
    <row r="55" spans="4:41" x14ac:dyDescent="0.3">
      <c r="D55" s="88"/>
      <c r="F55" t="s">
        <v>157</v>
      </c>
      <c r="G55" t="s">
        <v>206</v>
      </c>
      <c r="H55" s="365">
        <v>2</v>
      </c>
      <c r="J55" s="330">
        <f>INDEX('Volume adjustments'!$J$481:$Y$521, J$36 + 1 + $H55*$H$59, J$37)</f>
        <v>4172962.6408672445</v>
      </c>
      <c r="K55" s="330">
        <f>INDEX('Volume adjustments'!$J$481:$Y$521, K$36 + 1 + $H55*$H$59, K$37)</f>
        <v>4114.2867134426042</v>
      </c>
      <c r="L55" s="330">
        <f>INDEX('Volume adjustments'!$J$481:$Y$521, L$36 + 1 + $H55*$H$59, L$37)</f>
        <v>0.76270252774869396</v>
      </c>
      <c r="M55" s="330">
        <f>INDEX('Volume adjustments'!$J$481:$Y$521, M$36 + 1 + $H55*$H$59, M$37)</f>
        <v>44394.681213202712</v>
      </c>
      <c r="N55" s="330">
        <f>INDEX('Volume adjustments'!$J$481:$Y$521, N$36 + 1 + $H55*$H$59, N$37)</f>
        <v>195029.54075707641</v>
      </c>
      <c r="O55" s="330">
        <f>INDEX('Volume adjustments'!$J$481:$Y$521, O$36 + 1 + $H55*$H$59, O$37)</f>
        <v>249004.20826689879</v>
      </c>
      <c r="P55" s="330">
        <f>INDEX('Volume adjustments'!$J$481:$Y$521, P$36 + 1 + $H55*$H$59, P$37)</f>
        <v>743529.07008131593</v>
      </c>
      <c r="Q55" s="330">
        <f>INDEX('Volume adjustments'!$J$481:$Y$521, Q$36 + 1 + $H55*$H$59, Q$37)</f>
        <v>14603.793923010659</v>
      </c>
      <c r="R55" s="330">
        <f>INDEX('Volume adjustments'!$J$481:$Y$521, R$36 + 1 + $H55*$H$59, R$37)</f>
        <v>29.447702238505478</v>
      </c>
      <c r="S55" s="330">
        <f>INDEX('Volume adjustments'!$J$481:$Y$521, S$36 + 1 + $H55*$H$59, S$37)</f>
        <v>158393.92016057888</v>
      </c>
      <c r="T55" s="330">
        <f>INDEX('Volume adjustments'!$J$481:$Y$521, T$36 + 1 + $H55*$H$59, T$37)</f>
        <v>363042.02105732524</v>
      </c>
      <c r="U55" s="330">
        <f>INDEX('Volume adjustments'!$J$481:$Y$521, U$36 + 1 + $H55*$H$59, U$37)</f>
        <v>209773.65097295141</v>
      </c>
      <c r="V55" s="330">
        <f>INDEX('Volume adjustments'!$J$481:$Y$521, V$36 + 1 + $H55*$H$59, V$37)</f>
        <v>463094.47958554531</v>
      </c>
      <c r="W55" s="330">
        <f>INDEX('Volume adjustments'!$J$481:$Y$521, W$36 + 1 + $H55*$H$59, W$37)</f>
        <v>97.54346399950731</v>
      </c>
      <c r="X55" s="330">
        <f>INDEX('Volume adjustments'!$J$481:$Y$521, X$36 + 1 + $H55*$H$59, X$37)</f>
        <v>83907.721451929261</v>
      </c>
      <c r="Y55" s="330">
        <f>INDEX('Volume adjustments'!$J$481:$Y$521, Y$36 + 1 + $H55*$H$59, Y$37)</f>
        <v>192318.16945588088</v>
      </c>
      <c r="Z55" s="330">
        <f>INDEX('Volume adjustments'!$J$481:$Y$521, Z$36 + 1 + $H55*$H$59, Z$37)</f>
        <v>111125.66098464007</v>
      </c>
      <c r="AA55" s="330">
        <f>INDEX('Volume adjustments'!$J$481:$Y$521, AA$36 + 1 + $H55*$H$59, AA$37)</f>
        <v>245320.03854438892</v>
      </c>
      <c r="AB55" s="330">
        <f>INDEX('Volume adjustments'!$J$481:$Y$521, AB$36 + 1 + $H55*$H$59, AB$37)</f>
        <v>275.57084393681538</v>
      </c>
      <c r="AC55" s="330">
        <f>INDEX('Volume adjustments'!$J$481:$Y$521, AC$36 + 1 + $H55*$H$59, AC$37)</f>
        <v>243384.20768101569</v>
      </c>
      <c r="AD55" s="330">
        <f>INDEX('Volume adjustments'!$J$481:$Y$521, AD$36 + 1 + $H55*$H$59, AD$37)</f>
        <v>643540.95958436897</v>
      </c>
      <c r="AE55" s="330">
        <f>INDEX('Volume adjustments'!$J$481:$Y$521, AE$36 + 1 + $H55*$H$59, AE$37)</f>
        <v>553345.76568233559</v>
      </c>
      <c r="AF55" s="330">
        <f>INDEX('Volume adjustments'!$J$481:$Y$521, AF$36 + 1 + $H55*$H$59, AF$37)</f>
        <v>1050130.6463461071</v>
      </c>
      <c r="AG55" s="330">
        <f>INDEX('Volume adjustments'!$J$481:$Y$521, AG$36 + 1 + $H55*$H$59, AG$37)</f>
        <v>155184.40570578561</v>
      </c>
      <c r="AH55" s="330">
        <f>INDEX('Volume adjustments'!$J$481:$Y$521, AH$36 + 1 + $H55*$H$59, AH$37)</f>
        <v>1012.2920957316472</v>
      </c>
      <c r="AI55" s="330">
        <f>INDEX('Volume adjustments'!$J$481:$Y$521, AI$36 + 1 + $H55*$H$59, AI$37)</f>
        <v>0</v>
      </c>
      <c r="AJ55" s="330">
        <f>INDEX('Volume adjustments'!$J$481:$Y$521, AJ$36 + 1 + $H55*$H$59, AJ$37)</f>
        <v>17495.919646473743</v>
      </c>
      <c r="AK55" s="330">
        <f>INDEX('Volume adjustments'!$J$481:$Y$521, AK$36 + 1 + $H55*$H$59, AK$37)</f>
        <v>0</v>
      </c>
      <c r="AL55" s="330">
        <f>INDEX('Volume adjustments'!$J$481:$Y$521, AL$36 + 1 + $H55*$H$59, AL$37)</f>
        <v>2113.8817344775266</v>
      </c>
      <c r="AM55" s="330">
        <f>INDEX('Volume adjustments'!$J$481:$Y$521, AM$36 + 1 + $H55*$H$59, AM$37)</f>
        <v>0</v>
      </c>
      <c r="AN55" s="330">
        <f>INDEX('Volume adjustments'!$J$481:$Y$521, AN$36 + 1 + $H55*$H$59, AN$37)</f>
        <v>476929.11411067331</v>
      </c>
      <c r="AO55" s="330">
        <f>INDEX('Volume adjustments'!$J$481:$Y$521, AO$36 + 1 + $H55*$H$59, AO$37)</f>
        <v>0</v>
      </c>
    </row>
    <row r="56" spans="4:41" x14ac:dyDescent="0.3">
      <c r="D56" s="88"/>
      <c r="F56" t="s">
        <v>211</v>
      </c>
      <c r="G56" t="s">
        <v>211</v>
      </c>
      <c r="H56" s="365">
        <v>3</v>
      </c>
      <c r="J56" s="330">
        <f>INDEX('Volume adjustments'!$J$481:$Y$521, J$36 + 1 + $H56*$H$59, J$37)</f>
        <v>2271054.3909128611</v>
      </c>
      <c r="K56" s="330">
        <f>INDEX('Volume adjustments'!$J$481:$Y$521, K$36 + 1 + $H56*$H$59, K$37)</f>
        <v>1739.8559938586122</v>
      </c>
      <c r="L56" s="330">
        <f>INDEX('Volume adjustments'!$J$481:$Y$521, L$36 + 1 + $H56*$H$59, L$37)</f>
        <v>1</v>
      </c>
      <c r="M56" s="330">
        <f>INDEX('Volume adjustments'!$J$481:$Y$521, M$36 + 1 + $H56*$H$59, M$37)</f>
        <v>58331.051875219389</v>
      </c>
      <c r="N56" s="330">
        <f>INDEX('Volume adjustments'!$J$481:$Y$521, N$36 + 1 + $H56*$H$59, N$37)</f>
        <v>51940.054428782634</v>
      </c>
      <c r="O56" s="330">
        <f>INDEX('Volume adjustments'!$J$481:$Y$521, O$36 + 1 + $H56*$H$59, O$37)</f>
        <v>26765.733852839774</v>
      </c>
      <c r="P56" s="330">
        <f>INDEX('Volume adjustments'!$J$481:$Y$521, P$36 + 1 + $H56*$H$59, P$37)</f>
        <v>25664.311127024586</v>
      </c>
      <c r="Q56" s="330">
        <f>INDEX('Volume adjustments'!$J$481:$Y$521, Q$36 + 1 + $H56*$H$59, Q$37)</f>
        <v>2930.0356035322934</v>
      </c>
      <c r="R56" s="330">
        <f>INDEX('Volume adjustments'!$J$481:$Y$521, R$36 + 1 + $H56*$H$59, R$37)</f>
        <v>1</v>
      </c>
      <c r="S56" s="330">
        <f>INDEX('Volume adjustments'!$J$481:$Y$521, S$36 + 1 + $H56*$H$59, S$37)</f>
        <v>5332.9394649519545</v>
      </c>
      <c r="T56" s="330">
        <f>INDEX('Volume adjustments'!$J$481:$Y$521, T$36 + 1 + $H56*$H$59, T$37)</f>
        <v>4901.8617602311642</v>
      </c>
      <c r="U56" s="330">
        <f>INDEX('Volume adjustments'!$J$481:$Y$521, U$36 + 1 + $H56*$H$59, U$37)</f>
        <v>1736.5466489298194</v>
      </c>
      <c r="V56" s="330">
        <f>INDEX('Volume adjustments'!$J$481:$Y$521, V$36 + 1 + $H56*$H$59, V$37)</f>
        <v>1825.9623300400269</v>
      </c>
      <c r="W56" s="330">
        <f>INDEX('Volume adjustments'!$J$481:$Y$521, W$36 + 1 + $H56*$H$59, W$37)</f>
        <v>1</v>
      </c>
      <c r="X56" s="330">
        <f>INDEX('Volume adjustments'!$J$481:$Y$521, X$36 + 1 + $H56*$H$59, X$37)</f>
        <v>857.75488438728496</v>
      </c>
      <c r="Y56" s="330">
        <f>INDEX('Volume adjustments'!$J$481:$Y$521, Y$36 + 1 + $H56*$H$59, Y$37)</f>
        <v>788.41995020984461</v>
      </c>
      <c r="Z56" s="330">
        <f>INDEX('Volume adjustments'!$J$481:$Y$521, Z$36 + 1 + $H56*$H$59, Z$37)</f>
        <v>279.30775885890233</v>
      </c>
      <c r="AA56" s="330">
        <f>INDEX('Volume adjustments'!$J$481:$Y$521, AA$36 + 1 + $H56*$H$59, AA$37)</f>
        <v>293.68945917955045</v>
      </c>
      <c r="AB56" s="330">
        <f>INDEX('Volume adjustments'!$J$481:$Y$521, AB$36 + 1 + $H56*$H$59, AB$37)</f>
        <v>1</v>
      </c>
      <c r="AC56" s="330">
        <f>INDEX('Volume adjustments'!$J$481:$Y$521, AC$36 + 1 + $H56*$H$59, AC$37)</f>
        <v>883.84266954154384</v>
      </c>
      <c r="AD56" s="330">
        <f>INDEX('Volume adjustments'!$J$481:$Y$521, AD$36 + 1 + $H56*$H$59, AD$37)</f>
        <v>714.96197639115712</v>
      </c>
      <c r="AE56" s="330">
        <f>INDEX('Volume adjustments'!$J$481:$Y$521, AE$36 + 1 + $H56*$H$59, AE$37)</f>
        <v>293.26587433300654</v>
      </c>
      <c r="AF56" s="330">
        <f>INDEX('Volume adjustments'!$J$481:$Y$521, AF$36 + 1 + $H56*$H$59, AF$37)</f>
        <v>238.65774600892942</v>
      </c>
      <c r="AG56" s="330">
        <f>INDEX('Volume adjustments'!$J$481:$Y$521, AG$36 + 1 + $H56*$H$59, AG$37)</f>
        <v>661.01324841238045</v>
      </c>
      <c r="AH56" s="330">
        <f>INDEX('Volume adjustments'!$J$481:$Y$521, AH$36 + 1 + $H56*$H$59, AH$37)</f>
        <v>397.9095890410959</v>
      </c>
      <c r="AI56" s="330">
        <f>INDEX('Volume adjustments'!$J$481:$Y$521, AI$36 + 1 + $H56*$H$59, AI$37)</f>
        <v>0</v>
      </c>
      <c r="AJ56" s="330">
        <f>INDEX('Volume adjustments'!$J$481:$Y$521, AJ$36 + 1 + $H56*$H$59, AJ$37)</f>
        <v>258.48493150684931</v>
      </c>
      <c r="AK56" s="330">
        <f>INDEX('Volume adjustments'!$J$481:$Y$521, AK$36 + 1 + $H56*$H$59, AK$37)</f>
        <v>0</v>
      </c>
      <c r="AL56" s="330">
        <f>INDEX('Volume adjustments'!$J$481:$Y$521, AL$36 + 1 + $H56*$H$59, AL$37)</f>
        <v>42</v>
      </c>
      <c r="AM56" s="330">
        <f>INDEX('Volume adjustments'!$J$481:$Y$521, AM$36 + 1 + $H56*$H$59, AM$37)</f>
        <v>0</v>
      </c>
      <c r="AN56" s="330">
        <f>INDEX('Volume adjustments'!$J$481:$Y$521, AN$36 + 1 + $H56*$H$59, AN$37)</f>
        <v>280</v>
      </c>
      <c r="AO56" s="330">
        <f>INDEX('Volume adjustments'!$J$481:$Y$521, AO$36 + 1 + $H56*$H$59, AO$37)</f>
        <v>0</v>
      </c>
    </row>
    <row r="57" spans="4:41" x14ac:dyDescent="0.3">
      <c r="D57" s="88"/>
      <c r="F57" t="s">
        <v>735</v>
      </c>
      <c r="G57" t="s">
        <v>250</v>
      </c>
      <c r="H57" s="365">
        <v>4</v>
      </c>
      <c r="J57" s="330">
        <f>INDEX('Volume adjustments'!$J$481:$Y$521, J$36 + 1 + $H57*$H$59, J$37)</f>
        <v>0</v>
      </c>
      <c r="K57" s="330">
        <f>INDEX('Volume adjustments'!$J$481:$Y$521, K$36 + 1 + $H57*$H$59, K$37)</f>
        <v>0</v>
      </c>
      <c r="L57" s="330">
        <f>INDEX('Volume adjustments'!$J$481:$Y$521, L$36 + 1 + $H57*$H$59, L$37)</f>
        <v>0</v>
      </c>
      <c r="M57" s="330">
        <f>INDEX('Volume adjustments'!$J$481:$Y$521, M$36 + 1 + $H57*$H$59, M$37)</f>
        <v>0</v>
      </c>
      <c r="N57" s="330">
        <f>INDEX('Volume adjustments'!$J$481:$Y$521, N$36 + 1 + $H57*$H$59, N$37)</f>
        <v>0</v>
      </c>
      <c r="O57" s="330">
        <f>INDEX('Volume adjustments'!$J$481:$Y$521, O$36 + 1 + $H57*$H$59, O$37)</f>
        <v>0</v>
      </c>
      <c r="P57" s="330">
        <f>INDEX('Volume adjustments'!$J$481:$Y$521, P$36 + 1 + $H57*$H$59, P$37)</f>
        <v>0</v>
      </c>
      <c r="Q57" s="330">
        <f>INDEX('Volume adjustments'!$J$481:$Y$521, Q$36 + 1 + $H57*$H$59, Q$37)</f>
        <v>0</v>
      </c>
      <c r="R57" s="330">
        <f>INDEX('Volume adjustments'!$J$481:$Y$521, R$36 + 1 + $H57*$H$59, R$37)</f>
        <v>37.850155191376949</v>
      </c>
      <c r="S57" s="330">
        <f>INDEX('Volume adjustments'!$J$481:$Y$521, S$36 + 1 + $H57*$H$59, S$37)</f>
        <v>205771.26112290189</v>
      </c>
      <c r="T57" s="330">
        <f>INDEX('Volume adjustments'!$J$481:$Y$521, T$36 + 1 + $H57*$H$59, T$37)</f>
        <v>471631.83055156923</v>
      </c>
      <c r="U57" s="330">
        <f>INDEX('Volume adjustments'!$J$481:$Y$521, U$36 + 1 + $H57*$H$59, U$37)</f>
        <v>272519.22717298009</v>
      </c>
      <c r="V57" s="330">
        <f>INDEX('Volume adjustments'!$J$481:$Y$521, V$36 + 1 + $H57*$H$59, V$37)</f>
        <v>601611.06554320757</v>
      </c>
      <c r="W57" s="330">
        <f>INDEX('Volume adjustments'!$J$481:$Y$521, W$36 + 1 + $H57*$H$59, W$37)</f>
        <v>107.18588337781929</v>
      </c>
      <c r="X57" s="330">
        <f>INDEX('Volume adjustments'!$J$481:$Y$521, X$36 + 1 + $H57*$H$59, X$37)</f>
        <v>92461.138178747322</v>
      </c>
      <c r="Y57" s="330">
        <f>INDEX('Volume adjustments'!$J$481:$Y$521, Y$36 + 1 + $H57*$H$59, Y$37)</f>
        <v>211922.77102329888</v>
      </c>
      <c r="Z57" s="330">
        <f>INDEX('Volume adjustments'!$J$481:$Y$521, Z$36 + 1 + $H57*$H$59, Z$37)</f>
        <v>122453.63022271881</v>
      </c>
      <c r="AA57" s="330">
        <f>INDEX('Volume adjustments'!$J$481:$Y$521, AA$36 + 1 + $H57*$H$59, AA$37)</f>
        <v>270327.56448836724</v>
      </c>
      <c r="AB57" s="330">
        <f>INDEX('Volume adjustments'!$J$481:$Y$521, AB$36 + 1 + $H57*$H$59, AB$37)</f>
        <v>204.67557859586987</v>
      </c>
      <c r="AC57" s="330">
        <f>INDEX('Volume adjustments'!$J$481:$Y$521, AC$36 + 1 + $H57*$H$59, AC$37)</f>
        <v>181576.73008988079</v>
      </c>
      <c r="AD57" s="330">
        <f>INDEX('Volume adjustments'!$J$481:$Y$521, AD$36 + 1 + $H57*$H$59, AD$37)</f>
        <v>480113.57940439001</v>
      </c>
      <c r="AE57" s="330">
        <f>INDEX('Volume adjustments'!$J$481:$Y$521, AE$36 + 1 + $H57*$H$59, AE$37)</f>
        <v>412823.47650659439</v>
      </c>
      <c r="AF57" s="330">
        <f>INDEX('Volume adjustments'!$J$481:$Y$521, AF$36 + 1 + $H57*$H$59, AF$37)</f>
        <v>783449.71823565208</v>
      </c>
      <c r="AG57" s="330">
        <f>INDEX('Volume adjustments'!$J$481:$Y$521, AG$36 + 1 + $H57*$H$59, AG$37)</f>
        <v>0</v>
      </c>
      <c r="AH57" s="330">
        <f>INDEX('Volume adjustments'!$J$481:$Y$521, AH$36 + 1 + $H57*$H$59, AH$37)</f>
        <v>0</v>
      </c>
      <c r="AI57" s="330">
        <f>INDEX('Volume adjustments'!$J$481:$Y$521, AI$36 + 1 + $H57*$H$59, AI$37)</f>
        <v>0</v>
      </c>
      <c r="AJ57" s="330">
        <f>INDEX('Volume adjustments'!$J$481:$Y$521, AJ$36 + 1 + $H57*$H$59, AJ$37)</f>
        <v>0</v>
      </c>
      <c r="AK57" s="330">
        <f>INDEX('Volume adjustments'!$J$481:$Y$521, AK$36 + 1 + $H57*$H$59, AK$37)</f>
        <v>0</v>
      </c>
      <c r="AL57" s="330">
        <f>INDEX('Volume adjustments'!$J$481:$Y$521, AL$36 + 1 + $H57*$H$59, AL$37)</f>
        <v>0</v>
      </c>
      <c r="AM57" s="330">
        <f>INDEX('Volume adjustments'!$J$481:$Y$521, AM$36 + 1 + $H57*$H$59, AM$37)</f>
        <v>0</v>
      </c>
      <c r="AN57" s="330">
        <f>INDEX('Volume adjustments'!$J$481:$Y$521, AN$36 + 1 + $H57*$H$59, AN$37)</f>
        <v>0</v>
      </c>
      <c r="AO57" s="330">
        <f>INDEX('Volume adjustments'!$J$481:$Y$521, AO$36 + 1 + $H57*$H$59, AO$37)</f>
        <v>0</v>
      </c>
    </row>
    <row r="58" spans="4:41" x14ac:dyDescent="0.3">
      <c r="D58" s="88"/>
      <c r="F58" t="s">
        <v>251</v>
      </c>
      <c r="G58" t="s">
        <v>250</v>
      </c>
      <c r="H58" s="365">
        <v>5</v>
      </c>
      <c r="J58" s="330">
        <f>INDEX('Volume adjustments'!$J$481:$Y$521, J$36 + 1 + $H58*$H$59, J$37)</f>
        <v>0</v>
      </c>
      <c r="K58" s="330">
        <f>INDEX('Volume adjustments'!$J$481:$Y$521, K$36 + 1 + $H58*$H$59, K$37)</f>
        <v>0</v>
      </c>
      <c r="L58" s="330">
        <f>INDEX('Volume adjustments'!$J$481:$Y$521, L$36 + 1 + $H58*$H$59, L$37)</f>
        <v>0</v>
      </c>
      <c r="M58" s="330">
        <f>INDEX('Volume adjustments'!$J$481:$Y$521, M$36 + 1 + $H58*$H$59, M$37)</f>
        <v>0</v>
      </c>
      <c r="N58" s="330">
        <f>INDEX('Volume adjustments'!$J$481:$Y$521, N$36 + 1 + $H58*$H$59, N$37)</f>
        <v>0</v>
      </c>
      <c r="O58" s="330">
        <f>INDEX('Volume adjustments'!$J$481:$Y$521, O$36 + 1 + $H58*$H$59, O$37)</f>
        <v>0</v>
      </c>
      <c r="P58" s="330">
        <f>INDEX('Volume adjustments'!$J$481:$Y$521, P$36 + 1 + $H58*$H$59, P$37)</f>
        <v>0</v>
      </c>
      <c r="Q58" s="330">
        <f>INDEX('Volume adjustments'!$J$481:$Y$521, Q$36 + 1 + $H58*$H$59, Q$37)</f>
        <v>0</v>
      </c>
      <c r="R58" s="330">
        <f>INDEX('Volume adjustments'!$J$481:$Y$521, R$36 + 1 + $H58*$H$59, R$37)</f>
        <v>0.80898981879554421</v>
      </c>
      <c r="S58" s="330">
        <f>INDEX('Volume adjustments'!$J$481:$Y$521, S$36 + 1 + $H58*$H$59, S$37)</f>
        <v>4238.706727806526</v>
      </c>
      <c r="T58" s="330">
        <f>INDEX('Volume adjustments'!$J$481:$Y$521, T$36 + 1 + $H58*$H$59, T$37)</f>
        <v>9715.200277713353</v>
      </c>
      <c r="U58" s="330">
        <f>INDEX('Volume adjustments'!$J$481:$Y$521, U$36 + 1 + $H58*$H$59, U$37)</f>
        <v>5613.6560342351049</v>
      </c>
      <c r="V58" s="330">
        <f>INDEX('Volume adjustments'!$J$481:$Y$521, V$36 + 1 + $H58*$H$59, V$37)</f>
        <v>12392.658027778547</v>
      </c>
      <c r="W58" s="330">
        <f>INDEX('Volume adjustments'!$J$481:$Y$521, W$36 + 1 + $H58*$H$59, W$37)</f>
        <v>0.99296401579984772</v>
      </c>
      <c r="X58" s="330">
        <f>INDEX('Volume adjustments'!$J$481:$Y$521, X$36 + 1 + $H58*$H$59, X$37)</f>
        <v>845.64808256768254</v>
      </c>
      <c r="Y58" s="330">
        <f>INDEX('Volume adjustments'!$J$481:$Y$521, Y$36 + 1 + $H58*$H$59, Y$37)</f>
        <v>1938.2422550523561</v>
      </c>
      <c r="Z58" s="330">
        <f>INDEX('Volume adjustments'!$J$481:$Y$521, Z$36 + 1 + $H58*$H$59, Z$37)</f>
        <v>1119.9589323798341</v>
      </c>
      <c r="AA58" s="330">
        <f>INDEX('Volume adjustments'!$J$481:$Y$521, AA$36 + 1 + $H58*$H$59, AA$37)</f>
        <v>2472.4115566568344</v>
      </c>
      <c r="AB58" s="330">
        <f>INDEX('Volume adjustments'!$J$481:$Y$521, AB$36 + 1 + $H58*$H$59, AB$37)</f>
        <v>1.810298734092207</v>
      </c>
      <c r="AC58" s="330">
        <f>INDEX('Volume adjustments'!$J$481:$Y$521, AC$36 + 1 + $H58*$H$59, AC$37)</f>
        <v>1592.4073899499301</v>
      </c>
      <c r="AD58" s="330">
        <f>INDEX('Volume adjustments'!$J$481:$Y$521, AD$36 + 1 + $H58*$H$59, AD$37)</f>
        <v>4210.5417994938898</v>
      </c>
      <c r="AE58" s="330">
        <f>INDEX('Volume adjustments'!$J$481:$Y$521, AE$36 + 1 + $H58*$H$59, AE$37)</f>
        <v>3620.4152063346251</v>
      </c>
      <c r="AF58" s="330">
        <f>INDEX('Volume adjustments'!$J$481:$Y$521, AF$36 + 1 + $H58*$H$59, AF$37)</f>
        <v>6870.7654353897278</v>
      </c>
      <c r="AG58" s="330">
        <f>INDEX('Volume adjustments'!$J$481:$Y$521, AG$36 + 1 + $H58*$H$59, AG$37)</f>
        <v>0</v>
      </c>
      <c r="AH58" s="330">
        <f>INDEX('Volume adjustments'!$J$481:$Y$521, AH$36 + 1 + $H58*$H$59, AH$37)</f>
        <v>0</v>
      </c>
      <c r="AI58" s="330">
        <f>INDEX('Volume adjustments'!$J$481:$Y$521, AI$36 + 1 + $H58*$H$59, AI$37)</f>
        <v>0</v>
      </c>
      <c r="AJ58" s="330">
        <f>INDEX('Volume adjustments'!$J$481:$Y$521, AJ$36 + 1 + $H58*$H$59, AJ$37)</f>
        <v>0</v>
      </c>
      <c r="AK58" s="330">
        <f>INDEX('Volume adjustments'!$J$481:$Y$521, AK$36 + 1 + $H58*$H$59, AK$37)</f>
        <v>0</v>
      </c>
      <c r="AL58" s="330">
        <f>INDEX('Volume adjustments'!$J$481:$Y$521, AL$36 + 1 + $H58*$H$59, AL$37)</f>
        <v>0</v>
      </c>
      <c r="AM58" s="330">
        <f>INDEX('Volume adjustments'!$J$481:$Y$521, AM$36 + 1 + $H58*$H$59, AM$37)</f>
        <v>0</v>
      </c>
      <c r="AN58" s="330">
        <f>INDEX('Volume adjustments'!$J$481:$Y$521, AN$36 + 1 + $H58*$H$59, AN$37)</f>
        <v>0</v>
      </c>
      <c r="AO58" s="330">
        <f>INDEX('Volume adjustments'!$J$481:$Y$521, AO$36 + 1 + $H58*$H$59, AO$37)</f>
        <v>0</v>
      </c>
    </row>
    <row r="59" spans="4:41" x14ac:dyDescent="0.3">
      <c r="D59" s="88"/>
      <c r="F59" s="37" t="s">
        <v>214</v>
      </c>
      <c r="G59" s="67" t="s">
        <v>253</v>
      </c>
      <c r="H59" s="318">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4.7489974887219137</v>
      </c>
      <c r="S59" s="195">
        <f>INDEX('Volume adjustments'!$J$481:$Y$521, S$36 + 1 + $H59*$H$59, S$37)</f>
        <v>25316.890674305672</v>
      </c>
      <c r="T59" s="195">
        <f>INDEX('Volume adjustments'!$J$481:$Y$521, T$36 + 1 + $H59*$H$59, T$37)</f>
        <v>58026.817872614047</v>
      </c>
      <c r="U59" s="195">
        <f>INDEX('Volume adjustments'!$J$481:$Y$521, U$36 + 1 + $H59*$H$59, U$37)</f>
        <v>33529.169444433785</v>
      </c>
      <c r="V59" s="195">
        <f>INDEX('Volume adjustments'!$J$481:$Y$521, V$36 + 1 + $H59*$H$59, V$37)</f>
        <v>74018.701599505148</v>
      </c>
      <c r="W59" s="195">
        <f>INDEX('Volume adjustments'!$J$481:$Y$521, W$36 + 1 + $H59*$H$59, W$37)</f>
        <v>14.167994601186939</v>
      </c>
      <c r="X59" s="195">
        <f>INDEX('Volume adjustments'!$J$481:$Y$521, X$36 + 1 + $H59*$H$59, X$37)</f>
        <v>12185.058994656049</v>
      </c>
      <c r="Y59" s="195">
        <f>INDEX('Volume adjustments'!$J$481:$Y$521, Y$36 + 1 + $H59*$H$59, Y$37)</f>
        <v>27928.39800693082</v>
      </c>
      <c r="Z59" s="195">
        <f>INDEX('Volume adjustments'!$J$481:$Y$521, Z$36 + 1 + $H59*$H$59, Z$37)</f>
        <v>16137.64158396001</v>
      </c>
      <c r="AA59" s="195">
        <f>INDEX('Volume adjustments'!$J$481:$Y$521, AA$36 + 1 + $H59*$H$59, AA$37)</f>
        <v>35625.316603874293</v>
      </c>
      <c r="AB59" s="195">
        <f>INDEX('Volume adjustments'!$J$481:$Y$521, AB$36 + 1 + $H59*$H$59, AB$37)</f>
        <v>37.447582959517128</v>
      </c>
      <c r="AC59" s="195">
        <f>INDEX('Volume adjustments'!$J$481:$Y$521, AC$36 + 1 + $H59*$H$59, AC$37)</f>
        <v>33092.351626422977</v>
      </c>
      <c r="AD59" s="195">
        <f>INDEX('Volume adjustments'!$J$481:$Y$521, AD$36 + 1 + $H59*$H$59, AD$37)</f>
        <v>87500.680194020388</v>
      </c>
      <c r="AE59" s="195">
        <f>INDEX('Volume adjustments'!$J$481:$Y$521, AE$36 + 1 + $H59*$H$59, AE$37)</f>
        <v>75237.061695274606</v>
      </c>
      <c r="AF59" s="195">
        <f>INDEX('Volume adjustments'!$J$481:$Y$521, AF$36 + 1 + $H59*$H$59, AF$37)</f>
        <v>142783.67907959732</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2939.5815003992957</v>
      </c>
      <c r="AK59" s="195">
        <f>INDEX('Volume adjustments'!$J$481:$Y$521, AK$36 + 1 + $H59*$H$59, AK$37)</f>
        <v>0</v>
      </c>
      <c r="AL59" s="195">
        <f>INDEX('Volume adjustments'!$J$481:$Y$521, AL$36 + 1 + $H59*$H$59, AL$37)</f>
        <v>658.09713031219098</v>
      </c>
      <c r="AM59" s="195">
        <f>INDEX('Volume adjustments'!$J$481:$Y$521, AM$36 + 1 + $H59*$H$59, AM$37)</f>
        <v>0</v>
      </c>
      <c r="AN59" s="195">
        <f>INDEX('Volume adjustments'!$J$481:$Y$521, AN$36 + 1 + $H59*$H$59, AN$37)</f>
        <v>12290.739308282646</v>
      </c>
      <c r="AO59" s="195">
        <f>INDEX('Volume adjustments'!$J$481:$Y$521, AO$36 + 1 + $H59*$H$59, AO$37)</f>
        <v>0</v>
      </c>
    </row>
    <row r="60" spans="4:41" x14ac:dyDescent="0.3">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3">
      <c r="D61" s="88"/>
      <c r="E61" t="s">
        <v>736</v>
      </c>
      <c r="G61" t="s">
        <v>276</v>
      </c>
      <c r="H61" s="120">
        <f>'General inputs'!$H$87</f>
        <v>533178915.77627659</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3">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3">
      <c r="D63" s="88"/>
      <c r="E63" s="32" t="s">
        <v>874</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3">
      <c r="D64" s="88"/>
      <c r="F64" s="23" t="s">
        <v>872</v>
      </c>
      <c r="G64" s="23" t="s">
        <v>276</v>
      </c>
      <c r="H64" s="124">
        <f>'General inputs'!$H$53</f>
        <v>79919237.915568694</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3">
      <c r="C65" s="88"/>
      <c r="F65" s="37" t="s">
        <v>873</v>
      </c>
      <c r="G65" s="37" t="s">
        <v>276</v>
      </c>
      <c r="H65" s="125">
        <f>'General inputs'!$H$54</f>
        <v>355501.80032860168</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3">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3">
      <c r="C67" s="88"/>
      <c r="E67" t="s">
        <v>887</v>
      </c>
      <c r="G67" t="s">
        <v>276</v>
      </c>
      <c r="H67" s="98">
        <f>H61 - H64 - H65</f>
        <v>452904176.06037927</v>
      </c>
      <c r="I67" t="s">
        <v>153</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897</v>
      </c>
    </row>
    <row r="68" spans="2:43" x14ac:dyDescent="0.3">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3">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3">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3">
      <c r="B71" s="29"/>
      <c r="D71" s="29" t="s">
        <v>737</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3">
      <c r="D72" s="29" t="s">
        <v>738</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3">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3">
      <c r="D74"/>
      <c r="E74" s="32" t="s">
        <v>739</v>
      </c>
      <c r="F74" s="32"/>
      <c r="H74" s="128" t="s">
        <v>544</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3">
      <c r="D75" s="88"/>
      <c r="F75" s="23" t="s">
        <v>155</v>
      </c>
      <c r="G75" s="23" t="s">
        <v>276</v>
      </c>
      <c r="H75" s="158">
        <f t="shared" ref="H75:H82" si="8">SUM(J75:AO75)</f>
        <v>139132906.73411739</v>
      </c>
      <c r="I75" s="129"/>
      <c r="J75" s="314">
        <f t="shared" ref="J75:AO75" si="9">J53 * thousand * J40 / hundred</f>
        <v>75304655.860530213</v>
      </c>
      <c r="K75" s="314">
        <f t="shared" si="9"/>
        <v>1532.535610337866</v>
      </c>
      <c r="L75" s="314">
        <f t="shared" si="9"/>
        <v>16.032323057758546</v>
      </c>
      <c r="M75" s="314">
        <f t="shared" si="9"/>
        <v>933194.5881406432</v>
      </c>
      <c r="N75" s="314">
        <f t="shared" si="9"/>
        <v>4099601.7312977766</v>
      </c>
      <c r="O75" s="314">
        <f t="shared" si="9"/>
        <v>5234171.5995881576</v>
      </c>
      <c r="P75" s="314">
        <f t="shared" si="9"/>
        <v>15629289.035614926</v>
      </c>
      <c r="Q75" s="314">
        <f t="shared" si="9"/>
        <v>2982.7338358208299</v>
      </c>
      <c r="R75" s="314">
        <f t="shared" si="9"/>
        <v>442.8607493256813</v>
      </c>
      <c r="S75" s="314">
        <f t="shared" si="9"/>
        <v>2378752.7591034328</v>
      </c>
      <c r="T75" s="314">
        <f t="shared" si="9"/>
        <v>5452148.7212709878</v>
      </c>
      <c r="U75" s="314">
        <f t="shared" si="9"/>
        <v>3150371.2423635046</v>
      </c>
      <c r="V75" s="314">
        <f t="shared" si="9"/>
        <v>6954732.0372076211</v>
      </c>
      <c r="W75" s="314">
        <f t="shared" si="9"/>
        <v>1095.6750149622576</v>
      </c>
      <c r="X75" s="314">
        <f t="shared" si="9"/>
        <v>940807.02152396133</v>
      </c>
      <c r="Y75" s="314">
        <f t="shared" si="9"/>
        <v>2156348.4392122966</v>
      </c>
      <c r="Z75" s="314">
        <f t="shared" si="9"/>
        <v>1245985.4744802737</v>
      </c>
      <c r="AA75" s="314">
        <f t="shared" si="9"/>
        <v>2750626.6501982729</v>
      </c>
      <c r="AB75" s="314">
        <f t="shared" si="9"/>
        <v>1908.8348635292259</v>
      </c>
      <c r="AC75" s="314">
        <f t="shared" si="9"/>
        <v>1684932.7210712335</v>
      </c>
      <c r="AD75" s="314">
        <f t="shared" si="9"/>
        <v>4455191.363830884</v>
      </c>
      <c r="AE75" s="314">
        <f t="shared" si="9"/>
        <v>3830776.0209583533</v>
      </c>
      <c r="AF75" s="314">
        <f t="shared" si="9"/>
        <v>7269984.7877856167</v>
      </c>
      <c r="AG75" s="314">
        <f t="shared" si="9"/>
        <v>1447940.1046395474</v>
      </c>
      <c r="AH75" s="314">
        <f t="shared" si="9"/>
        <v>-10617.64457934649</v>
      </c>
      <c r="AI75" s="314">
        <f t="shared" si="9"/>
        <v>0</v>
      </c>
      <c r="AJ75" s="314">
        <f t="shared" si="9"/>
        <v>-183509.73713846822</v>
      </c>
      <c r="AK75" s="314">
        <f t="shared" si="9"/>
        <v>0</v>
      </c>
      <c r="AL75" s="314">
        <f t="shared" si="9"/>
        <v>-19527.60986469339</v>
      </c>
      <c r="AM75" s="314">
        <f t="shared" si="9"/>
        <v>0</v>
      </c>
      <c r="AN75" s="314">
        <f t="shared" si="9"/>
        <v>-5580927.1055147862</v>
      </c>
      <c r="AO75" s="314">
        <f t="shared" si="9"/>
        <v>0</v>
      </c>
    </row>
    <row r="76" spans="2:43" x14ac:dyDescent="0.3">
      <c r="D76" s="88"/>
      <c r="F76" t="s">
        <v>156</v>
      </c>
      <c r="G76" t="s">
        <v>276</v>
      </c>
      <c r="H76" s="89">
        <f t="shared" si="8"/>
        <v>72278796.223082617</v>
      </c>
      <c r="I76" s="63"/>
      <c r="J76" s="215">
        <f t="shared" ref="J76" si="10">J54 * thousand * J41 / hundred</f>
        <v>34454042.802925102</v>
      </c>
      <c r="K76" s="215">
        <f t="shared" ref="K76:AO76" si="11">K54 * thousand * K41 / hundred</f>
        <v>6704.9982061986075</v>
      </c>
      <c r="L76" s="215">
        <f t="shared" si="11"/>
        <v>10.457819573813476</v>
      </c>
      <c r="M76" s="215">
        <f t="shared" si="11"/>
        <v>608719.06054258614</v>
      </c>
      <c r="N76" s="215">
        <f t="shared" si="11"/>
        <v>2674153.6504691346</v>
      </c>
      <c r="O76" s="215">
        <f t="shared" si="11"/>
        <v>3414228.9928708845</v>
      </c>
      <c r="P76" s="215">
        <f t="shared" si="11"/>
        <v>10194922.109079156</v>
      </c>
      <c r="Q76" s="215">
        <f t="shared" si="11"/>
        <v>16166.18440254192</v>
      </c>
      <c r="R76" s="215">
        <f t="shared" si="11"/>
        <v>266.20162680831839</v>
      </c>
      <c r="S76" s="215">
        <f t="shared" si="11"/>
        <v>1427817.9525326802</v>
      </c>
      <c r="T76" s="215">
        <f t="shared" si="11"/>
        <v>3272587.1969321035</v>
      </c>
      <c r="U76" s="215">
        <f t="shared" si="11"/>
        <v>1890972.7376142612</v>
      </c>
      <c r="V76" s="215">
        <f t="shared" si="11"/>
        <v>4174494.8985458822</v>
      </c>
      <c r="W76" s="215">
        <f t="shared" si="11"/>
        <v>610.17829250839134</v>
      </c>
      <c r="X76" s="215">
        <f t="shared" si="11"/>
        <v>523524.33974484995</v>
      </c>
      <c r="Y76" s="215">
        <f t="shared" si="11"/>
        <v>1199928.2180843111</v>
      </c>
      <c r="Z76" s="215">
        <f t="shared" si="11"/>
        <v>693344.87087726861</v>
      </c>
      <c r="AA76" s="215">
        <f t="shared" si="11"/>
        <v>1530622.0808142247</v>
      </c>
      <c r="AB76" s="215">
        <f t="shared" si="11"/>
        <v>816.69181987930108</v>
      </c>
      <c r="AC76" s="215">
        <f t="shared" si="11"/>
        <v>720731.30424916511</v>
      </c>
      <c r="AD76" s="215">
        <f t="shared" si="11"/>
        <v>1905711.6300121394</v>
      </c>
      <c r="AE76" s="215">
        <f t="shared" si="11"/>
        <v>1638617.4731750705</v>
      </c>
      <c r="AF76" s="215">
        <f t="shared" si="11"/>
        <v>3109741.7436590935</v>
      </c>
      <c r="AG76" s="215">
        <f t="shared" si="11"/>
        <v>965230.07262879447</v>
      </c>
      <c r="AH76" s="215">
        <f t="shared" si="11"/>
        <v>-7132.0578257401994</v>
      </c>
      <c r="AI76" s="215">
        <f t="shared" si="11"/>
        <v>0</v>
      </c>
      <c r="AJ76" s="215">
        <f t="shared" si="11"/>
        <v>-123266.70450090499</v>
      </c>
      <c r="AK76" s="215">
        <f t="shared" si="11"/>
        <v>0</v>
      </c>
      <c r="AL76" s="215">
        <f t="shared" si="11"/>
        <v>-14333.722482147919</v>
      </c>
      <c r="AM76" s="215">
        <f t="shared" si="11"/>
        <v>0</v>
      </c>
      <c r="AN76" s="215">
        <f t="shared" si="11"/>
        <v>-2000437.1390328</v>
      </c>
      <c r="AO76" s="215">
        <f t="shared" si="11"/>
        <v>0</v>
      </c>
    </row>
    <row r="77" spans="2:43" x14ac:dyDescent="0.3">
      <c r="D77" s="88"/>
      <c r="F77" t="s">
        <v>157</v>
      </c>
      <c r="G77" t="s">
        <v>276</v>
      </c>
      <c r="H77" s="89">
        <f t="shared" si="8"/>
        <v>19919269.724625438</v>
      </c>
      <c r="I77" s="63"/>
      <c r="J77" s="215">
        <f t="shared" ref="J77" si="12">J55 * thousand * J42 / hundred</f>
        <v>8920500.6667575184</v>
      </c>
      <c r="K77" s="215">
        <f t="shared" ref="K77:AO77" si="13">K55 * thousand * K42 / hundred</f>
        <v>8795.0697212254163</v>
      </c>
      <c r="L77" s="215">
        <f t="shared" si="13"/>
        <v>1.8803440686408124</v>
      </c>
      <c r="M77" s="215">
        <f t="shared" si="13"/>
        <v>109449.32324382004</v>
      </c>
      <c r="N77" s="215">
        <f t="shared" si="13"/>
        <v>480820.01413419098</v>
      </c>
      <c r="O77" s="215">
        <f t="shared" si="13"/>
        <v>613887.54992501915</v>
      </c>
      <c r="P77" s="215">
        <f t="shared" si="13"/>
        <v>1833074.3978471302</v>
      </c>
      <c r="Q77" s="215">
        <f t="shared" si="13"/>
        <v>36003.758062584784</v>
      </c>
      <c r="R77" s="215">
        <f t="shared" si="13"/>
        <v>50.113207318633393</v>
      </c>
      <c r="S77" s="215">
        <f t="shared" si="13"/>
        <v>269549.97353372461</v>
      </c>
      <c r="T77" s="215">
        <f t="shared" si="13"/>
        <v>617813.91020832141</v>
      </c>
      <c r="U77" s="215">
        <f t="shared" si="13"/>
        <v>356986.44247523742</v>
      </c>
      <c r="V77" s="215">
        <f t="shared" si="13"/>
        <v>788080.15225173219</v>
      </c>
      <c r="W77" s="215">
        <f t="shared" si="13"/>
        <v>125.78033881527641</v>
      </c>
      <c r="X77" s="215">
        <f t="shared" si="13"/>
        <v>108197.32251352901</v>
      </c>
      <c r="Y77" s="215">
        <f t="shared" si="13"/>
        <v>247990.41906710039</v>
      </c>
      <c r="Z77" s="215">
        <f t="shared" si="13"/>
        <v>143294.30918908282</v>
      </c>
      <c r="AA77" s="215">
        <f t="shared" si="13"/>
        <v>316335.26533818571</v>
      </c>
      <c r="AB77" s="215">
        <f t="shared" si="13"/>
        <v>218.33893698927693</v>
      </c>
      <c r="AC77" s="215">
        <f t="shared" si="13"/>
        <v>192836.97950729035</v>
      </c>
      <c r="AD77" s="215">
        <f t="shared" si="13"/>
        <v>509887.21091599716</v>
      </c>
      <c r="AE77" s="215">
        <f t="shared" si="13"/>
        <v>438424.19807771943</v>
      </c>
      <c r="AF77" s="215">
        <f t="shared" si="13"/>
        <v>832034.35366204078</v>
      </c>
      <c r="AG77" s="215">
        <f t="shared" si="13"/>
        <v>3564795.8239395143</v>
      </c>
      <c r="AH77" s="215">
        <f t="shared" si="13"/>
        <v>-1689.224800974677</v>
      </c>
      <c r="AI77" s="215">
        <f t="shared" si="13"/>
        <v>0</v>
      </c>
      <c r="AJ77" s="215">
        <f t="shared" si="13"/>
        <v>-29195.665467804152</v>
      </c>
      <c r="AK77" s="215">
        <f t="shared" si="13"/>
        <v>0</v>
      </c>
      <c r="AL77" s="215">
        <f t="shared" si="13"/>
        <v>-2807.6012502081248</v>
      </c>
      <c r="AM77" s="215">
        <f t="shared" si="13"/>
        <v>0</v>
      </c>
      <c r="AN77" s="215">
        <f t="shared" si="13"/>
        <v>-436191.03705373144</v>
      </c>
      <c r="AO77" s="215">
        <f t="shared" si="13"/>
        <v>0</v>
      </c>
    </row>
    <row r="78" spans="2:43" x14ac:dyDescent="0.3">
      <c r="D78" s="88"/>
      <c r="F78" t="s">
        <v>158</v>
      </c>
      <c r="G78" t="s">
        <v>276</v>
      </c>
      <c r="H78" s="89">
        <f t="shared" si="8"/>
        <v>40465092.267678119</v>
      </c>
      <c r="I78" s="63"/>
      <c r="J78" s="314">
        <f t="shared" ref="J78" si="14">J56 * J43 * days_in_year / hundred</f>
        <v>35601189.560993098</v>
      </c>
      <c r="K78" s="314">
        <f t="shared" ref="K78:AO78" si="15">K56 * K43 * days_in_year / hundred</f>
        <v>0</v>
      </c>
      <c r="L78" s="314">
        <f t="shared" si="15"/>
        <v>15.676062054455258</v>
      </c>
      <c r="M78" s="314">
        <f t="shared" si="15"/>
        <v>914401.18889758782</v>
      </c>
      <c r="N78" s="314">
        <f t="shared" si="15"/>
        <v>814215.51633738028</v>
      </c>
      <c r="O78" s="314">
        <f t="shared" si="15"/>
        <v>419581.30481015012</v>
      </c>
      <c r="P78" s="314">
        <f t="shared" si="15"/>
        <v>402315.33381208399</v>
      </c>
      <c r="Q78" s="314">
        <f t="shared" si="15"/>
        <v>0</v>
      </c>
      <c r="R78" s="314">
        <f t="shared" si="15"/>
        <v>63.857896389570413</v>
      </c>
      <c r="S78" s="314">
        <f t="shared" si="15"/>
        <v>340550.29580475303</v>
      </c>
      <c r="T78" s="314">
        <f t="shared" si="15"/>
        <v>313022.58040083892</v>
      </c>
      <c r="U78" s="314">
        <f t="shared" si="15"/>
        <v>110892.21598301613</v>
      </c>
      <c r="V78" s="314">
        <f t="shared" si="15"/>
        <v>116602.11328295461</v>
      </c>
      <c r="W78" s="314">
        <f t="shared" si="15"/>
        <v>206.10724656174622</v>
      </c>
      <c r="X78" s="314">
        <f t="shared" si="15"/>
        <v>176789.49744595226</v>
      </c>
      <c r="Y78" s="314">
        <f t="shared" si="15"/>
        <v>162499.06507210011</v>
      </c>
      <c r="Z78" s="314">
        <f t="shared" si="15"/>
        <v>57567.35312174054</v>
      </c>
      <c r="AA78" s="314">
        <f t="shared" si="15"/>
        <v>60531.525775705508</v>
      </c>
      <c r="AB78" s="314">
        <f t="shared" si="15"/>
        <v>453.20235432630375</v>
      </c>
      <c r="AC78" s="314">
        <f t="shared" si="15"/>
        <v>400559.57869027293</v>
      </c>
      <c r="AD78" s="314">
        <f t="shared" si="15"/>
        <v>324022.45095425961</v>
      </c>
      <c r="AE78" s="314">
        <f t="shared" si="15"/>
        <v>132908.78469128051</v>
      </c>
      <c r="AF78" s="314">
        <f t="shared" si="15"/>
        <v>108160.25236945582</v>
      </c>
      <c r="AG78" s="314">
        <f t="shared" si="15"/>
        <v>0</v>
      </c>
      <c r="AH78" s="314">
        <f t="shared" si="15"/>
        <v>0</v>
      </c>
      <c r="AI78" s="314">
        <f t="shared" si="15"/>
        <v>0</v>
      </c>
      <c r="AJ78" s="314">
        <f t="shared" si="15"/>
        <v>0</v>
      </c>
      <c r="AK78" s="314">
        <f t="shared" si="15"/>
        <v>0</v>
      </c>
      <c r="AL78" s="314">
        <f t="shared" si="15"/>
        <v>0</v>
      </c>
      <c r="AM78" s="314">
        <f t="shared" si="15"/>
        <v>0</v>
      </c>
      <c r="AN78" s="314">
        <f t="shared" si="15"/>
        <v>8544.8056761443622</v>
      </c>
      <c r="AO78" s="314">
        <f t="shared" si="15"/>
        <v>0</v>
      </c>
    </row>
    <row r="79" spans="2:43" x14ac:dyDescent="0.3">
      <c r="D79" s="88"/>
      <c r="F79" t="s">
        <v>735</v>
      </c>
      <c r="G79" t="s">
        <v>276</v>
      </c>
      <c r="H79" s="89">
        <f t="shared" si="8"/>
        <v>47338251.076888993</v>
      </c>
      <c r="I79" s="63"/>
      <c r="J79" s="387">
        <f t="shared" ref="J79" si="16">J57 * J44 * days_in_year / hundred</f>
        <v>0</v>
      </c>
      <c r="K79" s="387">
        <f t="shared" ref="K79:AO79" si="17">K57 * K44 * days_in_year / hundred</f>
        <v>0</v>
      </c>
      <c r="L79" s="387">
        <f t="shared" si="17"/>
        <v>0</v>
      </c>
      <c r="M79" s="387">
        <f t="shared" si="17"/>
        <v>0</v>
      </c>
      <c r="N79" s="387">
        <f t="shared" si="17"/>
        <v>0</v>
      </c>
      <c r="O79" s="387">
        <f t="shared" si="17"/>
        <v>0</v>
      </c>
      <c r="P79" s="387">
        <f t="shared" si="17"/>
        <v>0</v>
      </c>
      <c r="Q79" s="387">
        <f t="shared" si="17"/>
        <v>0</v>
      </c>
      <c r="R79" s="387">
        <f t="shared" si="17"/>
        <v>433.67305882637532</v>
      </c>
      <c r="S79" s="387">
        <f t="shared" si="17"/>
        <v>2357650.894125259</v>
      </c>
      <c r="T79" s="387">
        <f t="shared" si="17"/>
        <v>5403782.8262796355</v>
      </c>
      <c r="U79" s="387">
        <f t="shared" si="17"/>
        <v>3122424.3662818838</v>
      </c>
      <c r="V79" s="387">
        <f t="shared" si="17"/>
        <v>6893036.7576764086</v>
      </c>
      <c r="W79" s="387">
        <f t="shared" si="17"/>
        <v>1257.2349162274702</v>
      </c>
      <c r="X79" s="387">
        <f t="shared" si="17"/>
        <v>1084521.2788208395</v>
      </c>
      <c r="Y79" s="387">
        <f t="shared" si="17"/>
        <v>2485744.3804890644</v>
      </c>
      <c r="Z79" s="387">
        <f t="shared" si="17"/>
        <v>1436317.6817990199</v>
      </c>
      <c r="AA79" s="387">
        <f t="shared" si="17"/>
        <v>3170802.3685872708</v>
      </c>
      <c r="AB79" s="387">
        <f t="shared" si="17"/>
        <v>2355.2391540277504</v>
      </c>
      <c r="AC79" s="387">
        <f t="shared" si="17"/>
        <v>2089436.4980026274</v>
      </c>
      <c r="AD79" s="387">
        <f t="shared" si="17"/>
        <v>5524754.3861905979</v>
      </c>
      <c r="AE79" s="387">
        <f t="shared" si="17"/>
        <v>4750434.9187158272</v>
      </c>
      <c r="AF79" s="387">
        <f t="shared" si="17"/>
        <v>9015298.5727914814</v>
      </c>
      <c r="AG79" s="387">
        <f t="shared" si="17"/>
        <v>0</v>
      </c>
      <c r="AH79" s="387">
        <f t="shared" si="17"/>
        <v>0</v>
      </c>
      <c r="AI79" s="387">
        <f t="shared" si="17"/>
        <v>0</v>
      </c>
      <c r="AJ79" s="387">
        <f t="shared" si="17"/>
        <v>0</v>
      </c>
      <c r="AK79" s="387">
        <f t="shared" si="17"/>
        <v>0</v>
      </c>
      <c r="AL79" s="387">
        <f t="shared" si="17"/>
        <v>0</v>
      </c>
      <c r="AM79" s="387">
        <f t="shared" si="17"/>
        <v>0</v>
      </c>
      <c r="AN79" s="387">
        <f t="shared" si="17"/>
        <v>0</v>
      </c>
      <c r="AO79" s="387">
        <f t="shared" si="17"/>
        <v>0</v>
      </c>
    </row>
    <row r="80" spans="2:43" x14ac:dyDescent="0.3">
      <c r="D80" s="88"/>
      <c r="F80" t="s">
        <v>251</v>
      </c>
      <c r="G80" t="s">
        <v>276</v>
      </c>
      <c r="H80" s="89">
        <f t="shared" si="8"/>
        <v>1023448.5782156102</v>
      </c>
      <c r="I80" s="63"/>
      <c r="J80" s="315">
        <f t="shared" ref="J80" si="18">J58 * J45 * days_in_year / hundred</f>
        <v>0</v>
      </c>
      <c r="K80" s="315">
        <f t="shared" ref="K80:AO80" si="19">K58 * K45 * days_in_year / hundred</f>
        <v>0</v>
      </c>
      <c r="L80" s="315">
        <f t="shared" si="19"/>
        <v>0</v>
      </c>
      <c r="M80" s="315">
        <f t="shared" si="19"/>
        <v>0</v>
      </c>
      <c r="N80" s="315">
        <f t="shared" si="19"/>
        <v>0</v>
      </c>
      <c r="O80" s="315">
        <f t="shared" si="19"/>
        <v>0</v>
      </c>
      <c r="P80" s="315">
        <f t="shared" si="19"/>
        <v>0</v>
      </c>
      <c r="Q80" s="315">
        <f t="shared" si="19"/>
        <v>0</v>
      </c>
      <c r="R80" s="315">
        <f t="shared" si="19"/>
        <v>14.025196970900611</v>
      </c>
      <c r="S80" s="315">
        <f t="shared" si="19"/>
        <v>73485.098796271239</v>
      </c>
      <c r="T80" s="315">
        <f t="shared" si="19"/>
        <v>168429.31065503857</v>
      </c>
      <c r="U80" s="315">
        <f t="shared" si="19"/>
        <v>97322.153848922797</v>
      </c>
      <c r="V80" s="315">
        <f t="shared" si="19"/>
        <v>214847.53676057528</v>
      </c>
      <c r="W80" s="315">
        <f t="shared" si="19"/>
        <v>19.957650900615075</v>
      </c>
      <c r="X80" s="315">
        <f t="shared" si="19"/>
        <v>16996.737996658936</v>
      </c>
      <c r="Y80" s="315">
        <f t="shared" si="19"/>
        <v>38956.862153757189</v>
      </c>
      <c r="Z80" s="315">
        <f t="shared" si="19"/>
        <v>22510.130316714061</v>
      </c>
      <c r="AA80" s="315">
        <f t="shared" si="19"/>
        <v>49693.167068754665</v>
      </c>
      <c r="AB80" s="315">
        <f t="shared" si="19"/>
        <v>37.900613725089379</v>
      </c>
      <c r="AC80" s="315">
        <f t="shared" si="19"/>
        <v>33338.816540538995</v>
      </c>
      <c r="AD80" s="315">
        <f t="shared" si="19"/>
        <v>88152.366960575018</v>
      </c>
      <c r="AE80" s="315">
        <f t="shared" si="19"/>
        <v>75797.411596013044</v>
      </c>
      <c r="AF80" s="315">
        <f t="shared" si="19"/>
        <v>143847.10206019395</v>
      </c>
      <c r="AG80" s="315">
        <f t="shared" si="19"/>
        <v>0</v>
      </c>
      <c r="AH80" s="315">
        <f t="shared" si="19"/>
        <v>0</v>
      </c>
      <c r="AI80" s="315">
        <f t="shared" si="19"/>
        <v>0</v>
      </c>
      <c r="AJ80" s="315">
        <f t="shared" si="19"/>
        <v>0</v>
      </c>
      <c r="AK80" s="315">
        <f t="shared" si="19"/>
        <v>0</v>
      </c>
      <c r="AL80" s="315">
        <f t="shared" si="19"/>
        <v>0</v>
      </c>
      <c r="AM80" s="315">
        <f t="shared" si="19"/>
        <v>0</v>
      </c>
      <c r="AN80" s="315">
        <f t="shared" si="19"/>
        <v>0</v>
      </c>
      <c r="AO80" s="315">
        <f t="shared" si="19"/>
        <v>0</v>
      </c>
    </row>
    <row r="81" spans="1:43" x14ac:dyDescent="0.3">
      <c r="D81" s="88"/>
      <c r="F81" s="37" t="s">
        <v>214</v>
      </c>
      <c r="G81" s="67" t="s">
        <v>276</v>
      </c>
      <c r="H81" s="82">
        <f t="shared" si="8"/>
        <v>641008.52919855702</v>
      </c>
      <c r="I81" s="130"/>
      <c r="J81" s="315">
        <f t="shared" ref="J81" si="20">J59 * thousand * J46 / hundred</f>
        <v>0</v>
      </c>
      <c r="K81" s="315">
        <f t="shared" ref="K81:AO81" si="21">K59 * thousand * K46 / hundred</f>
        <v>0</v>
      </c>
      <c r="L81" s="315">
        <f t="shared" si="21"/>
        <v>0</v>
      </c>
      <c r="M81" s="315">
        <f t="shared" si="21"/>
        <v>0</v>
      </c>
      <c r="N81" s="315">
        <f t="shared" si="21"/>
        <v>0</v>
      </c>
      <c r="O81" s="315">
        <f t="shared" si="21"/>
        <v>0</v>
      </c>
      <c r="P81" s="315">
        <f t="shared" si="21"/>
        <v>0</v>
      </c>
      <c r="Q81" s="315">
        <f t="shared" si="21"/>
        <v>0</v>
      </c>
      <c r="R81" s="315">
        <f t="shared" si="21"/>
        <v>7.2108624547685194</v>
      </c>
      <c r="S81" s="315">
        <f t="shared" si="21"/>
        <v>38441.085064452418</v>
      </c>
      <c r="T81" s="315">
        <f t="shared" si="21"/>
        <v>88107.732918581256</v>
      </c>
      <c r="U81" s="315">
        <f t="shared" si="21"/>
        <v>50910.582635727507</v>
      </c>
      <c r="V81" s="315">
        <f t="shared" si="21"/>
        <v>112389.75753980235</v>
      </c>
      <c r="W81" s="315">
        <f t="shared" si="21"/>
        <v>15.889318129735184</v>
      </c>
      <c r="X81" s="315">
        <f t="shared" si="21"/>
        <v>13665.468137562748</v>
      </c>
      <c r="Y81" s="315">
        <f t="shared" si="21"/>
        <v>31321.525260096383</v>
      </c>
      <c r="Z81" s="315">
        <f t="shared" si="21"/>
        <v>18098.26501272824</v>
      </c>
      <c r="AA81" s="315">
        <f t="shared" si="21"/>
        <v>39953.571759836304</v>
      </c>
      <c r="AB81" s="315">
        <f t="shared" si="21"/>
        <v>25.857351372118632</v>
      </c>
      <c r="AC81" s="315">
        <f t="shared" si="21"/>
        <v>22850.08793916439</v>
      </c>
      <c r="AD81" s="315">
        <f t="shared" si="21"/>
        <v>60418.7414584832</v>
      </c>
      <c r="AE81" s="315">
        <f t="shared" si="21"/>
        <v>51950.779909175966</v>
      </c>
      <c r="AF81" s="315">
        <f t="shared" si="21"/>
        <v>98591.35005205097</v>
      </c>
      <c r="AG81" s="315">
        <f t="shared" si="21"/>
        <v>0</v>
      </c>
      <c r="AH81" s="315">
        <f t="shared" si="21"/>
        <v>0</v>
      </c>
      <c r="AI81" s="315">
        <f t="shared" si="21"/>
        <v>0</v>
      </c>
      <c r="AJ81" s="315">
        <f t="shared" si="21"/>
        <v>3707.0856546056111</v>
      </c>
      <c r="AK81" s="315">
        <f t="shared" si="21"/>
        <v>0</v>
      </c>
      <c r="AL81" s="315">
        <f t="shared" si="21"/>
        <v>700.47721162781465</v>
      </c>
      <c r="AM81" s="315">
        <f t="shared" si="21"/>
        <v>0</v>
      </c>
      <c r="AN81" s="315">
        <f t="shared" si="21"/>
        <v>9853.0611127052798</v>
      </c>
      <c r="AO81" s="315">
        <f t="shared" si="21"/>
        <v>0</v>
      </c>
    </row>
    <row r="82" spans="1:43" x14ac:dyDescent="0.3">
      <c r="D82"/>
      <c r="E82" s="29"/>
      <c r="F82" s="108" t="s">
        <v>99</v>
      </c>
      <c r="G82" s="152" t="s">
        <v>276</v>
      </c>
      <c r="H82" s="167">
        <f t="shared" si="8"/>
        <v>320798773.13380682</v>
      </c>
      <c r="I82" s="168"/>
      <c r="J82" s="216">
        <f t="shared" ref="J82" si="22">SUM(J75:J81)</f>
        <v>154280388.89120594</v>
      </c>
      <c r="K82" s="216">
        <f t="shared" ref="K82:AO82" si="23">SUM(K75:K81)</f>
        <v>17032.60353776189</v>
      </c>
      <c r="L82" s="216">
        <f t="shared" si="23"/>
        <v>44.046548754668095</v>
      </c>
      <c r="M82" s="216">
        <f t="shared" si="23"/>
        <v>2565764.1608246374</v>
      </c>
      <c r="N82" s="216">
        <f t="shared" si="23"/>
        <v>8068790.9122384824</v>
      </c>
      <c r="O82" s="216">
        <f t="shared" si="23"/>
        <v>9681869.4471942112</v>
      </c>
      <c r="P82" s="216">
        <f t="shared" si="23"/>
        <v>28059600.876353297</v>
      </c>
      <c r="Q82" s="216">
        <f t="shared" si="23"/>
        <v>55152.676300947533</v>
      </c>
      <c r="R82" s="216">
        <f t="shared" si="23"/>
        <v>1277.9425980942481</v>
      </c>
      <c r="S82" s="216">
        <f t="shared" si="23"/>
        <v>6886248.0589605719</v>
      </c>
      <c r="T82" s="216">
        <f t="shared" si="23"/>
        <v>15315892.278665507</v>
      </c>
      <c r="U82" s="216">
        <f t="shared" si="23"/>
        <v>8779879.7412025519</v>
      </c>
      <c r="V82" s="216">
        <f t="shared" si="23"/>
        <v>19254183.253264975</v>
      </c>
      <c r="W82" s="216">
        <f t="shared" si="23"/>
        <v>3330.822778105492</v>
      </c>
      <c r="X82" s="216">
        <f t="shared" si="23"/>
        <v>2864501.6661833534</v>
      </c>
      <c r="Y82" s="216">
        <f t="shared" si="23"/>
        <v>6322788.9093387257</v>
      </c>
      <c r="Z82" s="216">
        <f t="shared" si="23"/>
        <v>3617118.0847968278</v>
      </c>
      <c r="AA82" s="216">
        <f t="shared" si="23"/>
        <v>7918564.6295422511</v>
      </c>
      <c r="AB82" s="216">
        <f t="shared" si="23"/>
        <v>5816.0650938490653</v>
      </c>
      <c r="AC82" s="216">
        <f t="shared" si="23"/>
        <v>5144685.9860002929</v>
      </c>
      <c r="AD82" s="216">
        <f t="shared" si="23"/>
        <v>12868138.150322936</v>
      </c>
      <c r="AE82" s="216">
        <f t="shared" si="23"/>
        <v>10918909.587123442</v>
      </c>
      <c r="AF82" s="216">
        <f t="shared" si="23"/>
        <v>20577658.162379932</v>
      </c>
      <c r="AG82" s="216">
        <f t="shared" si="23"/>
        <v>5977966.0012078565</v>
      </c>
      <c r="AH82" s="216">
        <f t="shared" si="23"/>
        <v>-19438.927206061366</v>
      </c>
      <c r="AI82" s="216">
        <f t="shared" si="23"/>
        <v>0</v>
      </c>
      <c r="AJ82" s="216">
        <f t="shared" si="23"/>
        <v>-332265.02145257179</v>
      </c>
      <c r="AK82" s="216">
        <f t="shared" si="23"/>
        <v>0</v>
      </c>
      <c r="AL82" s="216">
        <f t="shared" si="23"/>
        <v>-35968.45638542161</v>
      </c>
      <c r="AM82" s="216">
        <f t="shared" si="23"/>
        <v>0</v>
      </c>
      <c r="AN82" s="216">
        <f t="shared" si="23"/>
        <v>-7999157.4148124671</v>
      </c>
      <c r="AO82" s="216">
        <f t="shared" si="23"/>
        <v>0</v>
      </c>
      <c r="AP82" s="210"/>
      <c r="AQ82" s="210"/>
    </row>
    <row r="83" spans="1:43" x14ac:dyDescent="0.3">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3">
      <c r="D84" s="88"/>
      <c r="E84" t="s">
        <v>740</v>
      </c>
      <c r="G84" t="s">
        <v>276</v>
      </c>
      <c r="H84" s="98">
        <f>H67 - H82</f>
        <v>132105402.92657244</v>
      </c>
      <c r="I84" s="210" t="s">
        <v>153</v>
      </c>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210"/>
      <c r="AQ84" s="210" t="s">
        <v>1152</v>
      </c>
    </row>
    <row r="85" spans="1:43" x14ac:dyDescent="0.3">
      <c r="C85" s="88"/>
      <c r="I85" s="210"/>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210"/>
      <c r="AQ85" s="210"/>
    </row>
    <row r="86" spans="1:43" x14ac:dyDescent="0.3">
      <c r="B86" s="30" t="s">
        <v>940</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3">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3">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3">
      <c r="A89" s="312"/>
      <c r="B89" s="312"/>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3">
      <c r="A90" s="312"/>
      <c r="B90" s="312"/>
      <c r="C90" s="29"/>
      <c r="D90" s="29" t="s">
        <v>1148</v>
      </c>
      <c r="E90"/>
      <c r="I90" t="s">
        <v>153</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1146</v>
      </c>
    </row>
    <row r="91" spans="1:43" x14ac:dyDescent="0.3">
      <c r="A91" s="312"/>
      <c r="B91" s="312"/>
      <c r="C91" s="29"/>
      <c r="D91" s="29" t="s">
        <v>1122</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3">
      <c r="A92" s="312"/>
      <c r="B92" s="312"/>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3">
      <c r="A93" s="312"/>
      <c r="B93" s="312"/>
      <c r="C93" s="29"/>
      <c r="D93"/>
      <c r="E93" s="32" t="s">
        <v>1030</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3">
      <c r="A94" s="312"/>
      <c r="B94" s="312"/>
      <c r="C94" s="29"/>
      <c r="D94"/>
      <c r="E94"/>
      <c r="F94" s="23" t="s">
        <v>997</v>
      </c>
      <c r="G94" s="23" t="s">
        <v>148</v>
      </c>
      <c r="H94" s="23"/>
      <c r="I94" s="23"/>
      <c r="J94" s="349">
        <f>'Fixed inputs'!J176</f>
        <v>1</v>
      </c>
      <c r="K94" s="350"/>
      <c r="L94" s="350"/>
      <c r="M94" s="349">
        <f>'Fixed inputs'!M176</f>
        <v>1</v>
      </c>
      <c r="N94" s="349">
        <f>'Fixed inputs'!N176</f>
        <v>2</v>
      </c>
      <c r="O94" s="349">
        <f>'Fixed inputs'!O176</f>
        <v>3</v>
      </c>
      <c r="P94" s="349">
        <f>'Fixed inputs'!P176</f>
        <v>4</v>
      </c>
      <c r="Q94" s="350"/>
      <c r="R94" s="350"/>
      <c r="S94" s="349">
        <f>'Fixed inputs'!S176</f>
        <v>1</v>
      </c>
      <c r="T94" s="349">
        <f>'Fixed inputs'!T176</f>
        <v>2</v>
      </c>
      <c r="U94" s="349">
        <f>'Fixed inputs'!U176</f>
        <v>3</v>
      </c>
      <c r="V94" s="349">
        <f>'Fixed inputs'!V176</f>
        <v>4</v>
      </c>
      <c r="W94" s="350"/>
      <c r="X94" s="349">
        <f>'Fixed inputs'!X176</f>
        <v>1</v>
      </c>
      <c r="Y94" s="349">
        <f>'Fixed inputs'!Y176</f>
        <v>2</v>
      </c>
      <c r="Z94" s="349">
        <f>'Fixed inputs'!Z176</f>
        <v>3</v>
      </c>
      <c r="AA94" s="349">
        <f>'Fixed inputs'!AA176</f>
        <v>4</v>
      </c>
      <c r="AB94" s="350"/>
      <c r="AC94" s="349">
        <f>'Fixed inputs'!AC176</f>
        <v>1</v>
      </c>
      <c r="AD94" s="349">
        <f>'Fixed inputs'!AD176</f>
        <v>2</v>
      </c>
      <c r="AE94" s="349">
        <f>'Fixed inputs'!AE176</f>
        <v>3</v>
      </c>
      <c r="AF94" s="349">
        <f>'Fixed inputs'!AF176</f>
        <v>4</v>
      </c>
      <c r="AG94" s="349">
        <f>'Fixed inputs'!AG176</f>
        <v>1</v>
      </c>
      <c r="AH94" s="350"/>
      <c r="AI94" s="350"/>
      <c r="AJ94" s="350"/>
      <c r="AK94" s="350"/>
      <c r="AL94" s="350"/>
      <c r="AM94" s="350"/>
      <c r="AN94" s="350"/>
      <c r="AO94" s="350"/>
    </row>
    <row r="95" spans="1:43" x14ac:dyDescent="0.3">
      <c r="A95" s="312"/>
      <c r="B95" s="312"/>
      <c r="C95" s="29"/>
      <c r="D95"/>
      <c r="E95"/>
      <c r="F95" s="303" t="s">
        <v>998</v>
      </c>
      <c r="G95" s="303" t="s">
        <v>148</v>
      </c>
      <c r="H95" s="303"/>
      <c r="I95" s="303"/>
      <c r="J95" s="345">
        <f>'Fixed inputs'!J177</f>
        <v>1</v>
      </c>
      <c r="K95" s="346"/>
      <c r="L95" s="346"/>
      <c r="M95" s="345">
        <f>'Fixed inputs'!M177</f>
        <v>1</v>
      </c>
      <c r="N95" s="345">
        <f>'Fixed inputs'!N177</f>
        <v>1</v>
      </c>
      <c r="O95" s="345">
        <f>'Fixed inputs'!O177</f>
        <v>2</v>
      </c>
      <c r="P95" s="345">
        <f>'Fixed inputs'!P177</f>
        <v>3</v>
      </c>
      <c r="Q95" s="346"/>
      <c r="R95" s="346"/>
      <c r="S95" s="345">
        <f>'Fixed inputs'!S177</f>
        <v>1</v>
      </c>
      <c r="T95" s="345">
        <f>'Fixed inputs'!T177</f>
        <v>1</v>
      </c>
      <c r="U95" s="345">
        <f>'Fixed inputs'!U177</f>
        <v>2</v>
      </c>
      <c r="V95" s="345">
        <f>'Fixed inputs'!V177</f>
        <v>3</v>
      </c>
      <c r="W95" s="346"/>
      <c r="X95" s="345">
        <f>'Fixed inputs'!X177</f>
        <v>1</v>
      </c>
      <c r="Y95" s="345">
        <f>'Fixed inputs'!Y177</f>
        <v>1</v>
      </c>
      <c r="Z95" s="345">
        <f>'Fixed inputs'!Z177</f>
        <v>2</v>
      </c>
      <c r="AA95" s="345">
        <f>'Fixed inputs'!AA177</f>
        <v>3</v>
      </c>
      <c r="AB95" s="346"/>
      <c r="AC95" s="345">
        <f>'Fixed inputs'!AC177</f>
        <v>1</v>
      </c>
      <c r="AD95" s="345">
        <f>'Fixed inputs'!AD177</f>
        <v>1</v>
      </c>
      <c r="AE95" s="345">
        <f>'Fixed inputs'!AE177</f>
        <v>2</v>
      </c>
      <c r="AF95" s="345">
        <f>'Fixed inputs'!AF177</f>
        <v>3</v>
      </c>
      <c r="AG95" s="345">
        <f>'Fixed inputs'!AG177</f>
        <v>1</v>
      </c>
      <c r="AH95" s="346"/>
      <c r="AI95" s="346"/>
      <c r="AJ95" s="346"/>
      <c r="AK95" s="346"/>
      <c r="AL95" s="346"/>
      <c r="AM95" s="346"/>
      <c r="AN95" s="346"/>
      <c r="AO95" s="346"/>
    </row>
    <row r="96" spans="1:43" x14ac:dyDescent="0.3">
      <c r="A96" s="312"/>
      <c r="B96" s="312"/>
      <c r="C96" s="29"/>
      <c r="D96"/>
      <c r="E96"/>
      <c r="F96" s="303" t="s">
        <v>999</v>
      </c>
      <c r="G96" s="303" t="s">
        <v>148</v>
      </c>
      <c r="H96" s="303"/>
      <c r="I96" s="303"/>
      <c r="J96" s="345">
        <f>'Fixed inputs'!J178</f>
        <v>1</v>
      </c>
      <c r="K96" s="346"/>
      <c r="L96" s="346"/>
      <c r="M96" s="345">
        <f>'Fixed inputs'!M178</f>
        <v>1</v>
      </c>
      <c r="N96" s="345">
        <f>'Fixed inputs'!N178</f>
        <v>2</v>
      </c>
      <c r="O96" s="345">
        <f>'Fixed inputs'!O178</f>
        <v>2</v>
      </c>
      <c r="P96" s="345">
        <f>'Fixed inputs'!P178</f>
        <v>3</v>
      </c>
      <c r="Q96" s="346"/>
      <c r="R96" s="346"/>
      <c r="S96" s="345">
        <f>'Fixed inputs'!S178</f>
        <v>1</v>
      </c>
      <c r="T96" s="345">
        <f>'Fixed inputs'!T178</f>
        <v>2</v>
      </c>
      <c r="U96" s="345">
        <f>'Fixed inputs'!U178</f>
        <v>2</v>
      </c>
      <c r="V96" s="345">
        <f>'Fixed inputs'!V178</f>
        <v>3</v>
      </c>
      <c r="W96" s="346"/>
      <c r="X96" s="345">
        <f>'Fixed inputs'!X178</f>
        <v>1</v>
      </c>
      <c r="Y96" s="345">
        <f>'Fixed inputs'!Y178</f>
        <v>2</v>
      </c>
      <c r="Z96" s="345">
        <f>'Fixed inputs'!Z178</f>
        <v>2</v>
      </c>
      <c r="AA96" s="345">
        <f>'Fixed inputs'!AA178</f>
        <v>3</v>
      </c>
      <c r="AB96" s="346"/>
      <c r="AC96" s="345">
        <f>'Fixed inputs'!AC178</f>
        <v>1</v>
      </c>
      <c r="AD96" s="345">
        <f>'Fixed inputs'!AD178</f>
        <v>2</v>
      </c>
      <c r="AE96" s="345">
        <f>'Fixed inputs'!AE178</f>
        <v>2</v>
      </c>
      <c r="AF96" s="345">
        <f>'Fixed inputs'!AF178</f>
        <v>3</v>
      </c>
      <c r="AG96" s="345">
        <f>'Fixed inputs'!AG178</f>
        <v>1</v>
      </c>
      <c r="AH96" s="346"/>
      <c r="AI96" s="346"/>
      <c r="AJ96" s="346"/>
      <c r="AK96" s="346"/>
      <c r="AL96" s="346"/>
      <c r="AM96" s="346"/>
      <c r="AN96" s="346"/>
      <c r="AO96" s="346"/>
    </row>
    <row r="97" spans="1:41" x14ac:dyDescent="0.3">
      <c r="A97" s="312"/>
      <c r="B97" s="312"/>
      <c r="C97" s="29"/>
      <c r="D97"/>
      <c r="E97"/>
      <c r="F97" s="303" t="s">
        <v>1000</v>
      </c>
      <c r="G97" s="303" t="s">
        <v>148</v>
      </c>
      <c r="H97" s="303"/>
      <c r="I97" s="303"/>
      <c r="J97" s="345">
        <f>'Fixed inputs'!J179</f>
        <v>1</v>
      </c>
      <c r="K97" s="346"/>
      <c r="L97" s="346"/>
      <c r="M97" s="345">
        <f>'Fixed inputs'!M179</f>
        <v>1</v>
      </c>
      <c r="N97" s="345">
        <f>'Fixed inputs'!N179</f>
        <v>2</v>
      </c>
      <c r="O97" s="345">
        <f>'Fixed inputs'!O179</f>
        <v>3</v>
      </c>
      <c r="P97" s="345">
        <f>'Fixed inputs'!P179</f>
        <v>3</v>
      </c>
      <c r="Q97" s="346"/>
      <c r="R97" s="346"/>
      <c r="S97" s="345">
        <f>'Fixed inputs'!S179</f>
        <v>1</v>
      </c>
      <c r="T97" s="345">
        <f>'Fixed inputs'!T179</f>
        <v>2</v>
      </c>
      <c r="U97" s="345">
        <f>'Fixed inputs'!U179</f>
        <v>3</v>
      </c>
      <c r="V97" s="345">
        <f>'Fixed inputs'!V179</f>
        <v>3</v>
      </c>
      <c r="W97" s="346"/>
      <c r="X97" s="345">
        <f>'Fixed inputs'!X179</f>
        <v>1</v>
      </c>
      <c r="Y97" s="345">
        <f>'Fixed inputs'!Y179</f>
        <v>2</v>
      </c>
      <c r="Z97" s="345">
        <f>'Fixed inputs'!Z179</f>
        <v>3</v>
      </c>
      <c r="AA97" s="345">
        <f>'Fixed inputs'!AA179</f>
        <v>3</v>
      </c>
      <c r="AB97" s="346"/>
      <c r="AC97" s="345">
        <f>'Fixed inputs'!AC179</f>
        <v>1</v>
      </c>
      <c r="AD97" s="345">
        <f>'Fixed inputs'!AD179</f>
        <v>2</v>
      </c>
      <c r="AE97" s="345">
        <f>'Fixed inputs'!AE179</f>
        <v>3</v>
      </c>
      <c r="AF97" s="345">
        <f>'Fixed inputs'!AF179</f>
        <v>3</v>
      </c>
      <c r="AG97" s="345">
        <f>'Fixed inputs'!AG179</f>
        <v>1</v>
      </c>
      <c r="AH97" s="346"/>
      <c r="AI97" s="346"/>
      <c r="AJ97" s="346"/>
      <c r="AK97" s="346"/>
      <c r="AL97" s="346"/>
      <c r="AM97" s="346"/>
      <c r="AN97" s="346"/>
      <c r="AO97" s="346"/>
    </row>
    <row r="98" spans="1:41" x14ac:dyDescent="0.3">
      <c r="A98" s="312"/>
      <c r="B98" s="312"/>
      <c r="C98" s="29"/>
      <c r="D98"/>
      <c r="E98"/>
      <c r="F98" s="303" t="s">
        <v>1001</v>
      </c>
      <c r="G98" s="303" t="s">
        <v>148</v>
      </c>
      <c r="H98" s="303"/>
      <c r="I98" s="303"/>
      <c r="J98" s="345">
        <f>'Fixed inputs'!J180</f>
        <v>1</v>
      </c>
      <c r="K98" s="346"/>
      <c r="L98" s="346"/>
      <c r="M98" s="345">
        <f>'Fixed inputs'!M180</f>
        <v>1</v>
      </c>
      <c r="N98" s="345">
        <f>'Fixed inputs'!N180</f>
        <v>1</v>
      </c>
      <c r="O98" s="345">
        <f>'Fixed inputs'!O180</f>
        <v>2</v>
      </c>
      <c r="P98" s="345">
        <f>'Fixed inputs'!P180</f>
        <v>2</v>
      </c>
      <c r="Q98" s="346"/>
      <c r="R98" s="346"/>
      <c r="S98" s="345">
        <f>'Fixed inputs'!S180</f>
        <v>1</v>
      </c>
      <c r="T98" s="345">
        <f>'Fixed inputs'!T180</f>
        <v>1</v>
      </c>
      <c r="U98" s="345">
        <f>'Fixed inputs'!U180</f>
        <v>2</v>
      </c>
      <c r="V98" s="345">
        <f>'Fixed inputs'!V180</f>
        <v>2</v>
      </c>
      <c r="W98" s="346"/>
      <c r="X98" s="345">
        <f>'Fixed inputs'!X180</f>
        <v>1</v>
      </c>
      <c r="Y98" s="345">
        <f>'Fixed inputs'!Y180</f>
        <v>1</v>
      </c>
      <c r="Z98" s="345">
        <f>'Fixed inputs'!Z180</f>
        <v>2</v>
      </c>
      <c r="AA98" s="345">
        <f>'Fixed inputs'!AA180</f>
        <v>2</v>
      </c>
      <c r="AB98" s="346"/>
      <c r="AC98" s="345">
        <f>'Fixed inputs'!AC180</f>
        <v>1</v>
      </c>
      <c r="AD98" s="345">
        <f>'Fixed inputs'!AD180</f>
        <v>1</v>
      </c>
      <c r="AE98" s="345">
        <f>'Fixed inputs'!AE180</f>
        <v>2</v>
      </c>
      <c r="AF98" s="345">
        <f>'Fixed inputs'!AF180</f>
        <v>2</v>
      </c>
      <c r="AG98" s="345">
        <f>'Fixed inputs'!AG180</f>
        <v>1</v>
      </c>
      <c r="AH98" s="346"/>
      <c r="AI98" s="346"/>
      <c r="AJ98" s="346"/>
      <c r="AK98" s="346"/>
      <c r="AL98" s="346"/>
      <c r="AM98" s="346"/>
      <c r="AN98" s="346"/>
      <c r="AO98" s="346"/>
    </row>
    <row r="99" spans="1:41" x14ac:dyDescent="0.3">
      <c r="A99" s="312"/>
      <c r="B99" s="312"/>
      <c r="C99" s="29"/>
      <c r="D99"/>
      <c r="E99"/>
      <c r="F99" s="303" t="s">
        <v>1002</v>
      </c>
      <c r="G99" s="303" t="s">
        <v>148</v>
      </c>
      <c r="H99" s="303"/>
      <c r="I99" s="303"/>
      <c r="J99" s="345">
        <f>'Fixed inputs'!J181</f>
        <v>1</v>
      </c>
      <c r="K99" s="346"/>
      <c r="L99" s="346"/>
      <c r="M99" s="345">
        <f>'Fixed inputs'!M181</f>
        <v>1</v>
      </c>
      <c r="N99" s="345">
        <f>'Fixed inputs'!N181</f>
        <v>1</v>
      </c>
      <c r="O99" s="345">
        <f>'Fixed inputs'!O181</f>
        <v>1</v>
      </c>
      <c r="P99" s="345">
        <f>'Fixed inputs'!P181</f>
        <v>2</v>
      </c>
      <c r="Q99" s="346"/>
      <c r="R99" s="346"/>
      <c r="S99" s="345">
        <f>'Fixed inputs'!S181</f>
        <v>1</v>
      </c>
      <c r="T99" s="345">
        <f>'Fixed inputs'!T181</f>
        <v>1</v>
      </c>
      <c r="U99" s="345">
        <f>'Fixed inputs'!U181</f>
        <v>1</v>
      </c>
      <c r="V99" s="345">
        <f>'Fixed inputs'!V181</f>
        <v>2</v>
      </c>
      <c r="W99" s="346"/>
      <c r="X99" s="345">
        <f>'Fixed inputs'!X181</f>
        <v>1</v>
      </c>
      <c r="Y99" s="345">
        <f>'Fixed inputs'!Y181</f>
        <v>1</v>
      </c>
      <c r="Z99" s="345">
        <f>'Fixed inputs'!Z181</f>
        <v>1</v>
      </c>
      <c r="AA99" s="345">
        <f>'Fixed inputs'!AA181</f>
        <v>2</v>
      </c>
      <c r="AB99" s="346"/>
      <c r="AC99" s="345">
        <f>'Fixed inputs'!AC181</f>
        <v>1</v>
      </c>
      <c r="AD99" s="345">
        <f>'Fixed inputs'!AD181</f>
        <v>1</v>
      </c>
      <c r="AE99" s="345">
        <f>'Fixed inputs'!AE181</f>
        <v>1</v>
      </c>
      <c r="AF99" s="345">
        <f>'Fixed inputs'!AF181</f>
        <v>2</v>
      </c>
      <c r="AG99" s="345">
        <f>'Fixed inputs'!AG181</f>
        <v>1</v>
      </c>
      <c r="AH99" s="346"/>
      <c r="AI99" s="346"/>
      <c r="AJ99" s="346"/>
      <c r="AK99" s="346"/>
      <c r="AL99" s="346"/>
      <c r="AM99" s="346"/>
      <c r="AN99" s="346"/>
      <c r="AO99" s="346"/>
    </row>
    <row r="100" spans="1:41" x14ac:dyDescent="0.3">
      <c r="A100" s="312"/>
      <c r="B100" s="312"/>
      <c r="C100" s="29"/>
      <c r="D100"/>
      <c r="E100"/>
      <c r="F100" s="303" t="s">
        <v>1003</v>
      </c>
      <c r="G100" s="303" t="s">
        <v>148</v>
      </c>
      <c r="H100" s="303"/>
      <c r="I100" s="303"/>
      <c r="J100" s="345">
        <f>'Fixed inputs'!J182</f>
        <v>1</v>
      </c>
      <c r="K100" s="346"/>
      <c r="L100" s="346"/>
      <c r="M100" s="345">
        <f>'Fixed inputs'!M182</f>
        <v>1</v>
      </c>
      <c r="N100" s="345">
        <f>'Fixed inputs'!N182</f>
        <v>2</v>
      </c>
      <c r="O100" s="345">
        <f>'Fixed inputs'!O182</f>
        <v>2</v>
      </c>
      <c r="P100" s="345">
        <f>'Fixed inputs'!P182</f>
        <v>2</v>
      </c>
      <c r="Q100" s="346"/>
      <c r="R100" s="346"/>
      <c r="S100" s="345">
        <f>'Fixed inputs'!S182</f>
        <v>1</v>
      </c>
      <c r="T100" s="345">
        <f>'Fixed inputs'!T182</f>
        <v>2</v>
      </c>
      <c r="U100" s="345">
        <f>'Fixed inputs'!U182</f>
        <v>2</v>
      </c>
      <c r="V100" s="345">
        <f>'Fixed inputs'!V182</f>
        <v>2</v>
      </c>
      <c r="W100" s="346"/>
      <c r="X100" s="345">
        <f>'Fixed inputs'!X182</f>
        <v>1</v>
      </c>
      <c r="Y100" s="345">
        <f>'Fixed inputs'!Y182</f>
        <v>2</v>
      </c>
      <c r="Z100" s="345">
        <f>'Fixed inputs'!Z182</f>
        <v>2</v>
      </c>
      <c r="AA100" s="345">
        <f>'Fixed inputs'!AA182</f>
        <v>2</v>
      </c>
      <c r="AB100" s="346"/>
      <c r="AC100" s="345">
        <f>'Fixed inputs'!AC182</f>
        <v>1</v>
      </c>
      <c r="AD100" s="345">
        <f>'Fixed inputs'!AD182</f>
        <v>2</v>
      </c>
      <c r="AE100" s="345">
        <f>'Fixed inputs'!AE182</f>
        <v>2</v>
      </c>
      <c r="AF100" s="345">
        <f>'Fixed inputs'!AF182</f>
        <v>2</v>
      </c>
      <c r="AG100" s="345">
        <f>'Fixed inputs'!AG182</f>
        <v>1</v>
      </c>
      <c r="AH100" s="346"/>
      <c r="AI100" s="346"/>
      <c r="AJ100" s="346"/>
      <c r="AK100" s="346"/>
      <c r="AL100" s="346"/>
      <c r="AM100" s="346"/>
      <c r="AN100" s="346"/>
      <c r="AO100" s="346"/>
    </row>
    <row r="101" spans="1:41" x14ac:dyDescent="0.3">
      <c r="A101" s="312"/>
      <c r="B101" s="312"/>
      <c r="C101" s="29"/>
      <c r="D101"/>
      <c r="E101"/>
      <c r="F101" s="37" t="s">
        <v>1004</v>
      </c>
      <c r="G101" s="37" t="s">
        <v>148</v>
      </c>
      <c r="H101" s="37"/>
      <c r="I101" s="37"/>
      <c r="J101" s="347">
        <f>'Fixed inputs'!J183</f>
        <v>1</v>
      </c>
      <c r="K101" s="348"/>
      <c r="L101" s="348"/>
      <c r="M101" s="347">
        <f>'Fixed inputs'!M183</f>
        <v>1</v>
      </c>
      <c r="N101" s="347">
        <f>'Fixed inputs'!N183</f>
        <v>1</v>
      </c>
      <c r="O101" s="347">
        <f>'Fixed inputs'!O183</f>
        <v>1</v>
      </c>
      <c r="P101" s="347">
        <f>'Fixed inputs'!P183</f>
        <v>1</v>
      </c>
      <c r="Q101" s="348"/>
      <c r="R101" s="348"/>
      <c r="S101" s="347">
        <f>'Fixed inputs'!S183</f>
        <v>1</v>
      </c>
      <c r="T101" s="347">
        <f>'Fixed inputs'!T183</f>
        <v>1</v>
      </c>
      <c r="U101" s="347">
        <f>'Fixed inputs'!U183</f>
        <v>1</v>
      </c>
      <c r="V101" s="347">
        <f>'Fixed inputs'!V183</f>
        <v>1</v>
      </c>
      <c r="W101" s="348"/>
      <c r="X101" s="347">
        <f>'Fixed inputs'!X183</f>
        <v>1</v>
      </c>
      <c r="Y101" s="347">
        <f>'Fixed inputs'!Y183</f>
        <v>1</v>
      </c>
      <c r="Z101" s="347">
        <f>'Fixed inputs'!Z183</f>
        <v>1</v>
      </c>
      <c r="AA101" s="347">
        <f>'Fixed inputs'!AA183</f>
        <v>1</v>
      </c>
      <c r="AB101" s="348"/>
      <c r="AC101" s="347">
        <f>'Fixed inputs'!AC183</f>
        <v>1</v>
      </c>
      <c r="AD101" s="347">
        <f>'Fixed inputs'!AD183</f>
        <v>1</v>
      </c>
      <c r="AE101" s="347">
        <f>'Fixed inputs'!AE183</f>
        <v>1</v>
      </c>
      <c r="AF101" s="347">
        <f>'Fixed inputs'!AF183</f>
        <v>1</v>
      </c>
      <c r="AG101" s="347">
        <f>'Fixed inputs'!AG183</f>
        <v>1</v>
      </c>
      <c r="AH101" s="348"/>
      <c r="AI101" s="348"/>
      <c r="AJ101" s="348"/>
      <c r="AK101" s="348"/>
      <c r="AL101" s="348"/>
      <c r="AM101" s="348"/>
      <c r="AN101" s="348"/>
      <c r="AO101" s="348"/>
    </row>
    <row r="102" spans="1:41" x14ac:dyDescent="0.3">
      <c r="A102" s="312"/>
      <c r="B102" s="312"/>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3">
      <c r="A103" s="312"/>
      <c r="B103" s="312"/>
      <c r="C103" s="29"/>
      <c r="D103"/>
      <c r="E103" s="32" t="s">
        <v>1019</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3">
      <c r="A104" s="312"/>
      <c r="B104" s="312"/>
      <c r="C104" s="29"/>
      <c r="D104"/>
      <c r="E104"/>
      <c r="F104" s="23" t="s">
        <v>997</v>
      </c>
      <c r="G104" s="23" t="s">
        <v>148</v>
      </c>
      <c r="H104" s="23"/>
      <c r="I104" s="23"/>
      <c r="J104" s="351">
        <f>MAX((J$35-1)*MAX($J$36:$AO$36)+J94,0)</f>
        <v>1</v>
      </c>
      <c r="K104" s="350"/>
      <c r="L104" s="350"/>
      <c r="M104" s="351">
        <f t="shared" ref="M104:P111" si="24">MAX((M$35-1)*MAX($J$36:$AO$36)+M94,0)</f>
        <v>5</v>
      </c>
      <c r="N104" s="351">
        <f t="shared" si="24"/>
        <v>6</v>
      </c>
      <c r="O104" s="351">
        <f t="shared" si="24"/>
        <v>7</v>
      </c>
      <c r="P104" s="351">
        <f t="shared" si="24"/>
        <v>8</v>
      </c>
      <c r="Q104" s="350"/>
      <c r="R104" s="350"/>
      <c r="S104" s="351">
        <f t="shared" ref="S104:V104" si="25">MAX((S$35-1)*MAX($J$36:$AO$36)+S94,0)</f>
        <v>9</v>
      </c>
      <c r="T104" s="351">
        <f t="shared" si="25"/>
        <v>10</v>
      </c>
      <c r="U104" s="351">
        <f t="shared" si="25"/>
        <v>11</v>
      </c>
      <c r="V104" s="351">
        <f t="shared" si="25"/>
        <v>12</v>
      </c>
      <c r="W104" s="350"/>
      <c r="X104" s="351">
        <f t="shared" ref="X104:AA104" si="26">MAX((X$35-1)*MAX($J$36:$AO$36)+X94,0)</f>
        <v>9</v>
      </c>
      <c r="Y104" s="351">
        <f t="shared" si="26"/>
        <v>10</v>
      </c>
      <c r="Z104" s="351">
        <f t="shared" si="26"/>
        <v>11</v>
      </c>
      <c r="AA104" s="351">
        <f t="shared" si="26"/>
        <v>12</v>
      </c>
      <c r="AB104" s="350"/>
      <c r="AC104" s="351">
        <f t="shared" ref="AC104:AG104" si="27">MAX((AC$35-1)*MAX($J$36:$AO$36)+AC94,0)</f>
        <v>13</v>
      </c>
      <c r="AD104" s="351">
        <f t="shared" si="27"/>
        <v>14</v>
      </c>
      <c r="AE104" s="351">
        <f t="shared" si="27"/>
        <v>15</v>
      </c>
      <c r="AF104" s="351">
        <f t="shared" si="27"/>
        <v>16</v>
      </c>
      <c r="AG104" s="351">
        <f t="shared" si="27"/>
        <v>17</v>
      </c>
      <c r="AH104" s="350"/>
      <c r="AI104" s="350"/>
      <c r="AJ104" s="350"/>
      <c r="AK104" s="350"/>
      <c r="AL104" s="350"/>
      <c r="AM104" s="350"/>
      <c r="AN104" s="350"/>
      <c r="AO104" s="350"/>
    </row>
    <row r="105" spans="1:41" x14ac:dyDescent="0.3">
      <c r="A105" s="312"/>
      <c r="B105" s="312"/>
      <c r="C105" s="29"/>
      <c r="D105"/>
      <c r="E105"/>
      <c r="F105" s="303" t="s">
        <v>998</v>
      </c>
      <c r="G105" s="303" t="s">
        <v>148</v>
      </c>
      <c r="H105" s="303"/>
      <c r="I105" s="303"/>
      <c r="J105" s="352">
        <f t="shared" ref="J105:J111" si="28">MAX((J$35-1)*MAX($J$36:$AO$36)+J95,0)</f>
        <v>1</v>
      </c>
      <c r="K105" s="346"/>
      <c r="L105" s="346"/>
      <c r="M105" s="352">
        <f t="shared" si="24"/>
        <v>5</v>
      </c>
      <c r="N105" s="352">
        <f t="shared" si="24"/>
        <v>5</v>
      </c>
      <c r="O105" s="352">
        <f t="shared" si="24"/>
        <v>6</v>
      </c>
      <c r="P105" s="352">
        <f t="shared" si="24"/>
        <v>7</v>
      </c>
      <c r="Q105" s="346"/>
      <c r="R105" s="346"/>
      <c r="S105" s="352">
        <f t="shared" ref="S105:V105" si="29">MAX((S$35-1)*MAX($J$36:$AO$36)+S95,0)</f>
        <v>9</v>
      </c>
      <c r="T105" s="352">
        <f t="shared" si="29"/>
        <v>9</v>
      </c>
      <c r="U105" s="352">
        <f t="shared" si="29"/>
        <v>10</v>
      </c>
      <c r="V105" s="352">
        <f t="shared" si="29"/>
        <v>11</v>
      </c>
      <c r="W105" s="346"/>
      <c r="X105" s="352">
        <f t="shared" ref="X105:AA105" si="30">MAX((X$35-1)*MAX($J$36:$AO$36)+X95,0)</f>
        <v>9</v>
      </c>
      <c r="Y105" s="352">
        <f t="shared" si="30"/>
        <v>9</v>
      </c>
      <c r="Z105" s="352">
        <f t="shared" si="30"/>
        <v>10</v>
      </c>
      <c r="AA105" s="352">
        <f t="shared" si="30"/>
        <v>11</v>
      </c>
      <c r="AB105" s="346"/>
      <c r="AC105" s="352">
        <f t="shared" ref="AC105:AG105" si="31">MAX((AC$35-1)*MAX($J$36:$AO$36)+AC95,0)</f>
        <v>13</v>
      </c>
      <c r="AD105" s="352">
        <f t="shared" si="31"/>
        <v>13</v>
      </c>
      <c r="AE105" s="352">
        <f t="shared" si="31"/>
        <v>14</v>
      </c>
      <c r="AF105" s="352">
        <f t="shared" si="31"/>
        <v>15</v>
      </c>
      <c r="AG105" s="352">
        <f t="shared" si="31"/>
        <v>17</v>
      </c>
      <c r="AH105" s="346"/>
      <c r="AI105" s="346"/>
      <c r="AJ105" s="346"/>
      <c r="AK105" s="346"/>
      <c r="AL105" s="346"/>
      <c r="AM105" s="346"/>
      <c r="AN105" s="346"/>
      <c r="AO105" s="346"/>
    </row>
    <row r="106" spans="1:41" x14ac:dyDescent="0.3">
      <c r="A106" s="312"/>
      <c r="B106" s="312"/>
      <c r="C106" s="29"/>
      <c r="D106"/>
      <c r="E106"/>
      <c r="F106" s="303" t="s">
        <v>999</v>
      </c>
      <c r="G106" s="303" t="s">
        <v>148</v>
      </c>
      <c r="H106" s="303"/>
      <c r="I106" s="303"/>
      <c r="J106" s="352">
        <f t="shared" si="28"/>
        <v>1</v>
      </c>
      <c r="K106" s="346"/>
      <c r="L106" s="346"/>
      <c r="M106" s="352">
        <f t="shared" si="24"/>
        <v>5</v>
      </c>
      <c r="N106" s="352">
        <f t="shared" si="24"/>
        <v>6</v>
      </c>
      <c r="O106" s="352">
        <f t="shared" si="24"/>
        <v>6</v>
      </c>
      <c r="P106" s="352">
        <f t="shared" si="24"/>
        <v>7</v>
      </c>
      <c r="Q106" s="346"/>
      <c r="R106" s="346"/>
      <c r="S106" s="352">
        <f t="shared" ref="S106:V106" si="32">MAX((S$35-1)*MAX($J$36:$AO$36)+S96,0)</f>
        <v>9</v>
      </c>
      <c r="T106" s="352">
        <f t="shared" si="32"/>
        <v>10</v>
      </c>
      <c r="U106" s="352">
        <f t="shared" si="32"/>
        <v>10</v>
      </c>
      <c r="V106" s="352">
        <f t="shared" si="32"/>
        <v>11</v>
      </c>
      <c r="W106" s="346"/>
      <c r="X106" s="352">
        <f t="shared" ref="X106:AA106" si="33">MAX((X$35-1)*MAX($J$36:$AO$36)+X96,0)</f>
        <v>9</v>
      </c>
      <c r="Y106" s="352">
        <f t="shared" si="33"/>
        <v>10</v>
      </c>
      <c r="Z106" s="352">
        <f t="shared" si="33"/>
        <v>10</v>
      </c>
      <c r="AA106" s="352">
        <f t="shared" si="33"/>
        <v>11</v>
      </c>
      <c r="AB106" s="346"/>
      <c r="AC106" s="352">
        <f t="shared" ref="AC106:AG106" si="34">MAX((AC$35-1)*MAX($J$36:$AO$36)+AC96,0)</f>
        <v>13</v>
      </c>
      <c r="AD106" s="352">
        <f t="shared" si="34"/>
        <v>14</v>
      </c>
      <c r="AE106" s="352">
        <f t="shared" si="34"/>
        <v>14</v>
      </c>
      <c r="AF106" s="352">
        <f t="shared" si="34"/>
        <v>15</v>
      </c>
      <c r="AG106" s="352">
        <f t="shared" si="34"/>
        <v>17</v>
      </c>
      <c r="AH106" s="346"/>
      <c r="AI106" s="346"/>
      <c r="AJ106" s="346"/>
      <c r="AK106" s="346"/>
      <c r="AL106" s="346"/>
      <c r="AM106" s="346"/>
      <c r="AN106" s="346"/>
      <c r="AO106" s="346"/>
    </row>
    <row r="107" spans="1:41" x14ac:dyDescent="0.3">
      <c r="A107" s="312"/>
      <c r="B107" s="312"/>
      <c r="C107" s="29"/>
      <c r="D107"/>
      <c r="E107"/>
      <c r="F107" s="303" t="s">
        <v>1000</v>
      </c>
      <c r="G107" s="303" t="s">
        <v>148</v>
      </c>
      <c r="H107" s="303"/>
      <c r="I107" s="303"/>
      <c r="J107" s="352">
        <f t="shared" si="28"/>
        <v>1</v>
      </c>
      <c r="K107" s="346"/>
      <c r="L107" s="346"/>
      <c r="M107" s="352">
        <f t="shared" si="24"/>
        <v>5</v>
      </c>
      <c r="N107" s="352">
        <f t="shared" si="24"/>
        <v>6</v>
      </c>
      <c r="O107" s="352">
        <f t="shared" si="24"/>
        <v>7</v>
      </c>
      <c r="P107" s="352">
        <f t="shared" si="24"/>
        <v>7</v>
      </c>
      <c r="Q107" s="346"/>
      <c r="R107" s="346"/>
      <c r="S107" s="352">
        <f t="shared" ref="S107:V107" si="35">MAX((S$35-1)*MAX($J$36:$AO$36)+S97,0)</f>
        <v>9</v>
      </c>
      <c r="T107" s="352">
        <f t="shared" si="35"/>
        <v>10</v>
      </c>
      <c r="U107" s="352">
        <f t="shared" si="35"/>
        <v>11</v>
      </c>
      <c r="V107" s="352">
        <f t="shared" si="35"/>
        <v>11</v>
      </c>
      <c r="W107" s="346"/>
      <c r="X107" s="352">
        <f t="shared" ref="X107:AA107" si="36">MAX((X$35-1)*MAX($J$36:$AO$36)+X97,0)</f>
        <v>9</v>
      </c>
      <c r="Y107" s="352">
        <f t="shared" si="36"/>
        <v>10</v>
      </c>
      <c r="Z107" s="352">
        <f t="shared" si="36"/>
        <v>11</v>
      </c>
      <c r="AA107" s="352">
        <f t="shared" si="36"/>
        <v>11</v>
      </c>
      <c r="AB107" s="346"/>
      <c r="AC107" s="352">
        <f t="shared" ref="AC107:AG107" si="37">MAX((AC$35-1)*MAX($J$36:$AO$36)+AC97,0)</f>
        <v>13</v>
      </c>
      <c r="AD107" s="352">
        <f t="shared" si="37"/>
        <v>14</v>
      </c>
      <c r="AE107" s="352">
        <f t="shared" si="37"/>
        <v>15</v>
      </c>
      <c r="AF107" s="352">
        <f t="shared" si="37"/>
        <v>15</v>
      </c>
      <c r="AG107" s="352">
        <f t="shared" si="37"/>
        <v>17</v>
      </c>
      <c r="AH107" s="346"/>
      <c r="AI107" s="346"/>
      <c r="AJ107" s="346"/>
      <c r="AK107" s="346"/>
      <c r="AL107" s="346"/>
      <c r="AM107" s="346"/>
      <c r="AN107" s="346"/>
      <c r="AO107" s="346"/>
    </row>
    <row r="108" spans="1:41" x14ac:dyDescent="0.3">
      <c r="A108" s="312"/>
      <c r="B108" s="312"/>
      <c r="C108" s="29"/>
      <c r="D108"/>
      <c r="E108"/>
      <c r="F108" s="303" t="s">
        <v>1001</v>
      </c>
      <c r="G108" s="303" t="s">
        <v>148</v>
      </c>
      <c r="H108" s="303"/>
      <c r="I108" s="303"/>
      <c r="J108" s="352">
        <f t="shared" si="28"/>
        <v>1</v>
      </c>
      <c r="K108" s="346"/>
      <c r="L108" s="346"/>
      <c r="M108" s="352">
        <f t="shared" si="24"/>
        <v>5</v>
      </c>
      <c r="N108" s="352">
        <f t="shared" si="24"/>
        <v>5</v>
      </c>
      <c r="O108" s="352">
        <f t="shared" si="24"/>
        <v>6</v>
      </c>
      <c r="P108" s="352">
        <f t="shared" si="24"/>
        <v>6</v>
      </c>
      <c r="Q108" s="346"/>
      <c r="R108" s="346"/>
      <c r="S108" s="352">
        <f t="shared" ref="S108:V108" si="38">MAX((S$35-1)*MAX($J$36:$AO$36)+S98,0)</f>
        <v>9</v>
      </c>
      <c r="T108" s="352">
        <f t="shared" si="38"/>
        <v>9</v>
      </c>
      <c r="U108" s="352">
        <f t="shared" si="38"/>
        <v>10</v>
      </c>
      <c r="V108" s="352">
        <f t="shared" si="38"/>
        <v>10</v>
      </c>
      <c r="W108" s="346"/>
      <c r="X108" s="352">
        <f t="shared" ref="X108:AA108" si="39">MAX((X$35-1)*MAX($J$36:$AO$36)+X98,0)</f>
        <v>9</v>
      </c>
      <c r="Y108" s="352">
        <f t="shared" si="39"/>
        <v>9</v>
      </c>
      <c r="Z108" s="352">
        <f t="shared" si="39"/>
        <v>10</v>
      </c>
      <c r="AA108" s="352">
        <f t="shared" si="39"/>
        <v>10</v>
      </c>
      <c r="AB108" s="346"/>
      <c r="AC108" s="352">
        <f t="shared" ref="AC108:AG108" si="40">MAX((AC$35-1)*MAX($J$36:$AO$36)+AC98,0)</f>
        <v>13</v>
      </c>
      <c r="AD108" s="352">
        <f t="shared" si="40"/>
        <v>13</v>
      </c>
      <c r="AE108" s="352">
        <f t="shared" si="40"/>
        <v>14</v>
      </c>
      <c r="AF108" s="352">
        <f t="shared" si="40"/>
        <v>14</v>
      </c>
      <c r="AG108" s="352">
        <f t="shared" si="40"/>
        <v>17</v>
      </c>
      <c r="AH108" s="346"/>
      <c r="AI108" s="346"/>
      <c r="AJ108" s="346"/>
      <c r="AK108" s="346"/>
      <c r="AL108" s="346"/>
      <c r="AM108" s="346"/>
      <c r="AN108" s="346"/>
      <c r="AO108" s="346"/>
    </row>
    <row r="109" spans="1:41" x14ac:dyDescent="0.3">
      <c r="A109" s="312"/>
      <c r="B109" s="312"/>
      <c r="C109" s="29"/>
      <c r="D109"/>
      <c r="E109"/>
      <c r="F109" s="303" t="s">
        <v>1002</v>
      </c>
      <c r="G109" s="303" t="s">
        <v>148</v>
      </c>
      <c r="H109" s="303"/>
      <c r="I109" s="303"/>
      <c r="J109" s="352">
        <f t="shared" si="28"/>
        <v>1</v>
      </c>
      <c r="K109" s="346"/>
      <c r="L109" s="346"/>
      <c r="M109" s="352">
        <f t="shared" si="24"/>
        <v>5</v>
      </c>
      <c r="N109" s="352">
        <f t="shared" si="24"/>
        <v>5</v>
      </c>
      <c r="O109" s="352">
        <f t="shared" si="24"/>
        <v>5</v>
      </c>
      <c r="P109" s="352">
        <f t="shared" si="24"/>
        <v>6</v>
      </c>
      <c r="Q109" s="346"/>
      <c r="R109" s="346"/>
      <c r="S109" s="352">
        <f t="shared" ref="S109:V109" si="41">MAX((S$35-1)*MAX($J$36:$AO$36)+S99,0)</f>
        <v>9</v>
      </c>
      <c r="T109" s="352">
        <f t="shared" si="41"/>
        <v>9</v>
      </c>
      <c r="U109" s="352">
        <f t="shared" si="41"/>
        <v>9</v>
      </c>
      <c r="V109" s="352">
        <f t="shared" si="41"/>
        <v>10</v>
      </c>
      <c r="W109" s="346"/>
      <c r="X109" s="352">
        <f t="shared" ref="X109:AA109" si="42">MAX((X$35-1)*MAX($J$36:$AO$36)+X99,0)</f>
        <v>9</v>
      </c>
      <c r="Y109" s="352">
        <f t="shared" si="42"/>
        <v>9</v>
      </c>
      <c r="Z109" s="352">
        <f t="shared" si="42"/>
        <v>9</v>
      </c>
      <c r="AA109" s="352">
        <f t="shared" si="42"/>
        <v>10</v>
      </c>
      <c r="AB109" s="346"/>
      <c r="AC109" s="352">
        <f t="shared" ref="AC109:AG109" si="43">MAX((AC$35-1)*MAX($J$36:$AO$36)+AC99,0)</f>
        <v>13</v>
      </c>
      <c r="AD109" s="352">
        <f t="shared" si="43"/>
        <v>13</v>
      </c>
      <c r="AE109" s="352">
        <f t="shared" si="43"/>
        <v>13</v>
      </c>
      <c r="AF109" s="352">
        <f t="shared" si="43"/>
        <v>14</v>
      </c>
      <c r="AG109" s="352">
        <f t="shared" si="43"/>
        <v>17</v>
      </c>
      <c r="AH109" s="346"/>
      <c r="AI109" s="346"/>
      <c r="AJ109" s="346"/>
      <c r="AK109" s="346"/>
      <c r="AL109" s="346"/>
      <c r="AM109" s="346"/>
      <c r="AN109" s="346"/>
      <c r="AO109" s="346"/>
    </row>
    <row r="110" spans="1:41" x14ac:dyDescent="0.3">
      <c r="A110" s="312"/>
      <c r="B110" s="312"/>
      <c r="C110" s="29"/>
      <c r="D110"/>
      <c r="E110"/>
      <c r="F110" s="303" t="s">
        <v>1003</v>
      </c>
      <c r="G110" s="303" t="s">
        <v>148</v>
      </c>
      <c r="H110" s="303"/>
      <c r="I110" s="303"/>
      <c r="J110" s="352">
        <f t="shared" si="28"/>
        <v>1</v>
      </c>
      <c r="K110" s="346"/>
      <c r="L110" s="346"/>
      <c r="M110" s="352">
        <f t="shared" si="24"/>
        <v>5</v>
      </c>
      <c r="N110" s="352">
        <f t="shared" si="24"/>
        <v>6</v>
      </c>
      <c r="O110" s="352">
        <f t="shared" si="24"/>
        <v>6</v>
      </c>
      <c r="P110" s="352">
        <f t="shared" si="24"/>
        <v>6</v>
      </c>
      <c r="Q110" s="346"/>
      <c r="R110" s="346"/>
      <c r="S110" s="352">
        <f t="shared" ref="S110:V110" si="44">MAX((S$35-1)*MAX($J$36:$AO$36)+S100,0)</f>
        <v>9</v>
      </c>
      <c r="T110" s="352">
        <f t="shared" si="44"/>
        <v>10</v>
      </c>
      <c r="U110" s="352">
        <f t="shared" si="44"/>
        <v>10</v>
      </c>
      <c r="V110" s="352">
        <f t="shared" si="44"/>
        <v>10</v>
      </c>
      <c r="W110" s="346"/>
      <c r="X110" s="352">
        <f t="shared" ref="X110:AA110" si="45">MAX((X$35-1)*MAX($J$36:$AO$36)+X100,0)</f>
        <v>9</v>
      </c>
      <c r="Y110" s="352">
        <f t="shared" si="45"/>
        <v>10</v>
      </c>
      <c r="Z110" s="352">
        <f t="shared" si="45"/>
        <v>10</v>
      </c>
      <c r="AA110" s="352">
        <f t="shared" si="45"/>
        <v>10</v>
      </c>
      <c r="AB110" s="346"/>
      <c r="AC110" s="352">
        <f t="shared" ref="AC110:AG110" si="46">MAX((AC$35-1)*MAX($J$36:$AO$36)+AC100,0)</f>
        <v>13</v>
      </c>
      <c r="AD110" s="352">
        <f t="shared" si="46"/>
        <v>14</v>
      </c>
      <c r="AE110" s="352">
        <f t="shared" si="46"/>
        <v>14</v>
      </c>
      <c r="AF110" s="352">
        <f t="shared" si="46"/>
        <v>14</v>
      </c>
      <c r="AG110" s="352">
        <f t="shared" si="46"/>
        <v>17</v>
      </c>
      <c r="AH110" s="346"/>
      <c r="AI110" s="346"/>
      <c r="AJ110" s="346"/>
      <c r="AK110" s="346"/>
      <c r="AL110" s="346"/>
      <c r="AM110" s="346"/>
      <c r="AN110" s="346"/>
      <c r="AO110" s="346"/>
    </row>
    <row r="111" spans="1:41" x14ac:dyDescent="0.3">
      <c r="A111" s="312"/>
      <c r="B111" s="312"/>
      <c r="C111" s="29"/>
      <c r="D111"/>
      <c r="E111"/>
      <c r="F111" s="37" t="s">
        <v>1004</v>
      </c>
      <c r="G111" s="37" t="s">
        <v>148</v>
      </c>
      <c r="H111" s="37"/>
      <c r="I111" s="37"/>
      <c r="J111" s="353">
        <f t="shared" si="28"/>
        <v>1</v>
      </c>
      <c r="K111" s="348"/>
      <c r="L111" s="348"/>
      <c r="M111" s="353">
        <f t="shared" si="24"/>
        <v>5</v>
      </c>
      <c r="N111" s="353">
        <f t="shared" si="24"/>
        <v>5</v>
      </c>
      <c r="O111" s="353">
        <f t="shared" si="24"/>
        <v>5</v>
      </c>
      <c r="P111" s="353">
        <f t="shared" si="24"/>
        <v>5</v>
      </c>
      <c r="Q111" s="348"/>
      <c r="R111" s="348"/>
      <c r="S111" s="353">
        <f t="shared" ref="S111:V111" si="47">MAX((S$35-1)*MAX($J$36:$AO$36)+S101,0)</f>
        <v>9</v>
      </c>
      <c r="T111" s="353">
        <f t="shared" si="47"/>
        <v>9</v>
      </c>
      <c r="U111" s="353">
        <f t="shared" si="47"/>
        <v>9</v>
      </c>
      <c r="V111" s="353">
        <f t="shared" si="47"/>
        <v>9</v>
      </c>
      <c r="W111" s="348"/>
      <c r="X111" s="353">
        <f t="shared" ref="X111:AA111" si="48">MAX((X$35-1)*MAX($J$36:$AO$36)+X101,0)</f>
        <v>9</v>
      </c>
      <c r="Y111" s="353">
        <f t="shared" si="48"/>
        <v>9</v>
      </c>
      <c r="Z111" s="353">
        <f t="shared" si="48"/>
        <v>9</v>
      </c>
      <c r="AA111" s="353">
        <f t="shared" si="48"/>
        <v>9</v>
      </c>
      <c r="AB111" s="348"/>
      <c r="AC111" s="353">
        <f t="shared" ref="AC111:AG111" si="49">MAX((AC$35-1)*MAX($J$36:$AO$36)+AC101,0)</f>
        <v>13</v>
      </c>
      <c r="AD111" s="353">
        <f t="shared" si="49"/>
        <v>13</v>
      </c>
      <c r="AE111" s="353">
        <f t="shared" si="49"/>
        <v>13</v>
      </c>
      <c r="AF111" s="353">
        <f t="shared" si="49"/>
        <v>13</v>
      </c>
      <c r="AG111" s="353">
        <f t="shared" si="49"/>
        <v>17</v>
      </c>
      <c r="AH111" s="348"/>
      <c r="AI111" s="348"/>
      <c r="AJ111" s="348"/>
      <c r="AK111" s="348"/>
      <c r="AL111" s="348"/>
      <c r="AM111" s="348"/>
      <c r="AN111" s="348"/>
      <c r="AO111" s="348"/>
    </row>
    <row r="112" spans="1:41" x14ac:dyDescent="0.3">
      <c r="A112" s="312"/>
      <c r="B112" s="312"/>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3">
      <c r="A113" s="312"/>
      <c r="B113" s="312"/>
      <c r="C113" s="29"/>
      <c r="D113"/>
      <c r="E113" s="32" t="s">
        <v>1020</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3">
      <c r="A114" s="312"/>
      <c r="B114" s="312"/>
      <c r="C114" s="29"/>
      <c r="D114"/>
      <c r="E114"/>
      <c r="F114" s="23" t="s">
        <v>997</v>
      </c>
      <c r="G114" s="23" t="s">
        <v>211</v>
      </c>
      <c r="H114" s="23"/>
      <c r="I114" s="23"/>
      <c r="J114" s="351">
        <f t="shared" ref="J114:J121" si="50">SUMIF($J104:$AO104, J104, $J$56:$AO$56)</f>
        <v>2271054.3909128611</v>
      </c>
      <c r="K114" s="350"/>
      <c r="L114" s="350"/>
      <c r="M114" s="351">
        <f t="shared" ref="M114:P121" si="51">SUMIF($J104:$AO104, M104, $J$56:$AO$56)</f>
        <v>58331.051875219389</v>
      </c>
      <c r="N114" s="351">
        <f t="shared" si="51"/>
        <v>51940.054428782634</v>
      </c>
      <c r="O114" s="351">
        <f t="shared" si="51"/>
        <v>26765.733852839774</v>
      </c>
      <c r="P114" s="351">
        <f t="shared" si="51"/>
        <v>25664.311127024586</v>
      </c>
      <c r="Q114" s="350"/>
      <c r="R114" s="350"/>
      <c r="S114" s="351">
        <f t="shared" ref="S114:V121" si="52">SUMIF($J104:$AO104, S104, $J$56:$AO$56)</f>
        <v>6190.6943493392391</v>
      </c>
      <c r="T114" s="351">
        <f t="shared" si="52"/>
        <v>5690.2817104410087</v>
      </c>
      <c r="U114" s="351">
        <f t="shared" si="52"/>
        <v>2015.8544077887218</v>
      </c>
      <c r="V114" s="351">
        <f t="shared" si="52"/>
        <v>2119.6517892195775</v>
      </c>
      <c r="W114" s="350"/>
      <c r="X114" s="351">
        <f t="shared" ref="X114:AA121" si="53">SUMIF($J104:$AO104, X104, $J$56:$AO$56)</f>
        <v>6190.6943493392391</v>
      </c>
      <c r="Y114" s="351">
        <f t="shared" si="53"/>
        <v>5690.2817104410087</v>
      </c>
      <c r="Z114" s="351">
        <f t="shared" si="53"/>
        <v>2015.8544077887218</v>
      </c>
      <c r="AA114" s="351">
        <f t="shared" si="53"/>
        <v>2119.6517892195775</v>
      </c>
      <c r="AB114" s="350"/>
      <c r="AC114" s="351">
        <f t="shared" ref="AC114:AG121" si="54">SUMIF($J104:$AO104, AC104, $J$56:$AO$56)</f>
        <v>883.84266954154384</v>
      </c>
      <c r="AD114" s="351">
        <f t="shared" si="54"/>
        <v>714.96197639115712</v>
      </c>
      <c r="AE114" s="351">
        <f t="shared" si="54"/>
        <v>293.26587433300654</v>
      </c>
      <c r="AF114" s="351">
        <f t="shared" si="54"/>
        <v>238.65774600892942</v>
      </c>
      <c r="AG114" s="351">
        <f t="shared" si="54"/>
        <v>661.01324841238045</v>
      </c>
      <c r="AH114" s="350"/>
      <c r="AI114" s="350"/>
      <c r="AJ114" s="350"/>
      <c r="AK114" s="350"/>
      <c r="AL114" s="350"/>
      <c r="AM114" s="350"/>
      <c r="AN114" s="350"/>
      <c r="AO114" s="350"/>
    </row>
    <row r="115" spans="1:41" x14ac:dyDescent="0.3">
      <c r="A115" s="312"/>
      <c r="B115" s="312"/>
      <c r="C115" s="29"/>
      <c r="D115"/>
      <c r="E115"/>
      <c r="F115" s="303" t="s">
        <v>998</v>
      </c>
      <c r="G115" s="303" t="s">
        <v>211</v>
      </c>
      <c r="H115" s="303"/>
      <c r="I115" s="303"/>
      <c r="J115" s="352">
        <f t="shared" si="50"/>
        <v>2271054.3909128611</v>
      </c>
      <c r="K115" s="346"/>
      <c r="L115" s="346"/>
      <c r="M115" s="352">
        <f t="shared" si="51"/>
        <v>110271.10630400202</v>
      </c>
      <c r="N115" s="352">
        <f t="shared" si="51"/>
        <v>110271.10630400202</v>
      </c>
      <c r="O115" s="352">
        <f t="shared" si="51"/>
        <v>26765.733852839774</v>
      </c>
      <c r="P115" s="352">
        <f t="shared" si="51"/>
        <v>25664.311127024586</v>
      </c>
      <c r="Q115" s="346"/>
      <c r="R115" s="346"/>
      <c r="S115" s="352">
        <f t="shared" si="52"/>
        <v>11880.976059780249</v>
      </c>
      <c r="T115" s="352">
        <f t="shared" si="52"/>
        <v>11880.976059780249</v>
      </c>
      <c r="U115" s="352">
        <f t="shared" si="52"/>
        <v>2015.8544077887218</v>
      </c>
      <c r="V115" s="352">
        <f t="shared" si="52"/>
        <v>2119.6517892195775</v>
      </c>
      <c r="W115" s="346"/>
      <c r="X115" s="352">
        <f t="shared" si="53"/>
        <v>11880.976059780249</v>
      </c>
      <c r="Y115" s="352">
        <f t="shared" si="53"/>
        <v>11880.976059780249</v>
      </c>
      <c r="Z115" s="352">
        <f t="shared" si="53"/>
        <v>2015.8544077887218</v>
      </c>
      <c r="AA115" s="352">
        <f t="shared" si="53"/>
        <v>2119.6517892195775</v>
      </c>
      <c r="AB115" s="346"/>
      <c r="AC115" s="352">
        <f t="shared" si="54"/>
        <v>1598.8046459327011</v>
      </c>
      <c r="AD115" s="352">
        <f t="shared" si="54"/>
        <v>1598.8046459327011</v>
      </c>
      <c r="AE115" s="352">
        <f t="shared" si="54"/>
        <v>293.26587433300654</v>
      </c>
      <c r="AF115" s="352">
        <f t="shared" si="54"/>
        <v>238.65774600892942</v>
      </c>
      <c r="AG115" s="352">
        <f t="shared" si="54"/>
        <v>661.01324841238045</v>
      </c>
      <c r="AH115" s="346"/>
      <c r="AI115" s="346"/>
      <c r="AJ115" s="346"/>
      <c r="AK115" s="346"/>
      <c r="AL115" s="346"/>
      <c r="AM115" s="346"/>
      <c r="AN115" s="346"/>
      <c r="AO115" s="346"/>
    </row>
    <row r="116" spans="1:41" x14ac:dyDescent="0.3">
      <c r="A116" s="312"/>
      <c r="B116" s="312"/>
      <c r="C116" s="29"/>
      <c r="D116"/>
      <c r="E116"/>
      <c r="F116" s="303" t="s">
        <v>999</v>
      </c>
      <c r="G116" s="303" t="s">
        <v>211</v>
      </c>
      <c r="H116" s="303"/>
      <c r="I116" s="303"/>
      <c r="J116" s="352">
        <f t="shared" si="50"/>
        <v>2271054.3909128611</v>
      </c>
      <c r="K116" s="346"/>
      <c r="L116" s="346"/>
      <c r="M116" s="352">
        <f t="shared" si="51"/>
        <v>58331.051875219389</v>
      </c>
      <c r="N116" s="352">
        <f t="shared" si="51"/>
        <v>78705.788281622401</v>
      </c>
      <c r="O116" s="352">
        <f t="shared" si="51"/>
        <v>78705.788281622401</v>
      </c>
      <c r="P116" s="352">
        <f t="shared" si="51"/>
        <v>25664.311127024586</v>
      </c>
      <c r="Q116" s="346"/>
      <c r="R116" s="346"/>
      <c r="S116" s="352">
        <f t="shared" si="52"/>
        <v>6190.6943493392391</v>
      </c>
      <c r="T116" s="352">
        <f t="shared" si="52"/>
        <v>7706.1361182297305</v>
      </c>
      <c r="U116" s="352">
        <f t="shared" si="52"/>
        <v>7706.1361182297305</v>
      </c>
      <c r="V116" s="352">
        <f t="shared" si="52"/>
        <v>2119.6517892195775</v>
      </c>
      <c r="W116" s="346"/>
      <c r="X116" s="352">
        <f t="shared" si="53"/>
        <v>6190.6943493392391</v>
      </c>
      <c r="Y116" s="352">
        <f t="shared" si="53"/>
        <v>7706.1361182297305</v>
      </c>
      <c r="Z116" s="352">
        <f t="shared" si="53"/>
        <v>7706.1361182297305</v>
      </c>
      <c r="AA116" s="352">
        <f t="shared" si="53"/>
        <v>2119.6517892195775</v>
      </c>
      <c r="AB116" s="346"/>
      <c r="AC116" s="352">
        <f t="shared" si="54"/>
        <v>883.84266954154384</v>
      </c>
      <c r="AD116" s="352">
        <f t="shared" si="54"/>
        <v>1008.2278507241637</v>
      </c>
      <c r="AE116" s="352">
        <f t="shared" si="54"/>
        <v>1008.2278507241637</v>
      </c>
      <c r="AF116" s="352">
        <f t="shared" si="54"/>
        <v>238.65774600892942</v>
      </c>
      <c r="AG116" s="352">
        <f t="shared" si="54"/>
        <v>661.01324841238045</v>
      </c>
      <c r="AH116" s="346"/>
      <c r="AI116" s="346"/>
      <c r="AJ116" s="346"/>
      <c r="AK116" s="346"/>
      <c r="AL116" s="346"/>
      <c r="AM116" s="346"/>
      <c r="AN116" s="346"/>
      <c r="AO116" s="346"/>
    </row>
    <row r="117" spans="1:41" x14ac:dyDescent="0.3">
      <c r="A117" s="312"/>
      <c r="B117" s="312"/>
      <c r="C117" s="29"/>
      <c r="D117"/>
      <c r="E117"/>
      <c r="F117" s="303" t="s">
        <v>1000</v>
      </c>
      <c r="G117" s="303" t="s">
        <v>211</v>
      </c>
      <c r="H117" s="303"/>
      <c r="I117" s="303"/>
      <c r="J117" s="352">
        <f t="shared" si="50"/>
        <v>2271054.3909128611</v>
      </c>
      <c r="K117" s="346"/>
      <c r="L117" s="346"/>
      <c r="M117" s="352">
        <f t="shared" si="51"/>
        <v>58331.051875219389</v>
      </c>
      <c r="N117" s="352">
        <f t="shared" si="51"/>
        <v>51940.054428782634</v>
      </c>
      <c r="O117" s="352">
        <f t="shared" si="51"/>
        <v>52430.04497986436</v>
      </c>
      <c r="P117" s="352">
        <f t="shared" si="51"/>
        <v>52430.04497986436</v>
      </c>
      <c r="Q117" s="346"/>
      <c r="R117" s="346"/>
      <c r="S117" s="352">
        <f t="shared" si="52"/>
        <v>6190.6943493392391</v>
      </c>
      <c r="T117" s="352">
        <f t="shared" si="52"/>
        <v>5690.2817104410087</v>
      </c>
      <c r="U117" s="352">
        <f t="shared" si="52"/>
        <v>4135.5061970082988</v>
      </c>
      <c r="V117" s="352">
        <f t="shared" si="52"/>
        <v>4135.5061970082988</v>
      </c>
      <c r="W117" s="346"/>
      <c r="X117" s="352">
        <f t="shared" si="53"/>
        <v>6190.6943493392391</v>
      </c>
      <c r="Y117" s="352">
        <f t="shared" si="53"/>
        <v>5690.2817104410087</v>
      </c>
      <c r="Z117" s="352">
        <f t="shared" si="53"/>
        <v>4135.5061970082988</v>
      </c>
      <c r="AA117" s="352">
        <f t="shared" si="53"/>
        <v>4135.5061970082988</v>
      </c>
      <c r="AB117" s="346"/>
      <c r="AC117" s="352">
        <f t="shared" si="54"/>
        <v>883.84266954154384</v>
      </c>
      <c r="AD117" s="352">
        <f t="shared" si="54"/>
        <v>714.96197639115712</v>
      </c>
      <c r="AE117" s="352">
        <f t="shared" si="54"/>
        <v>531.92362034193593</v>
      </c>
      <c r="AF117" s="352">
        <f t="shared" si="54"/>
        <v>531.92362034193593</v>
      </c>
      <c r="AG117" s="352">
        <f t="shared" si="54"/>
        <v>661.01324841238045</v>
      </c>
      <c r="AH117" s="346"/>
      <c r="AI117" s="346"/>
      <c r="AJ117" s="346"/>
      <c r="AK117" s="346"/>
      <c r="AL117" s="346"/>
      <c r="AM117" s="346"/>
      <c r="AN117" s="346"/>
      <c r="AO117" s="346"/>
    </row>
    <row r="118" spans="1:41" x14ac:dyDescent="0.3">
      <c r="A118" s="312"/>
      <c r="B118" s="312"/>
      <c r="C118" s="29"/>
      <c r="D118"/>
      <c r="E118"/>
      <c r="F118" s="303" t="s">
        <v>1001</v>
      </c>
      <c r="G118" s="303" t="s">
        <v>211</v>
      </c>
      <c r="H118" s="303"/>
      <c r="I118" s="303"/>
      <c r="J118" s="352">
        <f t="shared" si="50"/>
        <v>2271054.3909128611</v>
      </c>
      <c r="K118" s="346"/>
      <c r="L118" s="346"/>
      <c r="M118" s="352">
        <f t="shared" si="51"/>
        <v>110271.10630400202</v>
      </c>
      <c r="N118" s="352">
        <f t="shared" si="51"/>
        <v>110271.10630400202</v>
      </c>
      <c r="O118" s="352">
        <f t="shared" si="51"/>
        <v>52430.04497986436</v>
      </c>
      <c r="P118" s="352">
        <f t="shared" si="51"/>
        <v>52430.04497986436</v>
      </c>
      <c r="Q118" s="346"/>
      <c r="R118" s="346"/>
      <c r="S118" s="352">
        <f t="shared" si="52"/>
        <v>11880.976059780249</v>
      </c>
      <c r="T118" s="352">
        <f t="shared" si="52"/>
        <v>11880.976059780249</v>
      </c>
      <c r="U118" s="352">
        <f t="shared" si="52"/>
        <v>4135.5061970082988</v>
      </c>
      <c r="V118" s="352">
        <f t="shared" si="52"/>
        <v>4135.5061970082988</v>
      </c>
      <c r="W118" s="346"/>
      <c r="X118" s="352">
        <f t="shared" si="53"/>
        <v>11880.976059780249</v>
      </c>
      <c r="Y118" s="352">
        <f t="shared" si="53"/>
        <v>11880.976059780249</v>
      </c>
      <c r="Z118" s="352">
        <f t="shared" si="53"/>
        <v>4135.5061970082988</v>
      </c>
      <c r="AA118" s="352">
        <f t="shared" si="53"/>
        <v>4135.5061970082988</v>
      </c>
      <c r="AB118" s="346"/>
      <c r="AC118" s="352">
        <f t="shared" si="54"/>
        <v>1598.8046459327011</v>
      </c>
      <c r="AD118" s="352">
        <f t="shared" si="54"/>
        <v>1598.8046459327011</v>
      </c>
      <c r="AE118" s="352">
        <f t="shared" si="54"/>
        <v>531.92362034193593</v>
      </c>
      <c r="AF118" s="352">
        <f t="shared" si="54"/>
        <v>531.92362034193593</v>
      </c>
      <c r="AG118" s="352">
        <f t="shared" si="54"/>
        <v>661.01324841238045</v>
      </c>
      <c r="AH118" s="346"/>
      <c r="AI118" s="346"/>
      <c r="AJ118" s="346"/>
      <c r="AK118" s="346"/>
      <c r="AL118" s="346"/>
      <c r="AM118" s="346"/>
      <c r="AN118" s="346"/>
      <c r="AO118" s="346"/>
    </row>
    <row r="119" spans="1:41" x14ac:dyDescent="0.3">
      <c r="A119" s="312"/>
      <c r="B119" s="312"/>
      <c r="C119" s="29"/>
      <c r="D119"/>
      <c r="E119"/>
      <c r="F119" s="303" t="s">
        <v>1002</v>
      </c>
      <c r="G119" s="303" t="s">
        <v>211</v>
      </c>
      <c r="H119" s="303"/>
      <c r="I119" s="303"/>
      <c r="J119" s="352">
        <f t="shared" si="50"/>
        <v>2271054.3909128611</v>
      </c>
      <c r="K119" s="346"/>
      <c r="L119" s="346"/>
      <c r="M119" s="352">
        <f t="shared" si="51"/>
        <v>137036.84015684179</v>
      </c>
      <c r="N119" s="352">
        <f t="shared" si="51"/>
        <v>137036.84015684179</v>
      </c>
      <c r="O119" s="352">
        <f t="shared" si="51"/>
        <v>137036.84015684179</v>
      </c>
      <c r="P119" s="352">
        <f t="shared" si="51"/>
        <v>25664.311127024586</v>
      </c>
      <c r="Q119" s="346"/>
      <c r="R119" s="346"/>
      <c r="S119" s="352">
        <f t="shared" si="52"/>
        <v>13896.830467568971</v>
      </c>
      <c r="T119" s="352">
        <f t="shared" si="52"/>
        <v>13896.830467568971</v>
      </c>
      <c r="U119" s="352">
        <f t="shared" si="52"/>
        <v>13896.830467568971</v>
      </c>
      <c r="V119" s="352">
        <f t="shared" si="52"/>
        <v>2119.6517892195775</v>
      </c>
      <c r="W119" s="346"/>
      <c r="X119" s="352">
        <f t="shared" si="53"/>
        <v>13896.830467568971</v>
      </c>
      <c r="Y119" s="352">
        <f t="shared" si="53"/>
        <v>13896.830467568971</v>
      </c>
      <c r="Z119" s="352">
        <f t="shared" si="53"/>
        <v>13896.830467568971</v>
      </c>
      <c r="AA119" s="352">
        <f t="shared" si="53"/>
        <v>2119.6517892195775</v>
      </c>
      <c r="AB119" s="346"/>
      <c r="AC119" s="352">
        <f t="shared" si="54"/>
        <v>1892.0705202657077</v>
      </c>
      <c r="AD119" s="352">
        <f t="shared" si="54"/>
        <v>1892.0705202657077</v>
      </c>
      <c r="AE119" s="352">
        <f t="shared" si="54"/>
        <v>1892.0705202657077</v>
      </c>
      <c r="AF119" s="352">
        <f t="shared" si="54"/>
        <v>238.65774600892942</v>
      </c>
      <c r="AG119" s="352">
        <f t="shared" si="54"/>
        <v>661.01324841238045</v>
      </c>
      <c r="AH119" s="346"/>
      <c r="AI119" s="346"/>
      <c r="AJ119" s="346"/>
      <c r="AK119" s="346"/>
      <c r="AL119" s="346"/>
      <c r="AM119" s="346"/>
      <c r="AN119" s="346"/>
      <c r="AO119" s="346"/>
    </row>
    <row r="120" spans="1:41" x14ac:dyDescent="0.3">
      <c r="A120" s="312"/>
      <c r="B120" s="312"/>
      <c r="C120" s="29"/>
      <c r="D120"/>
      <c r="E120"/>
      <c r="F120" s="303" t="s">
        <v>1003</v>
      </c>
      <c r="G120" s="303" t="s">
        <v>211</v>
      </c>
      <c r="H120" s="303"/>
      <c r="I120" s="303"/>
      <c r="J120" s="352">
        <f t="shared" si="50"/>
        <v>2271054.3909128611</v>
      </c>
      <c r="K120" s="346"/>
      <c r="L120" s="346"/>
      <c r="M120" s="352">
        <f t="shared" si="51"/>
        <v>58331.051875219389</v>
      </c>
      <c r="N120" s="352">
        <f t="shared" si="51"/>
        <v>104370.09940864699</v>
      </c>
      <c r="O120" s="352">
        <f t="shared" si="51"/>
        <v>104370.09940864699</v>
      </c>
      <c r="P120" s="352">
        <f t="shared" si="51"/>
        <v>104370.09940864699</v>
      </c>
      <c r="Q120" s="346"/>
      <c r="R120" s="346"/>
      <c r="S120" s="352">
        <f t="shared" si="52"/>
        <v>6190.6943493392391</v>
      </c>
      <c r="T120" s="352">
        <f t="shared" si="52"/>
        <v>9825.7879074493085</v>
      </c>
      <c r="U120" s="352">
        <f t="shared" si="52"/>
        <v>9825.7879074493085</v>
      </c>
      <c r="V120" s="352">
        <f t="shared" si="52"/>
        <v>9825.7879074493085</v>
      </c>
      <c r="W120" s="346"/>
      <c r="X120" s="352">
        <f t="shared" si="53"/>
        <v>6190.6943493392391</v>
      </c>
      <c r="Y120" s="352">
        <f t="shared" si="53"/>
        <v>9825.7879074493085</v>
      </c>
      <c r="Z120" s="352">
        <f t="shared" si="53"/>
        <v>9825.7879074493085</v>
      </c>
      <c r="AA120" s="352">
        <f t="shared" si="53"/>
        <v>9825.7879074493085</v>
      </c>
      <c r="AB120" s="346"/>
      <c r="AC120" s="352">
        <f t="shared" si="54"/>
        <v>883.84266954154384</v>
      </c>
      <c r="AD120" s="352">
        <f t="shared" si="54"/>
        <v>1246.8855967330931</v>
      </c>
      <c r="AE120" s="352">
        <f t="shared" si="54"/>
        <v>1246.8855967330931</v>
      </c>
      <c r="AF120" s="352">
        <f t="shared" si="54"/>
        <v>1246.8855967330931</v>
      </c>
      <c r="AG120" s="352">
        <f t="shared" si="54"/>
        <v>661.01324841238045</v>
      </c>
      <c r="AH120" s="346"/>
      <c r="AI120" s="346"/>
      <c r="AJ120" s="346"/>
      <c r="AK120" s="346"/>
      <c r="AL120" s="346"/>
      <c r="AM120" s="346"/>
      <c r="AN120" s="346"/>
      <c r="AO120" s="346"/>
    </row>
    <row r="121" spans="1:41" x14ac:dyDescent="0.3">
      <c r="A121" s="312"/>
      <c r="B121" s="312"/>
      <c r="C121" s="29"/>
      <c r="D121"/>
      <c r="E121"/>
      <c r="F121" s="37" t="s">
        <v>1004</v>
      </c>
      <c r="G121" s="37" t="s">
        <v>211</v>
      </c>
      <c r="H121" s="37"/>
      <c r="I121" s="37"/>
      <c r="J121" s="353">
        <f t="shared" si="50"/>
        <v>2271054.3909128611</v>
      </c>
      <c r="K121" s="348"/>
      <c r="L121" s="348"/>
      <c r="M121" s="353">
        <f t="shared" si="51"/>
        <v>162701.15128386638</v>
      </c>
      <c r="N121" s="353">
        <f t="shared" si="51"/>
        <v>162701.15128386638</v>
      </c>
      <c r="O121" s="353">
        <f t="shared" si="51"/>
        <v>162701.15128386638</v>
      </c>
      <c r="P121" s="353">
        <f t="shared" si="51"/>
        <v>162701.15128386638</v>
      </c>
      <c r="Q121" s="348"/>
      <c r="R121" s="348"/>
      <c r="S121" s="353">
        <f t="shared" si="52"/>
        <v>16016.482256788548</v>
      </c>
      <c r="T121" s="353">
        <f t="shared" si="52"/>
        <v>16016.482256788548</v>
      </c>
      <c r="U121" s="353">
        <f t="shared" si="52"/>
        <v>16016.482256788548</v>
      </c>
      <c r="V121" s="353">
        <f t="shared" si="52"/>
        <v>16016.482256788548</v>
      </c>
      <c r="W121" s="348"/>
      <c r="X121" s="353">
        <f t="shared" si="53"/>
        <v>16016.482256788548</v>
      </c>
      <c r="Y121" s="353">
        <f t="shared" si="53"/>
        <v>16016.482256788548</v>
      </c>
      <c r="Z121" s="353">
        <f t="shared" si="53"/>
        <v>16016.482256788548</v>
      </c>
      <c r="AA121" s="353">
        <f t="shared" si="53"/>
        <v>16016.482256788548</v>
      </c>
      <c r="AB121" s="348"/>
      <c r="AC121" s="353">
        <f t="shared" si="54"/>
        <v>2130.728266274637</v>
      </c>
      <c r="AD121" s="353">
        <f t="shared" si="54"/>
        <v>2130.728266274637</v>
      </c>
      <c r="AE121" s="353">
        <f t="shared" si="54"/>
        <v>2130.728266274637</v>
      </c>
      <c r="AF121" s="353">
        <f t="shared" si="54"/>
        <v>2130.728266274637</v>
      </c>
      <c r="AG121" s="353">
        <f t="shared" si="54"/>
        <v>661.01324841238045</v>
      </c>
      <c r="AH121" s="348"/>
      <c r="AI121" s="348"/>
      <c r="AJ121" s="348"/>
      <c r="AK121" s="348"/>
      <c r="AL121" s="348"/>
      <c r="AM121" s="348"/>
      <c r="AN121" s="348"/>
      <c r="AO121" s="348"/>
    </row>
    <row r="122" spans="1:41" x14ac:dyDescent="0.3">
      <c r="A122" s="312"/>
      <c r="B122" s="312"/>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3">
      <c r="A123" s="312"/>
      <c r="B123" s="312"/>
      <c r="C123" s="29"/>
      <c r="D123"/>
      <c r="E123" t="s">
        <v>1012</v>
      </c>
      <c r="G123" t="s">
        <v>148</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3">
      <c r="A124" s="312"/>
      <c r="B124" s="312"/>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3">
      <c r="A125" s="312"/>
      <c r="B125" s="312"/>
      <c r="C125" s="29"/>
      <c r="D125"/>
      <c r="E125" s="32" t="s">
        <v>1021</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3">
      <c r="A126" s="312"/>
      <c r="B126" s="312"/>
      <c r="C126" s="29"/>
      <c r="D126"/>
      <c r="E126"/>
      <c r="F126" s="23" t="s">
        <v>997</v>
      </c>
      <c r="G126" s="23" t="s">
        <v>911</v>
      </c>
      <c r="H126" s="23"/>
      <c r="I126" s="23"/>
      <c r="J126" s="351" t="b">
        <f>J114&gt;=$H$123</f>
        <v>1</v>
      </c>
      <c r="K126" s="350"/>
      <c r="L126" s="350"/>
      <c r="M126" s="351" t="b">
        <f t="shared" ref="M126:P126" si="55">M114&gt;=$H$123</f>
        <v>1</v>
      </c>
      <c r="N126" s="351" t="b">
        <f t="shared" si="55"/>
        <v>1</v>
      </c>
      <c r="O126" s="351" t="b">
        <f t="shared" si="55"/>
        <v>1</v>
      </c>
      <c r="P126" s="351" t="b">
        <f t="shared" si="55"/>
        <v>1</v>
      </c>
      <c r="Q126" s="350"/>
      <c r="R126" s="350"/>
      <c r="S126" s="351" t="b">
        <f t="shared" ref="S126:V126" si="56">S114&gt;=$H$123</f>
        <v>1</v>
      </c>
      <c r="T126" s="351" t="b">
        <f t="shared" si="56"/>
        <v>1</v>
      </c>
      <c r="U126" s="351" t="b">
        <f t="shared" si="56"/>
        <v>1</v>
      </c>
      <c r="V126" s="351" t="b">
        <f t="shared" si="56"/>
        <v>1</v>
      </c>
      <c r="W126" s="350"/>
      <c r="X126" s="351" t="b">
        <f t="shared" ref="X126:AA126" si="57">X114&gt;=$H$123</f>
        <v>1</v>
      </c>
      <c r="Y126" s="351" t="b">
        <f t="shared" si="57"/>
        <v>1</v>
      </c>
      <c r="Z126" s="351" t="b">
        <f t="shared" si="57"/>
        <v>1</v>
      </c>
      <c r="AA126" s="351" t="b">
        <f t="shared" si="57"/>
        <v>1</v>
      </c>
      <c r="AB126" s="350"/>
      <c r="AC126" s="351" t="b">
        <f t="shared" ref="AC126:AG126" si="58">AC114&gt;=$H$123</f>
        <v>1</v>
      </c>
      <c r="AD126" s="351" t="b">
        <f t="shared" si="58"/>
        <v>1</v>
      </c>
      <c r="AE126" s="351" t="b">
        <f t="shared" si="58"/>
        <v>1</v>
      </c>
      <c r="AF126" s="351" t="b">
        <f t="shared" si="58"/>
        <v>1</v>
      </c>
      <c r="AG126" s="351" t="b">
        <f t="shared" si="58"/>
        <v>1</v>
      </c>
      <c r="AH126" s="350"/>
      <c r="AI126" s="350"/>
      <c r="AJ126" s="350"/>
      <c r="AK126" s="350"/>
      <c r="AL126" s="350"/>
      <c r="AM126" s="350"/>
      <c r="AN126" s="350"/>
      <c r="AO126" s="350"/>
    </row>
    <row r="127" spans="1:41" x14ac:dyDescent="0.3">
      <c r="A127" s="312"/>
      <c r="B127" s="312"/>
      <c r="C127" s="29"/>
      <c r="D127"/>
      <c r="E127"/>
      <c r="F127" s="303" t="s">
        <v>998</v>
      </c>
      <c r="G127" s="303" t="s">
        <v>911</v>
      </c>
      <c r="H127" s="303"/>
      <c r="I127" s="303"/>
      <c r="J127" s="352" t="b">
        <f t="shared" ref="J127:J133" si="59">J115&gt;=$H$123</f>
        <v>1</v>
      </c>
      <c r="K127" s="346"/>
      <c r="L127" s="346"/>
      <c r="M127" s="352" t="b">
        <f t="shared" ref="M127:P127" si="60">M115&gt;=$H$123</f>
        <v>1</v>
      </c>
      <c r="N127" s="352" t="b">
        <f t="shared" si="60"/>
        <v>1</v>
      </c>
      <c r="O127" s="352" t="b">
        <f t="shared" si="60"/>
        <v>1</v>
      </c>
      <c r="P127" s="352" t="b">
        <f t="shared" si="60"/>
        <v>1</v>
      </c>
      <c r="Q127" s="346"/>
      <c r="R127" s="346"/>
      <c r="S127" s="352" t="b">
        <f t="shared" ref="S127:V127" si="61">S115&gt;=$H$123</f>
        <v>1</v>
      </c>
      <c r="T127" s="352" t="b">
        <f t="shared" si="61"/>
        <v>1</v>
      </c>
      <c r="U127" s="352" t="b">
        <f t="shared" si="61"/>
        <v>1</v>
      </c>
      <c r="V127" s="352" t="b">
        <f t="shared" si="61"/>
        <v>1</v>
      </c>
      <c r="W127" s="346"/>
      <c r="X127" s="352" t="b">
        <f t="shared" ref="X127:AA127" si="62">X115&gt;=$H$123</f>
        <v>1</v>
      </c>
      <c r="Y127" s="352" t="b">
        <f t="shared" si="62"/>
        <v>1</v>
      </c>
      <c r="Z127" s="352" t="b">
        <f t="shared" si="62"/>
        <v>1</v>
      </c>
      <c r="AA127" s="352" t="b">
        <f t="shared" si="62"/>
        <v>1</v>
      </c>
      <c r="AB127" s="346"/>
      <c r="AC127" s="352" t="b">
        <f t="shared" ref="AC127:AG127" si="63">AC115&gt;=$H$123</f>
        <v>1</v>
      </c>
      <c r="AD127" s="352" t="b">
        <f t="shared" si="63"/>
        <v>1</v>
      </c>
      <c r="AE127" s="352" t="b">
        <f t="shared" si="63"/>
        <v>1</v>
      </c>
      <c r="AF127" s="352" t="b">
        <f t="shared" si="63"/>
        <v>1</v>
      </c>
      <c r="AG127" s="352" t="b">
        <f t="shared" si="63"/>
        <v>1</v>
      </c>
      <c r="AH127" s="346"/>
      <c r="AI127" s="346"/>
      <c r="AJ127" s="346"/>
      <c r="AK127" s="346"/>
      <c r="AL127" s="346"/>
      <c r="AM127" s="346"/>
      <c r="AN127" s="346"/>
      <c r="AO127" s="346"/>
    </row>
    <row r="128" spans="1:41" x14ac:dyDescent="0.3">
      <c r="A128" s="312"/>
      <c r="B128" s="312"/>
      <c r="C128" s="29"/>
      <c r="D128"/>
      <c r="E128"/>
      <c r="F128" s="303" t="s">
        <v>999</v>
      </c>
      <c r="G128" s="303" t="s">
        <v>911</v>
      </c>
      <c r="H128" s="303"/>
      <c r="I128" s="303"/>
      <c r="J128" s="352" t="b">
        <f t="shared" si="59"/>
        <v>1</v>
      </c>
      <c r="K128" s="346"/>
      <c r="L128" s="346"/>
      <c r="M128" s="352" t="b">
        <f t="shared" ref="M128:P128" si="64">M116&gt;=$H$123</f>
        <v>1</v>
      </c>
      <c r="N128" s="352" t="b">
        <f t="shared" si="64"/>
        <v>1</v>
      </c>
      <c r="O128" s="352" t="b">
        <f t="shared" si="64"/>
        <v>1</v>
      </c>
      <c r="P128" s="352" t="b">
        <f t="shared" si="64"/>
        <v>1</v>
      </c>
      <c r="Q128" s="346"/>
      <c r="R128" s="346"/>
      <c r="S128" s="352" t="b">
        <f t="shared" ref="S128:V128" si="65">S116&gt;=$H$123</f>
        <v>1</v>
      </c>
      <c r="T128" s="352" t="b">
        <f t="shared" si="65"/>
        <v>1</v>
      </c>
      <c r="U128" s="352" t="b">
        <f t="shared" si="65"/>
        <v>1</v>
      </c>
      <c r="V128" s="352" t="b">
        <f t="shared" si="65"/>
        <v>1</v>
      </c>
      <c r="W128" s="346"/>
      <c r="X128" s="352" t="b">
        <f t="shared" ref="X128:AA128" si="66">X116&gt;=$H$123</f>
        <v>1</v>
      </c>
      <c r="Y128" s="352" t="b">
        <f t="shared" si="66"/>
        <v>1</v>
      </c>
      <c r="Z128" s="352" t="b">
        <f t="shared" si="66"/>
        <v>1</v>
      </c>
      <c r="AA128" s="352" t="b">
        <f t="shared" si="66"/>
        <v>1</v>
      </c>
      <c r="AB128" s="346"/>
      <c r="AC128" s="352" t="b">
        <f t="shared" ref="AC128:AG128" si="67">AC116&gt;=$H$123</f>
        <v>1</v>
      </c>
      <c r="AD128" s="352" t="b">
        <f t="shared" si="67"/>
        <v>1</v>
      </c>
      <c r="AE128" s="352" t="b">
        <f t="shared" si="67"/>
        <v>1</v>
      </c>
      <c r="AF128" s="352" t="b">
        <f t="shared" si="67"/>
        <v>1</v>
      </c>
      <c r="AG128" s="352" t="b">
        <f t="shared" si="67"/>
        <v>1</v>
      </c>
      <c r="AH128" s="346"/>
      <c r="AI128" s="346"/>
      <c r="AJ128" s="346"/>
      <c r="AK128" s="346"/>
      <c r="AL128" s="346"/>
      <c r="AM128" s="346"/>
      <c r="AN128" s="346"/>
      <c r="AO128" s="346"/>
    </row>
    <row r="129" spans="1:41" x14ac:dyDescent="0.3">
      <c r="A129" s="312"/>
      <c r="B129" s="312"/>
      <c r="C129" s="29"/>
      <c r="D129"/>
      <c r="E129"/>
      <c r="F129" s="303" t="s">
        <v>1000</v>
      </c>
      <c r="G129" s="303" t="s">
        <v>911</v>
      </c>
      <c r="H129" s="303"/>
      <c r="I129" s="303"/>
      <c r="J129" s="352" t="b">
        <f t="shared" si="59"/>
        <v>1</v>
      </c>
      <c r="K129" s="346"/>
      <c r="L129" s="346"/>
      <c r="M129" s="352" t="b">
        <f t="shared" ref="M129:P129" si="68">M117&gt;=$H$123</f>
        <v>1</v>
      </c>
      <c r="N129" s="352" t="b">
        <f t="shared" si="68"/>
        <v>1</v>
      </c>
      <c r="O129" s="352" t="b">
        <f t="shared" si="68"/>
        <v>1</v>
      </c>
      <c r="P129" s="352" t="b">
        <f t="shared" si="68"/>
        <v>1</v>
      </c>
      <c r="Q129" s="346"/>
      <c r="R129" s="346"/>
      <c r="S129" s="352" t="b">
        <f t="shared" ref="S129:V129" si="69">S117&gt;=$H$123</f>
        <v>1</v>
      </c>
      <c r="T129" s="352" t="b">
        <f t="shared" si="69"/>
        <v>1</v>
      </c>
      <c r="U129" s="352" t="b">
        <f t="shared" si="69"/>
        <v>1</v>
      </c>
      <c r="V129" s="352" t="b">
        <f t="shared" si="69"/>
        <v>1</v>
      </c>
      <c r="W129" s="346"/>
      <c r="X129" s="352" t="b">
        <f t="shared" ref="X129:AA129" si="70">X117&gt;=$H$123</f>
        <v>1</v>
      </c>
      <c r="Y129" s="352" t="b">
        <f t="shared" si="70"/>
        <v>1</v>
      </c>
      <c r="Z129" s="352" t="b">
        <f t="shared" si="70"/>
        <v>1</v>
      </c>
      <c r="AA129" s="352" t="b">
        <f t="shared" si="70"/>
        <v>1</v>
      </c>
      <c r="AB129" s="346"/>
      <c r="AC129" s="352" t="b">
        <f t="shared" ref="AC129:AG129" si="71">AC117&gt;=$H$123</f>
        <v>1</v>
      </c>
      <c r="AD129" s="352" t="b">
        <f t="shared" si="71"/>
        <v>1</v>
      </c>
      <c r="AE129" s="352" t="b">
        <f t="shared" si="71"/>
        <v>1</v>
      </c>
      <c r="AF129" s="352" t="b">
        <f t="shared" si="71"/>
        <v>1</v>
      </c>
      <c r="AG129" s="352" t="b">
        <f t="shared" si="71"/>
        <v>1</v>
      </c>
      <c r="AH129" s="346"/>
      <c r="AI129" s="346"/>
      <c r="AJ129" s="346"/>
      <c r="AK129" s="346"/>
      <c r="AL129" s="346"/>
      <c r="AM129" s="346"/>
      <c r="AN129" s="346"/>
      <c r="AO129" s="346"/>
    </row>
    <row r="130" spans="1:41" x14ac:dyDescent="0.3">
      <c r="A130" s="312"/>
      <c r="B130" s="312"/>
      <c r="C130" s="29"/>
      <c r="D130"/>
      <c r="E130"/>
      <c r="F130" s="303" t="s">
        <v>1001</v>
      </c>
      <c r="G130" s="303" t="s">
        <v>911</v>
      </c>
      <c r="H130" s="303"/>
      <c r="I130" s="303"/>
      <c r="J130" s="352" t="b">
        <f t="shared" si="59"/>
        <v>1</v>
      </c>
      <c r="K130" s="346"/>
      <c r="L130" s="346"/>
      <c r="M130" s="352" t="b">
        <f t="shared" ref="M130:P130" si="72">M118&gt;=$H$123</f>
        <v>1</v>
      </c>
      <c r="N130" s="352" t="b">
        <f t="shared" si="72"/>
        <v>1</v>
      </c>
      <c r="O130" s="352" t="b">
        <f t="shared" si="72"/>
        <v>1</v>
      </c>
      <c r="P130" s="352" t="b">
        <f t="shared" si="72"/>
        <v>1</v>
      </c>
      <c r="Q130" s="346"/>
      <c r="R130" s="346"/>
      <c r="S130" s="352" t="b">
        <f t="shared" ref="S130:V130" si="73">S118&gt;=$H$123</f>
        <v>1</v>
      </c>
      <c r="T130" s="352" t="b">
        <f t="shared" si="73"/>
        <v>1</v>
      </c>
      <c r="U130" s="352" t="b">
        <f t="shared" si="73"/>
        <v>1</v>
      </c>
      <c r="V130" s="352" t="b">
        <f t="shared" si="73"/>
        <v>1</v>
      </c>
      <c r="W130" s="346"/>
      <c r="X130" s="352" t="b">
        <f t="shared" ref="X130:AA130" si="74">X118&gt;=$H$123</f>
        <v>1</v>
      </c>
      <c r="Y130" s="352" t="b">
        <f t="shared" si="74"/>
        <v>1</v>
      </c>
      <c r="Z130" s="352" t="b">
        <f t="shared" si="74"/>
        <v>1</v>
      </c>
      <c r="AA130" s="352" t="b">
        <f t="shared" si="74"/>
        <v>1</v>
      </c>
      <c r="AB130" s="346"/>
      <c r="AC130" s="352" t="b">
        <f t="shared" ref="AC130:AG130" si="75">AC118&gt;=$H$123</f>
        <v>1</v>
      </c>
      <c r="AD130" s="352" t="b">
        <f t="shared" si="75"/>
        <v>1</v>
      </c>
      <c r="AE130" s="352" t="b">
        <f t="shared" si="75"/>
        <v>1</v>
      </c>
      <c r="AF130" s="352" t="b">
        <f t="shared" si="75"/>
        <v>1</v>
      </c>
      <c r="AG130" s="352" t="b">
        <f t="shared" si="75"/>
        <v>1</v>
      </c>
      <c r="AH130" s="346"/>
      <c r="AI130" s="346"/>
      <c r="AJ130" s="346"/>
      <c r="AK130" s="346"/>
      <c r="AL130" s="346"/>
      <c r="AM130" s="346"/>
      <c r="AN130" s="346"/>
      <c r="AO130" s="346"/>
    </row>
    <row r="131" spans="1:41" x14ac:dyDescent="0.3">
      <c r="A131" s="312"/>
      <c r="B131" s="312"/>
      <c r="C131" s="29"/>
      <c r="D131"/>
      <c r="E131"/>
      <c r="F131" s="303" t="s">
        <v>1002</v>
      </c>
      <c r="G131" s="303" t="s">
        <v>911</v>
      </c>
      <c r="H131" s="303"/>
      <c r="I131" s="303"/>
      <c r="J131" s="352" t="b">
        <f t="shared" si="59"/>
        <v>1</v>
      </c>
      <c r="K131" s="346"/>
      <c r="L131" s="346"/>
      <c r="M131" s="352" t="b">
        <f t="shared" ref="M131:P131" si="76">M119&gt;=$H$123</f>
        <v>1</v>
      </c>
      <c r="N131" s="352" t="b">
        <f t="shared" si="76"/>
        <v>1</v>
      </c>
      <c r="O131" s="352" t="b">
        <f t="shared" si="76"/>
        <v>1</v>
      </c>
      <c r="P131" s="352" t="b">
        <f t="shared" si="76"/>
        <v>1</v>
      </c>
      <c r="Q131" s="346"/>
      <c r="R131" s="346"/>
      <c r="S131" s="352" t="b">
        <f t="shared" ref="S131:V131" si="77">S119&gt;=$H$123</f>
        <v>1</v>
      </c>
      <c r="T131" s="352" t="b">
        <f t="shared" si="77"/>
        <v>1</v>
      </c>
      <c r="U131" s="352" t="b">
        <f t="shared" si="77"/>
        <v>1</v>
      </c>
      <c r="V131" s="352" t="b">
        <f t="shared" si="77"/>
        <v>1</v>
      </c>
      <c r="W131" s="346"/>
      <c r="X131" s="352" t="b">
        <f t="shared" ref="X131:AA131" si="78">X119&gt;=$H$123</f>
        <v>1</v>
      </c>
      <c r="Y131" s="352" t="b">
        <f t="shared" si="78"/>
        <v>1</v>
      </c>
      <c r="Z131" s="352" t="b">
        <f t="shared" si="78"/>
        <v>1</v>
      </c>
      <c r="AA131" s="352" t="b">
        <f t="shared" si="78"/>
        <v>1</v>
      </c>
      <c r="AB131" s="346"/>
      <c r="AC131" s="352" t="b">
        <f t="shared" ref="AC131:AG131" si="79">AC119&gt;=$H$123</f>
        <v>1</v>
      </c>
      <c r="AD131" s="352" t="b">
        <f t="shared" si="79"/>
        <v>1</v>
      </c>
      <c r="AE131" s="352" t="b">
        <f t="shared" si="79"/>
        <v>1</v>
      </c>
      <c r="AF131" s="352" t="b">
        <f t="shared" si="79"/>
        <v>1</v>
      </c>
      <c r="AG131" s="352" t="b">
        <f t="shared" si="79"/>
        <v>1</v>
      </c>
      <c r="AH131" s="346"/>
      <c r="AI131" s="346"/>
      <c r="AJ131" s="346"/>
      <c r="AK131" s="346"/>
      <c r="AL131" s="346"/>
      <c r="AM131" s="346"/>
      <c r="AN131" s="346"/>
      <c r="AO131" s="346"/>
    </row>
    <row r="132" spans="1:41" x14ac:dyDescent="0.3">
      <c r="A132" s="312"/>
      <c r="B132" s="312"/>
      <c r="C132" s="29"/>
      <c r="D132"/>
      <c r="E132"/>
      <c r="F132" s="303" t="s">
        <v>1003</v>
      </c>
      <c r="G132" s="303" t="s">
        <v>911</v>
      </c>
      <c r="H132" s="303"/>
      <c r="I132" s="303"/>
      <c r="J132" s="352" t="b">
        <f t="shared" si="59"/>
        <v>1</v>
      </c>
      <c r="K132" s="346"/>
      <c r="L132" s="346"/>
      <c r="M132" s="352" t="b">
        <f t="shared" ref="M132:P132" si="80">M120&gt;=$H$123</f>
        <v>1</v>
      </c>
      <c r="N132" s="352" t="b">
        <f t="shared" si="80"/>
        <v>1</v>
      </c>
      <c r="O132" s="352" t="b">
        <f t="shared" si="80"/>
        <v>1</v>
      </c>
      <c r="P132" s="352" t="b">
        <f t="shared" si="80"/>
        <v>1</v>
      </c>
      <c r="Q132" s="346"/>
      <c r="R132" s="346"/>
      <c r="S132" s="352" t="b">
        <f t="shared" ref="S132:V132" si="81">S120&gt;=$H$123</f>
        <v>1</v>
      </c>
      <c r="T132" s="352" t="b">
        <f t="shared" si="81"/>
        <v>1</v>
      </c>
      <c r="U132" s="352" t="b">
        <f t="shared" si="81"/>
        <v>1</v>
      </c>
      <c r="V132" s="352" t="b">
        <f t="shared" si="81"/>
        <v>1</v>
      </c>
      <c r="W132" s="346"/>
      <c r="X132" s="352" t="b">
        <f t="shared" ref="X132:AA132" si="82">X120&gt;=$H$123</f>
        <v>1</v>
      </c>
      <c r="Y132" s="352" t="b">
        <f t="shared" si="82"/>
        <v>1</v>
      </c>
      <c r="Z132" s="352" t="b">
        <f t="shared" si="82"/>
        <v>1</v>
      </c>
      <c r="AA132" s="352" t="b">
        <f t="shared" si="82"/>
        <v>1</v>
      </c>
      <c r="AB132" s="346"/>
      <c r="AC132" s="352" t="b">
        <f t="shared" ref="AC132:AG132" si="83">AC120&gt;=$H$123</f>
        <v>1</v>
      </c>
      <c r="AD132" s="352" t="b">
        <f t="shared" si="83"/>
        <v>1</v>
      </c>
      <c r="AE132" s="352" t="b">
        <f t="shared" si="83"/>
        <v>1</v>
      </c>
      <c r="AF132" s="352" t="b">
        <f t="shared" si="83"/>
        <v>1</v>
      </c>
      <c r="AG132" s="352" t="b">
        <f t="shared" si="83"/>
        <v>1</v>
      </c>
      <c r="AH132" s="346"/>
      <c r="AI132" s="346"/>
      <c r="AJ132" s="346"/>
      <c r="AK132" s="346"/>
      <c r="AL132" s="346"/>
      <c r="AM132" s="346"/>
      <c r="AN132" s="346"/>
      <c r="AO132" s="346"/>
    </row>
    <row r="133" spans="1:41" x14ac:dyDescent="0.3">
      <c r="A133" s="312"/>
      <c r="B133" s="312"/>
      <c r="C133" s="29"/>
      <c r="D133"/>
      <c r="E133"/>
      <c r="F133" s="37" t="s">
        <v>1004</v>
      </c>
      <c r="G133" s="37" t="s">
        <v>911</v>
      </c>
      <c r="H133" s="37"/>
      <c r="I133" s="37"/>
      <c r="J133" s="353" t="b">
        <f t="shared" si="59"/>
        <v>1</v>
      </c>
      <c r="K133" s="348"/>
      <c r="L133" s="348"/>
      <c r="M133" s="353" t="b">
        <f t="shared" ref="M133:P133" si="84">M121&gt;=$H$123</f>
        <v>1</v>
      </c>
      <c r="N133" s="353" t="b">
        <f t="shared" si="84"/>
        <v>1</v>
      </c>
      <c r="O133" s="353" t="b">
        <f t="shared" si="84"/>
        <v>1</v>
      </c>
      <c r="P133" s="353" t="b">
        <f t="shared" si="84"/>
        <v>1</v>
      </c>
      <c r="Q133" s="348"/>
      <c r="R133" s="348"/>
      <c r="S133" s="353" t="b">
        <f t="shared" ref="S133:V133" si="85">S121&gt;=$H$123</f>
        <v>1</v>
      </c>
      <c r="T133" s="353" t="b">
        <f t="shared" si="85"/>
        <v>1</v>
      </c>
      <c r="U133" s="353" t="b">
        <f t="shared" si="85"/>
        <v>1</v>
      </c>
      <c r="V133" s="353" t="b">
        <f t="shared" si="85"/>
        <v>1</v>
      </c>
      <c r="W133" s="348"/>
      <c r="X133" s="353" t="b">
        <f t="shared" ref="X133:AA133" si="86">X121&gt;=$H$123</f>
        <v>1</v>
      </c>
      <c r="Y133" s="353" t="b">
        <f t="shared" si="86"/>
        <v>1</v>
      </c>
      <c r="Z133" s="353" t="b">
        <f t="shared" si="86"/>
        <v>1</v>
      </c>
      <c r="AA133" s="353" t="b">
        <f t="shared" si="86"/>
        <v>1</v>
      </c>
      <c r="AB133" s="348"/>
      <c r="AC133" s="353" t="b">
        <f t="shared" ref="AC133:AG133" si="87">AC121&gt;=$H$123</f>
        <v>1</v>
      </c>
      <c r="AD133" s="353" t="b">
        <f t="shared" si="87"/>
        <v>1</v>
      </c>
      <c r="AE133" s="353" t="b">
        <f t="shared" si="87"/>
        <v>1</v>
      </c>
      <c r="AF133" s="353" t="b">
        <f t="shared" si="87"/>
        <v>1</v>
      </c>
      <c r="AG133" s="353" t="b">
        <f t="shared" si="87"/>
        <v>1</v>
      </c>
      <c r="AH133" s="348"/>
      <c r="AI133" s="348"/>
      <c r="AJ133" s="348"/>
      <c r="AK133" s="348"/>
      <c r="AL133" s="348"/>
      <c r="AM133" s="348"/>
      <c r="AN133" s="348"/>
      <c r="AO133" s="348"/>
    </row>
    <row r="134" spans="1:41" x14ac:dyDescent="0.3">
      <c r="A134" s="312"/>
      <c r="B134" s="312"/>
      <c r="C134" s="29"/>
      <c r="D134"/>
      <c r="E134"/>
      <c r="J134" s="163"/>
      <c r="K134" s="163"/>
      <c r="L134" s="163"/>
      <c r="M134" s="325"/>
      <c r="N134" s="325"/>
      <c r="O134" s="325"/>
      <c r="P134" s="325"/>
      <c r="Q134" s="163"/>
      <c r="R134" s="163"/>
      <c r="S134" s="325"/>
      <c r="T134" s="325"/>
      <c r="U134" s="325"/>
      <c r="V134" s="325"/>
      <c r="W134" s="163"/>
      <c r="X134" s="325"/>
      <c r="Y134" s="325"/>
      <c r="Z134" s="325"/>
      <c r="AA134" s="325"/>
      <c r="AB134" s="163"/>
      <c r="AC134" s="325"/>
      <c r="AD134" s="325"/>
      <c r="AE134" s="325"/>
      <c r="AF134" s="325"/>
      <c r="AG134" s="163"/>
      <c r="AH134" s="163"/>
      <c r="AI134" s="163"/>
      <c r="AJ134" s="163"/>
      <c r="AK134" s="163"/>
      <c r="AL134" s="163"/>
      <c r="AM134" s="163"/>
      <c r="AN134" s="163"/>
      <c r="AO134" s="163"/>
    </row>
    <row r="135" spans="1:41" x14ac:dyDescent="0.3">
      <c r="A135" s="312"/>
      <c r="B135" s="312"/>
      <c r="C135" s="29"/>
      <c r="D135"/>
      <c r="E135" s="32" t="s">
        <v>1121</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3">
      <c r="A136" s="312"/>
      <c r="B136" s="312"/>
      <c r="C136" s="29"/>
      <c r="D136"/>
      <c r="E136"/>
      <c r="F136" s="23" t="s">
        <v>997</v>
      </c>
      <c r="G136" s="23" t="s">
        <v>148</v>
      </c>
      <c r="H136" s="23"/>
      <c r="I136" s="23"/>
      <c r="J136" s="351">
        <f t="shared" ref="J136:J143" si="88">COUNTIFS($J126:$AO126,TRUE,$J$35:$AO$35,J$35)</f>
        <v>1</v>
      </c>
      <c r="K136" s="350"/>
      <c r="L136" s="350"/>
      <c r="M136" s="351">
        <f t="shared" ref="M136:P143" si="89">COUNTIFS($J126:$AO126,TRUE,$J$35:$AO$35,M$35)</f>
        <v>4</v>
      </c>
      <c r="N136" s="351">
        <f t="shared" si="89"/>
        <v>4</v>
      </c>
      <c r="O136" s="351">
        <f t="shared" si="89"/>
        <v>4</v>
      </c>
      <c r="P136" s="351">
        <f t="shared" si="89"/>
        <v>4</v>
      </c>
      <c r="Q136" s="350"/>
      <c r="R136" s="350"/>
      <c r="S136" s="351">
        <f t="shared" ref="S136:V143" si="90">COUNTIFS($J126:$AO126,TRUE,$J$35:$AO$35,S$35)</f>
        <v>8</v>
      </c>
      <c r="T136" s="351">
        <f t="shared" si="90"/>
        <v>8</v>
      </c>
      <c r="U136" s="351">
        <f t="shared" si="90"/>
        <v>8</v>
      </c>
      <c r="V136" s="351">
        <f t="shared" si="90"/>
        <v>8</v>
      </c>
      <c r="W136" s="350"/>
      <c r="X136" s="351">
        <f t="shared" ref="X136:AA143" si="91">COUNTIFS($J126:$AO126,TRUE,$J$35:$AO$35,X$35)</f>
        <v>8</v>
      </c>
      <c r="Y136" s="351">
        <f t="shared" si="91"/>
        <v>8</v>
      </c>
      <c r="Z136" s="351">
        <f t="shared" si="91"/>
        <v>8</v>
      </c>
      <c r="AA136" s="351">
        <f t="shared" si="91"/>
        <v>8</v>
      </c>
      <c r="AB136" s="350"/>
      <c r="AC136" s="351">
        <f t="shared" ref="AC136:AG143" si="92">COUNTIFS($J126:$AO126,TRUE,$J$35:$AO$35,AC$35)</f>
        <v>4</v>
      </c>
      <c r="AD136" s="351">
        <f t="shared" si="92"/>
        <v>4</v>
      </c>
      <c r="AE136" s="351">
        <f t="shared" si="92"/>
        <v>4</v>
      </c>
      <c r="AF136" s="351">
        <f t="shared" si="92"/>
        <v>4</v>
      </c>
      <c r="AG136" s="351">
        <f t="shared" si="92"/>
        <v>1</v>
      </c>
      <c r="AH136" s="350"/>
      <c r="AI136" s="350"/>
      <c r="AJ136" s="350"/>
      <c r="AK136" s="350"/>
      <c r="AL136" s="350"/>
      <c r="AM136" s="350"/>
      <c r="AN136" s="350"/>
      <c r="AO136" s="350"/>
    </row>
    <row r="137" spans="1:41" x14ac:dyDescent="0.3">
      <c r="A137" s="312"/>
      <c r="B137" s="312"/>
      <c r="C137" s="29"/>
      <c r="D137"/>
      <c r="E137"/>
      <c r="F137" s="303" t="s">
        <v>998</v>
      </c>
      <c r="G137" s="303" t="s">
        <v>148</v>
      </c>
      <c r="H137" s="303"/>
      <c r="I137" s="303"/>
      <c r="J137" s="352">
        <f t="shared" si="88"/>
        <v>1</v>
      </c>
      <c r="K137" s="346"/>
      <c r="L137" s="346"/>
      <c r="M137" s="352">
        <f t="shared" si="89"/>
        <v>4</v>
      </c>
      <c r="N137" s="352">
        <f t="shared" si="89"/>
        <v>4</v>
      </c>
      <c r="O137" s="352">
        <f t="shared" si="89"/>
        <v>4</v>
      </c>
      <c r="P137" s="352">
        <f t="shared" si="89"/>
        <v>4</v>
      </c>
      <c r="Q137" s="346"/>
      <c r="R137" s="346"/>
      <c r="S137" s="352">
        <f t="shared" si="90"/>
        <v>8</v>
      </c>
      <c r="T137" s="352">
        <f t="shared" si="90"/>
        <v>8</v>
      </c>
      <c r="U137" s="352">
        <f t="shared" si="90"/>
        <v>8</v>
      </c>
      <c r="V137" s="352">
        <f t="shared" si="90"/>
        <v>8</v>
      </c>
      <c r="W137" s="346"/>
      <c r="X137" s="352">
        <f t="shared" si="91"/>
        <v>8</v>
      </c>
      <c r="Y137" s="352">
        <f t="shared" si="91"/>
        <v>8</v>
      </c>
      <c r="Z137" s="352">
        <f t="shared" si="91"/>
        <v>8</v>
      </c>
      <c r="AA137" s="352">
        <f t="shared" si="91"/>
        <v>8</v>
      </c>
      <c r="AB137" s="346"/>
      <c r="AC137" s="352">
        <f t="shared" si="92"/>
        <v>4</v>
      </c>
      <c r="AD137" s="352">
        <f t="shared" si="92"/>
        <v>4</v>
      </c>
      <c r="AE137" s="352">
        <f t="shared" si="92"/>
        <v>4</v>
      </c>
      <c r="AF137" s="352">
        <f t="shared" si="92"/>
        <v>4</v>
      </c>
      <c r="AG137" s="352">
        <f t="shared" si="92"/>
        <v>1</v>
      </c>
      <c r="AH137" s="346"/>
      <c r="AI137" s="346"/>
      <c r="AJ137" s="346"/>
      <c r="AK137" s="346"/>
      <c r="AL137" s="346"/>
      <c r="AM137" s="346"/>
      <c r="AN137" s="346"/>
      <c r="AO137" s="346"/>
    </row>
    <row r="138" spans="1:41" x14ac:dyDescent="0.3">
      <c r="A138" s="312"/>
      <c r="B138" s="312"/>
      <c r="C138" s="29"/>
      <c r="D138"/>
      <c r="E138"/>
      <c r="F138" s="303" t="s">
        <v>999</v>
      </c>
      <c r="G138" s="303" t="s">
        <v>148</v>
      </c>
      <c r="H138" s="303"/>
      <c r="I138" s="303"/>
      <c r="J138" s="352">
        <f t="shared" si="88"/>
        <v>1</v>
      </c>
      <c r="K138" s="346"/>
      <c r="L138" s="346"/>
      <c r="M138" s="352">
        <f t="shared" si="89"/>
        <v>4</v>
      </c>
      <c r="N138" s="352">
        <f t="shared" si="89"/>
        <v>4</v>
      </c>
      <c r="O138" s="352">
        <f t="shared" si="89"/>
        <v>4</v>
      </c>
      <c r="P138" s="352">
        <f t="shared" si="89"/>
        <v>4</v>
      </c>
      <c r="Q138" s="346"/>
      <c r="R138" s="346"/>
      <c r="S138" s="352">
        <f t="shared" si="90"/>
        <v>8</v>
      </c>
      <c r="T138" s="352">
        <f t="shared" si="90"/>
        <v>8</v>
      </c>
      <c r="U138" s="352">
        <f t="shared" si="90"/>
        <v>8</v>
      </c>
      <c r="V138" s="352">
        <f t="shared" si="90"/>
        <v>8</v>
      </c>
      <c r="W138" s="346"/>
      <c r="X138" s="352">
        <f t="shared" si="91"/>
        <v>8</v>
      </c>
      <c r="Y138" s="352">
        <f t="shared" si="91"/>
        <v>8</v>
      </c>
      <c r="Z138" s="352">
        <f t="shared" si="91"/>
        <v>8</v>
      </c>
      <c r="AA138" s="352">
        <f t="shared" si="91"/>
        <v>8</v>
      </c>
      <c r="AB138" s="346"/>
      <c r="AC138" s="352">
        <f t="shared" si="92"/>
        <v>4</v>
      </c>
      <c r="AD138" s="352">
        <f t="shared" si="92"/>
        <v>4</v>
      </c>
      <c r="AE138" s="352">
        <f t="shared" si="92"/>
        <v>4</v>
      </c>
      <c r="AF138" s="352">
        <f t="shared" si="92"/>
        <v>4</v>
      </c>
      <c r="AG138" s="352">
        <f t="shared" si="92"/>
        <v>1</v>
      </c>
      <c r="AH138" s="346"/>
      <c r="AI138" s="346"/>
      <c r="AJ138" s="346"/>
      <c r="AK138" s="346"/>
      <c r="AL138" s="346"/>
      <c r="AM138" s="346"/>
      <c r="AN138" s="346"/>
      <c r="AO138" s="346"/>
    </row>
    <row r="139" spans="1:41" x14ac:dyDescent="0.3">
      <c r="A139" s="312"/>
      <c r="B139" s="312"/>
      <c r="C139" s="29"/>
      <c r="D139"/>
      <c r="E139"/>
      <c r="F139" s="303" t="s">
        <v>1000</v>
      </c>
      <c r="G139" s="303" t="s">
        <v>148</v>
      </c>
      <c r="H139" s="303"/>
      <c r="I139" s="303"/>
      <c r="J139" s="352">
        <f t="shared" si="88"/>
        <v>1</v>
      </c>
      <c r="K139" s="346"/>
      <c r="L139" s="346"/>
      <c r="M139" s="352">
        <f t="shared" si="89"/>
        <v>4</v>
      </c>
      <c r="N139" s="352">
        <f t="shared" si="89"/>
        <v>4</v>
      </c>
      <c r="O139" s="352">
        <f t="shared" si="89"/>
        <v>4</v>
      </c>
      <c r="P139" s="352">
        <f t="shared" si="89"/>
        <v>4</v>
      </c>
      <c r="Q139" s="346"/>
      <c r="R139" s="346"/>
      <c r="S139" s="352">
        <f t="shared" si="90"/>
        <v>8</v>
      </c>
      <c r="T139" s="352">
        <f t="shared" si="90"/>
        <v>8</v>
      </c>
      <c r="U139" s="352">
        <f t="shared" si="90"/>
        <v>8</v>
      </c>
      <c r="V139" s="352">
        <f t="shared" si="90"/>
        <v>8</v>
      </c>
      <c r="W139" s="346"/>
      <c r="X139" s="352">
        <f t="shared" si="91"/>
        <v>8</v>
      </c>
      <c r="Y139" s="352">
        <f t="shared" si="91"/>
        <v>8</v>
      </c>
      <c r="Z139" s="352">
        <f t="shared" si="91"/>
        <v>8</v>
      </c>
      <c r="AA139" s="352">
        <f t="shared" si="91"/>
        <v>8</v>
      </c>
      <c r="AB139" s="346"/>
      <c r="AC139" s="352">
        <f t="shared" si="92"/>
        <v>4</v>
      </c>
      <c r="AD139" s="352">
        <f t="shared" si="92"/>
        <v>4</v>
      </c>
      <c r="AE139" s="352">
        <f t="shared" si="92"/>
        <v>4</v>
      </c>
      <c r="AF139" s="352">
        <f t="shared" si="92"/>
        <v>4</v>
      </c>
      <c r="AG139" s="352">
        <f t="shared" si="92"/>
        <v>1</v>
      </c>
      <c r="AH139" s="346"/>
      <c r="AI139" s="346"/>
      <c r="AJ139" s="346"/>
      <c r="AK139" s="346"/>
      <c r="AL139" s="346"/>
      <c r="AM139" s="346"/>
      <c r="AN139" s="346"/>
      <c r="AO139" s="346"/>
    </row>
    <row r="140" spans="1:41" x14ac:dyDescent="0.3">
      <c r="A140" s="312"/>
      <c r="B140" s="312"/>
      <c r="C140" s="29"/>
      <c r="D140"/>
      <c r="E140"/>
      <c r="F140" s="303" t="s">
        <v>1001</v>
      </c>
      <c r="G140" s="303" t="s">
        <v>148</v>
      </c>
      <c r="H140" s="303"/>
      <c r="I140" s="303"/>
      <c r="J140" s="352">
        <f t="shared" si="88"/>
        <v>1</v>
      </c>
      <c r="K140" s="346"/>
      <c r="L140" s="346"/>
      <c r="M140" s="352">
        <f t="shared" si="89"/>
        <v>4</v>
      </c>
      <c r="N140" s="352">
        <f t="shared" si="89"/>
        <v>4</v>
      </c>
      <c r="O140" s="352">
        <f t="shared" si="89"/>
        <v>4</v>
      </c>
      <c r="P140" s="352">
        <f t="shared" si="89"/>
        <v>4</v>
      </c>
      <c r="Q140" s="346"/>
      <c r="R140" s="346"/>
      <c r="S140" s="352">
        <f t="shared" si="90"/>
        <v>8</v>
      </c>
      <c r="T140" s="352">
        <f t="shared" si="90"/>
        <v>8</v>
      </c>
      <c r="U140" s="352">
        <f t="shared" si="90"/>
        <v>8</v>
      </c>
      <c r="V140" s="352">
        <f t="shared" si="90"/>
        <v>8</v>
      </c>
      <c r="W140" s="346"/>
      <c r="X140" s="352">
        <f t="shared" si="91"/>
        <v>8</v>
      </c>
      <c r="Y140" s="352">
        <f t="shared" si="91"/>
        <v>8</v>
      </c>
      <c r="Z140" s="352">
        <f t="shared" si="91"/>
        <v>8</v>
      </c>
      <c r="AA140" s="352">
        <f t="shared" si="91"/>
        <v>8</v>
      </c>
      <c r="AB140" s="346"/>
      <c r="AC140" s="352">
        <f t="shared" si="92"/>
        <v>4</v>
      </c>
      <c r="AD140" s="352">
        <f t="shared" si="92"/>
        <v>4</v>
      </c>
      <c r="AE140" s="352">
        <f t="shared" si="92"/>
        <v>4</v>
      </c>
      <c r="AF140" s="352">
        <f t="shared" si="92"/>
        <v>4</v>
      </c>
      <c r="AG140" s="352">
        <f t="shared" si="92"/>
        <v>1</v>
      </c>
      <c r="AH140" s="346"/>
      <c r="AI140" s="346"/>
      <c r="AJ140" s="346"/>
      <c r="AK140" s="346"/>
      <c r="AL140" s="346"/>
      <c r="AM140" s="346"/>
      <c r="AN140" s="346"/>
      <c r="AO140" s="346"/>
    </row>
    <row r="141" spans="1:41" x14ac:dyDescent="0.3">
      <c r="A141" s="312"/>
      <c r="B141" s="312"/>
      <c r="C141" s="29"/>
      <c r="D141"/>
      <c r="E141"/>
      <c r="F141" s="303" t="s">
        <v>1002</v>
      </c>
      <c r="G141" s="303" t="s">
        <v>148</v>
      </c>
      <c r="H141" s="303"/>
      <c r="I141" s="303"/>
      <c r="J141" s="352">
        <f t="shared" si="88"/>
        <v>1</v>
      </c>
      <c r="K141" s="346"/>
      <c r="L141" s="346"/>
      <c r="M141" s="352">
        <f t="shared" si="89"/>
        <v>4</v>
      </c>
      <c r="N141" s="352">
        <f t="shared" si="89"/>
        <v>4</v>
      </c>
      <c r="O141" s="352">
        <f t="shared" si="89"/>
        <v>4</v>
      </c>
      <c r="P141" s="352">
        <f t="shared" si="89"/>
        <v>4</v>
      </c>
      <c r="Q141" s="346"/>
      <c r="R141" s="346"/>
      <c r="S141" s="352">
        <f t="shared" si="90"/>
        <v>8</v>
      </c>
      <c r="T141" s="352">
        <f t="shared" si="90"/>
        <v>8</v>
      </c>
      <c r="U141" s="352">
        <f t="shared" si="90"/>
        <v>8</v>
      </c>
      <c r="V141" s="352">
        <f t="shared" si="90"/>
        <v>8</v>
      </c>
      <c r="W141" s="346"/>
      <c r="X141" s="352">
        <f t="shared" si="91"/>
        <v>8</v>
      </c>
      <c r="Y141" s="352">
        <f t="shared" si="91"/>
        <v>8</v>
      </c>
      <c r="Z141" s="352">
        <f t="shared" si="91"/>
        <v>8</v>
      </c>
      <c r="AA141" s="352">
        <f t="shared" si="91"/>
        <v>8</v>
      </c>
      <c r="AB141" s="346"/>
      <c r="AC141" s="352">
        <f t="shared" si="92"/>
        <v>4</v>
      </c>
      <c r="AD141" s="352">
        <f t="shared" si="92"/>
        <v>4</v>
      </c>
      <c r="AE141" s="352">
        <f t="shared" si="92"/>
        <v>4</v>
      </c>
      <c r="AF141" s="352">
        <f t="shared" si="92"/>
        <v>4</v>
      </c>
      <c r="AG141" s="352">
        <f t="shared" si="92"/>
        <v>1</v>
      </c>
      <c r="AH141" s="346"/>
      <c r="AI141" s="346"/>
      <c r="AJ141" s="346"/>
      <c r="AK141" s="346"/>
      <c r="AL141" s="346"/>
      <c r="AM141" s="346"/>
      <c r="AN141" s="346"/>
      <c r="AO141" s="346"/>
    </row>
    <row r="142" spans="1:41" x14ac:dyDescent="0.3">
      <c r="A142" s="312"/>
      <c r="B142" s="312"/>
      <c r="C142" s="29"/>
      <c r="D142"/>
      <c r="E142"/>
      <c r="F142" s="303" t="s">
        <v>1003</v>
      </c>
      <c r="G142" s="303" t="s">
        <v>148</v>
      </c>
      <c r="H142" s="303"/>
      <c r="I142" s="303"/>
      <c r="J142" s="352">
        <f t="shared" si="88"/>
        <v>1</v>
      </c>
      <c r="K142" s="346"/>
      <c r="L142" s="346"/>
      <c r="M142" s="352">
        <f t="shared" si="89"/>
        <v>4</v>
      </c>
      <c r="N142" s="352">
        <f t="shared" si="89"/>
        <v>4</v>
      </c>
      <c r="O142" s="352">
        <f t="shared" si="89"/>
        <v>4</v>
      </c>
      <c r="P142" s="352">
        <f t="shared" si="89"/>
        <v>4</v>
      </c>
      <c r="Q142" s="346"/>
      <c r="R142" s="346"/>
      <c r="S142" s="352">
        <f t="shared" si="90"/>
        <v>8</v>
      </c>
      <c r="T142" s="352">
        <f t="shared" si="90"/>
        <v>8</v>
      </c>
      <c r="U142" s="352">
        <f t="shared" si="90"/>
        <v>8</v>
      </c>
      <c r="V142" s="352">
        <f t="shared" si="90"/>
        <v>8</v>
      </c>
      <c r="W142" s="346"/>
      <c r="X142" s="352">
        <f t="shared" si="91"/>
        <v>8</v>
      </c>
      <c r="Y142" s="352">
        <f t="shared" si="91"/>
        <v>8</v>
      </c>
      <c r="Z142" s="352">
        <f t="shared" si="91"/>
        <v>8</v>
      </c>
      <c r="AA142" s="352">
        <f t="shared" si="91"/>
        <v>8</v>
      </c>
      <c r="AB142" s="346"/>
      <c r="AC142" s="352">
        <f t="shared" si="92"/>
        <v>4</v>
      </c>
      <c r="AD142" s="352">
        <f t="shared" si="92"/>
        <v>4</v>
      </c>
      <c r="AE142" s="352">
        <f t="shared" si="92"/>
        <v>4</v>
      </c>
      <c r="AF142" s="352">
        <f t="shared" si="92"/>
        <v>4</v>
      </c>
      <c r="AG142" s="352">
        <f t="shared" si="92"/>
        <v>1</v>
      </c>
      <c r="AH142" s="346"/>
      <c r="AI142" s="346"/>
      <c r="AJ142" s="346"/>
      <c r="AK142" s="346"/>
      <c r="AL142" s="346"/>
      <c r="AM142" s="346"/>
      <c r="AN142" s="346"/>
      <c r="AO142" s="346"/>
    </row>
    <row r="143" spans="1:41" x14ac:dyDescent="0.3">
      <c r="A143" s="312"/>
      <c r="B143" s="312"/>
      <c r="C143" s="29"/>
      <c r="D143"/>
      <c r="E143"/>
      <c r="F143" s="37" t="s">
        <v>1004</v>
      </c>
      <c r="G143" s="37" t="s">
        <v>148</v>
      </c>
      <c r="H143" s="37"/>
      <c r="I143" s="37"/>
      <c r="J143" s="353">
        <f t="shared" si="88"/>
        <v>1</v>
      </c>
      <c r="K143" s="348"/>
      <c r="L143" s="348"/>
      <c r="M143" s="353">
        <f t="shared" si="89"/>
        <v>4</v>
      </c>
      <c r="N143" s="353">
        <f t="shared" si="89"/>
        <v>4</v>
      </c>
      <c r="O143" s="353">
        <f t="shared" si="89"/>
        <v>4</v>
      </c>
      <c r="P143" s="353">
        <f t="shared" si="89"/>
        <v>4</v>
      </c>
      <c r="Q143" s="348"/>
      <c r="R143" s="348"/>
      <c r="S143" s="353">
        <f t="shared" si="90"/>
        <v>8</v>
      </c>
      <c r="T143" s="353">
        <f t="shared" si="90"/>
        <v>8</v>
      </c>
      <c r="U143" s="353">
        <f t="shared" si="90"/>
        <v>8</v>
      </c>
      <c r="V143" s="353">
        <f t="shared" si="90"/>
        <v>8</v>
      </c>
      <c r="W143" s="348"/>
      <c r="X143" s="353">
        <f t="shared" si="91"/>
        <v>8</v>
      </c>
      <c r="Y143" s="353">
        <f t="shared" si="91"/>
        <v>8</v>
      </c>
      <c r="Z143" s="353">
        <f t="shared" si="91"/>
        <v>8</v>
      </c>
      <c r="AA143" s="353">
        <f t="shared" si="91"/>
        <v>8</v>
      </c>
      <c r="AB143" s="348"/>
      <c r="AC143" s="353">
        <f t="shared" si="92"/>
        <v>4</v>
      </c>
      <c r="AD143" s="353">
        <f t="shared" si="92"/>
        <v>4</v>
      </c>
      <c r="AE143" s="353">
        <f t="shared" si="92"/>
        <v>4</v>
      </c>
      <c r="AF143" s="353">
        <f t="shared" si="92"/>
        <v>4</v>
      </c>
      <c r="AG143" s="353">
        <f t="shared" si="92"/>
        <v>1</v>
      </c>
      <c r="AH143" s="348"/>
      <c r="AI143" s="348"/>
      <c r="AJ143" s="348"/>
      <c r="AK143" s="348"/>
      <c r="AL143" s="348"/>
      <c r="AM143" s="348"/>
      <c r="AN143" s="348"/>
      <c r="AO143" s="348"/>
    </row>
    <row r="144" spans="1:41" x14ac:dyDescent="0.3">
      <c r="A144" s="312"/>
      <c r="B144" s="312"/>
      <c r="C144" s="29"/>
      <c r="D144"/>
      <c r="E144"/>
      <c r="J144" s="163"/>
      <c r="K144" s="163"/>
      <c r="L144" s="163"/>
      <c r="M144" s="325"/>
      <c r="N144" s="163"/>
      <c r="O144" s="163"/>
      <c r="P144" s="163"/>
      <c r="Q144" s="163"/>
      <c r="R144" s="163"/>
      <c r="S144" s="325"/>
      <c r="T144" s="163"/>
      <c r="U144" s="163"/>
      <c r="V144" s="163"/>
      <c r="W144" s="163"/>
      <c r="X144" s="325"/>
      <c r="Y144" s="163"/>
      <c r="Z144" s="163"/>
      <c r="AA144" s="163"/>
      <c r="AB144" s="163"/>
      <c r="AC144" s="325"/>
      <c r="AD144" s="163"/>
      <c r="AE144" s="163"/>
      <c r="AF144" s="163"/>
      <c r="AG144" s="163"/>
      <c r="AH144" s="163"/>
      <c r="AI144" s="163"/>
      <c r="AJ144" s="163"/>
      <c r="AK144" s="163"/>
      <c r="AL144" s="163"/>
      <c r="AM144" s="163"/>
      <c r="AN144" s="163"/>
      <c r="AO144" s="163"/>
    </row>
    <row r="145" spans="1:41" x14ac:dyDescent="0.3">
      <c r="A145" s="312"/>
      <c r="B145" s="312"/>
      <c r="C145" s="29"/>
      <c r="D145"/>
      <c r="E145" t="s">
        <v>1014</v>
      </c>
      <c r="J145" s="352">
        <f>MAX(J136:J143)</f>
        <v>1</v>
      </c>
      <c r="K145" s="346"/>
      <c r="L145" s="346"/>
      <c r="M145" s="352">
        <f t="shared" ref="M145:P145" si="93">MAX(M136:M143)</f>
        <v>4</v>
      </c>
      <c r="N145" s="352">
        <f t="shared" si="93"/>
        <v>4</v>
      </c>
      <c r="O145" s="352">
        <f t="shared" si="93"/>
        <v>4</v>
      </c>
      <c r="P145" s="352">
        <f t="shared" si="93"/>
        <v>4</v>
      </c>
      <c r="Q145" s="346"/>
      <c r="R145" s="346"/>
      <c r="S145" s="352">
        <f t="shared" ref="S145:V145" si="94">MAX(S136:S143)</f>
        <v>8</v>
      </c>
      <c r="T145" s="352">
        <f t="shared" si="94"/>
        <v>8</v>
      </c>
      <c r="U145" s="352">
        <f t="shared" si="94"/>
        <v>8</v>
      </c>
      <c r="V145" s="352">
        <f t="shared" si="94"/>
        <v>8</v>
      </c>
      <c r="W145" s="346"/>
      <c r="X145" s="352">
        <f t="shared" ref="X145:AA145" si="95">MAX(X136:X143)</f>
        <v>8</v>
      </c>
      <c r="Y145" s="352">
        <f t="shared" si="95"/>
        <v>8</v>
      </c>
      <c r="Z145" s="352">
        <f t="shared" si="95"/>
        <v>8</v>
      </c>
      <c r="AA145" s="352">
        <f t="shared" si="95"/>
        <v>8</v>
      </c>
      <c r="AB145" s="346"/>
      <c r="AC145" s="352">
        <f t="shared" ref="AC145:AG145" si="96">MAX(AC136:AC143)</f>
        <v>4</v>
      </c>
      <c r="AD145" s="352">
        <f t="shared" si="96"/>
        <v>4</v>
      </c>
      <c r="AE145" s="352">
        <f t="shared" si="96"/>
        <v>4</v>
      </c>
      <c r="AF145" s="352">
        <f t="shared" si="96"/>
        <v>4</v>
      </c>
      <c r="AG145" s="352">
        <f t="shared" si="96"/>
        <v>1</v>
      </c>
      <c r="AH145" s="346"/>
      <c r="AI145" s="346"/>
      <c r="AJ145" s="346"/>
      <c r="AK145" s="346"/>
      <c r="AL145" s="346"/>
      <c r="AM145" s="346"/>
      <c r="AN145" s="346"/>
      <c r="AO145" s="346"/>
    </row>
    <row r="146" spans="1:41" x14ac:dyDescent="0.3">
      <c r="A146" s="312"/>
      <c r="B146" s="312"/>
      <c r="C146" s="29"/>
      <c r="D146"/>
      <c r="E146"/>
      <c r="J146" s="163"/>
      <c r="K146" s="163"/>
      <c r="L146" s="163"/>
      <c r="M146" s="325"/>
      <c r="N146" s="163"/>
      <c r="O146" s="163"/>
      <c r="P146" s="163"/>
      <c r="Q146" s="163"/>
      <c r="R146" s="163"/>
      <c r="S146" s="325"/>
      <c r="T146" s="163"/>
      <c r="U146" s="163"/>
      <c r="V146" s="163"/>
      <c r="W146" s="163"/>
      <c r="X146" s="325"/>
      <c r="Y146" s="163"/>
      <c r="Z146" s="163"/>
      <c r="AA146" s="163"/>
      <c r="AB146" s="163"/>
      <c r="AC146" s="325"/>
      <c r="AD146" s="163"/>
      <c r="AE146" s="163"/>
      <c r="AF146" s="163"/>
      <c r="AG146" s="163"/>
      <c r="AH146" s="163"/>
      <c r="AI146" s="163"/>
      <c r="AJ146" s="163"/>
      <c r="AK146" s="163"/>
      <c r="AL146" s="163"/>
      <c r="AM146" s="163"/>
      <c r="AN146" s="163"/>
      <c r="AO146" s="163"/>
    </row>
    <row r="147" spans="1:41" x14ac:dyDescent="0.3">
      <c r="A147" s="312"/>
      <c r="B147" s="312"/>
      <c r="C147" s="29"/>
      <c r="D147"/>
      <c r="E147" t="s">
        <v>1013</v>
      </c>
      <c r="G147" t="s">
        <v>148</v>
      </c>
      <c r="J147" s="325">
        <f t="array" ref="J147">MATCH(TRUE, J136:J143=J145, 0)</f>
        <v>1</v>
      </c>
      <c r="K147" s="325">
        <f t="array" ref="K147">MATCH(TRUE, K136:K143=K145, 0)</f>
        <v>1</v>
      </c>
      <c r="L147" s="325">
        <f t="array" ref="L147">MATCH(TRUE, L136:L143=L145, 0)</f>
        <v>1</v>
      </c>
      <c r="M147" s="325">
        <f t="array" ref="M147">MATCH(TRUE, M136:M143=M145, 0)</f>
        <v>1</v>
      </c>
      <c r="N147" s="325">
        <f t="array" ref="N147">MATCH(TRUE, N136:N143=N145, 0)</f>
        <v>1</v>
      </c>
      <c r="O147" s="325">
        <f t="array" ref="O147">MATCH(TRUE, O136:O143=O145, 0)</f>
        <v>1</v>
      </c>
      <c r="P147" s="325">
        <f t="array" ref="P147">MATCH(TRUE, P136:P143=P145, 0)</f>
        <v>1</v>
      </c>
      <c r="Q147" s="325">
        <f t="array" ref="Q147">MATCH(TRUE, Q136:Q143=Q145, 0)</f>
        <v>1</v>
      </c>
      <c r="R147" s="325">
        <f t="array" ref="R147">MATCH(TRUE, R136:R143=R145, 0)</f>
        <v>1</v>
      </c>
      <c r="S147" s="325">
        <f t="array" ref="S147">MATCH(TRUE, S136:S143=S145, 0)</f>
        <v>1</v>
      </c>
      <c r="T147" s="325">
        <f t="array" ref="T147">MATCH(TRUE, T136:T143=T145, 0)</f>
        <v>1</v>
      </c>
      <c r="U147" s="325">
        <f t="array" ref="U147">MATCH(TRUE, U136:U143=U145, 0)</f>
        <v>1</v>
      </c>
      <c r="V147" s="325">
        <f t="array" ref="V147">MATCH(TRUE, V136:V143=V145, 0)</f>
        <v>1</v>
      </c>
      <c r="W147" s="325">
        <f t="array" ref="W147">MATCH(TRUE, W136:W143=W145, 0)</f>
        <v>1</v>
      </c>
      <c r="X147" s="325">
        <f t="array" ref="X147">MATCH(TRUE, X136:X143=X145, 0)</f>
        <v>1</v>
      </c>
      <c r="Y147" s="325">
        <f t="array" ref="Y147">MATCH(TRUE, Y136:Y143=Y145, 0)</f>
        <v>1</v>
      </c>
      <c r="Z147" s="325">
        <f t="array" ref="Z147">MATCH(TRUE, Z136:Z143=Z145, 0)</f>
        <v>1</v>
      </c>
      <c r="AA147" s="325">
        <f t="array" ref="AA147">MATCH(TRUE, AA136:AA143=AA145, 0)</f>
        <v>1</v>
      </c>
      <c r="AB147" s="325">
        <f t="array" ref="AB147">MATCH(TRUE, AB136:AB143=AB145, 0)</f>
        <v>1</v>
      </c>
      <c r="AC147" s="325">
        <f t="array" ref="AC147">MATCH(TRUE, AC136:AC143=AC145, 0)</f>
        <v>1</v>
      </c>
      <c r="AD147" s="325">
        <f t="array" ref="AD147">MATCH(TRUE, AD136:AD143=AD145, 0)</f>
        <v>1</v>
      </c>
      <c r="AE147" s="325">
        <f t="array" ref="AE147">MATCH(TRUE, AE136:AE143=AE145, 0)</f>
        <v>1</v>
      </c>
      <c r="AF147" s="325">
        <f t="array" ref="AF147">MATCH(TRUE, AF136:AF143=AF145, 0)</f>
        <v>1</v>
      </c>
      <c r="AG147" s="325">
        <f t="array" ref="AG147">MATCH(TRUE, AG136:AG143=AG145, 0)</f>
        <v>1</v>
      </c>
      <c r="AH147" s="325">
        <f t="array" ref="AH147">MATCH(TRUE, AH136:AH143=AH145, 0)</f>
        <v>1</v>
      </c>
      <c r="AI147" s="325">
        <f t="array" ref="AI147">MATCH(TRUE, AI136:AI143=AI145, 0)</f>
        <v>1</v>
      </c>
      <c r="AJ147" s="325">
        <f t="array" ref="AJ147">MATCH(TRUE, AJ136:AJ143=AJ145, 0)</f>
        <v>1</v>
      </c>
      <c r="AK147" s="325">
        <f t="array" ref="AK147">MATCH(TRUE, AK136:AK143=AK145, 0)</f>
        <v>1</v>
      </c>
      <c r="AL147" s="325">
        <f t="array" ref="AL147">MATCH(TRUE, AL136:AL143=AL145, 0)</f>
        <v>1</v>
      </c>
      <c r="AM147" s="325">
        <f t="array" ref="AM147">MATCH(TRUE, AM136:AM143=AM145, 0)</f>
        <v>1</v>
      </c>
      <c r="AN147" s="325">
        <f t="array" ref="AN147">MATCH(TRUE, AN136:AN143=AN145, 0)</f>
        <v>1</v>
      </c>
      <c r="AO147" s="325">
        <f t="array" ref="AO147">MATCH(TRUE, AO136:AO143=AO145, 0)</f>
        <v>1</v>
      </c>
    </row>
    <row r="148" spans="1:41" x14ac:dyDescent="0.3">
      <c r="A148" s="312"/>
      <c r="B148" s="312"/>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3">
      <c r="C149" s="29"/>
      <c r="E149" s="327" t="s">
        <v>1022</v>
      </c>
      <c r="G149" t="s">
        <v>148</v>
      </c>
      <c r="J149" s="373">
        <f>INDEX(J104:J111,J$147)</f>
        <v>1</v>
      </c>
      <c r="K149" s="373">
        <f t="shared" ref="K149:AO149" si="97">INDEX(K104:K111,K$147)</f>
        <v>0</v>
      </c>
      <c r="L149" s="373">
        <f t="shared" si="97"/>
        <v>0</v>
      </c>
      <c r="M149" s="373">
        <f t="shared" si="97"/>
        <v>5</v>
      </c>
      <c r="N149" s="373">
        <f t="shared" si="97"/>
        <v>6</v>
      </c>
      <c r="O149" s="373">
        <f t="shared" si="97"/>
        <v>7</v>
      </c>
      <c r="P149" s="373">
        <f t="shared" si="97"/>
        <v>8</v>
      </c>
      <c r="Q149" s="373">
        <f t="shared" si="97"/>
        <v>0</v>
      </c>
      <c r="R149" s="373">
        <f t="shared" si="97"/>
        <v>0</v>
      </c>
      <c r="S149" s="373">
        <f t="shared" si="97"/>
        <v>9</v>
      </c>
      <c r="T149" s="373">
        <f t="shared" si="97"/>
        <v>10</v>
      </c>
      <c r="U149" s="373">
        <f t="shared" si="97"/>
        <v>11</v>
      </c>
      <c r="V149" s="373">
        <f t="shared" si="97"/>
        <v>12</v>
      </c>
      <c r="W149" s="373">
        <f t="shared" si="97"/>
        <v>0</v>
      </c>
      <c r="X149" s="373">
        <f t="shared" si="97"/>
        <v>9</v>
      </c>
      <c r="Y149" s="373">
        <f t="shared" si="97"/>
        <v>10</v>
      </c>
      <c r="Z149" s="373">
        <f t="shared" si="97"/>
        <v>11</v>
      </c>
      <c r="AA149" s="373">
        <f t="shared" si="97"/>
        <v>12</v>
      </c>
      <c r="AB149" s="373">
        <f t="shared" si="97"/>
        <v>0</v>
      </c>
      <c r="AC149" s="373">
        <f t="shared" si="97"/>
        <v>13</v>
      </c>
      <c r="AD149" s="373">
        <f t="shared" si="97"/>
        <v>14</v>
      </c>
      <c r="AE149" s="373">
        <f t="shared" si="97"/>
        <v>15</v>
      </c>
      <c r="AF149" s="373">
        <f t="shared" si="97"/>
        <v>16</v>
      </c>
      <c r="AG149" s="373">
        <f t="shared" si="97"/>
        <v>17</v>
      </c>
      <c r="AH149" s="373">
        <f t="shared" si="97"/>
        <v>0</v>
      </c>
      <c r="AI149" s="373">
        <f t="shared" si="97"/>
        <v>0</v>
      </c>
      <c r="AJ149" s="373">
        <f t="shared" si="97"/>
        <v>0</v>
      </c>
      <c r="AK149" s="373">
        <f t="shared" si="97"/>
        <v>0</v>
      </c>
      <c r="AL149" s="373">
        <f t="shared" si="97"/>
        <v>0</v>
      </c>
      <c r="AM149" s="373">
        <f t="shared" si="97"/>
        <v>0</v>
      </c>
      <c r="AN149" s="373">
        <f t="shared" si="97"/>
        <v>0</v>
      </c>
      <c r="AO149" s="373">
        <f t="shared" si="97"/>
        <v>0</v>
      </c>
    </row>
    <row r="150" spans="1:41" x14ac:dyDescent="0.3">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3">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3">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3">
      <c r="C153" s="29"/>
      <c r="D153"/>
      <c r="E153" t="s">
        <v>1031</v>
      </c>
      <c r="G153" t="s">
        <v>211</v>
      </c>
      <c r="J153" s="163">
        <f t="shared" ref="J153:AO153" si="98">IF(J32, J56, 0)</f>
        <v>2271054.3909128611</v>
      </c>
      <c r="K153" s="163">
        <f t="shared" si="98"/>
        <v>0</v>
      </c>
      <c r="L153" s="163">
        <f t="shared" si="98"/>
        <v>0</v>
      </c>
      <c r="M153" s="163">
        <f t="shared" si="98"/>
        <v>58331.051875219389</v>
      </c>
      <c r="N153" s="163">
        <f t="shared" si="98"/>
        <v>51940.054428782634</v>
      </c>
      <c r="O153" s="163">
        <f t="shared" si="98"/>
        <v>26765.733852839774</v>
      </c>
      <c r="P153" s="163">
        <f t="shared" si="98"/>
        <v>25664.311127024586</v>
      </c>
      <c r="Q153" s="163">
        <f t="shared" si="98"/>
        <v>0</v>
      </c>
      <c r="R153" s="163">
        <f t="shared" si="98"/>
        <v>0</v>
      </c>
      <c r="S153" s="163">
        <f t="shared" si="98"/>
        <v>5332.9394649519545</v>
      </c>
      <c r="T153" s="163">
        <f t="shared" si="98"/>
        <v>4901.8617602311642</v>
      </c>
      <c r="U153" s="163">
        <f t="shared" si="98"/>
        <v>1736.5466489298194</v>
      </c>
      <c r="V153" s="163">
        <f t="shared" si="98"/>
        <v>1825.9623300400269</v>
      </c>
      <c r="W153" s="163">
        <f t="shared" si="98"/>
        <v>0</v>
      </c>
      <c r="X153" s="163">
        <f t="shared" si="98"/>
        <v>857.75488438728496</v>
      </c>
      <c r="Y153" s="163">
        <f t="shared" si="98"/>
        <v>788.41995020984461</v>
      </c>
      <c r="Z153" s="163">
        <f t="shared" si="98"/>
        <v>279.30775885890233</v>
      </c>
      <c r="AA153" s="163">
        <f t="shared" si="98"/>
        <v>293.68945917955045</v>
      </c>
      <c r="AB153" s="163">
        <f t="shared" si="98"/>
        <v>0</v>
      </c>
      <c r="AC153" s="163">
        <f t="shared" si="98"/>
        <v>883.84266954154384</v>
      </c>
      <c r="AD153" s="163">
        <f t="shared" si="98"/>
        <v>714.96197639115712</v>
      </c>
      <c r="AE153" s="163">
        <f t="shared" si="98"/>
        <v>293.26587433300654</v>
      </c>
      <c r="AF153" s="163">
        <f t="shared" si="98"/>
        <v>238.65774600892942</v>
      </c>
      <c r="AG153" s="163">
        <f t="shared" si="98"/>
        <v>661.01324841238045</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3">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3">
      <c r="C155" s="29"/>
      <c r="D155"/>
      <c r="E155" t="s">
        <v>1028</v>
      </c>
      <c r="G155" t="s">
        <v>211</v>
      </c>
      <c r="J155" s="163">
        <f t="shared" ref="J155:AO155" si="99">SUMIF($J$149:$AO$149,J149,$J$153:$AO$153)</f>
        <v>2271054.3909128611</v>
      </c>
      <c r="K155" s="163">
        <f t="shared" si="99"/>
        <v>0</v>
      </c>
      <c r="L155" s="163">
        <f t="shared" si="99"/>
        <v>0</v>
      </c>
      <c r="M155" s="163">
        <f t="shared" si="99"/>
        <v>58331.051875219389</v>
      </c>
      <c r="N155" s="163">
        <f t="shared" si="99"/>
        <v>51940.054428782634</v>
      </c>
      <c r="O155" s="163">
        <f t="shared" si="99"/>
        <v>26765.733852839774</v>
      </c>
      <c r="P155" s="163">
        <f t="shared" si="99"/>
        <v>25664.311127024586</v>
      </c>
      <c r="Q155" s="163">
        <f t="shared" si="99"/>
        <v>0</v>
      </c>
      <c r="R155" s="163">
        <f t="shared" si="99"/>
        <v>0</v>
      </c>
      <c r="S155" s="163">
        <f t="shared" si="99"/>
        <v>6190.6943493392391</v>
      </c>
      <c r="T155" s="163">
        <f t="shared" si="99"/>
        <v>5690.2817104410087</v>
      </c>
      <c r="U155" s="163">
        <f t="shared" si="99"/>
        <v>2015.8544077887218</v>
      </c>
      <c r="V155" s="163">
        <f t="shared" si="99"/>
        <v>2119.6517892195775</v>
      </c>
      <c r="W155" s="163">
        <f t="shared" si="99"/>
        <v>0</v>
      </c>
      <c r="X155" s="163">
        <f t="shared" si="99"/>
        <v>6190.6943493392391</v>
      </c>
      <c r="Y155" s="163">
        <f t="shared" si="99"/>
        <v>5690.2817104410087</v>
      </c>
      <c r="Z155" s="163">
        <f t="shared" si="99"/>
        <v>2015.8544077887218</v>
      </c>
      <c r="AA155" s="163">
        <f t="shared" si="99"/>
        <v>2119.6517892195775</v>
      </c>
      <c r="AB155" s="163">
        <f t="shared" si="99"/>
        <v>0</v>
      </c>
      <c r="AC155" s="163">
        <f t="shared" si="99"/>
        <v>883.84266954154384</v>
      </c>
      <c r="AD155" s="163">
        <f t="shared" si="99"/>
        <v>714.96197639115712</v>
      </c>
      <c r="AE155" s="163">
        <f t="shared" si="99"/>
        <v>293.26587433300654</v>
      </c>
      <c r="AF155" s="163">
        <f t="shared" si="99"/>
        <v>238.65774600892942</v>
      </c>
      <c r="AG155" s="163">
        <f t="shared" si="99"/>
        <v>661.01324841238045</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3">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3">
      <c r="A157" s="312"/>
      <c r="C157" s="29"/>
      <c r="D157"/>
      <c r="E157" t="s">
        <v>1137</v>
      </c>
      <c r="G157" t="s">
        <v>166</v>
      </c>
      <c r="J157" s="388">
        <f>IF(J155&lt;&gt;0,J153/J155,0)</f>
        <v>1</v>
      </c>
      <c r="K157" s="388">
        <f t="shared" ref="K157:AO157" si="100">IF(K155&lt;&gt;0,K153/K155,0)</f>
        <v>0</v>
      </c>
      <c r="L157" s="388">
        <f t="shared" si="100"/>
        <v>0</v>
      </c>
      <c r="M157" s="388">
        <f t="shared" si="100"/>
        <v>1</v>
      </c>
      <c r="N157" s="388">
        <f t="shared" si="100"/>
        <v>1</v>
      </c>
      <c r="O157" s="388">
        <f t="shared" si="100"/>
        <v>1</v>
      </c>
      <c r="P157" s="388">
        <f t="shared" si="100"/>
        <v>1</v>
      </c>
      <c r="Q157" s="388">
        <f t="shared" si="100"/>
        <v>0</v>
      </c>
      <c r="R157" s="388">
        <f t="shared" si="100"/>
        <v>0</v>
      </c>
      <c r="S157" s="388">
        <f t="shared" si="100"/>
        <v>0.86144447844063943</v>
      </c>
      <c r="T157" s="388">
        <f t="shared" si="100"/>
        <v>0.86144447844063943</v>
      </c>
      <c r="U157" s="388">
        <f t="shared" si="100"/>
        <v>0.86144447844063943</v>
      </c>
      <c r="V157" s="388">
        <f t="shared" si="100"/>
        <v>0.86144447844063932</v>
      </c>
      <c r="W157" s="388">
        <f t="shared" si="100"/>
        <v>0</v>
      </c>
      <c r="X157" s="388">
        <f t="shared" si="100"/>
        <v>0.13855552155936063</v>
      </c>
      <c r="Y157" s="388">
        <f t="shared" si="100"/>
        <v>0.13855552155936063</v>
      </c>
      <c r="Z157" s="388">
        <f t="shared" si="100"/>
        <v>0.1385555215593606</v>
      </c>
      <c r="AA157" s="388">
        <f t="shared" si="100"/>
        <v>0.1385555215593606</v>
      </c>
      <c r="AB157" s="388">
        <f t="shared" si="100"/>
        <v>0</v>
      </c>
      <c r="AC157" s="388">
        <f t="shared" si="100"/>
        <v>1</v>
      </c>
      <c r="AD157" s="388">
        <f t="shared" si="100"/>
        <v>1</v>
      </c>
      <c r="AE157" s="388">
        <f t="shared" si="100"/>
        <v>1</v>
      </c>
      <c r="AF157" s="388">
        <f t="shared" si="100"/>
        <v>1</v>
      </c>
      <c r="AG157" s="388">
        <f t="shared" si="100"/>
        <v>1</v>
      </c>
      <c r="AH157" s="388">
        <f t="shared" si="100"/>
        <v>0</v>
      </c>
      <c r="AI157" s="388">
        <f t="shared" si="100"/>
        <v>0</v>
      </c>
      <c r="AJ157" s="388">
        <f t="shared" si="100"/>
        <v>0</v>
      </c>
      <c r="AK157" s="388">
        <f t="shared" si="100"/>
        <v>0</v>
      </c>
      <c r="AL157" s="388">
        <f t="shared" si="100"/>
        <v>0</v>
      </c>
      <c r="AM157" s="388">
        <f t="shared" si="100"/>
        <v>0</v>
      </c>
      <c r="AN157" s="388">
        <f t="shared" si="100"/>
        <v>0</v>
      </c>
      <c r="AO157" s="388">
        <f t="shared" si="100"/>
        <v>0</v>
      </c>
    </row>
    <row r="158" spans="1:41" x14ac:dyDescent="0.3">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3">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3">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3">
      <c r="C161" s="29"/>
      <c r="D161" s="29" t="s">
        <v>1149</v>
      </c>
      <c r="I161" t="s">
        <v>153</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1144</v>
      </c>
    </row>
    <row r="162" spans="3:43" x14ac:dyDescent="0.3">
      <c r="C162" s="29"/>
      <c r="D162" s="29" t="s">
        <v>1123</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3">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3">
      <c r="C164" s="29"/>
      <c r="D164"/>
      <c r="E164" t="s">
        <v>1023</v>
      </c>
      <c r="G164" t="s">
        <v>206</v>
      </c>
      <c r="J164" s="163">
        <f t="shared" ref="J164:AO164" si="101">SUM(J53:J55)</f>
        <v>7346335.6585877175</v>
      </c>
      <c r="K164" s="163">
        <f t="shared" si="101"/>
        <v>4574.7222930909275</v>
      </c>
      <c r="L164" s="163">
        <f t="shared" si="101"/>
        <v>1.5270327171440765</v>
      </c>
      <c r="M164" s="163">
        <f t="shared" si="101"/>
        <v>88884.103845633421</v>
      </c>
      <c r="N164" s="163">
        <f t="shared" si="101"/>
        <v>390475.28847809008</v>
      </c>
      <c r="O164" s="163">
        <f t="shared" si="101"/>
        <v>498539.80929167452</v>
      </c>
      <c r="P164" s="163">
        <f t="shared" si="101"/>
        <v>1488644.8842817862</v>
      </c>
      <c r="Q164" s="163">
        <f t="shared" si="101"/>
        <v>15558.98618731625</v>
      </c>
      <c r="R164" s="163">
        <f t="shared" si="101"/>
        <v>58.409470842030167</v>
      </c>
      <c r="S164" s="163">
        <f t="shared" si="101"/>
        <v>313783.49068104674</v>
      </c>
      <c r="T164" s="163">
        <f t="shared" si="101"/>
        <v>719198.01287689316</v>
      </c>
      <c r="U164" s="163">
        <f t="shared" si="101"/>
        <v>415568.40305782406</v>
      </c>
      <c r="V164" s="163">
        <f t="shared" si="101"/>
        <v>917405.17674011248</v>
      </c>
      <c r="W164" s="163">
        <f t="shared" si="101"/>
        <v>187.74025461722138</v>
      </c>
      <c r="X164" s="163">
        <f t="shared" si="101"/>
        <v>161308.19494005261</v>
      </c>
      <c r="Y164" s="163">
        <f t="shared" si="101"/>
        <v>369721.59691973159</v>
      </c>
      <c r="Z164" s="163">
        <f t="shared" si="101"/>
        <v>213633.25656771677</v>
      </c>
      <c r="AA164" s="163">
        <f t="shared" si="101"/>
        <v>471614.91118419159</v>
      </c>
      <c r="AB164" s="163">
        <f t="shared" si="101"/>
        <v>489.96042447082908</v>
      </c>
      <c r="AC164" s="163">
        <f t="shared" si="101"/>
        <v>432593.03223805293</v>
      </c>
      <c r="AD164" s="163">
        <f t="shared" si="101"/>
        <v>1143834.8351707922</v>
      </c>
      <c r="AE164" s="163">
        <f t="shared" si="101"/>
        <v>983521.17803114199</v>
      </c>
      <c r="AF164" s="163">
        <f t="shared" si="101"/>
        <v>1866510.5878371389</v>
      </c>
      <c r="AG164" s="163">
        <f t="shared" si="101"/>
        <v>194263.17896172914</v>
      </c>
      <c r="AH164" s="163">
        <f t="shared" si="101"/>
        <v>1777.5573609545413</v>
      </c>
      <c r="AI164" s="163">
        <f t="shared" si="101"/>
        <v>0</v>
      </c>
      <c r="AJ164" s="163">
        <f t="shared" si="101"/>
        <v>30722.35858147312</v>
      </c>
      <c r="AK164" s="163">
        <f t="shared" si="101"/>
        <v>0</v>
      </c>
      <c r="AL164" s="163">
        <f t="shared" si="101"/>
        <v>4028.1713844820988</v>
      </c>
      <c r="AM164" s="163">
        <f t="shared" si="101"/>
        <v>0</v>
      </c>
      <c r="AN164" s="163">
        <f t="shared" si="101"/>
        <v>944577.06279657339</v>
      </c>
      <c r="AO164" s="163">
        <f t="shared" si="101"/>
        <v>0</v>
      </c>
    </row>
    <row r="165" spans="3:43" x14ac:dyDescent="0.3">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3">
      <c r="C166" s="29"/>
      <c r="D166"/>
      <c r="E166" t="s">
        <v>1024</v>
      </c>
      <c r="G166" t="s">
        <v>206</v>
      </c>
      <c r="J166" s="163">
        <f t="shared" ref="J166:AO166" si="102">IF(J32,J164, 0)</f>
        <v>7346335.6585877175</v>
      </c>
      <c r="K166" s="163">
        <f t="shared" si="102"/>
        <v>0</v>
      </c>
      <c r="L166" s="163">
        <f t="shared" si="102"/>
        <v>0</v>
      </c>
      <c r="M166" s="163">
        <f t="shared" si="102"/>
        <v>88884.103845633421</v>
      </c>
      <c r="N166" s="163">
        <f t="shared" si="102"/>
        <v>390475.28847809008</v>
      </c>
      <c r="O166" s="163">
        <f t="shared" si="102"/>
        <v>498539.80929167452</v>
      </c>
      <c r="P166" s="163">
        <f t="shared" si="102"/>
        <v>1488644.8842817862</v>
      </c>
      <c r="Q166" s="163">
        <f t="shared" si="102"/>
        <v>0</v>
      </c>
      <c r="R166" s="163">
        <f t="shared" si="102"/>
        <v>0</v>
      </c>
      <c r="S166" s="163">
        <f t="shared" si="102"/>
        <v>313783.49068104674</v>
      </c>
      <c r="T166" s="163">
        <f t="shared" si="102"/>
        <v>719198.01287689316</v>
      </c>
      <c r="U166" s="163">
        <f t="shared" si="102"/>
        <v>415568.40305782406</v>
      </c>
      <c r="V166" s="163">
        <f t="shared" si="102"/>
        <v>917405.17674011248</v>
      </c>
      <c r="W166" s="163">
        <f t="shared" si="102"/>
        <v>0</v>
      </c>
      <c r="X166" s="163">
        <f t="shared" si="102"/>
        <v>161308.19494005261</v>
      </c>
      <c r="Y166" s="163">
        <f t="shared" si="102"/>
        <v>369721.59691973159</v>
      </c>
      <c r="Z166" s="163">
        <f t="shared" si="102"/>
        <v>213633.25656771677</v>
      </c>
      <c r="AA166" s="163">
        <f t="shared" si="102"/>
        <v>471614.91118419159</v>
      </c>
      <c r="AB166" s="163">
        <f t="shared" si="102"/>
        <v>0</v>
      </c>
      <c r="AC166" s="163">
        <f t="shared" si="102"/>
        <v>432593.03223805293</v>
      </c>
      <c r="AD166" s="163">
        <f t="shared" si="102"/>
        <v>1143834.8351707922</v>
      </c>
      <c r="AE166" s="163">
        <f t="shared" si="102"/>
        <v>983521.17803114199</v>
      </c>
      <c r="AF166" s="163">
        <f t="shared" si="102"/>
        <v>1866510.5878371389</v>
      </c>
      <c r="AG166" s="163">
        <f t="shared" si="102"/>
        <v>194263.17896172914</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3">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3">
      <c r="C168" s="29"/>
      <c r="D168"/>
      <c r="E168" s="29" t="s">
        <v>1033</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3">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3">
      <c r="C170" s="29"/>
      <c r="D170"/>
      <c r="E170" t="s">
        <v>1018</v>
      </c>
      <c r="G170" t="s">
        <v>166</v>
      </c>
      <c r="J170" s="372">
        <v>1</v>
      </c>
      <c r="K170" s="66"/>
      <c r="L170" s="79"/>
      <c r="M170" s="412">
        <f>'Volume adjustments'!K689</f>
        <v>3.6035864543102654E-2</v>
      </c>
      <c r="N170" s="412">
        <f>'Volume adjustments'!L689</f>
        <v>0.15830856130881329</v>
      </c>
      <c r="O170" s="412">
        <f>'Volume adjustments'!M689</f>
        <v>0.20212065217172784</v>
      </c>
      <c r="P170" s="412">
        <f>'Volume adjustments'!N689</f>
        <v>0.60353430008054865</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3">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3">
      <c r="C172" s="29"/>
      <c r="D172"/>
      <c r="E172" t="s">
        <v>994</v>
      </c>
      <c r="G172" t="s">
        <v>206</v>
      </c>
      <c r="J172" s="163">
        <f>J170*$K164</f>
        <v>4574.7222930909275</v>
      </c>
      <c r="K172" s="79"/>
      <c r="L172" s="79"/>
      <c r="M172" s="163">
        <f>M170*$Q164</f>
        <v>560.6815186741336</v>
      </c>
      <c r="N172" s="163">
        <f>N170*$Q164</f>
        <v>2463.1207187377336</v>
      </c>
      <c r="O172" s="163">
        <f>O170*$Q164</f>
        <v>3144.7924353112658</v>
      </c>
      <c r="P172" s="163">
        <f>P170*$Q164</f>
        <v>9390.3818385248378</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3">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3">
      <c r="C174" s="29"/>
      <c r="D174"/>
      <c r="E174" t="s">
        <v>1025</v>
      </c>
      <c r="G174" t="s">
        <v>206</v>
      </c>
      <c r="J174" s="163">
        <f t="shared" ref="J174:AO174" si="103">J166+J172</f>
        <v>7350910.3808808085</v>
      </c>
      <c r="K174" s="163">
        <f t="shared" si="103"/>
        <v>0</v>
      </c>
      <c r="L174" s="163">
        <f t="shared" si="103"/>
        <v>0</v>
      </c>
      <c r="M174" s="163">
        <f t="shared" si="103"/>
        <v>89444.78536430755</v>
      </c>
      <c r="N174" s="163">
        <f t="shared" si="103"/>
        <v>392938.40919682779</v>
      </c>
      <c r="O174" s="163">
        <f t="shared" si="103"/>
        <v>501684.60172698577</v>
      </c>
      <c r="P174" s="163">
        <f t="shared" si="103"/>
        <v>1498035.2661203111</v>
      </c>
      <c r="Q174" s="163">
        <f t="shared" si="103"/>
        <v>0</v>
      </c>
      <c r="R174" s="163">
        <f t="shared" si="103"/>
        <v>0</v>
      </c>
      <c r="S174" s="163">
        <f t="shared" si="103"/>
        <v>313783.49068104674</v>
      </c>
      <c r="T174" s="163">
        <f t="shared" si="103"/>
        <v>719198.01287689316</v>
      </c>
      <c r="U174" s="163">
        <f t="shared" si="103"/>
        <v>415568.40305782406</v>
      </c>
      <c r="V174" s="163">
        <f t="shared" si="103"/>
        <v>917405.17674011248</v>
      </c>
      <c r="W174" s="163">
        <f t="shared" si="103"/>
        <v>0</v>
      </c>
      <c r="X174" s="163">
        <f t="shared" si="103"/>
        <v>161308.19494005261</v>
      </c>
      <c r="Y174" s="163">
        <f t="shared" si="103"/>
        <v>369721.59691973159</v>
      </c>
      <c r="Z174" s="163">
        <f t="shared" si="103"/>
        <v>213633.25656771677</v>
      </c>
      <c r="AA174" s="163">
        <f t="shared" si="103"/>
        <v>471614.91118419159</v>
      </c>
      <c r="AB174" s="163">
        <f t="shared" si="103"/>
        <v>0</v>
      </c>
      <c r="AC174" s="163">
        <f t="shared" si="103"/>
        <v>432593.03223805293</v>
      </c>
      <c r="AD174" s="163">
        <f t="shared" si="103"/>
        <v>1143834.8351707922</v>
      </c>
      <c r="AE174" s="163">
        <f t="shared" si="103"/>
        <v>983521.17803114199</v>
      </c>
      <c r="AF174" s="163">
        <f t="shared" si="103"/>
        <v>1866510.5878371389</v>
      </c>
      <c r="AG174" s="163">
        <f t="shared" si="103"/>
        <v>194263.17896172914</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3">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3">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3">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3">
      <c r="C178" s="29"/>
      <c r="D178" s="29" t="s">
        <v>1124</v>
      </c>
      <c r="I178" t="s">
        <v>153</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1144</v>
      </c>
    </row>
    <row r="179" spans="3:43" x14ac:dyDescent="0.3">
      <c r="C179" s="29"/>
      <c r="D179" s="29" t="s">
        <v>1125</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3">
      <c r="C180" s="29"/>
      <c r="D180" s="29" t="s">
        <v>1126</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3">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3">
      <c r="C182" s="29"/>
      <c r="D182" s="312"/>
      <c r="E182" s="312" t="s">
        <v>1027</v>
      </c>
      <c r="F182" s="312"/>
      <c r="G182" t="s">
        <v>206</v>
      </c>
      <c r="J182" s="163">
        <f t="shared" ref="J182:AO182" si="104">SUMIF($J$149:$AO$149,J149,$J$174:$AO$174)</f>
        <v>7350910.3808808085</v>
      </c>
      <c r="K182" s="163">
        <f t="shared" si="104"/>
        <v>0</v>
      </c>
      <c r="L182" s="163">
        <f t="shared" si="104"/>
        <v>0</v>
      </c>
      <c r="M182" s="163">
        <f t="shared" si="104"/>
        <v>89444.78536430755</v>
      </c>
      <c r="N182" s="163">
        <f t="shared" si="104"/>
        <v>392938.40919682779</v>
      </c>
      <c r="O182" s="163">
        <f t="shared" si="104"/>
        <v>501684.60172698577</v>
      </c>
      <c r="P182" s="163">
        <f t="shared" si="104"/>
        <v>1498035.2661203111</v>
      </c>
      <c r="Q182" s="163">
        <f t="shared" si="104"/>
        <v>0</v>
      </c>
      <c r="R182" s="163">
        <f t="shared" si="104"/>
        <v>0</v>
      </c>
      <c r="S182" s="163">
        <f t="shared" si="104"/>
        <v>475091.68562109931</v>
      </c>
      <c r="T182" s="163">
        <f t="shared" si="104"/>
        <v>1088919.6097966246</v>
      </c>
      <c r="U182" s="163">
        <f t="shared" si="104"/>
        <v>629201.65962554084</v>
      </c>
      <c r="V182" s="163">
        <f t="shared" si="104"/>
        <v>1389020.087924304</v>
      </c>
      <c r="W182" s="163">
        <f t="shared" si="104"/>
        <v>0</v>
      </c>
      <c r="X182" s="163">
        <f t="shared" si="104"/>
        <v>475091.68562109931</v>
      </c>
      <c r="Y182" s="163">
        <f t="shared" si="104"/>
        <v>1088919.6097966246</v>
      </c>
      <c r="Z182" s="163">
        <f t="shared" si="104"/>
        <v>629201.65962554084</v>
      </c>
      <c r="AA182" s="163">
        <f t="shared" si="104"/>
        <v>1389020.087924304</v>
      </c>
      <c r="AB182" s="163">
        <f t="shared" si="104"/>
        <v>0</v>
      </c>
      <c r="AC182" s="163">
        <f t="shared" si="104"/>
        <v>432593.03223805293</v>
      </c>
      <c r="AD182" s="163">
        <f t="shared" si="104"/>
        <v>1143834.8351707922</v>
      </c>
      <c r="AE182" s="163">
        <f t="shared" si="104"/>
        <v>983521.17803114199</v>
      </c>
      <c r="AF182" s="163">
        <f t="shared" si="104"/>
        <v>1866510.5878371389</v>
      </c>
      <c r="AG182" s="163">
        <f t="shared" si="104"/>
        <v>194263.17896172914</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3">
      <c r="C183" s="29"/>
      <c r="D183" s="312"/>
      <c r="E183" s="312"/>
      <c r="F183" s="312"/>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3">
      <c r="C184" s="29"/>
      <c r="D184" s="312"/>
      <c r="E184" s="312" t="s">
        <v>1029</v>
      </c>
      <c r="F184" s="312"/>
      <c r="G184" t="s">
        <v>206</v>
      </c>
      <c r="J184" s="163">
        <f>J157*J182</f>
        <v>7350910.3808808085</v>
      </c>
      <c r="K184" s="163">
        <f t="shared" ref="K184:AO184" si="105">K157*K182</f>
        <v>0</v>
      </c>
      <c r="L184" s="163">
        <f t="shared" si="105"/>
        <v>0</v>
      </c>
      <c r="M184" s="163">
        <f t="shared" si="105"/>
        <v>89444.78536430755</v>
      </c>
      <c r="N184" s="163">
        <f t="shared" si="105"/>
        <v>392938.40919682779</v>
      </c>
      <c r="O184" s="163">
        <f t="shared" si="105"/>
        <v>501684.60172698577</v>
      </c>
      <c r="P184" s="163">
        <f t="shared" si="105"/>
        <v>1498035.2661203111</v>
      </c>
      <c r="Q184" s="163">
        <f t="shared" si="105"/>
        <v>0</v>
      </c>
      <c r="R184" s="163">
        <f t="shared" si="105"/>
        <v>0</v>
      </c>
      <c r="S184" s="163">
        <f t="shared" si="105"/>
        <v>409265.10933135211</v>
      </c>
      <c r="T184" s="163">
        <f t="shared" si="105"/>
        <v>938043.7853250379</v>
      </c>
      <c r="U184" s="163">
        <f t="shared" si="105"/>
        <v>542022.29551010882</v>
      </c>
      <c r="V184" s="163">
        <f t="shared" si="105"/>
        <v>1196563.685185523</v>
      </c>
      <c r="W184" s="163">
        <f t="shared" si="105"/>
        <v>0</v>
      </c>
      <c r="X184" s="163">
        <f t="shared" si="105"/>
        <v>65826.576289747201</v>
      </c>
      <c r="Y184" s="163">
        <f t="shared" si="105"/>
        <v>150875.82447158679</v>
      </c>
      <c r="Z184" s="163">
        <f t="shared" si="105"/>
        <v>87179.364115432094</v>
      </c>
      <c r="AA184" s="163">
        <f t="shared" si="105"/>
        <v>192456.40273878086</v>
      </c>
      <c r="AB184" s="163">
        <f t="shared" si="105"/>
        <v>0</v>
      </c>
      <c r="AC184" s="163">
        <f t="shared" si="105"/>
        <v>432593.03223805293</v>
      </c>
      <c r="AD184" s="163">
        <f t="shared" si="105"/>
        <v>1143834.8351707922</v>
      </c>
      <c r="AE184" s="163">
        <f t="shared" si="105"/>
        <v>983521.17803114199</v>
      </c>
      <c r="AF184" s="163">
        <f t="shared" si="105"/>
        <v>1866510.5878371389</v>
      </c>
      <c r="AG184" s="163">
        <f t="shared" si="105"/>
        <v>194263.17896172914</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3">
      <c r="C185" s="29"/>
      <c r="D185" s="312"/>
      <c r="E185" s="312"/>
      <c r="F185" s="31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3">
      <c r="C186" s="29"/>
      <c r="D186"/>
      <c r="E186" t="s">
        <v>454</v>
      </c>
      <c r="G186" t="s">
        <v>206</v>
      </c>
      <c r="H186" s="163">
        <f>SUM($J$184:$AO$184)</f>
        <v>18035969.298495665</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3">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3">
      <c r="C188" s="29"/>
      <c r="D188"/>
      <c r="E188" t="s">
        <v>1041</v>
      </c>
      <c r="G188" t="s">
        <v>166</v>
      </c>
      <c r="J188" s="326">
        <f>J184/$H186</f>
        <v>0.407569466282798</v>
      </c>
      <c r="K188" s="326">
        <f t="shared" ref="K188:AO188" si="106">K184/$H186</f>
        <v>0</v>
      </c>
      <c r="L188" s="326">
        <f t="shared" si="106"/>
        <v>0</v>
      </c>
      <c r="M188" s="326">
        <f t="shared" si="106"/>
        <v>4.959244711719925E-3</v>
      </c>
      <c r="N188" s="326">
        <f t="shared" si="106"/>
        <v>2.1786376029682076E-2</v>
      </c>
      <c r="O188" s="326">
        <f t="shared" si="106"/>
        <v>2.7815782641015585E-2</v>
      </c>
      <c r="P188" s="326">
        <f t="shared" si="106"/>
        <v>8.3058206705045698E-2</v>
      </c>
      <c r="Q188" s="326">
        <f t="shared" si="106"/>
        <v>0</v>
      </c>
      <c r="R188" s="326">
        <f t="shared" si="106"/>
        <v>0</v>
      </c>
      <c r="S188" s="326">
        <f t="shared" si="106"/>
        <v>2.269160601007942E-2</v>
      </c>
      <c r="T188" s="326">
        <f t="shared" si="106"/>
        <v>5.2009613112574869E-2</v>
      </c>
      <c r="U188" s="326">
        <f t="shared" si="106"/>
        <v>3.0052296416102103E-2</v>
      </c>
      <c r="V188" s="326">
        <f t="shared" si="106"/>
        <v>6.6343187071477516E-2</v>
      </c>
      <c r="W188" s="326">
        <f t="shared" si="106"/>
        <v>0</v>
      </c>
      <c r="X188" s="326">
        <f t="shared" si="106"/>
        <v>3.6497387637069016E-3</v>
      </c>
      <c r="Y188" s="326">
        <f t="shared" si="106"/>
        <v>8.365273968622855E-3</v>
      </c>
      <c r="Z188" s="326">
        <f t="shared" si="106"/>
        <v>4.8336389729108434E-3</v>
      </c>
      <c r="AA188" s="326">
        <f t="shared" si="106"/>
        <v>1.0670699176385998E-2</v>
      </c>
      <c r="AB188" s="326">
        <f t="shared" si="106"/>
        <v>0</v>
      </c>
      <c r="AC188" s="326">
        <f t="shared" si="106"/>
        <v>2.3985017111009078E-2</v>
      </c>
      <c r="AD188" s="326">
        <f t="shared" si="106"/>
        <v>6.3419648605533868E-2</v>
      </c>
      <c r="AE188" s="326">
        <f t="shared" si="106"/>
        <v>5.4531096264018093E-2</v>
      </c>
      <c r="AF188" s="326">
        <f t="shared" si="106"/>
        <v>0.10348823270578643</v>
      </c>
      <c r="AG188" s="326">
        <f t="shared" si="106"/>
        <v>1.0770875451530744E-2</v>
      </c>
      <c r="AH188" s="326">
        <f t="shared" si="106"/>
        <v>0</v>
      </c>
      <c r="AI188" s="326">
        <f t="shared" si="106"/>
        <v>0</v>
      </c>
      <c r="AJ188" s="326">
        <f t="shared" si="106"/>
        <v>0</v>
      </c>
      <c r="AK188" s="326">
        <f t="shared" si="106"/>
        <v>0</v>
      </c>
      <c r="AL188" s="326">
        <f t="shared" si="106"/>
        <v>0</v>
      </c>
      <c r="AM188" s="326">
        <f t="shared" si="106"/>
        <v>0</v>
      </c>
      <c r="AN188" s="326">
        <f t="shared" si="106"/>
        <v>0</v>
      </c>
      <c r="AO188" s="326">
        <f t="shared" si="106"/>
        <v>0</v>
      </c>
    </row>
    <row r="189" spans="3:43" x14ac:dyDescent="0.3">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3">
      <c r="C190" s="29"/>
      <c r="D190"/>
      <c r="E190" t="s">
        <v>936</v>
      </c>
      <c r="G190" t="s">
        <v>276</v>
      </c>
      <c r="J190" s="163">
        <f>$H$84 * J188</f>
        <v>53842128.563857108</v>
      </c>
      <c r="K190" s="163">
        <f t="shared" ref="K190:AO190" si="107">$H$84 * K188</f>
        <v>0</v>
      </c>
      <c r="L190" s="163">
        <f t="shared" si="107"/>
        <v>0</v>
      </c>
      <c r="M190" s="163">
        <f t="shared" si="107"/>
        <v>655143.02085323434</v>
      </c>
      <c r="N190" s="163">
        <f t="shared" si="107"/>
        <v>2878097.9837109703</v>
      </c>
      <c r="O190" s="163">
        <f t="shared" si="107"/>
        <v>3674615.173509323</v>
      </c>
      <c r="P190" s="163">
        <f t="shared" si="107"/>
        <v>10972437.863128603</v>
      </c>
      <c r="Q190" s="163">
        <f t="shared" si="107"/>
        <v>0</v>
      </c>
      <c r="R190" s="163">
        <f t="shared" si="107"/>
        <v>0</v>
      </c>
      <c r="S190" s="163">
        <f t="shared" si="107"/>
        <v>2997683.7550125746</v>
      </c>
      <c r="T190" s="163">
        <f t="shared" si="107"/>
        <v>6870750.8962918483</v>
      </c>
      <c r="U190" s="163">
        <f t="shared" si="107"/>
        <v>3970070.7269179574</v>
      </c>
      <c r="V190" s="163">
        <f t="shared" si="107"/>
        <v>8764293.4595105089</v>
      </c>
      <c r="W190" s="163">
        <f t="shared" si="107"/>
        <v>0</v>
      </c>
      <c r="X190" s="163">
        <f t="shared" si="107"/>
        <v>482150.2099562306</v>
      </c>
      <c r="Y190" s="163">
        <f t="shared" si="107"/>
        <v>1105097.8882160899</v>
      </c>
      <c r="Z190" s="163">
        <f t="shared" si="107"/>
        <v>638549.82411797077</v>
      </c>
      <c r="AA190" s="163">
        <f t="shared" si="107"/>
        <v>1409657.014204717</v>
      </c>
      <c r="AB190" s="163">
        <f t="shared" si="107"/>
        <v>0</v>
      </c>
      <c r="AC190" s="163">
        <f t="shared" si="107"/>
        <v>3168550.3496505888</v>
      </c>
      <c r="AD190" s="163">
        <f t="shared" si="107"/>
        <v>8378078.2324956898</v>
      </c>
      <c r="AE190" s="163">
        <f t="shared" si="107"/>
        <v>7203852.4439858198</v>
      </c>
      <c r="AF190" s="163">
        <f t="shared" si="107"/>
        <v>13671354.679756809</v>
      </c>
      <c r="AG190" s="163">
        <f t="shared" si="107"/>
        <v>1422890.8413963967</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3">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3">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3">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3">
      <c r="C194" s="29"/>
      <c r="D194" s="29" t="s">
        <v>1039</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3">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3">
      <c r="C196" s="29"/>
      <c r="D196"/>
      <c r="E196" t="s">
        <v>937</v>
      </c>
      <c r="G196" t="s">
        <v>1138</v>
      </c>
      <c r="I196" t="s">
        <v>153</v>
      </c>
      <c r="J196" s="163">
        <f t="shared" ref="J196:AO196" si="108">IF(J33, J190/J153, 0)</f>
        <v>23.707987258823426</v>
      </c>
      <c r="K196" s="163">
        <f t="shared" si="108"/>
        <v>0</v>
      </c>
      <c r="L196" s="163">
        <f t="shared" si="108"/>
        <v>0</v>
      </c>
      <c r="M196" s="163">
        <f t="shared" si="108"/>
        <v>11.231462485104899</v>
      </c>
      <c r="N196" s="163">
        <f t="shared" si="108"/>
        <v>55.411916975506081</v>
      </c>
      <c r="O196" s="163">
        <f t="shared" si="108"/>
        <v>137.28804125874754</v>
      </c>
      <c r="P196" s="163">
        <f t="shared" si="108"/>
        <v>427.53681596287214</v>
      </c>
      <c r="Q196" s="163">
        <f t="shared" si="108"/>
        <v>0</v>
      </c>
      <c r="R196" s="163">
        <f t="shared" si="108"/>
        <v>0</v>
      </c>
      <c r="S196" s="163">
        <f t="shared" si="108"/>
        <v>562.10721586347154</v>
      </c>
      <c r="T196" s="163">
        <f t="shared" si="108"/>
        <v>1401.6614976852866</v>
      </c>
      <c r="U196" s="163">
        <f t="shared" si="108"/>
        <v>2286.1872034158082</v>
      </c>
      <c r="V196" s="163">
        <f t="shared" si="108"/>
        <v>4799.8216147856601</v>
      </c>
      <c r="W196" s="163">
        <f t="shared" si="108"/>
        <v>0</v>
      </c>
      <c r="X196" s="163">
        <f t="shared" si="108"/>
        <v>562.10721586347142</v>
      </c>
      <c r="Y196" s="163">
        <f t="shared" si="108"/>
        <v>1401.6614976852866</v>
      </c>
      <c r="Z196" s="163">
        <f t="shared" si="108"/>
        <v>2286.1872034158077</v>
      </c>
      <c r="AA196" s="163">
        <f t="shared" si="108"/>
        <v>4799.8216147856601</v>
      </c>
      <c r="AB196" s="163">
        <f t="shared" si="108"/>
        <v>0</v>
      </c>
      <c r="AC196" s="163">
        <f t="shared" si="108"/>
        <v>3584.9710121985181</v>
      </c>
      <c r="AD196" s="163">
        <f t="shared" si="108"/>
        <v>11718.215106745798</v>
      </c>
      <c r="AE196" s="163">
        <f t="shared" si="108"/>
        <v>24564.237009744164</v>
      </c>
      <c r="AF196" s="163">
        <f t="shared" si="108"/>
        <v>57284.353465926441</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1153</v>
      </c>
    </row>
    <row r="197" spans="3:43" x14ac:dyDescent="0.3">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3">
      <c r="C198" s="29"/>
      <c r="D198"/>
      <c r="E198" t="s">
        <v>937</v>
      </c>
      <c r="G198" t="s">
        <v>269</v>
      </c>
      <c r="I198" t="s">
        <v>153</v>
      </c>
      <c r="J198" s="163">
        <f t="shared" ref="J198:AO198" si="109">J196 * hundred / days_in_year</f>
        <v>6.4953389750201174</v>
      </c>
      <c r="K198" s="163">
        <f t="shared" si="109"/>
        <v>0</v>
      </c>
      <c r="L198" s="163">
        <f t="shared" si="109"/>
        <v>0</v>
      </c>
      <c r="M198" s="163">
        <f t="shared" si="109"/>
        <v>3.0771130096177806</v>
      </c>
      <c r="N198" s="163">
        <f t="shared" si="109"/>
        <v>15.181347116577008</v>
      </c>
      <c r="O198" s="163">
        <f t="shared" si="109"/>
        <v>37.613161988697961</v>
      </c>
      <c r="P198" s="163">
        <f t="shared" si="109"/>
        <v>117.13337423640333</v>
      </c>
      <c r="Q198" s="163">
        <f t="shared" si="109"/>
        <v>0</v>
      </c>
      <c r="R198" s="163">
        <f t="shared" si="109"/>
        <v>0</v>
      </c>
      <c r="S198" s="163">
        <f t="shared" si="109"/>
        <v>154.0019769488963</v>
      </c>
      <c r="T198" s="163">
        <f t="shared" si="109"/>
        <v>384.01684868090041</v>
      </c>
      <c r="U198" s="163">
        <f t="shared" si="109"/>
        <v>626.35265847008452</v>
      </c>
      <c r="V198" s="163">
        <f t="shared" si="109"/>
        <v>1315.019620489222</v>
      </c>
      <c r="W198" s="163">
        <f t="shared" si="109"/>
        <v>0</v>
      </c>
      <c r="X198" s="163">
        <f t="shared" si="109"/>
        <v>154.00197694889627</v>
      </c>
      <c r="Y198" s="163">
        <f t="shared" si="109"/>
        <v>384.01684868090041</v>
      </c>
      <c r="Z198" s="163">
        <f t="shared" si="109"/>
        <v>626.35265847008429</v>
      </c>
      <c r="AA198" s="163">
        <f t="shared" si="109"/>
        <v>1315.019620489222</v>
      </c>
      <c r="AB198" s="163">
        <f t="shared" si="109"/>
        <v>0</v>
      </c>
      <c r="AC198" s="163">
        <f t="shared" si="109"/>
        <v>982.18383895849809</v>
      </c>
      <c r="AD198" s="163">
        <f t="shared" si="109"/>
        <v>3210.4698922591228</v>
      </c>
      <c r="AE198" s="163">
        <f t="shared" si="109"/>
        <v>6729.9279478751132</v>
      </c>
      <c r="AF198" s="163">
        <f t="shared" si="109"/>
        <v>15694.343415322313</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1154</v>
      </c>
    </row>
    <row r="199" spans="3:43" x14ac:dyDescent="0.3">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3">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3">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3">
      <c r="C202" s="29"/>
      <c r="D202" s="29" t="s">
        <v>1035</v>
      </c>
      <c r="E202"/>
      <c r="I202" t="s">
        <v>153</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1145</v>
      </c>
    </row>
    <row r="203" spans="3:43" x14ac:dyDescent="0.3">
      <c r="C203" s="29"/>
      <c r="D203" s="29" t="s">
        <v>1036</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3">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3">
      <c r="C205" s="29"/>
      <c r="D205"/>
      <c r="E205" t="s">
        <v>938</v>
      </c>
      <c r="G205" t="s">
        <v>939</v>
      </c>
      <c r="J205" s="329">
        <f t="shared" ref="J205:AO205" si="110">IF(J34, J190/J184, 0)</f>
        <v>0</v>
      </c>
      <c r="K205" s="329">
        <f t="shared" si="110"/>
        <v>0</v>
      </c>
      <c r="L205" s="329">
        <f t="shared" si="110"/>
        <v>0</v>
      </c>
      <c r="M205" s="329">
        <f t="shared" si="110"/>
        <v>0</v>
      </c>
      <c r="N205" s="329">
        <f t="shared" si="110"/>
        <v>0</v>
      </c>
      <c r="O205" s="329">
        <f t="shared" si="110"/>
        <v>0</v>
      </c>
      <c r="P205" s="329">
        <f t="shared" si="110"/>
        <v>0</v>
      </c>
      <c r="Q205" s="329">
        <f t="shared" si="110"/>
        <v>0</v>
      </c>
      <c r="R205" s="329">
        <f t="shared" si="110"/>
        <v>0</v>
      </c>
      <c r="S205" s="329">
        <f t="shared" si="110"/>
        <v>0</v>
      </c>
      <c r="T205" s="329">
        <f t="shared" si="110"/>
        <v>0</v>
      </c>
      <c r="U205" s="329">
        <f t="shared" si="110"/>
        <v>0</v>
      </c>
      <c r="V205" s="329">
        <f t="shared" si="110"/>
        <v>0</v>
      </c>
      <c r="W205" s="329">
        <f t="shared" si="110"/>
        <v>0</v>
      </c>
      <c r="X205" s="329">
        <f t="shared" si="110"/>
        <v>0</v>
      </c>
      <c r="Y205" s="329">
        <f t="shared" si="110"/>
        <v>0</v>
      </c>
      <c r="Z205" s="329">
        <f t="shared" si="110"/>
        <v>0</v>
      </c>
      <c r="AA205" s="329">
        <f t="shared" si="110"/>
        <v>0</v>
      </c>
      <c r="AB205" s="329">
        <f t="shared" si="110"/>
        <v>0</v>
      </c>
      <c r="AC205" s="329">
        <f t="shared" si="110"/>
        <v>0</v>
      </c>
      <c r="AD205" s="329">
        <f t="shared" si="110"/>
        <v>0</v>
      </c>
      <c r="AE205" s="329">
        <f t="shared" si="110"/>
        <v>0</v>
      </c>
      <c r="AF205" s="329">
        <f t="shared" si="110"/>
        <v>0</v>
      </c>
      <c r="AG205" s="329">
        <f t="shared" si="110"/>
        <v>7.3245524396402146</v>
      </c>
      <c r="AH205" s="329">
        <f t="shared" si="110"/>
        <v>0</v>
      </c>
      <c r="AI205" s="329">
        <f t="shared" si="110"/>
        <v>0</v>
      </c>
      <c r="AJ205" s="329">
        <f t="shared" si="110"/>
        <v>0</v>
      </c>
      <c r="AK205" s="329">
        <f t="shared" si="110"/>
        <v>0</v>
      </c>
      <c r="AL205" s="329">
        <f t="shared" si="110"/>
        <v>0</v>
      </c>
      <c r="AM205" s="329">
        <f t="shared" si="110"/>
        <v>0</v>
      </c>
      <c r="AN205" s="329">
        <f t="shared" si="110"/>
        <v>0</v>
      </c>
      <c r="AO205" s="329">
        <f t="shared" si="110"/>
        <v>0</v>
      </c>
    </row>
    <row r="206" spans="3:43" x14ac:dyDescent="0.3">
      <c r="C206" s="29"/>
      <c r="D206"/>
      <c r="E206"/>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row>
    <row r="207" spans="3:43" x14ac:dyDescent="0.3">
      <c r="C207" s="29"/>
      <c r="E207" t="s">
        <v>938</v>
      </c>
      <c r="G207" t="s">
        <v>268</v>
      </c>
      <c r="J207" s="329">
        <f t="shared" ref="J207:AO207" si="111">J205*hundred/thousand</f>
        <v>0</v>
      </c>
      <c r="K207" s="329">
        <f t="shared" si="111"/>
        <v>0</v>
      </c>
      <c r="L207" s="329">
        <f t="shared" si="111"/>
        <v>0</v>
      </c>
      <c r="M207" s="329">
        <f t="shared" si="111"/>
        <v>0</v>
      </c>
      <c r="N207" s="329">
        <f t="shared" si="111"/>
        <v>0</v>
      </c>
      <c r="O207" s="329">
        <f t="shared" si="111"/>
        <v>0</v>
      </c>
      <c r="P207" s="329">
        <f t="shared" si="111"/>
        <v>0</v>
      </c>
      <c r="Q207" s="329">
        <f t="shared" si="111"/>
        <v>0</v>
      </c>
      <c r="R207" s="329">
        <f t="shared" si="111"/>
        <v>0</v>
      </c>
      <c r="S207" s="329">
        <f t="shared" si="111"/>
        <v>0</v>
      </c>
      <c r="T207" s="329">
        <f t="shared" si="111"/>
        <v>0</v>
      </c>
      <c r="U207" s="329">
        <f t="shared" si="111"/>
        <v>0</v>
      </c>
      <c r="V207" s="329">
        <f t="shared" si="111"/>
        <v>0</v>
      </c>
      <c r="W207" s="329">
        <f t="shared" si="111"/>
        <v>0</v>
      </c>
      <c r="X207" s="329">
        <f t="shared" si="111"/>
        <v>0</v>
      </c>
      <c r="Y207" s="329">
        <f t="shared" si="111"/>
        <v>0</v>
      </c>
      <c r="Z207" s="329">
        <f t="shared" si="111"/>
        <v>0</v>
      </c>
      <c r="AA207" s="329">
        <f t="shared" si="111"/>
        <v>0</v>
      </c>
      <c r="AB207" s="329">
        <f t="shared" si="111"/>
        <v>0</v>
      </c>
      <c r="AC207" s="329">
        <f t="shared" si="111"/>
        <v>0</v>
      </c>
      <c r="AD207" s="329">
        <f t="shared" si="111"/>
        <v>0</v>
      </c>
      <c r="AE207" s="329">
        <f t="shared" si="111"/>
        <v>0</v>
      </c>
      <c r="AF207" s="329">
        <f t="shared" si="111"/>
        <v>0</v>
      </c>
      <c r="AG207" s="329">
        <f t="shared" si="111"/>
        <v>0.73245524396402151</v>
      </c>
      <c r="AH207" s="329">
        <f t="shared" si="111"/>
        <v>0</v>
      </c>
      <c r="AI207" s="329">
        <f t="shared" si="111"/>
        <v>0</v>
      </c>
      <c r="AJ207" s="329">
        <f t="shared" si="111"/>
        <v>0</v>
      </c>
      <c r="AK207" s="329">
        <f t="shared" si="111"/>
        <v>0</v>
      </c>
      <c r="AL207" s="329">
        <f t="shared" si="111"/>
        <v>0</v>
      </c>
      <c r="AM207" s="329">
        <f t="shared" si="111"/>
        <v>0</v>
      </c>
      <c r="AN207" s="329">
        <f t="shared" si="111"/>
        <v>0</v>
      </c>
      <c r="AO207" s="329">
        <f t="shared" si="111"/>
        <v>0</v>
      </c>
    </row>
    <row r="208" spans="3:43" x14ac:dyDescent="0.3">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3">
      <c r="B209" s="30" t="s">
        <v>1042</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3">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3">
      <c r="C211" s="29" t="s">
        <v>1043</v>
      </c>
      <c r="I211" t="s">
        <v>153</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1127</v>
      </c>
    </row>
    <row r="212" spans="2:43" x14ac:dyDescent="0.3">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3">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3">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3">
      <c r="C215" s="29"/>
      <c r="D215" s="29" t="s">
        <v>1044</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3">
      <c r="C216" s="29"/>
      <c r="D216" s="29" t="s">
        <v>1045</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3">
      <c r="C217" s="29"/>
      <c r="D217" s="29" t="s">
        <v>1046</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3">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3">
      <c r="C219" s="29"/>
      <c r="E219" s="29" t="s">
        <v>1150</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3">
      <c r="C220" s="29"/>
      <c r="E220" s="29" t="s">
        <v>1047</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3">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3">
      <c r="C222" s="29"/>
      <c r="E222" t="s">
        <v>1048</v>
      </c>
      <c r="G222" t="s">
        <v>269</v>
      </c>
      <c r="J222" s="163">
        <f t="array" ref="J222">MIN(IF($J149:$AO149=J149,$J43:$AO43+$J48:$AO48))</f>
        <v>13.75918622027746</v>
      </c>
      <c r="K222" s="163">
        <f t="array" ref="K222">MIN(IF($J149:$AO149=K149,$J43:$AO43+$J48:$AO48))</f>
        <v>0</v>
      </c>
      <c r="L222" s="163">
        <f t="array" ref="L222">MIN(IF($J149:$AO149=L149,$J43:$AO43+$J48:$AO48))</f>
        <v>0</v>
      </c>
      <c r="M222" s="163">
        <f t="array" ref="M222">MIN(IF($J149:$AO149=M149,$J43:$AO43+$J48:$AO48))</f>
        <v>4.3336914496014387</v>
      </c>
      <c r="N222" s="163">
        <f t="array" ref="N222">MIN(IF($J149:$AO149=N149,$J43:$AO43+$J48:$AO48))</f>
        <v>4.3336914496014387</v>
      </c>
      <c r="O222" s="163">
        <f t="array" ref="O222">MIN(IF($J149:$AO149=O149,$J43:$AO43+$J48:$AO48))</f>
        <v>4.3336914496014387</v>
      </c>
      <c r="P222" s="163">
        <f t="array" ref="P222">MIN(IF($J149:$AO149=P149,$J43:$AO43+$J48:$AO48))</f>
        <v>4.3336914496014387</v>
      </c>
      <c r="Q222" s="163">
        <f t="array" ref="Q222">MIN(IF($J149:$AO149=Q149,$J43:$AO43+$J48:$AO48))</f>
        <v>0</v>
      </c>
      <c r="R222" s="163">
        <f t="array" ref="R222">MIN(IF($J149:$AO149=R149,$J43:$AO43+$J48:$AO48))</f>
        <v>0</v>
      </c>
      <c r="S222" s="163">
        <f t="array" ref="S222">MIN(IF($J149:$AO149=S149,$J43:$AO43+$J48:$AO48))</f>
        <v>17.534194007167237</v>
      </c>
      <c r="T222" s="163">
        <f t="array" ref="T222">MIN(IF($J149:$AO149=T149,$J43:$AO43+$J48:$AO48))</f>
        <v>17.534194007167237</v>
      </c>
      <c r="U222" s="163">
        <f t="array" ref="U222">MIN(IF($J149:$AO149=U149,$J43:$AO43+$J48:$AO48))</f>
        <v>17.534194007167237</v>
      </c>
      <c r="V222" s="163">
        <f t="array" ref="V222">MIN(IF($J149:$AO149=V149,$J43:$AO43+$J48:$AO48))</f>
        <v>17.534194007167237</v>
      </c>
      <c r="W222" s="163">
        <f t="array" ref="W222">MIN(IF($J149:$AO149=W149,$J43:$AO43+$J48:$AO48))</f>
        <v>0</v>
      </c>
      <c r="X222" s="163">
        <f t="array" ref="X222">MIN(IF($J149:$AO149=X149,$J43:$AO43+$J48:$AO48))</f>
        <v>17.534194007167237</v>
      </c>
      <c r="Y222" s="163">
        <f t="array" ref="Y222">MIN(IF($J149:$AO149=Y149,$J43:$AO43+$J48:$AO48))</f>
        <v>17.534194007167237</v>
      </c>
      <c r="Z222" s="163">
        <f t="array" ref="Z222">MIN(IF($J149:$AO149=Z149,$J43:$AO43+$J48:$AO48))</f>
        <v>17.534194007167237</v>
      </c>
      <c r="AA222" s="163">
        <f t="array" ref="AA222">MIN(IF($J149:$AO149=AA149,$J43:$AO43+$J48:$AO48))</f>
        <v>17.534194007167237</v>
      </c>
      <c r="AB222" s="163">
        <f t="array" ref="AB222">MIN(IF($J149:$AO149=AB149,$J43:$AO43+$J48:$AO48))</f>
        <v>0</v>
      </c>
      <c r="AC222" s="163">
        <f t="array" ref="AC222">MIN(IF($J149:$AO149=AC149,$J43:$AO43+$J48:$AO48))</f>
        <v>124.20390851038185</v>
      </c>
      <c r="AD222" s="163">
        <f t="array" ref="AD222">MIN(IF($J149:$AO149=AD149,$J43:$AO43+$J48:$AO48))</f>
        <v>124.20390851038185</v>
      </c>
      <c r="AE222" s="163">
        <f t="array" ref="AE222">MIN(IF($J149:$AO149=AE149,$J43:$AO43+$J48:$AO48))</f>
        <v>124.20390851038185</v>
      </c>
      <c r="AF222" s="163">
        <f t="array" ref="AF222">MIN(IF($J149:$AO149=AF149,$J43:$AO43+$J48:$AO48))</f>
        <v>124.20390851038185</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3">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3">
      <c r="C224" s="29"/>
      <c r="E224" t="s">
        <v>1049</v>
      </c>
      <c r="G224" t="s">
        <v>269</v>
      </c>
      <c r="J224" s="163">
        <f>MAX(-J222,J198)</f>
        <v>6.4953389750201174</v>
      </c>
      <c r="K224" s="163">
        <f t="shared" ref="K224:AO224" si="112">MAX(-K222,K198)</f>
        <v>0</v>
      </c>
      <c r="L224" s="163">
        <f t="shared" si="112"/>
        <v>0</v>
      </c>
      <c r="M224" s="163">
        <f t="shared" si="112"/>
        <v>3.0771130096177806</v>
      </c>
      <c r="N224" s="163">
        <f t="shared" si="112"/>
        <v>15.181347116577008</v>
      </c>
      <c r="O224" s="163">
        <f t="shared" si="112"/>
        <v>37.613161988697961</v>
      </c>
      <c r="P224" s="163">
        <f t="shared" si="112"/>
        <v>117.13337423640333</v>
      </c>
      <c r="Q224" s="163">
        <f t="shared" si="112"/>
        <v>0</v>
      </c>
      <c r="R224" s="163">
        <f t="shared" si="112"/>
        <v>0</v>
      </c>
      <c r="S224" s="163">
        <f t="shared" si="112"/>
        <v>154.0019769488963</v>
      </c>
      <c r="T224" s="163">
        <f t="shared" si="112"/>
        <v>384.01684868090041</v>
      </c>
      <c r="U224" s="163">
        <f t="shared" si="112"/>
        <v>626.35265847008452</v>
      </c>
      <c r="V224" s="163">
        <f t="shared" si="112"/>
        <v>1315.019620489222</v>
      </c>
      <c r="W224" s="163">
        <f t="shared" si="112"/>
        <v>0</v>
      </c>
      <c r="X224" s="163">
        <f t="shared" si="112"/>
        <v>154.00197694889627</v>
      </c>
      <c r="Y224" s="163">
        <f t="shared" si="112"/>
        <v>384.01684868090041</v>
      </c>
      <c r="Z224" s="163">
        <f t="shared" si="112"/>
        <v>626.35265847008429</v>
      </c>
      <c r="AA224" s="163">
        <f t="shared" si="112"/>
        <v>1315.019620489222</v>
      </c>
      <c r="AB224" s="163">
        <f t="shared" si="112"/>
        <v>0</v>
      </c>
      <c r="AC224" s="163">
        <f t="shared" si="112"/>
        <v>982.18383895849809</v>
      </c>
      <c r="AD224" s="163">
        <f t="shared" si="112"/>
        <v>3210.4698922591228</v>
      </c>
      <c r="AE224" s="163">
        <f t="shared" si="112"/>
        <v>6729.9279478751132</v>
      </c>
      <c r="AF224" s="163">
        <f t="shared" si="112"/>
        <v>15694.343415322313</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3">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3">
      <c r="C226" s="29"/>
      <c r="E226" t="s">
        <v>1050</v>
      </c>
      <c r="G226" t="s">
        <v>269</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3">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3">
      <c r="C228" s="29"/>
      <c r="E228" t="s">
        <v>1051</v>
      </c>
      <c r="G228" t="s">
        <v>935</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3">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3">
      <c r="C230" s="29"/>
      <c r="D230"/>
      <c r="E230" t="s">
        <v>1052</v>
      </c>
      <c r="G230" t="s">
        <v>935</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3">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3">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3">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3">
      <c r="C234" s="29"/>
      <c r="D234" s="29" t="s">
        <v>1053</v>
      </c>
      <c r="I234" t="s">
        <v>153</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1127</v>
      </c>
    </row>
    <row r="235" spans="3:43" x14ac:dyDescent="0.3">
      <c r="C235" s="29"/>
      <c r="D235" s="29" t="s">
        <v>1054</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3">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3">
      <c r="C237" s="29"/>
      <c r="E237" s="396" t="s">
        <v>1055</v>
      </c>
      <c r="G237" t="s">
        <v>911</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3">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3">
      <c r="C239" s="29"/>
      <c r="E239" s="29" t="s">
        <v>1056</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3">
      <c r="C240" s="29"/>
      <c r="E240" s="29" t="s">
        <v>1057</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3">
      <c r="C241" s="29"/>
      <c r="E241" s="29" t="s">
        <v>1058</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3">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3">
      <c r="C243" s="29"/>
      <c r="E243" s="32" t="s">
        <v>1059</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3">
      <c r="C244" s="29"/>
      <c r="F244" s="23" t="s">
        <v>1060</v>
      </c>
      <c r="G244" s="23" t="s">
        <v>148</v>
      </c>
      <c r="H244" s="317">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3">
      <c r="C245" s="29"/>
      <c r="F245" t="s">
        <v>1061</v>
      </c>
      <c r="G245" t="s">
        <v>148</v>
      </c>
      <c r="H245" s="328">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3">
      <c r="C246" s="29"/>
      <c r="F246" s="37" t="s">
        <v>1062</v>
      </c>
      <c r="G246" s="37" t="s">
        <v>148</v>
      </c>
      <c r="H246" s="318">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3">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3">
      <c r="C248" s="29"/>
      <c r="E248" s="32" t="s">
        <v>1063</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3">
      <c r="C249" s="29"/>
      <c r="F249" s="23" t="s">
        <v>1060</v>
      </c>
      <c r="G249" s="23" t="s">
        <v>268</v>
      </c>
      <c r="H249" s="23"/>
      <c r="I249" s="23"/>
      <c r="J249" s="397">
        <f t="shared" ref="J249:AO249" si="116">IF(J$237, SMALL(J$40:J$42,$H244), 0)</f>
        <v>0</v>
      </c>
      <c r="K249" s="397">
        <f t="shared" si="116"/>
        <v>0</v>
      </c>
      <c r="L249" s="397">
        <f t="shared" si="116"/>
        <v>0</v>
      </c>
      <c r="M249" s="397">
        <f t="shared" si="116"/>
        <v>0</v>
      </c>
      <c r="N249" s="397">
        <f t="shared" si="116"/>
        <v>0</v>
      </c>
      <c r="O249" s="397">
        <f t="shared" si="116"/>
        <v>0</v>
      </c>
      <c r="P249" s="397">
        <f t="shared" si="116"/>
        <v>0</v>
      </c>
      <c r="Q249" s="397">
        <f t="shared" si="116"/>
        <v>0</v>
      </c>
      <c r="R249" s="397">
        <f t="shared" si="116"/>
        <v>0</v>
      </c>
      <c r="S249" s="397">
        <f t="shared" si="116"/>
        <v>0</v>
      </c>
      <c r="T249" s="397">
        <f t="shared" si="116"/>
        <v>0</v>
      </c>
      <c r="U249" s="397">
        <f t="shared" si="116"/>
        <v>0</v>
      </c>
      <c r="V249" s="397">
        <f t="shared" si="116"/>
        <v>0</v>
      </c>
      <c r="W249" s="397">
        <f t="shared" si="116"/>
        <v>0</v>
      </c>
      <c r="X249" s="397">
        <f t="shared" si="116"/>
        <v>0</v>
      </c>
      <c r="Y249" s="397">
        <f t="shared" si="116"/>
        <v>0</v>
      </c>
      <c r="Z249" s="397">
        <f t="shared" si="116"/>
        <v>0</v>
      </c>
      <c r="AA249" s="397">
        <f t="shared" si="116"/>
        <v>0</v>
      </c>
      <c r="AB249" s="397">
        <f t="shared" si="116"/>
        <v>0</v>
      </c>
      <c r="AC249" s="397">
        <f t="shared" si="116"/>
        <v>0</v>
      </c>
      <c r="AD249" s="397">
        <f t="shared" si="116"/>
        <v>0</v>
      </c>
      <c r="AE249" s="397">
        <f t="shared" si="116"/>
        <v>0</v>
      </c>
      <c r="AF249" s="397">
        <f t="shared" si="116"/>
        <v>0</v>
      </c>
      <c r="AG249" s="397">
        <f t="shared" si="116"/>
        <v>0</v>
      </c>
      <c r="AH249" s="397">
        <f t="shared" si="116"/>
        <v>0</v>
      </c>
      <c r="AI249" s="397">
        <f t="shared" si="116"/>
        <v>0</v>
      </c>
      <c r="AJ249" s="397">
        <f t="shared" si="116"/>
        <v>0</v>
      </c>
      <c r="AK249" s="397">
        <f t="shared" si="116"/>
        <v>0</v>
      </c>
      <c r="AL249" s="397">
        <f t="shared" si="116"/>
        <v>0</v>
      </c>
      <c r="AM249" s="397">
        <f t="shared" si="116"/>
        <v>0</v>
      </c>
      <c r="AN249" s="397">
        <f t="shared" si="116"/>
        <v>0</v>
      </c>
      <c r="AO249" s="397">
        <f t="shared" si="116"/>
        <v>0</v>
      </c>
    </row>
    <row r="250" spans="3:43" x14ac:dyDescent="0.3">
      <c r="C250" s="29"/>
      <c r="F250" t="s">
        <v>1061</v>
      </c>
      <c r="G250" t="s">
        <v>268</v>
      </c>
      <c r="J250" s="329">
        <f t="shared" ref="J250:AO250" si="117">IF(J$237, SMALL(J$40:J$42,$H245), 0)</f>
        <v>0</v>
      </c>
      <c r="K250" s="329">
        <f t="shared" si="117"/>
        <v>0</v>
      </c>
      <c r="L250" s="329">
        <f t="shared" si="117"/>
        <v>0</v>
      </c>
      <c r="M250" s="329">
        <f t="shared" si="117"/>
        <v>0</v>
      </c>
      <c r="N250" s="329">
        <f t="shared" si="117"/>
        <v>0</v>
      </c>
      <c r="O250" s="329">
        <f t="shared" si="117"/>
        <v>0</v>
      </c>
      <c r="P250" s="329">
        <f t="shared" si="117"/>
        <v>0</v>
      </c>
      <c r="Q250" s="329">
        <f t="shared" si="117"/>
        <v>0</v>
      </c>
      <c r="R250" s="329">
        <f t="shared" si="117"/>
        <v>0</v>
      </c>
      <c r="S250" s="329">
        <f t="shared" si="117"/>
        <v>0</v>
      </c>
      <c r="T250" s="329">
        <f t="shared" si="117"/>
        <v>0</v>
      </c>
      <c r="U250" s="329">
        <f t="shared" si="117"/>
        <v>0</v>
      </c>
      <c r="V250" s="329">
        <f t="shared" si="117"/>
        <v>0</v>
      </c>
      <c r="W250" s="329">
        <f t="shared" si="117"/>
        <v>0</v>
      </c>
      <c r="X250" s="329">
        <f t="shared" si="117"/>
        <v>0</v>
      </c>
      <c r="Y250" s="329">
        <f t="shared" si="117"/>
        <v>0</v>
      </c>
      <c r="Z250" s="329">
        <f t="shared" si="117"/>
        <v>0</v>
      </c>
      <c r="AA250" s="329">
        <f t="shared" si="117"/>
        <v>0</v>
      </c>
      <c r="AB250" s="329">
        <f t="shared" si="117"/>
        <v>0</v>
      </c>
      <c r="AC250" s="329">
        <f t="shared" si="117"/>
        <v>0</v>
      </c>
      <c r="AD250" s="329">
        <f t="shared" si="117"/>
        <v>0</v>
      </c>
      <c r="AE250" s="329">
        <f t="shared" si="117"/>
        <v>0</v>
      </c>
      <c r="AF250" s="329">
        <f t="shared" si="117"/>
        <v>0</v>
      </c>
      <c r="AG250" s="329">
        <f t="shared" si="117"/>
        <v>0</v>
      </c>
      <c r="AH250" s="329">
        <f t="shared" si="117"/>
        <v>0</v>
      </c>
      <c r="AI250" s="329">
        <f t="shared" si="117"/>
        <v>0</v>
      </c>
      <c r="AJ250" s="329">
        <f t="shared" si="117"/>
        <v>0</v>
      </c>
      <c r="AK250" s="329">
        <f t="shared" si="117"/>
        <v>0</v>
      </c>
      <c r="AL250" s="329">
        <f t="shared" si="117"/>
        <v>0</v>
      </c>
      <c r="AM250" s="329">
        <f t="shared" si="117"/>
        <v>0</v>
      </c>
      <c r="AN250" s="329">
        <f t="shared" si="117"/>
        <v>0</v>
      </c>
      <c r="AO250" s="329">
        <f t="shared" si="117"/>
        <v>0</v>
      </c>
    </row>
    <row r="251" spans="3:43" x14ac:dyDescent="0.3">
      <c r="C251" s="29"/>
      <c r="F251" s="37" t="s">
        <v>1062</v>
      </c>
      <c r="G251" s="37" t="s">
        <v>268</v>
      </c>
      <c r="H251" s="37"/>
      <c r="I251" s="37"/>
      <c r="J251" s="398">
        <f t="shared" ref="J251:AO251" si="118">IF(J$237, SMALL(J$40:J$42,$H246), 0)</f>
        <v>0</v>
      </c>
      <c r="K251" s="398">
        <f t="shared" si="118"/>
        <v>0</v>
      </c>
      <c r="L251" s="398">
        <f t="shared" si="118"/>
        <v>0</v>
      </c>
      <c r="M251" s="398">
        <f t="shared" si="118"/>
        <v>0</v>
      </c>
      <c r="N251" s="398">
        <f t="shared" si="118"/>
        <v>0</v>
      </c>
      <c r="O251" s="398">
        <f t="shared" si="118"/>
        <v>0</v>
      </c>
      <c r="P251" s="398">
        <f t="shared" si="118"/>
        <v>0</v>
      </c>
      <c r="Q251" s="398">
        <f t="shared" si="118"/>
        <v>0</v>
      </c>
      <c r="R251" s="398">
        <f t="shared" si="118"/>
        <v>0</v>
      </c>
      <c r="S251" s="398">
        <f t="shared" si="118"/>
        <v>0</v>
      </c>
      <c r="T251" s="398">
        <f t="shared" si="118"/>
        <v>0</v>
      </c>
      <c r="U251" s="398">
        <f t="shared" si="118"/>
        <v>0</v>
      </c>
      <c r="V251" s="398">
        <f t="shared" si="118"/>
        <v>0</v>
      </c>
      <c r="W251" s="398">
        <f t="shared" si="118"/>
        <v>0</v>
      </c>
      <c r="X251" s="398">
        <f t="shared" si="118"/>
        <v>0</v>
      </c>
      <c r="Y251" s="398">
        <f t="shared" si="118"/>
        <v>0</v>
      </c>
      <c r="Z251" s="398">
        <f t="shared" si="118"/>
        <v>0</v>
      </c>
      <c r="AA251" s="398">
        <f t="shared" si="118"/>
        <v>0</v>
      </c>
      <c r="AB251" s="398">
        <f t="shared" si="118"/>
        <v>0</v>
      </c>
      <c r="AC251" s="398">
        <f t="shared" si="118"/>
        <v>0</v>
      </c>
      <c r="AD251" s="398">
        <f t="shared" si="118"/>
        <v>0</v>
      </c>
      <c r="AE251" s="398">
        <f t="shared" si="118"/>
        <v>0</v>
      </c>
      <c r="AF251" s="398">
        <f t="shared" si="118"/>
        <v>0</v>
      </c>
      <c r="AG251" s="398">
        <f t="shared" si="118"/>
        <v>0</v>
      </c>
      <c r="AH251" s="398">
        <f t="shared" si="118"/>
        <v>0</v>
      </c>
      <c r="AI251" s="398">
        <f t="shared" si="118"/>
        <v>0</v>
      </c>
      <c r="AJ251" s="398">
        <f t="shared" si="118"/>
        <v>0</v>
      </c>
      <c r="AK251" s="398">
        <f t="shared" si="118"/>
        <v>0</v>
      </c>
      <c r="AL251" s="398">
        <f t="shared" si="118"/>
        <v>0</v>
      </c>
      <c r="AM251" s="398">
        <f t="shared" si="118"/>
        <v>0</v>
      </c>
      <c r="AN251" s="398">
        <f t="shared" si="118"/>
        <v>0</v>
      </c>
      <c r="AO251" s="398">
        <f t="shared" si="118"/>
        <v>0</v>
      </c>
    </row>
    <row r="252" spans="3:43" x14ac:dyDescent="0.3">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3">
      <c r="C253" s="29"/>
      <c r="E253" s="2" t="s">
        <v>1064</v>
      </c>
      <c r="I253" t="s">
        <v>153</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1155</v>
      </c>
    </row>
    <row r="254" spans="3:43" x14ac:dyDescent="0.3">
      <c r="C254" s="29"/>
      <c r="E254" s="2" t="s">
        <v>1065</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3">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3">
      <c r="C256" s="29"/>
      <c r="E256" s="32" t="s">
        <v>1066</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3">
      <c r="C257" s="29"/>
      <c r="F257" s="23" t="s">
        <v>1060</v>
      </c>
      <c r="G257" s="23" t="s">
        <v>268</v>
      </c>
      <c r="H257" s="23"/>
      <c r="I257" s="23"/>
      <c r="J257" s="397">
        <f t="array" ref="J257">MIN(IF($J$149:$AO$149=J$149,$J249:$AO249))</f>
        <v>0</v>
      </c>
      <c r="K257" s="397">
        <f t="array" ref="K257">MIN(IF($J$149:$AO$149=K$149,$J249:$AO249))</f>
        <v>0</v>
      </c>
      <c r="L257" s="397">
        <f t="array" ref="L257">MIN(IF($J$149:$AO$149=L$149,$J249:$AO249))</f>
        <v>0</v>
      </c>
      <c r="M257" s="397">
        <f t="array" ref="M257">MIN(IF($J$149:$AO$149=M$149,$J249:$AO249))</f>
        <v>0</v>
      </c>
      <c r="N257" s="397">
        <f t="array" ref="N257">MIN(IF($J$149:$AO$149=N$149,$J249:$AO249))</f>
        <v>0</v>
      </c>
      <c r="O257" s="397">
        <f t="array" ref="O257">MIN(IF($J$149:$AO$149=O$149,$J249:$AO249))</f>
        <v>0</v>
      </c>
      <c r="P257" s="397">
        <f t="array" ref="P257">MIN(IF($J$149:$AO$149=P$149,$J249:$AO249))</f>
        <v>0</v>
      </c>
      <c r="Q257" s="397">
        <f t="array" ref="Q257">MIN(IF($J$149:$AO$149=Q$149,$J249:$AO249))</f>
        <v>0</v>
      </c>
      <c r="R257" s="397">
        <f t="array" ref="R257">MIN(IF($J$149:$AO$149=R$149,$J249:$AO249))</f>
        <v>0</v>
      </c>
      <c r="S257" s="397">
        <f t="array" ref="S257">MIN(IF($J$149:$AO$149=S$149,$J249:$AO249))</f>
        <v>0</v>
      </c>
      <c r="T257" s="397">
        <f t="array" ref="T257">MIN(IF($J$149:$AO$149=T$149,$J249:$AO249))</f>
        <v>0</v>
      </c>
      <c r="U257" s="397">
        <f t="array" ref="U257">MIN(IF($J$149:$AO$149=U$149,$J249:$AO249))</f>
        <v>0</v>
      </c>
      <c r="V257" s="397">
        <f t="array" ref="V257">MIN(IF($J$149:$AO$149=V$149,$J249:$AO249))</f>
        <v>0</v>
      </c>
      <c r="W257" s="397">
        <f t="array" ref="W257">MIN(IF($J$149:$AO$149=W$149,$J249:$AO249))</f>
        <v>0</v>
      </c>
      <c r="X257" s="397">
        <f t="array" ref="X257">MIN(IF($J$149:$AO$149=X$149,$J249:$AO249))</f>
        <v>0</v>
      </c>
      <c r="Y257" s="397">
        <f t="array" ref="Y257">MIN(IF($J$149:$AO$149=Y$149,$J249:$AO249))</f>
        <v>0</v>
      </c>
      <c r="Z257" s="397">
        <f t="array" ref="Z257">MIN(IF($J$149:$AO$149=Z$149,$J249:$AO249))</f>
        <v>0</v>
      </c>
      <c r="AA257" s="397">
        <f t="array" ref="AA257">MIN(IF($J$149:$AO$149=AA$149,$J249:$AO249))</f>
        <v>0</v>
      </c>
      <c r="AB257" s="397">
        <f t="array" ref="AB257">MIN(IF($J$149:$AO$149=AB$149,$J249:$AO249))</f>
        <v>0</v>
      </c>
      <c r="AC257" s="397">
        <f t="array" ref="AC257">MIN(IF($J$149:$AO$149=AC$149,$J249:$AO249))</f>
        <v>0</v>
      </c>
      <c r="AD257" s="397">
        <f t="array" ref="AD257">MIN(IF($J$149:$AO$149=AD$149,$J249:$AO249))</f>
        <v>0</v>
      </c>
      <c r="AE257" s="397">
        <f t="array" ref="AE257">MIN(IF($J$149:$AO$149=AE$149,$J249:$AO249))</f>
        <v>0</v>
      </c>
      <c r="AF257" s="397">
        <f t="array" ref="AF257">MIN(IF($J$149:$AO$149=AF$149,$J249:$AO249))</f>
        <v>0</v>
      </c>
      <c r="AG257" s="397">
        <f t="array" ref="AG257">MIN(IF($J$149:$AO$149=AG$149,$J249:$AO249))</f>
        <v>0</v>
      </c>
      <c r="AH257" s="397">
        <f t="array" ref="AH257">MIN(IF($J$149:$AO$149=AH$149,$J249:$AO249))</f>
        <v>0</v>
      </c>
      <c r="AI257" s="397">
        <f t="array" ref="AI257">MIN(IF($J$149:$AO$149=AI$149,$J249:$AO249))</f>
        <v>0</v>
      </c>
      <c r="AJ257" s="397">
        <f t="array" ref="AJ257">MIN(IF($J$149:$AO$149=AJ$149,$J249:$AO249))</f>
        <v>0</v>
      </c>
      <c r="AK257" s="397">
        <f t="array" ref="AK257">MIN(IF($J$149:$AO$149=AK$149,$J249:$AO249))</f>
        <v>0</v>
      </c>
      <c r="AL257" s="397">
        <f t="array" ref="AL257">MIN(IF($J$149:$AO$149=AL$149,$J249:$AO249))</f>
        <v>0</v>
      </c>
      <c r="AM257" s="397">
        <f t="array" ref="AM257">MIN(IF($J$149:$AO$149=AM$149,$J249:$AO249))</f>
        <v>0</v>
      </c>
      <c r="AN257" s="397">
        <f t="array" ref="AN257">MIN(IF($J$149:$AO$149=AN$149,$J249:$AO249))</f>
        <v>0</v>
      </c>
      <c r="AO257" s="397">
        <f t="array" ref="AO257">MIN(IF($J$149:$AO$149=AO$149,$J249:$AO249))</f>
        <v>0</v>
      </c>
    </row>
    <row r="258" spans="3:41" x14ac:dyDescent="0.3">
      <c r="C258" s="29"/>
      <c r="F258" t="s">
        <v>1061</v>
      </c>
      <c r="G258" t="s">
        <v>268</v>
      </c>
      <c r="J258" s="329">
        <f t="array" ref="J258">MIN(IF($J$149:$AO$149=J$149,$J250:$AO250))</f>
        <v>0</v>
      </c>
      <c r="K258" s="329">
        <f t="array" ref="K258">MIN(IF($J$149:$AO$149=K$149,$J250:$AO250))</f>
        <v>0</v>
      </c>
      <c r="L258" s="329">
        <f t="array" ref="L258">MIN(IF($J$149:$AO$149=L$149,$J250:$AO250))</f>
        <v>0</v>
      </c>
      <c r="M258" s="329">
        <f t="array" ref="M258">MIN(IF($J$149:$AO$149=M$149,$J250:$AO250))</f>
        <v>0</v>
      </c>
      <c r="N258" s="329">
        <f t="array" ref="N258">MIN(IF($J$149:$AO$149=N$149,$J250:$AO250))</f>
        <v>0</v>
      </c>
      <c r="O258" s="329">
        <f t="array" ref="O258">MIN(IF($J$149:$AO$149=O$149,$J250:$AO250))</f>
        <v>0</v>
      </c>
      <c r="P258" s="329">
        <f t="array" ref="P258">MIN(IF($J$149:$AO$149=P$149,$J250:$AO250))</f>
        <v>0</v>
      </c>
      <c r="Q258" s="329">
        <f t="array" ref="Q258">MIN(IF($J$149:$AO$149=Q$149,$J250:$AO250))</f>
        <v>0</v>
      </c>
      <c r="R258" s="329">
        <f t="array" ref="R258">MIN(IF($J$149:$AO$149=R$149,$J250:$AO250))</f>
        <v>0</v>
      </c>
      <c r="S258" s="329">
        <f t="array" ref="S258">MIN(IF($J$149:$AO$149=S$149,$J250:$AO250))</f>
        <v>0</v>
      </c>
      <c r="T258" s="329">
        <f t="array" ref="T258">MIN(IF($J$149:$AO$149=T$149,$J250:$AO250))</f>
        <v>0</v>
      </c>
      <c r="U258" s="329">
        <f t="array" ref="U258">MIN(IF($J$149:$AO$149=U$149,$J250:$AO250))</f>
        <v>0</v>
      </c>
      <c r="V258" s="329">
        <f t="array" ref="V258">MIN(IF($J$149:$AO$149=V$149,$J250:$AO250))</f>
        <v>0</v>
      </c>
      <c r="W258" s="329">
        <f t="array" ref="W258">MIN(IF($J$149:$AO$149=W$149,$J250:$AO250))</f>
        <v>0</v>
      </c>
      <c r="X258" s="329">
        <f t="array" ref="X258">MIN(IF($J$149:$AO$149=X$149,$J250:$AO250))</f>
        <v>0</v>
      </c>
      <c r="Y258" s="329">
        <f t="array" ref="Y258">MIN(IF($J$149:$AO$149=Y$149,$J250:$AO250))</f>
        <v>0</v>
      </c>
      <c r="Z258" s="329">
        <f t="array" ref="Z258">MIN(IF($J$149:$AO$149=Z$149,$J250:$AO250))</f>
        <v>0</v>
      </c>
      <c r="AA258" s="329">
        <f t="array" ref="AA258">MIN(IF($J$149:$AO$149=AA$149,$J250:$AO250))</f>
        <v>0</v>
      </c>
      <c r="AB258" s="329">
        <f t="array" ref="AB258">MIN(IF($J$149:$AO$149=AB$149,$J250:$AO250))</f>
        <v>0</v>
      </c>
      <c r="AC258" s="329">
        <f t="array" ref="AC258">MIN(IF($J$149:$AO$149=AC$149,$J250:$AO250))</f>
        <v>0</v>
      </c>
      <c r="AD258" s="329">
        <f t="array" ref="AD258">MIN(IF($J$149:$AO$149=AD$149,$J250:$AO250))</f>
        <v>0</v>
      </c>
      <c r="AE258" s="329">
        <f t="array" ref="AE258">MIN(IF($J$149:$AO$149=AE$149,$J250:$AO250))</f>
        <v>0</v>
      </c>
      <c r="AF258" s="329">
        <f t="array" ref="AF258">MIN(IF($J$149:$AO$149=AF$149,$J250:$AO250))</f>
        <v>0</v>
      </c>
      <c r="AG258" s="329">
        <f t="array" ref="AG258">MIN(IF($J$149:$AO$149=AG$149,$J250:$AO250))</f>
        <v>0</v>
      </c>
      <c r="AH258" s="329">
        <f t="array" ref="AH258">MIN(IF($J$149:$AO$149=AH$149,$J250:$AO250))</f>
        <v>0</v>
      </c>
      <c r="AI258" s="329">
        <f t="array" ref="AI258">MIN(IF($J$149:$AO$149=AI$149,$J250:$AO250))</f>
        <v>0</v>
      </c>
      <c r="AJ258" s="329">
        <f t="array" ref="AJ258">MIN(IF($J$149:$AO$149=AJ$149,$J250:$AO250))</f>
        <v>0</v>
      </c>
      <c r="AK258" s="329">
        <f t="array" ref="AK258">MIN(IF($J$149:$AO$149=AK$149,$J250:$AO250))</f>
        <v>0</v>
      </c>
      <c r="AL258" s="329">
        <f t="array" ref="AL258">MIN(IF($J$149:$AO$149=AL$149,$J250:$AO250))</f>
        <v>0</v>
      </c>
      <c r="AM258" s="329">
        <f t="array" ref="AM258">MIN(IF($J$149:$AO$149=AM$149,$J250:$AO250))</f>
        <v>0</v>
      </c>
      <c r="AN258" s="329">
        <f t="array" ref="AN258">MIN(IF($J$149:$AO$149=AN$149,$J250:$AO250))</f>
        <v>0</v>
      </c>
      <c r="AO258" s="329">
        <f t="array" ref="AO258">MIN(IF($J$149:$AO$149=AO$149,$J250:$AO250))</f>
        <v>0</v>
      </c>
    </row>
    <row r="259" spans="3:41" x14ac:dyDescent="0.3">
      <c r="C259" s="29"/>
      <c r="F259" s="37" t="s">
        <v>1062</v>
      </c>
      <c r="G259" s="37" t="s">
        <v>268</v>
      </c>
      <c r="H259" s="37"/>
      <c r="I259" s="37"/>
      <c r="J259" s="398">
        <f t="array" ref="J259">MIN(IF($J$149:$AO$149=J$149,$J251:$AO251))</f>
        <v>0</v>
      </c>
      <c r="K259" s="398">
        <f t="array" ref="K259">MIN(IF($J$149:$AO$149=K$149,$J251:$AO251))</f>
        <v>0</v>
      </c>
      <c r="L259" s="398">
        <f t="array" ref="L259">MIN(IF($J$149:$AO$149=L$149,$J251:$AO251))</f>
        <v>0</v>
      </c>
      <c r="M259" s="398">
        <f t="array" ref="M259">MIN(IF($J$149:$AO$149=M$149,$J251:$AO251))</f>
        <v>0</v>
      </c>
      <c r="N259" s="398">
        <f t="array" ref="N259">MIN(IF($J$149:$AO$149=N$149,$J251:$AO251))</f>
        <v>0</v>
      </c>
      <c r="O259" s="398">
        <f t="array" ref="O259">MIN(IF($J$149:$AO$149=O$149,$J251:$AO251))</f>
        <v>0</v>
      </c>
      <c r="P259" s="398">
        <f t="array" ref="P259">MIN(IF($J$149:$AO$149=P$149,$J251:$AO251))</f>
        <v>0</v>
      </c>
      <c r="Q259" s="398">
        <f t="array" ref="Q259">MIN(IF($J$149:$AO$149=Q$149,$J251:$AO251))</f>
        <v>0</v>
      </c>
      <c r="R259" s="398">
        <f t="array" ref="R259">MIN(IF($J$149:$AO$149=R$149,$J251:$AO251))</f>
        <v>0</v>
      </c>
      <c r="S259" s="398">
        <f t="array" ref="S259">MIN(IF($J$149:$AO$149=S$149,$J251:$AO251))</f>
        <v>0</v>
      </c>
      <c r="T259" s="398">
        <f t="array" ref="T259">MIN(IF($J$149:$AO$149=T$149,$J251:$AO251))</f>
        <v>0</v>
      </c>
      <c r="U259" s="398">
        <f t="array" ref="U259">MIN(IF($J$149:$AO$149=U$149,$J251:$AO251))</f>
        <v>0</v>
      </c>
      <c r="V259" s="398">
        <f t="array" ref="V259">MIN(IF($J$149:$AO$149=V$149,$J251:$AO251))</f>
        <v>0</v>
      </c>
      <c r="W259" s="398">
        <f t="array" ref="W259">MIN(IF($J$149:$AO$149=W$149,$J251:$AO251))</f>
        <v>0</v>
      </c>
      <c r="X259" s="398">
        <f t="array" ref="X259">MIN(IF($J$149:$AO$149=X$149,$J251:$AO251))</f>
        <v>0</v>
      </c>
      <c r="Y259" s="398">
        <f t="array" ref="Y259">MIN(IF($J$149:$AO$149=Y$149,$J251:$AO251))</f>
        <v>0</v>
      </c>
      <c r="Z259" s="398">
        <f t="array" ref="Z259">MIN(IF($J$149:$AO$149=Z$149,$J251:$AO251))</f>
        <v>0</v>
      </c>
      <c r="AA259" s="398">
        <f t="array" ref="AA259">MIN(IF($J$149:$AO$149=AA$149,$J251:$AO251))</f>
        <v>0</v>
      </c>
      <c r="AB259" s="398">
        <f t="array" ref="AB259">MIN(IF($J$149:$AO$149=AB$149,$J251:$AO251))</f>
        <v>0</v>
      </c>
      <c r="AC259" s="398">
        <f t="array" ref="AC259">MIN(IF($J$149:$AO$149=AC$149,$J251:$AO251))</f>
        <v>0</v>
      </c>
      <c r="AD259" s="398">
        <f t="array" ref="AD259">MIN(IF($J$149:$AO$149=AD$149,$J251:$AO251))</f>
        <v>0</v>
      </c>
      <c r="AE259" s="398">
        <f t="array" ref="AE259">MIN(IF($J$149:$AO$149=AE$149,$J251:$AO251))</f>
        <v>0</v>
      </c>
      <c r="AF259" s="398">
        <f t="array" ref="AF259">MIN(IF($J$149:$AO$149=AF$149,$J251:$AO251))</f>
        <v>0</v>
      </c>
      <c r="AG259" s="398">
        <f t="array" ref="AG259">MIN(IF($J$149:$AO$149=AG$149,$J251:$AO251))</f>
        <v>0</v>
      </c>
      <c r="AH259" s="398">
        <f t="array" ref="AH259">MIN(IF($J$149:$AO$149=AH$149,$J251:$AO251))</f>
        <v>0</v>
      </c>
      <c r="AI259" s="398">
        <f t="array" ref="AI259">MIN(IF($J$149:$AO$149=AI$149,$J251:$AO251))</f>
        <v>0</v>
      </c>
      <c r="AJ259" s="398">
        <f t="array" ref="AJ259">MIN(IF($J$149:$AO$149=AJ$149,$J251:$AO251))</f>
        <v>0</v>
      </c>
      <c r="AK259" s="398">
        <f t="array" ref="AK259">MIN(IF($J$149:$AO$149=AK$149,$J251:$AO251))</f>
        <v>0</v>
      </c>
      <c r="AL259" s="398">
        <f t="array" ref="AL259">MIN(IF($J$149:$AO$149=AL$149,$J251:$AO251))</f>
        <v>0</v>
      </c>
      <c r="AM259" s="398">
        <f t="array" ref="AM259">MIN(IF($J$149:$AO$149=AM$149,$J251:$AO251))</f>
        <v>0</v>
      </c>
      <c r="AN259" s="398">
        <f t="array" ref="AN259">MIN(IF($J$149:$AO$149=AN$149,$J251:$AO251))</f>
        <v>0</v>
      </c>
      <c r="AO259" s="398">
        <f t="array" ref="AO259">MIN(IF($J$149:$AO$149=AO$149,$J251:$AO251))</f>
        <v>0</v>
      </c>
    </row>
    <row r="260" spans="3:41" x14ac:dyDescent="0.3">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3">
      <c r="C261" s="29"/>
      <c r="E261" s="32" t="s">
        <v>1067</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3">
      <c r="C262" s="29"/>
      <c r="F262" s="23" t="s">
        <v>1060</v>
      </c>
      <c r="G262" s="23" t="s">
        <v>268</v>
      </c>
      <c r="H262" s="23"/>
      <c r="I262" s="23"/>
      <c r="J262" s="397">
        <f xml:space="preserve"> - J257</f>
        <v>0</v>
      </c>
      <c r="K262" s="397">
        <f t="shared" ref="K262:AO262" si="119" xml:space="preserve"> - K257</f>
        <v>0</v>
      </c>
      <c r="L262" s="397">
        <f t="shared" si="119"/>
        <v>0</v>
      </c>
      <c r="M262" s="397">
        <f t="shared" si="119"/>
        <v>0</v>
      </c>
      <c r="N262" s="397">
        <f t="shared" si="119"/>
        <v>0</v>
      </c>
      <c r="O262" s="397">
        <f t="shared" si="119"/>
        <v>0</v>
      </c>
      <c r="P262" s="397">
        <f t="shared" si="119"/>
        <v>0</v>
      </c>
      <c r="Q262" s="397">
        <f t="shared" si="119"/>
        <v>0</v>
      </c>
      <c r="R262" s="397">
        <f t="shared" si="119"/>
        <v>0</v>
      </c>
      <c r="S262" s="397">
        <f t="shared" si="119"/>
        <v>0</v>
      </c>
      <c r="T262" s="397">
        <f t="shared" si="119"/>
        <v>0</v>
      </c>
      <c r="U262" s="397">
        <f t="shared" si="119"/>
        <v>0</v>
      </c>
      <c r="V262" s="397">
        <f t="shared" si="119"/>
        <v>0</v>
      </c>
      <c r="W262" s="397">
        <f t="shared" si="119"/>
        <v>0</v>
      </c>
      <c r="X262" s="397">
        <f t="shared" si="119"/>
        <v>0</v>
      </c>
      <c r="Y262" s="397">
        <f t="shared" si="119"/>
        <v>0</v>
      </c>
      <c r="Z262" s="397">
        <f t="shared" si="119"/>
        <v>0</v>
      </c>
      <c r="AA262" s="397">
        <f t="shared" si="119"/>
        <v>0</v>
      </c>
      <c r="AB262" s="397">
        <f t="shared" si="119"/>
        <v>0</v>
      </c>
      <c r="AC262" s="397">
        <f t="shared" si="119"/>
        <v>0</v>
      </c>
      <c r="AD262" s="397">
        <f t="shared" si="119"/>
        <v>0</v>
      </c>
      <c r="AE262" s="397">
        <f t="shared" si="119"/>
        <v>0</v>
      </c>
      <c r="AF262" s="397">
        <f t="shared" si="119"/>
        <v>0</v>
      </c>
      <c r="AG262" s="397">
        <f t="shared" si="119"/>
        <v>0</v>
      </c>
      <c r="AH262" s="397">
        <f t="shared" si="119"/>
        <v>0</v>
      </c>
      <c r="AI262" s="397">
        <f t="shared" si="119"/>
        <v>0</v>
      </c>
      <c r="AJ262" s="397">
        <f t="shared" si="119"/>
        <v>0</v>
      </c>
      <c r="AK262" s="397">
        <f t="shared" si="119"/>
        <v>0</v>
      </c>
      <c r="AL262" s="397">
        <f t="shared" si="119"/>
        <v>0</v>
      </c>
      <c r="AM262" s="397">
        <f t="shared" si="119"/>
        <v>0</v>
      </c>
      <c r="AN262" s="397">
        <f t="shared" si="119"/>
        <v>0</v>
      </c>
      <c r="AO262" s="397">
        <f t="shared" si="119"/>
        <v>0</v>
      </c>
    </row>
    <row r="263" spans="3:41" x14ac:dyDescent="0.3">
      <c r="C263" s="29"/>
      <c r="F263" t="s">
        <v>1061</v>
      </c>
      <c r="G263" t="s">
        <v>268</v>
      </c>
      <c r="J263" s="329">
        <f t="shared" ref="J263:AO264" si="120" xml:space="preserve"> - J258</f>
        <v>0</v>
      </c>
      <c r="K263" s="329">
        <f t="shared" si="120"/>
        <v>0</v>
      </c>
      <c r="L263" s="329">
        <f t="shared" si="120"/>
        <v>0</v>
      </c>
      <c r="M263" s="329">
        <f t="shared" si="120"/>
        <v>0</v>
      </c>
      <c r="N263" s="329">
        <f t="shared" si="120"/>
        <v>0</v>
      </c>
      <c r="O263" s="329">
        <f t="shared" si="120"/>
        <v>0</v>
      </c>
      <c r="P263" s="329">
        <f t="shared" si="120"/>
        <v>0</v>
      </c>
      <c r="Q263" s="329">
        <f t="shared" si="120"/>
        <v>0</v>
      </c>
      <c r="R263" s="329">
        <f t="shared" si="120"/>
        <v>0</v>
      </c>
      <c r="S263" s="329">
        <f t="shared" si="120"/>
        <v>0</v>
      </c>
      <c r="T263" s="329">
        <f t="shared" si="120"/>
        <v>0</v>
      </c>
      <c r="U263" s="329">
        <f t="shared" si="120"/>
        <v>0</v>
      </c>
      <c r="V263" s="329">
        <f t="shared" si="120"/>
        <v>0</v>
      </c>
      <c r="W263" s="329">
        <f t="shared" si="120"/>
        <v>0</v>
      </c>
      <c r="X263" s="329">
        <f t="shared" si="120"/>
        <v>0</v>
      </c>
      <c r="Y263" s="329">
        <f t="shared" si="120"/>
        <v>0</v>
      </c>
      <c r="Z263" s="329">
        <f t="shared" si="120"/>
        <v>0</v>
      </c>
      <c r="AA263" s="329">
        <f t="shared" si="120"/>
        <v>0</v>
      </c>
      <c r="AB263" s="329">
        <f t="shared" si="120"/>
        <v>0</v>
      </c>
      <c r="AC263" s="329">
        <f t="shared" si="120"/>
        <v>0</v>
      </c>
      <c r="AD263" s="329">
        <f t="shared" si="120"/>
        <v>0</v>
      </c>
      <c r="AE263" s="329">
        <f t="shared" si="120"/>
        <v>0</v>
      </c>
      <c r="AF263" s="329">
        <f t="shared" si="120"/>
        <v>0</v>
      </c>
      <c r="AG263" s="329">
        <f t="shared" si="120"/>
        <v>0</v>
      </c>
      <c r="AH263" s="329">
        <f t="shared" si="120"/>
        <v>0</v>
      </c>
      <c r="AI263" s="329">
        <f t="shared" si="120"/>
        <v>0</v>
      </c>
      <c r="AJ263" s="329">
        <f t="shared" si="120"/>
        <v>0</v>
      </c>
      <c r="AK263" s="329">
        <f t="shared" si="120"/>
        <v>0</v>
      </c>
      <c r="AL263" s="329">
        <f t="shared" si="120"/>
        <v>0</v>
      </c>
      <c r="AM263" s="329">
        <f t="shared" si="120"/>
        <v>0</v>
      </c>
      <c r="AN263" s="329">
        <f t="shared" si="120"/>
        <v>0</v>
      </c>
      <c r="AO263" s="329">
        <f t="shared" si="120"/>
        <v>0</v>
      </c>
    </row>
    <row r="264" spans="3:41" x14ac:dyDescent="0.3">
      <c r="C264" s="29"/>
      <c r="F264" s="37" t="s">
        <v>1062</v>
      </c>
      <c r="G264" s="37" t="s">
        <v>268</v>
      </c>
      <c r="H264" s="37"/>
      <c r="I264" s="37"/>
      <c r="J264" s="398">
        <f t="shared" si="120"/>
        <v>0</v>
      </c>
      <c r="K264" s="398">
        <f t="shared" si="120"/>
        <v>0</v>
      </c>
      <c r="L264" s="398">
        <f t="shared" si="120"/>
        <v>0</v>
      </c>
      <c r="M264" s="398">
        <f t="shared" si="120"/>
        <v>0</v>
      </c>
      <c r="N264" s="398">
        <f t="shared" si="120"/>
        <v>0</v>
      </c>
      <c r="O264" s="398">
        <f t="shared" si="120"/>
        <v>0</v>
      </c>
      <c r="P264" s="398">
        <f t="shared" si="120"/>
        <v>0</v>
      </c>
      <c r="Q264" s="398">
        <f t="shared" si="120"/>
        <v>0</v>
      </c>
      <c r="R264" s="398">
        <f t="shared" si="120"/>
        <v>0</v>
      </c>
      <c r="S264" s="398">
        <f t="shared" si="120"/>
        <v>0</v>
      </c>
      <c r="T264" s="398">
        <f t="shared" si="120"/>
        <v>0</v>
      </c>
      <c r="U264" s="398">
        <f t="shared" si="120"/>
        <v>0</v>
      </c>
      <c r="V264" s="398">
        <f t="shared" si="120"/>
        <v>0</v>
      </c>
      <c r="W264" s="398">
        <f t="shared" si="120"/>
        <v>0</v>
      </c>
      <c r="X264" s="398">
        <f t="shared" si="120"/>
        <v>0</v>
      </c>
      <c r="Y264" s="398">
        <f t="shared" si="120"/>
        <v>0</v>
      </c>
      <c r="Z264" s="398">
        <f t="shared" si="120"/>
        <v>0</v>
      </c>
      <c r="AA264" s="398">
        <f t="shared" si="120"/>
        <v>0</v>
      </c>
      <c r="AB264" s="398">
        <f t="shared" si="120"/>
        <v>0</v>
      </c>
      <c r="AC264" s="398">
        <f t="shared" si="120"/>
        <v>0</v>
      </c>
      <c r="AD264" s="398">
        <f t="shared" si="120"/>
        <v>0</v>
      </c>
      <c r="AE264" s="398">
        <f t="shared" si="120"/>
        <v>0</v>
      </c>
      <c r="AF264" s="398">
        <f t="shared" si="120"/>
        <v>0</v>
      </c>
      <c r="AG264" s="398">
        <f t="shared" si="120"/>
        <v>0</v>
      </c>
      <c r="AH264" s="398">
        <f t="shared" si="120"/>
        <v>0</v>
      </c>
      <c r="AI264" s="398">
        <f t="shared" si="120"/>
        <v>0</v>
      </c>
      <c r="AJ264" s="398">
        <f t="shared" si="120"/>
        <v>0</v>
      </c>
      <c r="AK264" s="398">
        <f t="shared" si="120"/>
        <v>0</v>
      </c>
      <c r="AL264" s="398">
        <f t="shared" si="120"/>
        <v>0</v>
      </c>
      <c r="AM264" s="398">
        <f t="shared" si="120"/>
        <v>0</v>
      </c>
      <c r="AN264" s="398">
        <f t="shared" si="120"/>
        <v>0</v>
      </c>
      <c r="AO264" s="398">
        <f t="shared" si="120"/>
        <v>0</v>
      </c>
    </row>
    <row r="265" spans="3:41" x14ac:dyDescent="0.3">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3">
      <c r="C266" s="29"/>
      <c r="E266" s="32" t="s">
        <v>1068</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3">
      <c r="C267" s="29"/>
      <c r="F267" s="23" t="s">
        <v>1060</v>
      </c>
      <c r="G267" s="23" t="s">
        <v>148</v>
      </c>
      <c r="H267" s="23"/>
      <c r="I267" s="23"/>
      <c r="J267" s="351">
        <f t="shared" ref="J267:AO267" si="121">IF(J$237,MATCH(J249,J$40:J$42,0), 0)</f>
        <v>0</v>
      </c>
      <c r="K267" s="351">
        <f t="shared" si="121"/>
        <v>0</v>
      </c>
      <c r="L267" s="351">
        <f t="shared" si="121"/>
        <v>0</v>
      </c>
      <c r="M267" s="351">
        <f t="shared" si="121"/>
        <v>0</v>
      </c>
      <c r="N267" s="351">
        <f t="shared" si="121"/>
        <v>0</v>
      </c>
      <c r="O267" s="351">
        <f t="shared" si="121"/>
        <v>0</v>
      </c>
      <c r="P267" s="351">
        <f t="shared" si="121"/>
        <v>0</v>
      </c>
      <c r="Q267" s="351">
        <f t="shared" si="121"/>
        <v>0</v>
      </c>
      <c r="R267" s="351">
        <f t="shared" si="121"/>
        <v>0</v>
      </c>
      <c r="S267" s="351">
        <f t="shared" si="121"/>
        <v>0</v>
      </c>
      <c r="T267" s="351">
        <f t="shared" si="121"/>
        <v>0</v>
      </c>
      <c r="U267" s="351">
        <f t="shared" si="121"/>
        <v>0</v>
      </c>
      <c r="V267" s="351">
        <f t="shared" si="121"/>
        <v>0</v>
      </c>
      <c r="W267" s="351">
        <f t="shared" si="121"/>
        <v>0</v>
      </c>
      <c r="X267" s="351">
        <f t="shared" si="121"/>
        <v>0</v>
      </c>
      <c r="Y267" s="351">
        <f t="shared" si="121"/>
        <v>0</v>
      </c>
      <c r="Z267" s="351">
        <f t="shared" si="121"/>
        <v>0</v>
      </c>
      <c r="AA267" s="351">
        <f t="shared" si="121"/>
        <v>0</v>
      </c>
      <c r="AB267" s="351">
        <f t="shared" si="121"/>
        <v>0</v>
      </c>
      <c r="AC267" s="351">
        <f t="shared" si="121"/>
        <v>0</v>
      </c>
      <c r="AD267" s="351">
        <f t="shared" si="121"/>
        <v>0</v>
      </c>
      <c r="AE267" s="351">
        <f t="shared" si="121"/>
        <v>0</v>
      </c>
      <c r="AF267" s="351">
        <f t="shared" si="121"/>
        <v>0</v>
      </c>
      <c r="AG267" s="351">
        <f t="shared" si="121"/>
        <v>0</v>
      </c>
      <c r="AH267" s="351">
        <f t="shared" si="121"/>
        <v>0</v>
      </c>
      <c r="AI267" s="351">
        <f t="shared" si="121"/>
        <v>0</v>
      </c>
      <c r="AJ267" s="351">
        <f t="shared" si="121"/>
        <v>0</v>
      </c>
      <c r="AK267" s="351">
        <f t="shared" si="121"/>
        <v>0</v>
      </c>
      <c r="AL267" s="351">
        <f t="shared" si="121"/>
        <v>0</v>
      </c>
      <c r="AM267" s="351">
        <f t="shared" si="121"/>
        <v>0</v>
      </c>
      <c r="AN267" s="351">
        <f t="shared" si="121"/>
        <v>0</v>
      </c>
      <c r="AO267" s="351">
        <f t="shared" si="121"/>
        <v>0</v>
      </c>
    </row>
    <row r="268" spans="3:41" x14ac:dyDescent="0.3">
      <c r="C268" s="29"/>
      <c r="F268" t="s">
        <v>1061</v>
      </c>
      <c r="G268" t="s">
        <v>148</v>
      </c>
      <c r="J268" s="325">
        <f t="shared" ref="J268:AO268" si="122">IF(J$237,MATCH(J250,J$40:J$42,0), 0)</f>
        <v>0</v>
      </c>
      <c r="K268" s="325">
        <f t="shared" si="122"/>
        <v>0</v>
      </c>
      <c r="L268" s="325">
        <f t="shared" si="122"/>
        <v>0</v>
      </c>
      <c r="M268" s="325">
        <f t="shared" si="122"/>
        <v>0</v>
      </c>
      <c r="N268" s="325">
        <f t="shared" si="122"/>
        <v>0</v>
      </c>
      <c r="O268" s="325">
        <f t="shared" si="122"/>
        <v>0</v>
      </c>
      <c r="P268" s="325">
        <f t="shared" si="122"/>
        <v>0</v>
      </c>
      <c r="Q268" s="325">
        <f t="shared" si="122"/>
        <v>0</v>
      </c>
      <c r="R268" s="325">
        <f t="shared" si="122"/>
        <v>0</v>
      </c>
      <c r="S268" s="325">
        <f t="shared" si="122"/>
        <v>0</v>
      </c>
      <c r="T268" s="325">
        <f t="shared" si="122"/>
        <v>0</v>
      </c>
      <c r="U268" s="325">
        <f t="shared" si="122"/>
        <v>0</v>
      </c>
      <c r="V268" s="325">
        <f t="shared" si="122"/>
        <v>0</v>
      </c>
      <c r="W268" s="325">
        <f t="shared" si="122"/>
        <v>0</v>
      </c>
      <c r="X268" s="325">
        <f t="shared" si="122"/>
        <v>0</v>
      </c>
      <c r="Y268" s="325">
        <f t="shared" si="122"/>
        <v>0</v>
      </c>
      <c r="Z268" s="325">
        <f t="shared" si="122"/>
        <v>0</v>
      </c>
      <c r="AA268" s="325">
        <f t="shared" si="122"/>
        <v>0</v>
      </c>
      <c r="AB268" s="325">
        <f t="shared" si="122"/>
        <v>0</v>
      </c>
      <c r="AC268" s="325">
        <f t="shared" si="122"/>
        <v>0</v>
      </c>
      <c r="AD268" s="325">
        <f t="shared" si="122"/>
        <v>0</v>
      </c>
      <c r="AE268" s="325">
        <f t="shared" si="122"/>
        <v>0</v>
      </c>
      <c r="AF268" s="325">
        <f t="shared" si="122"/>
        <v>0</v>
      </c>
      <c r="AG268" s="325">
        <f t="shared" si="122"/>
        <v>0</v>
      </c>
      <c r="AH268" s="325">
        <f t="shared" si="122"/>
        <v>0</v>
      </c>
      <c r="AI268" s="325">
        <f t="shared" si="122"/>
        <v>0</v>
      </c>
      <c r="AJ268" s="325">
        <f t="shared" si="122"/>
        <v>0</v>
      </c>
      <c r="AK268" s="325">
        <f t="shared" si="122"/>
        <v>0</v>
      </c>
      <c r="AL268" s="325">
        <f t="shared" si="122"/>
        <v>0</v>
      </c>
      <c r="AM268" s="325">
        <f t="shared" si="122"/>
        <v>0</v>
      </c>
      <c r="AN268" s="325">
        <f t="shared" si="122"/>
        <v>0</v>
      </c>
      <c r="AO268" s="325">
        <f t="shared" si="122"/>
        <v>0</v>
      </c>
    </row>
    <row r="269" spans="3:41" x14ac:dyDescent="0.3">
      <c r="C269" s="29"/>
      <c r="F269" s="37" t="s">
        <v>1062</v>
      </c>
      <c r="G269" s="37" t="s">
        <v>148</v>
      </c>
      <c r="H269" s="37"/>
      <c r="I269" s="37"/>
      <c r="J269" s="353">
        <f t="shared" ref="J269:AO269" si="123">IF(J$237,MATCH(J251,J$40:J$42,0), 0)</f>
        <v>0</v>
      </c>
      <c r="K269" s="353">
        <f t="shared" si="123"/>
        <v>0</v>
      </c>
      <c r="L269" s="353">
        <f t="shared" si="123"/>
        <v>0</v>
      </c>
      <c r="M269" s="353">
        <f t="shared" si="123"/>
        <v>0</v>
      </c>
      <c r="N269" s="353">
        <f t="shared" si="123"/>
        <v>0</v>
      </c>
      <c r="O269" s="353">
        <f t="shared" si="123"/>
        <v>0</v>
      </c>
      <c r="P269" s="353">
        <f t="shared" si="123"/>
        <v>0</v>
      </c>
      <c r="Q269" s="353">
        <f t="shared" si="123"/>
        <v>0</v>
      </c>
      <c r="R269" s="353">
        <f t="shared" si="123"/>
        <v>0</v>
      </c>
      <c r="S269" s="353">
        <f t="shared" si="123"/>
        <v>0</v>
      </c>
      <c r="T269" s="353">
        <f t="shared" si="123"/>
        <v>0</v>
      </c>
      <c r="U269" s="353">
        <f t="shared" si="123"/>
        <v>0</v>
      </c>
      <c r="V269" s="353">
        <f t="shared" si="123"/>
        <v>0</v>
      </c>
      <c r="W269" s="353">
        <f t="shared" si="123"/>
        <v>0</v>
      </c>
      <c r="X269" s="353">
        <f t="shared" si="123"/>
        <v>0</v>
      </c>
      <c r="Y269" s="353">
        <f t="shared" si="123"/>
        <v>0</v>
      </c>
      <c r="Z269" s="353">
        <f t="shared" si="123"/>
        <v>0</v>
      </c>
      <c r="AA269" s="353">
        <f t="shared" si="123"/>
        <v>0</v>
      </c>
      <c r="AB269" s="353">
        <f t="shared" si="123"/>
        <v>0</v>
      </c>
      <c r="AC269" s="353">
        <f t="shared" si="123"/>
        <v>0</v>
      </c>
      <c r="AD269" s="353">
        <f t="shared" si="123"/>
        <v>0</v>
      </c>
      <c r="AE269" s="353">
        <f t="shared" si="123"/>
        <v>0</v>
      </c>
      <c r="AF269" s="353">
        <f t="shared" si="123"/>
        <v>0</v>
      </c>
      <c r="AG269" s="353">
        <f t="shared" si="123"/>
        <v>0</v>
      </c>
      <c r="AH269" s="353">
        <f t="shared" si="123"/>
        <v>0</v>
      </c>
      <c r="AI269" s="353">
        <f t="shared" si="123"/>
        <v>0</v>
      </c>
      <c r="AJ269" s="353">
        <f t="shared" si="123"/>
        <v>0</v>
      </c>
      <c r="AK269" s="353">
        <f t="shared" si="123"/>
        <v>0</v>
      </c>
      <c r="AL269" s="353">
        <f t="shared" si="123"/>
        <v>0</v>
      </c>
      <c r="AM269" s="353">
        <f t="shared" si="123"/>
        <v>0</v>
      </c>
      <c r="AN269" s="353">
        <f t="shared" si="123"/>
        <v>0</v>
      </c>
      <c r="AO269" s="353">
        <f t="shared" si="123"/>
        <v>0</v>
      </c>
    </row>
    <row r="270" spans="3:41" x14ac:dyDescent="0.3">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3">
      <c r="C271" s="29"/>
      <c r="E271" s="32" t="s">
        <v>1069</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3">
      <c r="C272" s="29"/>
      <c r="F272" s="23" t="s">
        <v>1060</v>
      </c>
      <c r="G272" s="23" t="s">
        <v>206</v>
      </c>
      <c r="H272" s="23"/>
      <c r="I272" s="23"/>
      <c r="J272" s="399">
        <f t="shared" ref="J272:AO272" si="124">IF(J$237, INDEX(J$53:J$55,J267), 0)</f>
        <v>0</v>
      </c>
      <c r="K272" s="399">
        <f t="shared" si="124"/>
        <v>0</v>
      </c>
      <c r="L272" s="399">
        <f t="shared" si="124"/>
        <v>0</v>
      </c>
      <c r="M272" s="399">
        <f t="shared" si="124"/>
        <v>0</v>
      </c>
      <c r="N272" s="399">
        <f t="shared" si="124"/>
        <v>0</v>
      </c>
      <c r="O272" s="399">
        <f t="shared" si="124"/>
        <v>0</v>
      </c>
      <c r="P272" s="399">
        <f t="shared" si="124"/>
        <v>0</v>
      </c>
      <c r="Q272" s="399">
        <f t="shared" si="124"/>
        <v>0</v>
      </c>
      <c r="R272" s="399">
        <f t="shared" si="124"/>
        <v>0</v>
      </c>
      <c r="S272" s="399">
        <f t="shared" si="124"/>
        <v>0</v>
      </c>
      <c r="T272" s="399">
        <f t="shared" si="124"/>
        <v>0</v>
      </c>
      <c r="U272" s="399">
        <f t="shared" si="124"/>
        <v>0</v>
      </c>
      <c r="V272" s="399">
        <f t="shared" si="124"/>
        <v>0</v>
      </c>
      <c r="W272" s="399">
        <f t="shared" si="124"/>
        <v>0</v>
      </c>
      <c r="X272" s="399">
        <f t="shared" si="124"/>
        <v>0</v>
      </c>
      <c r="Y272" s="399">
        <f t="shared" si="124"/>
        <v>0</v>
      </c>
      <c r="Z272" s="399">
        <f t="shared" si="124"/>
        <v>0</v>
      </c>
      <c r="AA272" s="399">
        <f t="shared" si="124"/>
        <v>0</v>
      </c>
      <c r="AB272" s="399">
        <f t="shared" si="124"/>
        <v>0</v>
      </c>
      <c r="AC272" s="399">
        <f t="shared" si="124"/>
        <v>0</v>
      </c>
      <c r="AD272" s="399">
        <f t="shared" si="124"/>
        <v>0</v>
      </c>
      <c r="AE272" s="399">
        <f t="shared" si="124"/>
        <v>0</v>
      </c>
      <c r="AF272" s="399">
        <f t="shared" si="124"/>
        <v>0</v>
      </c>
      <c r="AG272" s="399">
        <f t="shared" si="124"/>
        <v>0</v>
      </c>
      <c r="AH272" s="399">
        <f t="shared" si="124"/>
        <v>0</v>
      </c>
      <c r="AI272" s="399">
        <f t="shared" si="124"/>
        <v>0</v>
      </c>
      <c r="AJ272" s="399">
        <f t="shared" si="124"/>
        <v>0</v>
      </c>
      <c r="AK272" s="399">
        <f t="shared" si="124"/>
        <v>0</v>
      </c>
      <c r="AL272" s="399">
        <f t="shared" si="124"/>
        <v>0</v>
      </c>
      <c r="AM272" s="399">
        <f t="shared" si="124"/>
        <v>0</v>
      </c>
      <c r="AN272" s="399">
        <f t="shared" si="124"/>
        <v>0</v>
      </c>
      <c r="AO272" s="399">
        <f t="shared" si="124"/>
        <v>0</v>
      </c>
    </row>
    <row r="273" spans="3:43" x14ac:dyDescent="0.3">
      <c r="C273" s="29"/>
      <c r="F273" t="s">
        <v>1061</v>
      </c>
      <c r="G273" t="s">
        <v>206</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3">
      <c r="C274" s="29"/>
      <c r="F274" s="37" t="s">
        <v>1062</v>
      </c>
      <c r="G274" s="37" t="s">
        <v>206</v>
      </c>
      <c r="H274" s="37"/>
      <c r="I274" s="37"/>
      <c r="J274" s="400">
        <f t="shared" ref="J274:AO274" si="126">IF(J$237, INDEX(J$53:J$55,J269), 0)</f>
        <v>0</v>
      </c>
      <c r="K274" s="400">
        <f t="shared" si="126"/>
        <v>0</v>
      </c>
      <c r="L274" s="400">
        <f t="shared" si="126"/>
        <v>0</v>
      </c>
      <c r="M274" s="400">
        <f t="shared" si="126"/>
        <v>0</v>
      </c>
      <c r="N274" s="400">
        <f t="shared" si="126"/>
        <v>0</v>
      </c>
      <c r="O274" s="400">
        <f t="shared" si="126"/>
        <v>0</v>
      </c>
      <c r="P274" s="400">
        <f t="shared" si="126"/>
        <v>0</v>
      </c>
      <c r="Q274" s="400">
        <f t="shared" si="126"/>
        <v>0</v>
      </c>
      <c r="R274" s="400">
        <f t="shared" si="126"/>
        <v>0</v>
      </c>
      <c r="S274" s="400">
        <f t="shared" si="126"/>
        <v>0</v>
      </c>
      <c r="T274" s="400">
        <f t="shared" si="126"/>
        <v>0</v>
      </c>
      <c r="U274" s="400">
        <f t="shared" si="126"/>
        <v>0</v>
      </c>
      <c r="V274" s="400">
        <f t="shared" si="126"/>
        <v>0</v>
      </c>
      <c r="W274" s="400">
        <f t="shared" si="126"/>
        <v>0</v>
      </c>
      <c r="X274" s="400">
        <f t="shared" si="126"/>
        <v>0</v>
      </c>
      <c r="Y274" s="400">
        <f t="shared" si="126"/>
        <v>0</v>
      </c>
      <c r="Z274" s="400">
        <f t="shared" si="126"/>
        <v>0</v>
      </c>
      <c r="AA274" s="400">
        <f t="shared" si="126"/>
        <v>0</v>
      </c>
      <c r="AB274" s="400">
        <f t="shared" si="126"/>
        <v>0</v>
      </c>
      <c r="AC274" s="400">
        <f t="shared" si="126"/>
        <v>0</v>
      </c>
      <c r="AD274" s="400">
        <f t="shared" si="126"/>
        <v>0</v>
      </c>
      <c r="AE274" s="400">
        <f t="shared" si="126"/>
        <v>0</v>
      </c>
      <c r="AF274" s="400">
        <f t="shared" si="126"/>
        <v>0</v>
      </c>
      <c r="AG274" s="400">
        <f t="shared" si="126"/>
        <v>0</v>
      </c>
      <c r="AH274" s="400">
        <f t="shared" si="126"/>
        <v>0</v>
      </c>
      <c r="AI274" s="400">
        <f t="shared" si="126"/>
        <v>0</v>
      </c>
      <c r="AJ274" s="400">
        <f t="shared" si="126"/>
        <v>0</v>
      </c>
      <c r="AK274" s="400">
        <f t="shared" si="126"/>
        <v>0</v>
      </c>
      <c r="AL274" s="400">
        <f t="shared" si="126"/>
        <v>0</v>
      </c>
      <c r="AM274" s="400">
        <f t="shared" si="126"/>
        <v>0</v>
      </c>
      <c r="AN274" s="400">
        <f t="shared" si="126"/>
        <v>0</v>
      </c>
      <c r="AO274" s="400">
        <f t="shared" si="126"/>
        <v>0</v>
      </c>
    </row>
    <row r="275" spans="3:43" x14ac:dyDescent="0.3">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3">
      <c r="C276" s="29"/>
      <c r="E276" s="32" t="s">
        <v>1070</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3">
      <c r="C277" s="29"/>
      <c r="F277" s="23" t="s">
        <v>1060</v>
      </c>
      <c r="G277" s="23" t="s">
        <v>206</v>
      </c>
      <c r="H277" s="23"/>
      <c r="I277" s="23"/>
      <c r="J277" s="399">
        <f t="shared" ref="J277:AO279" si="127">SUMIF($J$149:$AO$149,J$149,$J272:$AO272)</f>
        <v>0</v>
      </c>
      <c r="K277" s="399">
        <f t="shared" si="127"/>
        <v>0</v>
      </c>
      <c r="L277" s="399">
        <f t="shared" si="127"/>
        <v>0</v>
      </c>
      <c r="M277" s="399">
        <f t="shared" si="127"/>
        <v>0</v>
      </c>
      <c r="N277" s="399">
        <f t="shared" si="127"/>
        <v>0</v>
      </c>
      <c r="O277" s="399">
        <f t="shared" si="127"/>
        <v>0</v>
      </c>
      <c r="P277" s="399">
        <f t="shared" si="127"/>
        <v>0</v>
      </c>
      <c r="Q277" s="399">
        <f t="shared" si="127"/>
        <v>0</v>
      </c>
      <c r="R277" s="399">
        <f t="shared" si="127"/>
        <v>0</v>
      </c>
      <c r="S277" s="399">
        <f t="shared" si="127"/>
        <v>0</v>
      </c>
      <c r="T277" s="399">
        <f t="shared" si="127"/>
        <v>0</v>
      </c>
      <c r="U277" s="399">
        <f t="shared" si="127"/>
        <v>0</v>
      </c>
      <c r="V277" s="399">
        <f t="shared" si="127"/>
        <v>0</v>
      </c>
      <c r="W277" s="399">
        <f t="shared" si="127"/>
        <v>0</v>
      </c>
      <c r="X277" s="399">
        <f t="shared" si="127"/>
        <v>0</v>
      </c>
      <c r="Y277" s="399">
        <f t="shared" si="127"/>
        <v>0</v>
      </c>
      <c r="Z277" s="399">
        <f t="shared" si="127"/>
        <v>0</v>
      </c>
      <c r="AA277" s="399">
        <f t="shared" si="127"/>
        <v>0</v>
      </c>
      <c r="AB277" s="399">
        <f t="shared" si="127"/>
        <v>0</v>
      </c>
      <c r="AC277" s="399">
        <f t="shared" si="127"/>
        <v>0</v>
      </c>
      <c r="AD277" s="399">
        <f t="shared" si="127"/>
        <v>0</v>
      </c>
      <c r="AE277" s="399">
        <f t="shared" si="127"/>
        <v>0</v>
      </c>
      <c r="AF277" s="399">
        <f t="shared" si="127"/>
        <v>0</v>
      </c>
      <c r="AG277" s="399">
        <f t="shared" si="127"/>
        <v>0</v>
      </c>
      <c r="AH277" s="399">
        <f t="shared" si="127"/>
        <v>0</v>
      </c>
      <c r="AI277" s="399">
        <f t="shared" si="127"/>
        <v>0</v>
      </c>
      <c r="AJ277" s="399">
        <f t="shared" si="127"/>
        <v>0</v>
      </c>
      <c r="AK277" s="399">
        <f t="shared" si="127"/>
        <v>0</v>
      </c>
      <c r="AL277" s="399">
        <f t="shared" si="127"/>
        <v>0</v>
      </c>
      <c r="AM277" s="399">
        <f t="shared" si="127"/>
        <v>0</v>
      </c>
      <c r="AN277" s="399">
        <f t="shared" si="127"/>
        <v>0</v>
      </c>
      <c r="AO277" s="399">
        <f t="shared" si="127"/>
        <v>0</v>
      </c>
    </row>
    <row r="278" spans="3:43" x14ac:dyDescent="0.3">
      <c r="C278" s="29"/>
      <c r="F278" t="s">
        <v>1061</v>
      </c>
      <c r="G278" t="s">
        <v>206</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3">
      <c r="C279" s="29"/>
      <c r="F279" s="37" t="s">
        <v>1062</v>
      </c>
      <c r="G279" s="37" t="s">
        <v>206</v>
      </c>
      <c r="H279" s="37"/>
      <c r="I279" s="37"/>
      <c r="J279" s="400">
        <f t="shared" si="127"/>
        <v>0</v>
      </c>
      <c r="K279" s="400">
        <f t="shared" si="127"/>
        <v>0</v>
      </c>
      <c r="L279" s="400">
        <f t="shared" si="127"/>
        <v>0</v>
      </c>
      <c r="M279" s="400">
        <f t="shared" si="127"/>
        <v>0</v>
      </c>
      <c r="N279" s="400">
        <f t="shared" si="127"/>
        <v>0</v>
      </c>
      <c r="O279" s="400">
        <f t="shared" si="127"/>
        <v>0</v>
      </c>
      <c r="P279" s="400">
        <f t="shared" si="127"/>
        <v>0</v>
      </c>
      <c r="Q279" s="400">
        <f t="shared" si="127"/>
        <v>0</v>
      </c>
      <c r="R279" s="400">
        <f t="shared" si="127"/>
        <v>0</v>
      </c>
      <c r="S279" s="400">
        <f t="shared" si="127"/>
        <v>0</v>
      </c>
      <c r="T279" s="400">
        <f t="shared" si="127"/>
        <v>0</v>
      </c>
      <c r="U279" s="400">
        <f t="shared" si="127"/>
        <v>0</v>
      </c>
      <c r="V279" s="400">
        <f t="shared" si="127"/>
        <v>0</v>
      </c>
      <c r="W279" s="400">
        <f t="shared" si="127"/>
        <v>0</v>
      </c>
      <c r="X279" s="400">
        <f t="shared" si="127"/>
        <v>0</v>
      </c>
      <c r="Y279" s="400">
        <f t="shared" si="127"/>
        <v>0</v>
      </c>
      <c r="Z279" s="400">
        <f t="shared" si="127"/>
        <v>0</v>
      </c>
      <c r="AA279" s="400">
        <f t="shared" si="127"/>
        <v>0</v>
      </c>
      <c r="AB279" s="400">
        <f t="shared" si="127"/>
        <v>0</v>
      </c>
      <c r="AC279" s="400">
        <f t="shared" si="127"/>
        <v>0</v>
      </c>
      <c r="AD279" s="400">
        <f t="shared" si="127"/>
        <v>0</v>
      </c>
      <c r="AE279" s="400">
        <f t="shared" si="127"/>
        <v>0</v>
      </c>
      <c r="AF279" s="400">
        <f t="shared" si="127"/>
        <v>0</v>
      </c>
      <c r="AG279" s="400">
        <f t="shared" si="127"/>
        <v>0</v>
      </c>
      <c r="AH279" s="400">
        <f t="shared" si="127"/>
        <v>0</v>
      </c>
      <c r="AI279" s="400">
        <f t="shared" si="127"/>
        <v>0</v>
      </c>
      <c r="AJ279" s="400">
        <f t="shared" si="127"/>
        <v>0</v>
      </c>
      <c r="AK279" s="400">
        <f t="shared" si="127"/>
        <v>0</v>
      </c>
      <c r="AL279" s="400">
        <f t="shared" si="127"/>
        <v>0</v>
      </c>
      <c r="AM279" s="400">
        <f t="shared" si="127"/>
        <v>0</v>
      </c>
      <c r="AN279" s="400">
        <f t="shared" si="127"/>
        <v>0</v>
      </c>
      <c r="AO279" s="400">
        <f t="shared" si="127"/>
        <v>0</v>
      </c>
    </row>
    <row r="280" spans="3:43" x14ac:dyDescent="0.3">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3">
      <c r="C281" s="29"/>
      <c r="E281" s="32" t="s">
        <v>1071</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3">
      <c r="C282" s="29"/>
      <c r="F282" s="23" t="s">
        <v>1060</v>
      </c>
      <c r="G282" s="23" t="s">
        <v>206</v>
      </c>
      <c r="H282" s="23"/>
      <c r="I282" s="23"/>
      <c r="J282" s="399">
        <f>J277 * J$157</f>
        <v>0</v>
      </c>
      <c r="K282" s="399">
        <f t="shared" ref="K282:AO282" si="128">K277 * K$157</f>
        <v>0</v>
      </c>
      <c r="L282" s="399">
        <f t="shared" si="128"/>
        <v>0</v>
      </c>
      <c r="M282" s="399">
        <f t="shared" si="128"/>
        <v>0</v>
      </c>
      <c r="N282" s="399">
        <f t="shared" si="128"/>
        <v>0</v>
      </c>
      <c r="O282" s="399">
        <f t="shared" si="128"/>
        <v>0</v>
      </c>
      <c r="P282" s="399">
        <f t="shared" si="128"/>
        <v>0</v>
      </c>
      <c r="Q282" s="399">
        <f t="shared" si="128"/>
        <v>0</v>
      </c>
      <c r="R282" s="399">
        <f t="shared" si="128"/>
        <v>0</v>
      </c>
      <c r="S282" s="399">
        <f t="shared" si="128"/>
        <v>0</v>
      </c>
      <c r="T282" s="399">
        <f t="shared" si="128"/>
        <v>0</v>
      </c>
      <c r="U282" s="399">
        <f t="shared" si="128"/>
        <v>0</v>
      </c>
      <c r="V282" s="399">
        <f t="shared" si="128"/>
        <v>0</v>
      </c>
      <c r="W282" s="399">
        <f t="shared" si="128"/>
        <v>0</v>
      </c>
      <c r="X282" s="399">
        <f t="shared" si="128"/>
        <v>0</v>
      </c>
      <c r="Y282" s="399">
        <f t="shared" si="128"/>
        <v>0</v>
      </c>
      <c r="Z282" s="399">
        <f t="shared" si="128"/>
        <v>0</v>
      </c>
      <c r="AA282" s="399">
        <f t="shared" si="128"/>
        <v>0</v>
      </c>
      <c r="AB282" s="399">
        <f t="shared" si="128"/>
        <v>0</v>
      </c>
      <c r="AC282" s="399">
        <f t="shared" si="128"/>
        <v>0</v>
      </c>
      <c r="AD282" s="399">
        <f t="shared" si="128"/>
        <v>0</v>
      </c>
      <c r="AE282" s="399">
        <f t="shared" si="128"/>
        <v>0</v>
      </c>
      <c r="AF282" s="399">
        <f t="shared" si="128"/>
        <v>0</v>
      </c>
      <c r="AG282" s="399">
        <f t="shared" si="128"/>
        <v>0</v>
      </c>
      <c r="AH282" s="399">
        <f t="shared" si="128"/>
        <v>0</v>
      </c>
      <c r="AI282" s="399">
        <f t="shared" si="128"/>
        <v>0</v>
      </c>
      <c r="AJ282" s="399">
        <f t="shared" si="128"/>
        <v>0</v>
      </c>
      <c r="AK282" s="399">
        <f t="shared" si="128"/>
        <v>0</v>
      </c>
      <c r="AL282" s="399">
        <f t="shared" si="128"/>
        <v>0</v>
      </c>
      <c r="AM282" s="399">
        <f t="shared" si="128"/>
        <v>0</v>
      </c>
      <c r="AN282" s="399">
        <f t="shared" si="128"/>
        <v>0</v>
      </c>
      <c r="AO282" s="399">
        <f t="shared" si="128"/>
        <v>0</v>
      </c>
    </row>
    <row r="283" spans="3:43" x14ac:dyDescent="0.3">
      <c r="C283" s="29"/>
      <c r="F283" t="s">
        <v>1061</v>
      </c>
      <c r="G283" t="s">
        <v>206</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3">
      <c r="C284" s="29"/>
      <c r="F284" s="37" t="s">
        <v>1062</v>
      </c>
      <c r="G284" s="37" t="s">
        <v>206</v>
      </c>
      <c r="H284" s="37"/>
      <c r="I284" s="37"/>
      <c r="J284" s="400">
        <f t="shared" si="129"/>
        <v>0</v>
      </c>
      <c r="K284" s="400">
        <f t="shared" si="129"/>
        <v>0</v>
      </c>
      <c r="L284" s="400">
        <f t="shared" si="129"/>
        <v>0</v>
      </c>
      <c r="M284" s="400">
        <f t="shared" si="129"/>
        <v>0</v>
      </c>
      <c r="N284" s="400">
        <f t="shared" si="129"/>
        <v>0</v>
      </c>
      <c r="O284" s="400">
        <f t="shared" si="129"/>
        <v>0</v>
      </c>
      <c r="P284" s="400">
        <f t="shared" si="129"/>
        <v>0</v>
      </c>
      <c r="Q284" s="400">
        <f t="shared" si="129"/>
        <v>0</v>
      </c>
      <c r="R284" s="400">
        <f t="shared" si="129"/>
        <v>0</v>
      </c>
      <c r="S284" s="400">
        <f t="shared" si="129"/>
        <v>0</v>
      </c>
      <c r="T284" s="400">
        <f t="shared" si="129"/>
        <v>0</v>
      </c>
      <c r="U284" s="400">
        <f t="shared" si="129"/>
        <v>0</v>
      </c>
      <c r="V284" s="400">
        <f t="shared" si="129"/>
        <v>0</v>
      </c>
      <c r="W284" s="400">
        <f t="shared" si="129"/>
        <v>0</v>
      </c>
      <c r="X284" s="400">
        <f t="shared" si="129"/>
        <v>0</v>
      </c>
      <c r="Y284" s="400">
        <f t="shared" si="129"/>
        <v>0</v>
      </c>
      <c r="Z284" s="400">
        <f t="shared" si="129"/>
        <v>0</v>
      </c>
      <c r="AA284" s="400">
        <f t="shared" si="129"/>
        <v>0</v>
      </c>
      <c r="AB284" s="400">
        <f t="shared" si="129"/>
        <v>0</v>
      </c>
      <c r="AC284" s="400">
        <f t="shared" si="129"/>
        <v>0</v>
      </c>
      <c r="AD284" s="400">
        <f t="shared" si="129"/>
        <v>0</v>
      </c>
      <c r="AE284" s="400">
        <f t="shared" si="129"/>
        <v>0</v>
      </c>
      <c r="AF284" s="400">
        <f t="shared" si="129"/>
        <v>0</v>
      </c>
      <c r="AG284" s="400">
        <f t="shared" si="129"/>
        <v>0</v>
      </c>
      <c r="AH284" s="400">
        <f t="shared" si="129"/>
        <v>0</v>
      </c>
      <c r="AI284" s="400">
        <f t="shared" si="129"/>
        <v>0</v>
      </c>
      <c r="AJ284" s="400">
        <f t="shared" si="129"/>
        <v>0</v>
      </c>
      <c r="AK284" s="400">
        <f t="shared" si="129"/>
        <v>0</v>
      </c>
      <c r="AL284" s="400">
        <f t="shared" si="129"/>
        <v>0</v>
      </c>
      <c r="AM284" s="400">
        <f t="shared" si="129"/>
        <v>0</v>
      </c>
      <c r="AN284" s="400">
        <f t="shared" si="129"/>
        <v>0</v>
      </c>
      <c r="AO284" s="400">
        <f t="shared" si="129"/>
        <v>0</v>
      </c>
    </row>
    <row r="285" spans="3:43" x14ac:dyDescent="0.3">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3">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3">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3">
      <c r="C288" s="29"/>
      <c r="D288" s="29" t="s">
        <v>1072</v>
      </c>
      <c r="E288" s="32"/>
      <c r="I288" t="s">
        <v>153</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1127</v>
      </c>
    </row>
    <row r="289" spans="3:44" x14ac:dyDescent="0.3">
      <c r="C289" s="29"/>
      <c r="D289" s="29" t="s">
        <v>1073</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3">
      <c r="C290" s="29"/>
      <c r="D290" s="29" t="s">
        <v>1074</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3">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3">
      <c r="C292" s="29"/>
      <c r="E292" s="32" t="s">
        <v>1075</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3">
      <c r="C293" s="29"/>
      <c r="F293" t="s">
        <v>1076</v>
      </c>
      <c r="G293" t="s">
        <v>935</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3">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3">
      <c r="C295" s="29"/>
      <c r="F295" t="s">
        <v>1077</v>
      </c>
      <c r="G295" t="s">
        <v>935</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3">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3">
      <c r="C297" s="29"/>
      <c r="E297" s="32" t="s">
        <v>1025</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3">
      <c r="C298" s="29"/>
      <c r="F298" s="396" t="s">
        <v>1078</v>
      </c>
      <c r="G298" t="s">
        <v>206</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3">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3">
      <c r="C300" s="29"/>
      <c r="F300" t="s">
        <v>1027</v>
      </c>
      <c r="G300" t="s">
        <v>206</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3">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3">
      <c r="C302" s="29"/>
      <c r="F302" t="s">
        <v>1029</v>
      </c>
      <c r="G302" t="s">
        <v>206</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3">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3">
      <c r="C304" s="29"/>
      <c r="E304" s="28" t="s">
        <v>1079</v>
      </c>
      <c r="G304" t="s">
        <v>268</v>
      </c>
      <c r="J304" s="329">
        <f t="shared" ref="J304:AO304" si="135">IF( J298&lt;&gt;0, J295/J302, 0)*hundred/thousand</f>
        <v>0</v>
      </c>
      <c r="K304" s="329">
        <f t="shared" si="135"/>
        <v>0</v>
      </c>
      <c r="L304" s="329">
        <f t="shared" si="135"/>
        <v>0</v>
      </c>
      <c r="M304" s="329">
        <f t="shared" si="135"/>
        <v>0</v>
      </c>
      <c r="N304" s="329">
        <f t="shared" si="135"/>
        <v>0</v>
      </c>
      <c r="O304" s="329">
        <f t="shared" si="135"/>
        <v>0</v>
      </c>
      <c r="P304" s="329">
        <f t="shared" si="135"/>
        <v>0</v>
      </c>
      <c r="Q304" s="329">
        <f t="shared" si="135"/>
        <v>0</v>
      </c>
      <c r="R304" s="329">
        <f t="shared" si="135"/>
        <v>0</v>
      </c>
      <c r="S304" s="329">
        <f t="shared" si="135"/>
        <v>0</v>
      </c>
      <c r="T304" s="329">
        <f t="shared" si="135"/>
        <v>0</v>
      </c>
      <c r="U304" s="329">
        <f t="shared" si="135"/>
        <v>0</v>
      </c>
      <c r="V304" s="329">
        <f t="shared" si="135"/>
        <v>0</v>
      </c>
      <c r="W304" s="329">
        <f t="shared" si="135"/>
        <v>0</v>
      </c>
      <c r="X304" s="329">
        <f t="shared" si="135"/>
        <v>0</v>
      </c>
      <c r="Y304" s="329">
        <f t="shared" si="135"/>
        <v>0</v>
      </c>
      <c r="Z304" s="329">
        <f t="shared" si="135"/>
        <v>0</v>
      </c>
      <c r="AA304" s="329">
        <f t="shared" si="135"/>
        <v>0</v>
      </c>
      <c r="AB304" s="329">
        <f t="shared" si="135"/>
        <v>0</v>
      </c>
      <c r="AC304" s="329">
        <f t="shared" si="135"/>
        <v>0</v>
      </c>
      <c r="AD304" s="329">
        <f t="shared" si="135"/>
        <v>0</v>
      </c>
      <c r="AE304" s="329">
        <f t="shared" si="135"/>
        <v>0</v>
      </c>
      <c r="AF304" s="329">
        <f t="shared" si="135"/>
        <v>0</v>
      </c>
      <c r="AG304" s="329">
        <f t="shared" si="135"/>
        <v>0</v>
      </c>
      <c r="AH304" s="329">
        <f t="shared" si="135"/>
        <v>0</v>
      </c>
      <c r="AI304" s="329">
        <f t="shared" si="135"/>
        <v>0</v>
      </c>
      <c r="AJ304" s="329">
        <f t="shared" si="135"/>
        <v>0</v>
      </c>
      <c r="AK304" s="329">
        <f t="shared" si="135"/>
        <v>0</v>
      </c>
      <c r="AL304" s="329">
        <f t="shared" si="135"/>
        <v>0</v>
      </c>
      <c r="AM304" s="329">
        <f t="shared" si="135"/>
        <v>0</v>
      </c>
      <c r="AN304" s="329">
        <f t="shared" si="135"/>
        <v>0</v>
      </c>
      <c r="AO304" s="329">
        <f t="shared" si="135"/>
        <v>0</v>
      </c>
    </row>
    <row r="305" spans="3:43" x14ac:dyDescent="0.3">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3">
      <c r="C306" s="29"/>
      <c r="E306" s="32" t="s">
        <v>1080</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3">
      <c r="C307" s="29"/>
      <c r="F307" s="23" t="s">
        <v>1060</v>
      </c>
      <c r="G307" s="23" t="s">
        <v>911</v>
      </c>
      <c r="H307" s="23"/>
      <c r="I307" s="23"/>
      <c r="J307" s="401" t="b">
        <f t="shared" ref="J307:AO307" si="136">IF(J$32, - J262+J$304&gt;=0, TRUE)</f>
        <v>1</v>
      </c>
      <c r="K307" s="401" t="b">
        <f t="shared" si="136"/>
        <v>1</v>
      </c>
      <c r="L307" s="401" t="b">
        <f t="shared" si="136"/>
        <v>1</v>
      </c>
      <c r="M307" s="401" t="b">
        <f t="shared" si="136"/>
        <v>1</v>
      </c>
      <c r="N307" s="401" t="b">
        <f t="shared" si="136"/>
        <v>1</v>
      </c>
      <c r="O307" s="401" t="b">
        <f t="shared" si="136"/>
        <v>1</v>
      </c>
      <c r="P307" s="401" t="b">
        <f t="shared" si="136"/>
        <v>1</v>
      </c>
      <c r="Q307" s="401" t="b">
        <f t="shared" si="136"/>
        <v>1</v>
      </c>
      <c r="R307" s="401" t="b">
        <f t="shared" si="136"/>
        <v>1</v>
      </c>
      <c r="S307" s="401" t="b">
        <f t="shared" si="136"/>
        <v>1</v>
      </c>
      <c r="T307" s="401" t="b">
        <f t="shared" si="136"/>
        <v>1</v>
      </c>
      <c r="U307" s="401" t="b">
        <f t="shared" si="136"/>
        <v>1</v>
      </c>
      <c r="V307" s="401" t="b">
        <f t="shared" si="136"/>
        <v>1</v>
      </c>
      <c r="W307" s="401" t="b">
        <f t="shared" si="136"/>
        <v>1</v>
      </c>
      <c r="X307" s="401" t="b">
        <f t="shared" si="136"/>
        <v>1</v>
      </c>
      <c r="Y307" s="401" t="b">
        <f t="shared" si="136"/>
        <v>1</v>
      </c>
      <c r="Z307" s="401" t="b">
        <f t="shared" si="136"/>
        <v>1</v>
      </c>
      <c r="AA307" s="401" t="b">
        <f t="shared" si="136"/>
        <v>1</v>
      </c>
      <c r="AB307" s="401" t="b">
        <f t="shared" si="136"/>
        <v>1</v>
      </c>
      <c r="AC307" s="401" t="b">
        <f t="shared" si="136"/>
        <v>1</v>
      </c>
      <c r="AD307" s="401" t="b">
        <f t="shared" si="136"/>
        <v>1</v>
      </c>
      <c r="AE307" s="401" t="b">
        <f t="shared" si="136"/>
        <v>1</v>
      </c>
      <c r="AF307" s="401" t="b">
        <f t="shared" si="136"/>
        <v>1</v>
      </c>
      <c r="AG307" s="401" t="b">
        <f t="shared" si="136"/>
        <v>1</v>
      </c>
      <c r="AH307" s="401" t="b">
        <f t="shared" si="136"/>
        <v>1</v>
      </c>
      <c r="AI307" s="401" t="b">
        <f t="shared" si="136"/>
        <v>1</v>
      </c>
      <c r="AJ307" s="401" t="b">
        <f t="shared" si="136"/>
        <v>1</v>
      </c>
      <c r="AK307" s="401" t="b">
        <f t="shared" si="136"/>
        <v>1</v>
      </c>
      <c r="AL307" s="401" t="b">
        <f t="shared" si="136"/>
        <v>1</v>
      </c>
      <c r="AM307" s="401" t="b">
        <f t="shared" si="136"/>
        <v>1</v>
      </c>
      <c r="AN307" s="401" t="b">
        <f t="shared" si="136"/>
        <v>1</v>
      </c>
      <c r="AO307" s="401" t="b">
        <f t="shared" si="136"/>
        <v>1</v>
      </c>
    </row>
    <row r="308" spans="3:43" x14ac:dyDescent="0.3">
      <c r="C308" s="29"/>
      <c r="F308" t="s">
        <v>1061</v>
      </c>
      <c r="G308" t="s">
        <v>911</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3">
      <c r="C309" s="29"/>
      <c r="F309" s="37" t="s">
        <v>1062</v>
      </c>
      <c r="G309" s="37" t="s">
        <v>911</v>
      </c>
      <c r="H309" s="37"/>
      <c r="I309" s="37"/>
      <c r="J309" s="402" t="b">
        <f t="shared" ref="J309:AO309" si="138">IF(J$32, - J264+J$304&gt;=0, TRUE)</f>
        <v>1</v>
      </c>
      <c r="K309" s="402" t="b">
        <f t="shared" si="138"/>
        <v>1</v>
      </c>
      <c r="L309" s="402" t="b">
        <f t="shared" si="138"/>
        <v>1</v>
      </c>
      <c r="M309" s="402" t="b">
        <f t="shared" si="138"/>
        <v>1</v>
      </c>
      <c r="N309" s="402" t="b">
        <f t="shared" si="138"/>
        <v>1</v>
      </c>
      <c r="O309" s="402" t="b">
        <f t="shared" si="138"/>
        <v>1</v>
      </c>
      <c r="P309" s="402" t="b">
        <f t="shared" si="138"/>
        <v>1</v>
      </c>
      <c r="Q309" s="402" t="b">
        <f t="shared" si="138"/>
        <v>1</v>
      </c>
      <c r="R309" s="402" t="b">
        <f t="shared" si="138"/>
        <v>1</v>
      </c>
      <c r="S309" s="402" t="b">
        <f t="shared" si="138"/>
        <v>1</v>
      </c>
      <c r="T309" s="402" t="b">
        <f t="shared" si="138"/>
        <v>1</v>
      </c>
      <c r="U309" s="402" t="b">
        <f t="shared" si="138"/>
        <v>1</v>
      </c>
      <c r="V309" s="402" t="b">
        <f t="shared" si="138"/>
        <v>1</v>
      </c>
      <c r="W309" s="402" t="b">
        <f t="shared" si="138"/>
        <v>1</v>
      </c>
      <c r="X309" s="402" t="b">
        <f t="shared" si="138"/>
        <v>1</v>
      </c>
      <c r="Y309" s="402" t="b">
        <f t="shared" si="138"/>
        <v>1</v>
      </c>
      <c r="Z309" s="402" t="b">
        <f t="shared" si="138"/>
        <v>1</v>
      </c>
      <c r="AA309" s="402" t="b">
        <f t="shared" si="138"/>
        <v>1</v>
      </c>
      <c r="AB309" s="402" t="b">
        <f t="shared" si="138"/>
        <v>1</v>
      </c>
      <c r="AC309" s="402" t="b">
        <f t="shared" si="138"/>
        <v>1</v>
      </c>
      <c r="AD309" s="402" t="b">
        <f t="shared" si="138"/>
        <v>1</v>
      </c>
      <c r="AE309" s="402" t="b">
        <f t="shared" si="138"/>
        <v>1</v>
      </c>
      <c r="AF309" s="402" t="b">
        <f t="shared" si="138"/>
        <v>1</v>
      </c>
      <c r="AG309" s="402" t="b">
        <f t="shared" si="138"/>
        <v>1</v>
      </c>
      <c r="AH309" s="402" t="b">
        <f t="shared" si="138"/>
        <v>1</v>
      </c>
      <c r="AI309" s="402" t="b">
        <f t="shared" si="138"/>
        <v>1</v>
      </c>
      <c r="AJ309" s="402" t="b">
        <f t="shared" si="138"/>
        <v>1</v>
      </c>
      <c r="AK309" s="402" t="b">
        <f t="shared" si="138"/>
        <v>1</v>
      </c>
      <c r="AL309" s="402" t="b">
        <f t="shared" si="138"/>
        <v>1</v>
      </c>
      <c r="AM309" s="402" t="b">
        <f t="shared" si="138"/>
        <v>1</v>
      </c>
      <c r="AN309" s="402" t="b">
        <f t="shared" si="138"/>
        <v>1</v>
      </c>
      <c r="AO309" s="402" t="b">
        <f t="shared" si="138"/>
        <v>1</v>
      </c>
    </row>
    <row r="310" spans="3:43" x14ac:dyDescent="0.3">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3">
      <c r="C311" s="29"/>
      <c r="E311" t="s">
        <v>1081</v>
      </c>
      <c r="G311" t="s">
        <v>911</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3">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3">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3">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3">
      <c r="C315" s="29"/>
      <c r="D315" s="29" t="s">
        <v>1151</v>
      </c>
      <c r="E315" s="32"/>
      <c r="I315" t="s">
        <v>153</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1127</v>
      </c>
    </row>
    <row r="316" spans="3:43" x14ac:dyDescent="0.3">
      <c r="C316" s="29"/>
      <c r="D316" s="29" t="s">
        <v>1082</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3">
      <c r="C317" s="29"/>
      <c r="D317" s="29" t="s">
        <v>1083</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3">
      <c r="C318" s="29"/>
      <c r="D318" s="29" t="s">
        <v>1084</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3">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3">
      <c r="C320" s="29"/>
      <c r="E320" s="32" t="s">
        <v>1085</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3">
      <c r="C321" s="29"/>
      <c r="F321" s="24" t="s">
        <v>1086</v>
      </c>
      <c r="G321" t="s">
        <v>935</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3">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3">
      <c r="C323" s="29"/>
      <c r="F323" s="403" t="s">
        <v>1087</v>
      </c>
      <c r="G323" t="s">
        <v>935</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3">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3">
      <c r="C325" s="29"/>
      <c r="F325" t="s">
        <v>1076</v>
      </c>
      <c r="G325" t="s">
        <v>935</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3">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3">
      <c r="C327" s="29"/>
      <c r="F327" t="s">
        <v>1077</v>
      </c>
      <c r="G327" t="s">
        <v>935</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3">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3">
      <c r="C329" s="29"/>
      <c r="E329" s="32" t="s">
        <v>1025</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3">
      <c r="C330" s="29"/>
      <c r="F330" s="396" t="s">
        <v>1088</v>
      </c>
      <c r="G330" t="s">
        <v>206</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3">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3">
      <c r="C332" s="29"/>
      <c r="F332" t="s">
        <v>1027</v>
      </c>
      <c r="G332" t="s">
        <v>206</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3">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3">
      <c r="C334" s="29"/>
      <c r="F334" t="s">
        <v>1029</v>
      </c>
      <c r="G334" t="s">
        <v>206</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3">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3">
      <c r="C336" s="29"/>
      <c r="E336" s="396" t="s">
        <v>1089</v>
      </c>
      <c r="G336" t="s">
        <v>268</v>
      </c>
      <c r="J336" s="329">
        <f t="shared" ref="J336:AO336" si="147">IF( J334&lt;&gt;0, J327/J334, 0)*hundred/thousand</f>
        <v>0</v>
      </c>
      <c r="K336" s="329">
        <f t="shared" si="147"/>
        <v>0</v>
      </c>
      <c r="L336" s="329">
        <f t="shared" si="147"/>
        <v>0</v>
      </c>
      <c r="M336" s="329">
        <f t="shared" si="147"/>
        <v>0</v>
      </c>
      <c r="N336" s="329">
        <f t="shared" si="147"/>
        <v>0</v>
      </c>
      <c r="O336" s="329">
        <f t="shared" si="147"/>
        <v>0</v>
      </c>
      <c r="P336" s="329">
        <f t="shared" si="147"/>
        <v>0</v>
      </c>
      <c r="Q336" s="329">
        <f t="shared" si="147"/>
        <v>0</v>
      </c>
      <c r="R336" s="329">
        <f t="shared" si="147"/>
        <v>0</v>
      </c>
      <c r="S336" s="329">
        <f t="shared" si="147"/>
        <v>0</v>
      </c>
      <c r="T336" s="329">
        <f t="shared" si="147"/>
        <v>0</v>
      </c>
      <c r="U336" s="329">
        <f t="shared" si="147"/>
        <v>0</v>
      </c>
      <c r="V336" s="329">
        <f t="shared" si="147"/>
        <v>0</v>
      </c>
      <c r="W336" s="329">
        <f t="shared" si="147"/>
        <v>0</v>
      </c>
      <c r="X336" s="329">
        <f t="shared" si="147"/>
        <v>0</v>
      </c>
      <c r="Y336" s="329">
        <f t="shared" si="147"/>
        <v>0</v>
      </c>
      <c r="Z336" s="329">
        <f t="shared" si="147"/>
        <v>0</v>
      </c>
      <c r="AA336" s="329">
        <f t="shared" si="147"/>
        <v>0</v>
      </c>
      <c r="AB336" s="329">
        <f t="shared" si="147"/>
        <v>0</v>
      </c>
      <c r="AC336" s="329">
        <f t="shared" si="147"/>
        <v>0</v>
      </c>
      <c r="AD336" s="329">
        <f t="shared" si="147"/>
        <v>0</v>
      </c>
      <c r="AE336" s="329">
        <f t="shared" si="147"/>
        <v>0</v>
      </c>
      <c r="AF336" s="329">
        <f t="shared" si="147"/>
        <v>0</v>
      </c>
      <c r="AG336" s="329">
        <f t="shared" si="147"/>
        <v>0</v>
      </c>
      <c r="AH336" s="329">
        <f t="shared" si="147"/>
        <v>0</v>
      </c>
      <c r="AI336" s="329">
        <f t="shared" si="147"/>
        <v>0</v>
      </c>
      <c r="AJ336" s="329">
        <f t="shared" si="147"/>
        <v>0</v>
      </c>
      <c r="AK336" s="329">
        <f t="shared" si="147"/>
        <v>0</v>
      </c>
      <c r="AL336" s="329">
        <f t="shared" si="147"/>
        <v>0</v>
      </c>
      <c r="AM336" s="329">
        <f t="shared" si="147"/>
        <v>0</v>
      </c>
      <c r="AN336" s="329">
        <f t="shared" si="147"/>
        <v>0</v>
      </c>
      <c r="AO336" s="329">
        <f t="shared" si="147"/>
        <v>0</v>
      </c>
    </row>
    <row r="337" spans="3:43" x14ac:dyDescent="0.3">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3">
      <c r="C338" s="29"/>
      <c r="E338" s="32" t="s">
        <v>1090</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3">
      <c r="C339" s="29"/>
      <c r="F339" s="23" t="s">
        <v>1060</v>
      </c>
      <c r="G339" s="23" t="s">
        <v>911</v>
      </c>
      <c r="H339" s="23"/>
      <c r="I339" s="23"/>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c r="AG339" s="404"/>
      <c r="AH339" s="404"/>
      <c r="AI339" s="404"/>
      <c r="AJ339" s="404"/>
      <c r="AK339" s="404"/>
      <c r="AL339" s="404"/>
      <c r="AM339" s="404"/>
      <c r="AN339" s="404"/>
      <c r="AO339" s="404"/>
    </row>
    <row r="340" spans="3:43" x14ac:dyDescent="0.3">
      <c r="C340" s="29"/>
      <c r="F340" t="s">
        <v>1061</v>
      </c>
      <c r="G340" t="s">
        <v>911</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3">
      <c r="C341" s="29"/>
      <c r="F341" s="37" t="s">
        <v>1062</v>
      </c>
      <c r="G341" s="37" t="s">
        <v>911</v>
      </c>
      <c r="H341" s="37"/>
      <c r="I341" s="37"/>
      <c r="J341" s="402" t="b">
        <f t="shared" ref="J341:AO341" si="149">IF(J$32, -J264+J$336&gt;=0, TRUE)</f>
        <v>1</v>
      </c>
      <c r="K341" s="402" t="b">
        <f t="shared" si="149"/>
        <v>1</v>
      </c>
      <c r="L341" s="402" t="b">
        <f t="shared" si="149"/>
        <v>1</v>
      </c>
      <c r="M341" s="402" t="b">
        <f t="shared" si="149"/>
        <v>1</v>
      </c>
      <c r="N341" s="402" t="b">
        <f t="shared" si="149"/>
        <v>1</v>
      </c>
      <c r="O341" s="402" t="b">
        <f t="shared" si="149"/>
        <v>1</v>
      </c>
      <c r="P341" s="402" t="b">
        <f t="shared" si="149"/>
        <v>1</v>
      </c>
      <c r="Q341" s="402" t="b">
        <f t="shared" si="149"/>
        <v>1</v>
      </c>
      <c r="R341" s="402" t="b">
        <f t="shared" si="149"/>
        <v>1</v>
      </c>
      <c r="S341" s="402" t="b">
        <f t="shared" si="149"/>
        <v>1</v>
      </c>
      <c r="T341" s="402" t="b">
        <f t="shared" si="149"/>
        <v>1</v>
      </c>
      <c r="U341" s="402" t="b">
        <f t="shared" si="149"/>
        <v>1</v>
      </c>
      <c r="V341" s="402" t="b">
        <f t="shared" si="149"/>
        <v>1</v>
      </c>
      <c r="W341" s="402" t="b">
        <f t="shared" si="149"/>
        <v>1</v>
      </c>
      <c r="X341" s="402" t="b">
        <f t="shared" si="149"/>
        <v>1</v>
      </c>
      <c r="Y341" s="402" t="b">
        <f t="shared" si="149"/>
        <v>1</v>
      </c>
      <c r="Z341" s="402" t="b">
        <f t="shared" si="149"/>
        <v>1</v>
      </c>
      <c r="AA341" s="402" t="b">
        <f t="shared" si="149"/>
        <v>1</v>
      </c>
      <c r="AB341" s="402" t="b">
        <f t="shared" si="149"/>
        <v>1</v>
      </c>
      <c r="AC341" s="402" t="b">
        <f t="shared" si="149"/>
        <v>1</v>
      </c>
      <c r="AD341" s="402" t="b">
        <f t="shared" si="149"/>
        <v>1</v>
      </c>
      <c r="AE341" s="402" t="b">
        <f t="shared" si="149"/>
        <v>1</v>
      </c>
      <c r="AF341" s="402" t="b">
        <f t="shared" si="149"/>
        <v>1</v>
      </c>
      <c r="AG341" s="402" t="b">
        <f t="shared" si="149"/>
        <v>1</v>
      </c>
      <c r="AH341" s="402" t="b">
        <f t="shared" si="149"/>
        <v>1</v>
      </c>
      <c r="AI341" s="402" t="b">
        <f t="shared" si="149"/>
        <v>1</v>
      </c>
      <c r="AJ341" s="402" t="b">
        <f t="shared" si="149"/>
        <v>1</v>
      </c>
      <c r="AK341" s="402" t="b">
        <f t="shared" si="149"/>
        <v>1</v>
      </c>
      <c r="AL341" s="402" t="b">
        <f t="shared" si="149"/>
        <v>1</v>
      </c>
      <c r="AM341" s="402" t="b">
        <f t="shared" si="149"/>
        <v>1</v>
      </c>
      <c r="AN341" s="402" t="b">
        <f t="shared" si="149"/>
        <v>1</v>
      </c>
      <c r="AO341" s="402" t="b">
        <f t="shared" si="149"/>
        <v>1</v>
      </c>
    </row>
    <row r="342" spans="3:43" x14ac:dyDescent="0.3">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3">
      <c r="C343" s="29"/>
      <c r="E343" t="s">
        <v>1091</v>
      </c>
      <c r="G343" t="s">
        <v>911</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3">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3">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3">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3">
      <c r="C347" s="29"/>
      <c r="D347" s="29" t="s">
        <v>1151</v>
      </c>
      <c r="E347" s="32"/>
      <c r="I347" t="s">
        <v>153</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1127</v>
      </c>
    </row>
    <row r="348" spans="3:43" x14ac:dyDescent="0.3">
      <c r="C348" s="29"/>
      <c r="D348" s="29" t="s">
        <v>1092</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3">
      <c r="C349" s="29"/>
      <c r="D349" s="29" t="s">
        <v>1083</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3">
      <c r="C350" s="29"/>
      <c r="D350" s="29" t="s">
        <v>1084</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3">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3">
      <c r="C352" s="29"/>
      <c r="E352" s="32" t="s">
        <v>1093</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3">
      <c r="C353" s="29"/>
      <c r="F353" s="24" t="s">
        <v>1094</v>
      </c>
      <c r="G353" t="s">
        <v>935</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3">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3">
      <c r="C355" s="29"/>
      <c r="F355" s="403" t="s">
        <v>1087</v>
      </c>
      <c r="G355" t="s">
        <v>935</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3">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3">
      <c r="C357" s="29"/>
      <c r="F357" t="s">
        <v>1076</v>
      </c>
      <c r="G357" t="s">
        <v>935</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3">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3">
      <c r="C359" s="29"/>
      <c r="F359" t="s">
        <v>1077</v>
      </c>
      <c r="G359" t="s">
        <v>935</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3">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3">
      <c r="C361" s="29"/>
      <c r="E361" s="32" t="s">
        <v>1025</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3">
      <c r="C362" s="29"/>
      <c r="F362" s="396" t="s">
        <v>1088</v>
      </c>
      <c r="G362" t="s">
        <v>206</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3">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3">
      <c r="C364" s="29"/>
      <c r="F364" t="s">
        <v>1027</v>
      </c>
      <c r="G364" t="s">
        <v>206</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3">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3">
      <c r="C366" s="29"/>
      <c r="F366" t="s">
        <v>1029</v>
      </c>
      <c r="G366" t="s">
        <v>206</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3">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3">
      <c r="C368" s="29"/>
      <c r="E368" s="28" t="s">
        <v>1095</v>
      </c>
      <c r="G368" t="s">
        <v>268</v>
      </c>
      <c r="J368" s="329">
        <f t="shared" ref="J368:AO368" si="158">IF( J366&lt;&gt;0, J359/J366, 0)*hundred/thousand</f>
        <v>0</v>
      </c>
      <c r="K368" s="329">
        <f t="shared" si="158"/>
        <v>0</v>
      </c>
      <c r="L368" s="329">
        <f t="shared" si="158"/>
        <v>0</v>
      </c>
      <c r="M368" s="329">
        <f t="shared" si="158"/>
        <v>0</v>
      </c>
      <c r="N368" s="329">
        <f t="shared" si="158"/>
        <v>0</v>
      </c>
      <c r="O368" s="329">
        <f t="shared" si="158"/>
        <v>0</v>
      </c>
      <c r="P368" s="329">
        <f t="shared" si="158"/>
        <v>0</v>
      </c>
      <c r="Q368" s="329">
        <f t="shared" si="158"/>
        <v>0</v>
      </c>
      <c r="R368" s="329">
        <f t="shared" si="158"/>
        <v>0</v>
      </c>
      <c r="S368" s="329">
        <f t="shared" si="158"/>
        <v>0</v>
      </c>
      <c r="T368" s="329">
        <f t="shared" si="158"/>
        <v>0</v>
      </c>
      <c r="U368" s="329">
        <f t="shared" si="158"/>
        <v>0</v>
      </c>
      <c r="V368" s="329">
        <f t="shared" si="158"/>
        <v>0</v>
      </c>
      <c r="W368" s="329">
        <f t="shared" si="158"/>
        <v>0</v>
      </c>
      <c r="X368" s="329">
        <f t="shared" si="158"/>
        <v>0</v>
      </c>
      <c r="Y368" s="329">
        <f t="shared" si="158"/>
        <v>0</v>
      </c>
      <c r="Z368" s="329">
        <f t="shared" si="158"/>
        <v>0</v>
      </c>
      <c r="AA368" s="329">
        <f t="shared" si="158"/>
        <v>0</v>
      </c>
      <c r="AB368" s="329">
        <f t="shared" si="158"/>
        <v>0</v>
      </c>
      <c r="AC368" s="329">
        <f t="shared" si="158"/>
        <v>0</v>
      </c>
      <c r="AD368" s="329">
        <f t="shared" si="158"/>
        <v>0</v>
      </c>
      <c r="AE368" s="329">
        <f t="shared" si="158"/>
        <v>0</v>
      </c>
      <c r="AF368" s="329">
        <f t="shared" si="158"/>
        <v>0</v>
      </c>
      <c r="AG368" s="329">
        <f t="shared" si="158"/>
        <v>0</v>
      </c>
      <c r="AH368" s="329">
        <f t="shared" si="158"/>
        <v>0</v>
      </c>
      <c r="AI368" s="329">
        <f t="shared" si="158"/>
        <v>0</v>
      </c>
      <c r="AJ368" s="329">
        <f t="shared" si="158"/>
        <v>0</v>
      </c>
      <c r="AK368" s="329">
        <f t="shared" si="158"/>
        <v>0</v>
      </c>
      <c r="AL368" s="329">
        <f t="shared" si="158"/>
        <v>0</v>
      </c>
      <c r="AM368" s="329">
        <f t="shared" si="158"/>
        <v>0</v>
      </c>
      <c r="AN368" s="329">
        <f t="shared" si="158"/>
        <v>0</v>
      </c>
      <c r="AO368" s="329">
        <f t="shared" si="158"/>
        <v>0</v>
      </c>
    </row>
    <row r="369" spans="3:43" x14ac:dyDescent="0.3">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3">
      <c r="C370" s="29"/>
      <c r="E370" s="32" t="s">
        <v>1096</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3">
      <c r="C371" s="29"/>
      <c r="F371" s="23" t="s">
        <v>1060</v>
      </c>
      <c r="G371" s="23" t="s">
        <v>911</v>
      </c>
      <c r="H371" s="23"/>
      <c r="I371" s="23"/>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row>
    <row r="372" spans="3:43" x14ac:dyDescent="0.3">
      <c r="C372" s="29"/>
      <c r="F372" t="s">
        <v>1061</v>
      </c>
      <c r="G372" t="s">
        <v>911</v>
      </c>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3">
      <c r="C373" s="29"/>
      <c r="F373" s="37" t="s">
        <v>1062</v>
      </c>
      <c r="G373" s="37" t="s">
        <v>911</v>
      </c>
      <c r="H373" s="37"/>
      <c r="I373" s="37"/>
      <c r="J373" s="402" t="b">
        <f t="shared" ref="J373:AO373" si="159">IF(J$32, -J264+J$368&gt;=0, TRUE)</f>
        <v>1</v>
      </c>
      <c r="K373" s="402" t="b">
        <f t="shared" si="159"/>
        <v>1</v>
      </c>
      <c r="L373" s="402" t="b">
        <f t="shared" si="159"/>
        <v>1</v>
      </c>
      <c r="M373" s="402" t="b">
        <f t="shared" si="159"/>
        <v>1</v>
      </c>
      <c r="N373" s="402" t="b">
        <f t="shared" si="159"/>
        <v>1</v>
      </c>
      <c r="O373" s="402" t="b">
        <f t="shared" si="159"/>
        <v>1</v>
      </c>
      <c r="P373" s="402" t="b">
        <f t="shared" si="159"/>
        <v>1</v>
      </c>
      <c r="Q373" s="402" t="b">
        <f t="shared" si="159"/>
        <v>1</v>
      </c>
      <c r="R373" s="402" t="b">
        <f t="shared" si="159"/>
        <v>1</v>
      </c>
      <c r="S373" s="402" t="b">
        <f t="shared" si="159"/>
        <v>1</v>
      </c>
      <c r="T373" s="402" t="b">
        <f t="shared" si="159"/>
        <v>1</v>
      </c>
      <c r="U373" s="402" t="b">
        <f t="shared" si="159"/>
        <v>1</v>
      </c>
      <c r="V373" s="402" t="b">
        <f t="shared" si="159"/>
        <v>1</v>
      </c>
      <c r="W373" s="402" t="b">
        <f t="shared" si="159"/>
        <v>1</v>
      </c>
      <c r="X373" s="402" t="b">
        <f t="shared" si="159"/>
        <v>1</v>
      </c>
      <c r="Y373" s="402" t="b">
        <f t="shared" si="159"/>
        <v>1</v>
      </c>
      <c r="Z373" s="402" t="b">
        <f t="shared" si="159"/>
        <v>1</v>
      </c>
      <c r="AA373" s="402" t="b">
        <f t="shared" si="159"/>
        <v>1</v>
      </c>
      <c r="AB373" s="402" t="b">
        <f t="shared" si="159"/>
        <v>1</v>
      </c>
      <c r="AC373" s="402" t="b">
        <f t="shared" si="159"/>
        <v>1</v>
      </c>
      <c r="AD373" s="402" t="b">
        <f t="shared" si="159"/>
        <v>1</v>
      </c>
      <c r="AE373" s="402" t="b">
        <f t="shared" si="159"/>
        <v>1</v>
      </c>
      <c r="AF373" s="402" t="b">
        <f t="shared" si="159"/>
        <v>1</v>
      </c>
      <c r="AG373" s="402" t="b">
        <f t="shared" si="159"/>
        <v>1</v>
      </c>
      <c r="AH373" s="402" t="b">
        <f t="shared" si="159"/>
        <v>1</v>
      </c>
      <c r="AI373" s="402" t="b">
        <f t="shared" si="159"/>
        <v>1</v>
      </c>
      <c r="AJ373" s="402" t="b">
        <f t="shared" si="159"/>
        <v>1</v>
      </c>
      <c r="AK373" s="402" t="b">
        <f t="shared" si="159"/>
        <v>1</v>
      </c>
      <c r="AL373" s="402" t="b">
        <f t="shared" si="159"/>
        <v>1</v>
      </c>
      <c r="AM373" s="402" t="b">
        <f t="shared" si="159"/>
        <v>1</v>
      </c>
      <c r="AN373" s="402" t="b">
        <f t="shared" si="159"/>
        <v>1</v>
      </c>
      <c r="AO373" s="402" t="b">
        <f t="shared" si="159"/>
        <v>1</v>
      </c>
    </row>
    <row r="374" spans="3:43" x14ac:dyDescent="0.3">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3">
      <c r="C375" s="29"/>
      <c r="E375" t="s">
        <v>1097</v>
      </c>
      <c r="G375" t="s">
        <v>911</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3">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3">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3">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3">
      <c r="C379" s="29"/>
      <c r="D379" s="29" t="s">
        <v>1147</v>
      </c>
      <c r="E379" s="32"/>
      <c r="I379" t="s">
        <v>153</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1127</v>
      </c>
    </row>
    <row r="380" spans="3:43" x14ac:dyDescent="0.3">
      <c r="C380" s="29"/>
      <c r="D380" s="29" t="s">
        <v>1098</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3">
      <c r="C381" s="29"/>
      <c r="D381" s="29" t="s">
        <v>1099</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3">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3">
      <c r="C383" s="29"/>
      <c r="E383" s="32" t="s">
        <v>1100</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3">
      <c r="C384" s="29"/>
      <c r="F384" s="23" t="s">
        <v>1101</v>
      </c>
      <c r="G384" s="23" t="s">
        <v>911</v>
      </c>
      <c r="H384" s="23"/>
      <c r="I384" s="23"/>
      <c r="J384" s="406" t="b">
        <f t="shared" ref="J384:AO384" si="161">J311</f>
        <v>1</v>
      </c>
      <c r="K384" s="406" t="b">
        <f t="shared" si="161"/>
        <v>1</v>
      </c>
      <c r="L384" s="406" t="b">
        <f t="shared" si="161"/>
        <v>1</v>
      </c>
      <c r="M384" s="406" t="b">
        <f t="shared" si="161"/>
        <v>1</v>
      </c>
      <c r="N384" s="406" t="b">
        <f t="shared" si="161"/>
        <v>1</v>
      </c>
      <c r="O384" s="406" t="b">
        <f t="shared" si="161"/>
        <v>1</v>
      </c>
      <c r="P384" s="406" t="b">
        <f t="shared" si="161"/>
        <v>1</v>
      </c>
      <c r="Q384" s="406" t="b">
        <f t="shared" si="161"/>
        <v>1</v>
      </c>
      <c r="R384" s="406" t="b">
        <f t="shared" si="161"/>
        <v>1</v>
      </c>
      <c r="S384" s="406" t="b">
        <f t="shared" si="161"/>
        <v>1</v>
      </c>
      <c r="T384" s="406" t="b">
        <f t="shared" si="161"/>
        <v>1</v>
      </c>
      <c r="U384" s="406" t="b">
        <f t="shared" si="161"/>
        <v>1</v>
      </c>
      <c r="V384" s="406" t="b">
        <f t="shared" si="161"/>
        <v>1</v>
      </c>
      <c r="W384" s="406" t="b">
        <f t="shared" si="161"/>
        <v>1</v>
      </c>
      <c r="X384" s="406" t="b">
        <f t="shared" si="161"/>
        <v>1</v>
      </c>
      <c r="Y384" s="406" t="b">
        <f t="shared" si="161"/>
        <v>1</v>
      </c>
      <c r="Z384" s="406" t="b">
        <f t="shared" si="161"/>
        <v>1</v>
      </c>
      <c r="AA384" s="406" t="b">
        <f t="shared" si="161"/>
        <v>1</v>
      </c>
      <c r="AB384" s="406" t="b">
        <f t="shared" si="161"/>
        <v>1</v>
      </c>
      <c r="AC384" s="406" t="b">
        <f t="shared" si="161"/>
        <v>1</v>
      </c>
      <c r="AD384" s="406" t="b">
        <f t="shared" si="161"/>
        <v>1</v>
      </c>
      <c r="AE384" s="406" t="b">
        <f t="shared" si="161"/>
        <v>1</v>
      </c>
      <c r="AF384" s="406" t="b">
        <f t="shared" si="161"/>
        <v>1</v>
      </c>
      <c r="AG384" s="406" t="b">
        <f t="shared" si="161"/>
        <v>1</v>
      </c>
      <c r="AH384" s="406" t="b">
        <f t="shared" si="161"/>
        <v>1</v>
      </c>
      <c r="AI384" s="406" t="b">
        <f t="shared" si="161"/>
        <v>1</v>
      </c>
      <c r="AJ384" s="406" t="b">
        <f t="shared" si="161"/>
        <v>1</v>
      </c>
      <c r="AK384" s="406" t="b">
        <f t="shared" si="161"/>
        <v>1</v>
      </c>
      <c r="AL384" s="406" t="b">
        <f t="shared" si="161"/>
        <v>1</v>
      </c>
      <c r="AM384" s="406" t="b">
        <f t="shared" si="161"/>
        <v>1</v>
      </c>
      <c r="AN384" s="406" t="b">
        <f t="shared" si="161"/>
        <v>1</v>
      </c>
      <c r="AO384" s="406" t="b">
        <f t="shared" si="161"/>
        <v>1</v>
      </c>
    </row>
    <row r="385" spans="3:41" x14ac:dyDescent="0.3">
      <c r="C385" s="29"/>
      <c r="F385" t="s">
        <v>1102</v>
      </c>
      <c r="G385" t="s">
        <v>911</v>
      </c>
      <c r="J385" s="406" t="b">
        <f t="shared" ref="J385:AO385" si="162">J343</f>
        <v>1</v>
      </c>
      <c r="K385" s="406" t="b">
        <f t="shared" si="162"/>
        <v>1</v>
      </c>
      <c r="L385" s="406" t="b">
        <f t="shared" si="162"/>
        <v>1</v>
      </c>
      <c r="M385" s="406" t="b">
        <f t="shared" si="162"/>
        <v>1</v>
      </c>
      <c r="N385" s="406" t="b">
        <f t="shared" si="162"/>
        <v>1</v>
      </c>
      <c r="O385" s="406" t="b">
        <f t="shared" si="162"/>
        <v>1</v>
      </c>
      <c r="P385" s="406" t="b">
        <f t="shared" si="162"/>
        <v>1</v>
      </c>
      <c r="Q385" s="406" t="b">
        <f t="shared" si="162"/>
        <v>1</v>
      </c>
      <c r="R385" s="406" t="b">
        <f t="shared" si="162"/>
        <v>1</v>
      </c>
      <c r="S385" s="406" t="b">
        <f t="shared" si="162"/>
        <v>1</v>
      </c>
      <c r="T385" s="406" t="b">
        <f t="shared" si="162"/>
        <v>1</v>
      </c>
      <c r="U385" s="406" t="b">
        <f t="shared" si="162"/>
        <v>1</v>
      </c>
      <c r="V385" s="406" t="b">
        <f t="shared" si="162"/>
        <v>1</v>
      </c>
      <c r="W385" s="406" t="b">
        <f t="shared" si="162"/>
        <v>1</v>
      </c>
      <c r="X385" s="406" t="b">
        <f t="shared" si="162"/>
        <v>1</v>
      </c>
      <c r="Y385" s="406" t="b">
        <f t="shared" si="162"/>
        <v>1</v>
      </c>
      <c r="Z385" s="406" t="b">
        <f t="shared" si="162"/>
        <v>1</v>
      </c>
      <c r="AA385" s="406" t="b">
        <f t="shared" si="162"/>
        <v>1</v>
      </c>
      <c r="AB385" s="406" t="b">
        <f t="shared" si="162"/>
        <v>1</v>
      </c>
      <c r="AC385" s="406" t="b">
        <f t="shared" si="162"/>
        <v>1</v>
      </c>
      <c r="AD385" s="406" t="b">
        <f t="shared" si="162"/>
        <v>1</v>
      </c>
      <c r="AE385" s="406" t="b">
        <f t="shared" si="162"/>
        <v>1</v>
      </c>
      <c r="AF385" s="406" t="b">
        <f t="shared" si="162"/>
        <v>1</v>
      </c>
      <c r="AG385" s="406" t="b">
        <f t="shared" si="162"/>
        <v>1</v>
      </c>
      <c r="AH385" s="406" t="b">
        <f t="shared" si="162"/>
        <v>1</v>
      </c>
      <c r="AI385" s="406" t="b">
        <f t="shared" si="162"/>
        <v>1</v>
      </c>
      <c r="AJ385" s="406" t="b">
        <f t="shared" si="162"/>
        <v>1</v>
      </c>
      <c r="AK385" s="406" t="b">
        <f t="shared" si="162"/>
        <v>1</v>
      </c>
      <c r="AL385" s="406" t="b">
        <f t="shared" si="162"/>
        <v>1</v>
      </c>
      <c r="AM385" s="406" t="b">
        <f t="shared" si="162"/>
        <v>1</v>
      </c>
      <c r="AN385" s="406" t="b">
        <f t="shared" si="162"/>
        <v>1</v>
      </c>
      <c r="AO385" s="406" t="b">
        <f t="shared" si="162"/>
        <v>1</v>
      </c>
    </row>
    <row r="386" spans="3:41" x14ac:dyDescent="0.3">
      <c r="C386" s="29"/>
      <c r="F386" s="37" t="s">
        <v>1103</v>
      </c>
      <c r="G386" s="37" t="s">
        <v>911</v>
      </c>
      <c r="H386" s="37"/>
      <c r="I386" s="37"/>
      <c r="J386" s="402" t="b">
        <f>J375</f>
        <v>1</v>
      </c>
      <c r="K386" s="402" t="b">
        <f t="shared" ref="K386:AO386" si="163">K375</f>
        <v>1</v>
      </c>
      <c r="L386" s="402" t="b">
        <f t="shared" si="163"/>
        <v>1</v>
      </c>
      <c r="M386" s="402" t="b">
        <f t="shared" si="163"/>
        <v>1</v>
      </c>
      <c r="N386" s="402" t="b">
        <f t="shared" si="163"/>
        <v>1</v>
      </c>
      <c r="O386" s="402" t="b">
        <f t="shared" si="163"/>
        <v>1</v>
      </c>
      <c r="P386" s="402" t="b">
        <f t="shared" si="163"/>
        <v>1</v>
      </c>
      <c r="Q386" s="402" t="b">
        <f t="shared" si="163"/>
        <v>1</v>
      </c>
      <c r="R386" s="402" t="b">
        <f t="shared" si="163"/>
        <v>1</v>
      </c>
      <c r="S386" s="402" t="b">
        <f t="shared" si="163"/>
        <v>1</v>
      </c>
      <c r="T386" s="402" t="b">
        <f t="shared" si="163"/>
        <v>1</v>
      </c>
      <c r="U386" s="402" t="b">
        <f t="shared" si="163"/>
        <v>1</v>
      </c>
      <c r="V386" s="402" t="b">
        <f t="shared" si="163"/>
        <v>1</v>
      </c>
      <c r="W386" s="402" t="b">
        <f t="shared" si="163"/>
        <v>1</v>
      </c>
      <c r="X386" s="402" t="b">
        <f t="shared" si="163"/>
        <v>1</v>
      </c>
      <c r="Y386" s="402" t="b">
        <f t="shared" si="163"/>
        <v>1</v>
      </c>
      <c r="Z386" s="402" t="b">
        <f t="shared" si="163"/>
        <v>1</v>
      </c>
      <c r="AA386" s="402" t="b">
        <f t="shared" si="163"/>
        <v>1</v>
      </c>
      <c r="AB386" s="402" t="b">
        <f t="shared" si="163"/>
        <v>1</v>
      </c>
      <c r="AC386" s="402" t="b">
        <f t="shared" si="163"/>
        <v>1</v>
      </c>
      <c r="AD386" s="402" t="b">
        <f t="shared" si="163"/>
        <v>1</v>
      </c>
      <c r="AE386" s="402" t="b">
        <f t="shared" si="163"/>
        <v>1</v>
      </c>
      <c r="AF386" s="402" t="b">
        <f t="shared" si="163"/>
        <v>1</v>
      </c>
      <c r="AG386" s="402" t="b">
        <f t="shared" si="163"/>
        <v>1</v>
      </c>
      <c r="AH386" s="402" t="b">
        <f t="shared" si="163"/>
        <v>1</v>
      </c>
      <c r="AI386" s="402" t="b">
        <f t="shared" si="163"/>
        <v>1</v>
      </c>
      <c r="AJ386" s="402" t="b">
        <f t="shared" si="163"/>
        <v>1</v>
      </c>
      <c r="AK386" s="402" t="b">
        <f t="shared" si="163"/>
        <v>1</v>
      </c>
      <c r="AL386" s="402" t="b">
        <f t="shared" si="163"/>
        <v>1</v>
      </c>
      <c r="AM386" s="402" t="b">
        <f t="shared" si="163"/>
        <v>1</v>
      </c>
      <c r="AN386" s="402" t="b">
        <f t="shared" si="163"/>
        <v>1</v>
      </c>
      <c r="AO386" s="402" t="b">
        <f t="shared" si="163"/>
        <v>1</v>
      </c>
    </row>
    <row r="387" spans="3:41" x14ac:dyDescent="0.3">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3">
      <c r="C388" s="29"/>
      <c r="E388" s="32" t="s">
        <v>1104</v>
      </c>
      <c r="G388" t="s">
        <v>148</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3">
      <c r="C389" s="29"/>
      <c r="E389" s="28"/>
      <c r="J389" s="329"/>
      <c r="K389" s="329"/>
      <c r="L389" s="329"/>
      <c r="M389" s="329"/>
      <c r="N389" s="329"/>
      <c r="O389" s="329"/>
      <c r="P389" s="329"/>
      <c r="Q389" s="329"/>
      <c r="R389" s="329"/>
      <c r="S389" s="329"/>
      <c r="T389" s="329"/>
      <c r="U389" s="329"/>
      <c r="V389" s="329"/>
      <c r="W389" s="329"/>
      <c r="X389" s="329"/>
      <c r="Y389" s="329"/>
      <c r="Z389" s="329"/>
      <c r="AA389" s="329"/>
      <c r="AB389" s="329"/>
      <c r="AC389" s="329"/>
      <c r="AD389" s="329"/>
      <c r="AE389" s="329"/>
      <c r="AF389" s="329"/>
      <c r="AG389" s="329"/>
      <c r="AH389" s="329"/>
      <c r="AI389" s="329"/>
      <c r="AJ389" s="329"/>
      <c r="AK389" s="329"/>
      <c r="AL389" s="329"/>
      <c r="AM389" s="329"/>
      <c r="AN389" s="329"/>
      <c r="AO389" s="329"/>
    </row>
    <row r="390" spans="3:41" x14ac:dyDescent="0.3">
      <c r="C390" s="29"/>
      <c r="E390" s="32" t="s">
        <v>1105</v>
      </c>
      <c r="F390" s="37"/>
      <c r="G390" s="37"/>
      <c r="H390" s="37"/>
      <c r="I390" s="37"/>
      <c r="J390" s="402"/>
      <c r="K390" s="402"/>
      <c r="L390" s="402"/>
      <c r="M390" s="402"/>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2"/>
      <c r="AI390" s="402"/>
      <c r="AJ390" s="402"/>
      <c r="AK390" s="402"/>
      <c r="AL390" s="402"/>
      <c r="AM390" s="402"/>
      <c r="AN390" s="402"/>
      <c r="AO390" s="402"/>
    </row>
    <row r="391" spans="3:41" x14ac:dyDescent="0.3">
      <c r="C391" s="29"/>
      <c r="F391" s="23" t="s">
        <v>1101</v>
      </c>
      <c r="G391" s="23" t="s">
        <v>911</v>
      </c>
      <c r="H391" s="23"/>
      <c r="I391" s="23"/>
      <c r="J391" s="407">
        <f t="shared" ref="J391:AO391" si="165">J304</f>
        <v>0</v>
      </c>
      <c r="K391" s="407">
        <f t="shared" si="165"/>
        <v>0</v>
      </c>
      <c r="L391" s="407">
        <f t="shared" si="165"/>
        <v>0</v>
      </c>
      <c r="M391" s="407">
        <f t="shared" si="165"/>
        <v>0</v>
      </c>
      <c r="N391" s="407">
        <f t="shared" si="165"/>
        <v>0</v>
      </c>
      <c r="O391" s="407">
        <f t="shared" si="165"/>
        <v>0</v>
      </c>
      <c r="P391" s="407">
        <f t="shared" si="165"/>
        <v>0</v>
      </c>
      <c r="Q391" s="407">
        <f t="shared" si="165"/>
        <v>0</v>
      </c>
      <c r="R391" s="407">
        <f t="shared" si="165"/>
        <v>0</v>
      </c>
      <c r="S391" s="407">
        <f t="shared" si="165"/>
        <v>0</v>
      </c>
      <c r="T391" s="407">
        <f t="shared" si="165"/>
        <v>0</v>
      </c>
      <c r="U391" s="407">
        <f t="shared" si="165"/>
        <v>0</v>
      </c>
      <c r="V391" s="407">
        <f t="shared" si="165"/>
        <v>0</v>
      </c>
      <c r="W391" s="407">
        <f t="shared" si="165"/>
        <v>0</v>
      </c>
      <c r="X391" s="407">
        <f t="shared" si="165"/>
        <v>0</v>
      </c>
      <c r="Y391" s="407">
        <f t="shared" si="165"/>
        <v>0</v>
      </c>
      <c r="Z391" s="407">
        <f t="shared" si="165"/>
        <v>0</v>
      </c>
      <c r="AA391" s="407">
        <f t="shared" si="165"/>
        <v>0</v>
      </c>
      <c r="AB391" s="407">
        <f t="shared" si="165"/>
        <v>0</v>
      </c>
      <c r="AC391" s="407">
        <f t="shared" si="165"/>
        <v>0</v>
      </c>
      <c r="AD391" s="407">
        <f t="shared" si="165"/>
        <v>0</v>
      </c>
      <c r="AE391" s="407">
        <f t="shared" si="165"/>
        <v>0</v>
      </c>
      <c r="AF391" s="407">
        <f t="shared" si="165"/>
        <v>0</v>
      </c>
      <c r="AG391" s="407">
        <f t="shared" si="165"/>
        <v>0</v>
      </c>
      <c r="AH391" s="407">
        <f t="shared" si="165"/>
        <v>0</v>
      </c>
      <c r="AI391" s="407">
        <f t="shared" si="165"/>
        <v>0</v>
      </c>
      <c r="AJ391" s="407">
        <f t="shared" si="165"/>
        <v>0</v>
      </c>
      <c r="AK391" s="407">
        <f t="shared" si="165"/>
        <v>0</v>
      </c>
      <c r="AL391" s="407">
        <f t="shared" si="165"/>
        <v>0</v>
      </c>
      <c r="AM391" s="407">
        <f t="shared" si="165"/>
        <v>0</v>
      </c>
      <c r="AN391" s="407">
        <f t="shared" si="165"/>
        <v>0</v>
      </c>
      <c r="AO391" s="407">
        <f t="shared" si="165"/>
        <v>0</v>
      </c>
    </row>
    <row r="392" spans="3:41" x14ac:dyDescent="0.3">
      <c r="C392" s="29"/>
      <c r="F392" t="s">
        <v>1102</v>
      </c>
      <c r="G392" t="s">
        <v>911</v>
      </c>
      <c r="J392" s="407">
        <f t="shared" ref="J392:AO392" si="166">J336</f>
        <v>0</v>
      </c>
      <c r="K392" s="407">
        <f t="shared" si="166"/>
        <v>0</v>
      </c>
      <c r="L392" s="407">
        <f t="shared" si="166"/>
        <v>0</v>
      </c>
      <c r="M392" s="407">
        <f t="shared" si="166"/>
        <v>0</v>
      </c>
      <c r="N392" s="407">
        <f t="shared" si="166"/>
        <v>0</v>
      </c>
      <c r="O392" s="407">
        <f t="shared" si="166"/>
        <v>0</v>
      </c>
      <c r="P392" s="407">
        <f t="shared" si="166"/>
        <v>0</v>
      </c>
      <c r="Q392" s="407">
        <f t="shared" si="166"/>
        <v>0</v>
      </c>
      <c r="R392" s="407">
        <f t="shared" si="166"/>
        <v>0</v>
      </c>
      <c r="S392" s="407">
        <f t="shared" si="166"/>
        <v>0</v>
      </c>
      <c r="T392" s="407">
        <f t="shared" si="166"/>
        <v>0</v>
      </c>
      <c r="U392" s="407">
        <f t="shared" si="166"/>
        <v>0</v>
      </c>
      <c r="V392" s="407">
        <f t="shared" si="166"/>
        <v>0</v>
      </c>
      <c r="W392" s="407">
        <f t="shared" si="166"/>
        <v>0</v>
      </c>
      <c r="X392" s="407">
        <f t="shared" si="166"/>
        <v>0</v>
      </c>
      <c r="Y392" s="407">
        <f t="shared" si="166"/>
        <v>0</v>
      </c>
      <c r="Z392" s="407">
        <f t="shared" si="166"/>
        <v>0</v>
      </c>
      <c r="AA392" s="407">
        <f t="shared" si="166"/>
        <v>0</v>
      </c>
      <c r="AB392" s="407">
        <f t="shared" si="166"/>
        <v>0</v>
      </c>
      <c r="AC392" s="407">
        <f t="shared" si="166"/>
        <v>0</v>
      </c>
      <c r="AD392" s="407">
        <f t="shared" si="166"/>
        <v>0</v>
      </c>
      <c r="AE392" s="407">
        <f t="shared" si="166"/>
        <v>0</v>
      </c>
      <c r="AF392" s="407">
        <f t="shared" si="166"/>
        <v>0</v>
      </c>
      <c r="AG392" s="407">
        <f t="shared" si="166"/>
        <v>0</v>
      </c>
      <c r="AH392" s="407">
        <f t="shared" si="166"/>
        <v>0</v>
      </c>
      <c r="AI392" s="407">
        <f t="shared" si="166"/>
        <v>0</v>
      </c>
      <c r="AJ392" s="407">
        <f t="shared" si="166"/>
        <v>0</v>
      </c>
      <c r="AK392" s="407">
        <f t="shared" si="166"/>
        <v>0</v>
      </c>
      <c r="AL392" s="407">
        <f t="shared" si="166"/>
        <v>0</v>
      </c>
      <c r="AM392" s="407">
        <f t="shared" si="166"/>
        <v>0</v>
      </c>
      <c r="AN392" s="407">
        <f t="shared" si="166"/>
        <v>0</v>
      </c>
      <c r="AO392" s="407">
        <f t="shared" si="166"/>
        <v>0</v>
      </c>
    </row>
    <row r="393" spans="3:41" x14ac:dyDescent="0.3">
      <c r="C393" s="29"/>
      <c r="F393" s="37" t="s">
        <v>1103</v>
      </c>
      <c r="G393" s="37" t="s">
        <v>911</v>
      </c>
      <c r="H393" s="37"/>
      <c r="I393" s="37"/>
      <c r="J393" s="398">
        <f t="shared" ref="J393:AO393" si="167">J368</f>
        <v>0</v>
      </c>
      <c r="K393" s="398">
        <f t="shared" si="167"/>
        <v>0</v>
      </c>
      <c r="L393" s="398">
        <f t="shared" si="167"/>
        <v>0</v>
      </c>
      <c r="M393" s="398">
        <f t="shared" si="167"/>
        <v>0</v>
      </c>
      <c r="N393" s="398">
        <f t="shared" si="167"/>
        <v>0</v>
      </c>
      <c r="O393" s="398">
        <f t="shared" si="167"/>
        <v>0</v>
      </c>
      <c r="P393" s="398">
        <f t="shared" si="167"/>
        <v>0</v>
      </c>
      <c r="Q393" s="398">
        <f t="shared" si="167"/>
        <v>0</v>
      </c>
      <c r="R393" s="398">
        <f t="shared" si="167"/>
        <v>0</v>
      </c>
      <c r="S393" s="398">
        <f t="shared" si="167"/>
        <v>0</v>
      </c>
      <c r="T393" s="398">
        <f t="shared" si="167"/>
        <v>0</v>
      </c>
      <c r="U393" s="398">
        <f t="shared" si="167"/>
        <v>0</v>
      </c>
      <c r="V393" s="398">
        <f t="shared" si="167"/>
        <v>0</v>
      </c>
      <c r="W393" s="398">
        <f t="shared" si="167"/>
        <v>0</v>
      </c>
      <c r="X393" s="398">
        <f t="shared" si="167"/>
        <v>0</v>
      </c>
      <c r="Y393" s="398">
        <f t="shared" si="167"/>
        <v>0</v>
      </c>
      <c r="Z393" s="398">
        <f t="shared" si="167"/>
        <v>0</v>
      </c>
      <c r="AA393" s="398">
        <f t="shared" si="167"/>
        <v>0</v>
      </c>
      <c r="AB393" s="398">
        <f t="shared" si="167"/>
        <v>0</v>
      </c>
      <c r="AC393" s="398">
        <f t="shared" si="167"/>
        <v>0</v>
      </c>
      <c r="AD393" s="398">
        <f t="shared" si="167"/>
        <v>0</v>
      </c>
      <c r="AE393" s="398">
        <f t="shared" si="167"/>
        <v>0</v>
      </c>
      <c r="AF393" s="398">
        <f t="shared" si="167"/>
        <v>0</v>
      </c>
      <c r="AG393" s="398">
        <f t="shared" si="167"/>
        <v>0</v>
      </c>
      <c r="AH393" s="398">
        <f t="shared" si="167"/>
        <v>0</v>
      </c>
      <c r="AI393" s="398">
        <f t="shared" si="167"/>
        <v>0</v>
      </c>
      <c r="AJ393" s="398">
        <f t="shared" si="167"/>
        <v>0</v>
      </c>
      <c r="AK393" s="398">
        <f t="shared" si="167"/>
        <v>0</v>
      </c>
      <c r="AL393" s="398">
        <f t="shared" si="167"/>
        <v>0</v>
      </c>
      <c r="AM393" s="398">
        <f t="shared" si="167"/>
        <v>0</v>
      </c>
      <c r="AN393" s="398">
        <f t="shared" si="167"/>
        <v>0</v>
      </c>
      <c r="AO393" s="398">
        <f t="shared" si="167"/>
        <v>0</v>
      </c>
    </row>
    <row r="394" spans="3:41" x14ac:dyDescent="0.3">
      <c r="C394" s="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c r="AM394" s="329"/>
      <c r="AN394" s="329"/>
      <c r="AO394" s="329"/>
    </row>
    <row r="395" spans="3:41" x14ac:dyDescent="0.3">
      <c r="C395" s="29"/>
      <c r="E395" s="396" t="s">
        <v>1106</v>
      </c>
      <c r="G395" t="s">
        <v>268</v>
      </c>
      <c r="J395" s="329">
        <f>INDEX(J391:J393,J388)</f>
        <v>0</v>
      </c>
      <c r="K395" s="329">
        <f t="shared" ref="K395:AO395" si="168">INDEX(K391:K393,K388)</f>
        <v>0</v>
      </c>
      <c r="L395" s="329">
        <f t="shared" si="168"/>
        <v>0</v>
      </c>
      <c r="M395" s="329">
        <f t="shared" si="168"/>
        <v>0</v>
      </c>
      <c r="N395" s="329">
        <f t="shared" si="168"/>
        <v>0</v>
      </c>
      <c r="O395" s="329">
        <f t="shared" si="168"/>
        <v>0</v>
      </c>
      <c r="P395" s="329">
        <f t="shared" si="168"/>
        <v>0</v>
      </c>
      <c r="Q395" s="329">
        <f t="shared" si="168"/>
        <v>0</v>
      </c>
      <c r="R395" s="329">
        <f t="shared" si="168"/>
        <v>0</v>
      </c>
      <c r="S395" s="329">
        <f t="shared" si="168"/>
        <v>0</v>
      </c>
      <c r="T395" s="329">
        <f t="shared" si="168"/>
        <v>0</v>
      </c>
      <c r="U395" s="329">
        <f t="shared" si="168"/>
        <v>0</v>
      </c>
      <c r="V395" s="329">
        <f t="shared" si="168"/>
        <v>0</v>
      </c>
      <c r="W395" s="329">
        <f t="shared" si="168"/>
        <v>0</v>
      </c>
      <c r="X395" s="329">
        <f t="shared" si="168"/>
        <v>0</v>
      </c>
      <c r="Y395" s="329">
        <f t="shared" si="168"/>
        <v>0</v>
      </c>
      <c r="Z395" s="329">
        <f t="shared" si="168"/>
        <v>0</v>
      </c>
      <c r="AA395" s="329">
        <f t="shared" si="168"/>
        <v>0</v>
      </c>
      <c r="AB395" s="329">
        <f t="shared" si="168"/>
        <v>0</v>
      </c>
      <c r="AC395" s="329">
        <f t="shared" si="168"/>
        <v>0</v>
      </c>
      <c r="AD395" s="329">
        <f t="shared" si="168"/>
        <v>0</v>
      </c>
      <c r="AE395" s="329">
        <f t="shared" si="168"/>
        <v>0</v>
      </c>
      <c r="AF395" s="329">
        <f t="shared" si="168"/>
        <v>0</v>
      </c>
      <c r="AG395" s="329">
        <f t="shared" si="168"/>
        <v>0</v>
      </c>
      <c r="AH395" s="329">
        <f t="shared" si="168"/>
        <v>0</v>
      </c>
      <c r="AI395" s="329">
        <f t="shared" si="168"/>
        <v>0</v>
      </c>
      <c r="AJ395" s="329">
        <f t="shared" si="168"/>
        <v>0</v>
      </c>
      <c r="AK395" s="329">
        <f t="shared" si="168"/>
        <v>0</v>
      </c>
      <c r="AL395" s="329">
        <f t="shared" si="168"/>
        <v>0</v>
      </c>
      <c r="AM395" s="329">
        <f t="shared" si="168"/>
        <v>0</v>
      </c>
      <c r="AN395" s="329">
        <f t="shared" si="168"/>
        <v>0</v>
      </c>
      <c r="AO395" s="329">
        <f t="shared" si="168"/>
        <v>0</v>
      </c>
    </row>
    <row r="396" spans="3:41" x14ac:dyDescent="0.3">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3">
      <c r="C397" s="29"/>
      <c r="E397" s="32" t="s">
        <v>1107</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3">
      <c r="C398" s="29"/>
      <c r="F398" s="23" t="s">
        <v>1060</v>
      </c>
      <c r="G398" s="23" t="s">
        <v>268</v>
      </c>
      <c r="H398" s="23"/>
      <c r="I398" s="23"/>
      <c r="J398" s="397">
        <f t="shared" ref="J398:AO400" si="169">MAX(J$395, J262)</f>
        <v>0</v>
      </c>
      <c r="K398" s="397">
        <f t="shared" si="169"/>
        <v>0</v>
      </c>
      <c r="L398" s="397">
        <f t="shared" si="169"/>
        <v>0</v>
      </c>
      <c r="M398" s="397">
        <f t="shared" si="169"/>
        <v>0</v>
      </c>
      <c r="N398" s="397">
        <f t="shared" si="169"/>
        <v>0</v>
      </c>
      <c r="O398" s="397">
        <f t="shared" si="169"/>
        <v>0</v>
      </c>
      <c r="P398" s="397">
        <f t="shared" si="169"/>
        <v>0</v>
      </c>
      <c r="Q398" s="397">
        <f t="shared" si="169"/>
        <v>0</v>
      </c>
      <c r="R398" s="397">
        <f t="shared" si="169"/>
        <v>0</v>
      </c>
      <c r="S398" s="397">
        <f t="shared" si="169"/>
        <v>0</v>
      </c>
      <c r="T398" s="397">
        <f t="shared" si="169"/>
        <v>0</v>
      </c>
      <c r="U398" s="397">
        <f t="shared" si="169"/>
        <v>0</v>
      </c>
      <c r="V398" s="397">
        <f t="shared" si="169"/>
        <v>0</v>
      </c>
      <c r="W398" s="397">
        <f t="shared" si="169"/>
        <v>0</v>
      </c>
      <c r="X398" s="397">
        <f t="shared" si="169"/>
        <v>0</v>
      </c>
      <c r="Y398" s="397">
        <f t="shared" si="169"/>
        <v>0</v>
      </c>
      <c r="Z398" s="397">
        <f t="shared" si="169"/>
        <v>0</v>
      </c>
      <c r="AA398" s="397">
        <f t="shared" si="169"/>
        <v>0</v>
      </c>
      <c r="AB398" s="397">
        <f t="shared" si="169"/>
        <v>0</v>
      </c>
      <c r="AC398" s="397">
        <f t="shared" si="169"/>
        <v>0</v>
      </c>
      <c r="AD398" s="397">
        <f t="shared" si="169"/>
        <v>0</v>
      </c>
      <c r="AE398" s="397">
        <f t="shared" si="169"/>
        <v>0</v>
      </c>
      <c r="AF398" s="397">
        <f t="shared" si="169"/>
        <v>0</v>
      </c>
      <c r="AG398" s="397">
        <f t="shared" si="169"/>
        <v>0</v>
      </c>
      <c r="AH398" s="397">
        <f t="shared" si="169"/>
        <v>0</v>
      </c>
      <c r="AI398" s="397">
        <f t="shared" si="169"/>
        <v>0</v>
      </c>
      <c r="AJ398" s="397">
        <f t="shared" si="169"/>
        <v>0</v>
      </c>
      <c r="AK398" s="397">
        <f t="shared" si="169"/>
        <v>0</v>
      </c>
      <c r="AL398" s="397">
        <f t="shared" si="169"/>
        <v>0</v>
      </c>
      <c r="AM398" s="397">
        <f t="shared" si="169"/>
        <v>0</v>
      </c>
      <c r="AN398" s="397">
        <f t="shared" si="169"/>
        <v>0</v>
      </c>
      <c r="AO398" s="397">
        <f t="shared" si="169"/>
        <v>0</v>
      </c>
    </row>
    <row r="399" spans="3:41" x14ac:dyDescent="0.3">
      <c r="C399" s="29"/>
      <c r="F399" t="s">
        <v>1061</v>
      </c>
      <c r="G399" t="s">
        <v>268</v>
      </c>
      <c r="J399" s="329">
        <f t="shared" si="169"/>
        <v>0</v>
      </c>
      <c r="K399" s="329">
        <f t="shared" si="169"/>
        <v>0</v>
      </c>
      <c r="L399" s="329">
        <f t="shared" si="169"/>
        <v>0</v>
      </c>
      <c r="M399" s="329">
        <f t="shared" si="169"/>
        <v>0</v>
      </c>
      <c r="N399" s="329">
        <f t="shared" si="169"/>
        <v>0</v>
      </c>
      <c r="O399" s="329">
        <f t="shared" si="169"/>
        <v>0</v>
      </c>
      <c r="P399" s="329">
        <f t="shared" si="169"/>
        <v>0</v>
      </c>
      <c r="Q399" s="329">
        <f t="shared" si="169"/>
        <v>0</v>
      </c>
      <c r="R399" s="329">
        <f t="shared" si="169"/>
        <v>0</v>
      </c>
      <c r="S399" s="329">
        <f t="shared" si="169"/>
        <v>0</v>
      </c>
      <c r="T399" s="329">
        <f t="shared" si="169"/>
        <v>0</v>
      </c>
      <c r="U399" s="329">
        <f t="shared" si="169"/>
        <v>0</v>
      </c>
      <c r="V399" s="329">
        <f t="shared" si="169"/>
        <v>0</v>
      </c>
      <c r="W399" s="329">
        <f t="shared" si="169"/>
        <v>0</v>
      </c>
      <c r="X399" s="329">
        <f t="shared" si="169"/>
        <v>0</v>
      </c>
      <c r="Y399" s="329">
        <f t="shared" si="169"/>
        <v>0</v>
      </c>
      <c r="Z399" s="329">
        <f t="shared" si="169"/>
        <v>0</v>
      </c>
      <c r="AA399" s="329">
        <f t="shared" si="169"/>
        <v>0</v>
      </c>
      <c r="AB399" s="329">
        <f t="shared" si="169"/>
        <v>0</v>
      </c>
      <c r="AC399" s="329">
        <f t="shared" si="169"/>
        <v>0</v>
      </c>
      <c r="AD399" s="329">
        <f t="shared" si="169"/>
        <v>0</v>
      </c>
      <c r="AE399" s="329">
        <f t="shared" si="169"/>
        <v>0</v>
      </c>
      <c r="AF399" s="329">
        <f t="shared" si="169"/>
        <v>0</v>
      </c>
      <c r="AG399" s="329">
        <f t="shared" si="169"/>
        <v>0</v>
      </c>
      <c r="AH399" s="329">
        <f t="shared" si="169"/>
        <v>0</v>
      </c>
      <c r="AI399" s="329">
        <f t="shared" si="169"/>
        <v>0</v>
      </c>
      <c r="AJ399" s="329">
        <f t="shared" si="169"/>
        <v>0</v>
      </c>
      <c r="AK399" s="329">
        <f t="shared" si="169"/>
        <v>0</v>
      </c>
      <c r="AL399" s="329">
        <f t="shared" si="169"/>
        <v>0</v>
      </c>
      <c r="AM399" s="329">
        <f t="shared" si="169"/>
        <v>0</v>
      </c>
      <c r="AN399" s="329">
        <f t="shared" si="169"/>
        <v>0</v>
      </c>
      <c r="AO399" s="329">
        <f t="shared" si="169"/>
        <v>0</v>
      </c>
    </row>
    <row r="400" spans="3:41" x14ac:dyDescent="0.3">
      <c r="C400" s="29"/>
      <c r="F400" s="37" t="s">
        <v>1062</v>
      </c>
      <c r="G400" s="37" t="s">
        <v>268</v>
      </c>
      <c r="H400" s="37"/>
      <c r="I400" s="37"/>
      <c r="J400" s="398">
        <f t="shared" si="169"/>
        <v>0</v>
      </c>
      <c r="K400" s="398">
        <f t="shared" si="169"/>
        <v>0</v>
      </c>
      <c r="L400" s="398">
        <f t="shared" si="169"/>
        <v>0</v>
      </c>
      <c r="M400" s="398">
        <f t="shared" si="169"/>
        <v>0</v>
      </c>
      <c r="N400" s="398">
        <f t="shared" si="169"/>
        <v>0</v>
      </c>
      <c r="O400" s="398">
        <f t="shared" si="169"/>
        <v>0</v>
      </c>
      <c r="P400" s="398">
        <f t="shared" si="169"/>
        <v>0</v>
      </c>
      <c r="Q400" s="398">
        <f t="shared" si="169"/>
        <v>0</v>
      </c>
      <c r="R400" s="398">
        <f t="shared" si="169"/>
        <v>0</v>
      </c>
      <c r="S400" s="398">
        <f t="shared" si="169"/>
        <v>0</v>
      </c>
      <c r="T400" s="398">
        <f t="shared" si="169"/>
        <v>0</v>
      </c>
      <c r="U400" s="398">
        <f t="shared" si="169"/>
        <v>0</v>
      </c>
      <c r="V400" s="398">
        <f t="shared" si="169"/>
        <v>0</v>
      </c>
      <c r="W400" s="398">
        <f t="shared" si="169"/>
        <v>0</v>
      </c>
      <c r="X400" s="398">
        <f t="shared" si="169"/>
        <v>0</v>
      </c>
      <c r="Y400" s="398">
        <f t="shared" si="169"/>
        <v>0</v>
      </c>
      <c r="Z400" s="398">
        <f t="shared" si="169"/>
        <v>0</v>
      </c>
      <c r="AA400" s="398">
        <f t="shared" si="169"/>
        <v>0</v>
      </c>
      <c r="AB400" s="398">
        <f t="shared" si="169"/>
        <v>0</v>
      </c>
      <c r="AC400" s="398">
        <f t="shared" si="169"/>
        <v>0</v>
      </c>
      <c r="AD400" s="398">
        <f t="shared" si="169"/>
        <v>0</v>
      </c>
      <c r="AE400" s="398">
        <f t="shared" si="169"/>
        <v>0</v>
      </c>
      <c r="AF400" s="398">
        <f t="shared" si="169"/>
        <v>0</v>
      </c>
      <c r="AG400" s="398">
        <f t="shared" si="169"/>
        <v>0</v>
      </c>
      <c r="AH400" s="398">
        <f t="shared" si="169"/>
        <v>0</v>
      </c>
      <c r="AI400" s="398">
        <f t="shared" si="169"/>
        <v>0</v>
      </c>
      <c r="AJ400" s="398">
        <f t="shared" si="169"/>
        <v>0</v>
      </c>
      <c r="AK400" s="398">
        <f t="shared" si="169"/>
        <v>0</v>
      </c>
      <c r="AL400" s="398">
        <f t="shared" si="169"/>
        <v>0</v>
      </c>
      <c r="AM400" s="398">
        <f t="shared" si="169"/>
        <v>0</v>
      </c>
      <c r="AN400" s="398">
        <f t="shared" si="169"/>
        <v>0</v>
      </c>
      <c r="AO400" s="398">
        <f t="shared" si="169"/>
        <v>0</v>
      </c>
    </row>
    <row r="401" spans="2:43" x14ac:dyDescent="0.3">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3">
      <c r="C402" s="29"/>
      <c r="E402" s="32" t="s">
        <v>1108</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3">
      <c r="C403" s="29"/>
      <c r="F403" s="23" t="s">
        <v>155</v>
      </c>
      <c r="G403" s="23" t="s">
        <v>268</v>
      </c>
      <c r="H403" s="23"/>
      <c r="I403" s="23"/>
      <c r="J403" s="397">
        <f t="shared" ref="J403:AO405" si="170">IF(J$237, INDEX(J$398:J$400,J267), 0)</f>
        <v>0</v>
      </c>
      <c r="K403" s="397">
        <f t="shared" si="170"/>
        <v>0</v>
      </c>
      <c r="L403" s="397">
        <f t="shared" si="170"/>
        <v>0</v>
      </c>
      <c r="M403" s="397">
        <f t="shared" si="170"/>
        <v>0</v>
      </c>
      <c r="N403" s="397">
        <f t="shared" si="170"/>
        <v>0</v>
      </c>
      <c r="O403" s="397">
        <f t="shared" si="170"/>
        <v>0</v>
      </c>
      <c r="P403" s="397">
        <f t="shared" si="170"/>
        <v>0</v>
      </c>
      <c r="Q403" s="397">
        <f t="shared" si="170"/>
        <v>0</v>
      </c>
      <c r="R403" s="397">
        <f t="shared" si="170"/>
        <v>0</v>
      </c>
      <c r="S403" s="397">
        <f t="shared" si="170"/>
        <v>0</v>
      </c>
      <c r="T403" s="397">
        <f t="shared" si="170"/>
        <v>0</v>
      </c>
      <c r="U403" s="397">
        <f t="shared" si="170"/>
        <v>0</v>
      </c>
      <c r="V403" s="397">
        <f t="shared" si="170"/>
        <v>0</v>
      </c>
      <c r="W403" s="397">
        <f t="shared" si="170"/>
        <v>0</v>
      </c>
      <c r="X403" s="397">
        <f t="shared" si="170"/>
        <v>0</v>
      </c>
      <c r="Y403" s="397">
        <f t="shared" si="170"/>
        <v>0</v>
      </c>
      <c r="Z403" s="397">
        <f t="shared" si="170"/>
        <v>0</v>
      </c>
      <c r="AA403" s="397">
        <f t="shared" si="170"/>
        <v>0</v>
      </c>
      <c r="AB403" s="397">
        <f t="shared" si="170"/>
        <v>0</v>
      </c>
      <c r="AC403" s="397">
        <f t="shared" si="170"/>
        <v>0</v>
      </c>
      <c r="AD403" s="397">
        <f t="shared" si="170"/>
        <v>0</v>
      </c>
      <c r="AE403" s="397">
        <f t="shared" si="170"/>
        <v>0</v>
      </c>
      <c r="AF403" s="397">
        <f t="shared" si="170"/>
        <v>0</v>
      </c>
      <c r="AG403" s="397">
        <f t="shared" si="170"/>
        <v>0</v>
      </c>
      <c r="AH403" s="397">
        <f t="shared" si="170"/>
        <v>0</v>
      </c>
      <c r="AI403" s="397">
        <f t="shared" si="170"/>
        <v>0</v>
      </c>
      <c r="AJ403" s="397">
        <f t="shared" si="170"/>
        <v>0</v>
      </c>
      <c r="AK403" s="397">
        <f t="shared" si="170"/>
        <v>0</v>
      </c>
      <c r="AL403" s="397">
        <f t="shared" si="170"/>
        <v>0</v>
      </c>
      <c r="AM403" s="397">
        <f t="shared" si="170"/>
        <v>0</v>
      </c>
      <c r="AN403" s="397">
        <f t="shared" si="170"/>
        <v>0</v>
      </c>
      <c r="AO403" s="397">
        <f t="shared" si="170"/>
        <v>0</v>
      </c>
    </row>
    <row r="404" spans="2:43" x14ac:dyDescent="0.3">
      <c r="C404" s="29"/>
      <c r="F404" t="s">
        <v>156</v>
      </c>
      <c r="G404" t="s">
        <v>268</v>
      </c>
      <c r="J404" s="329">
        <f t="shared" si="170"/>
        <v>0</v>
      </c>
      <c r="K404" s="329">
        <f t="shared" si="170"/>
        <v>0</v>
      </c>
      <c r="L404" s="329">
        <f t="shared" si="170"/>
        <v>0</v>
      </c>
      <c r="M404" s="329">
        <f t="shared" si="170"/>
        <v>0</v>
      </c>
      <c r="N404" s="329">
        <f t="shared" si="170"/>
        <v>0</v>
      </c>
      <c r="O404" s="329">
        <f t="shared" si="170"/>
        <v>0</v>
      </c>
      <c r="P404" s="329">
        <f t="shared" si="170"/>
        <v>0</v>
      </c>
      <c r="Q404" s="329">
        <f t="shared" si="170"/>
        <v>0</v>
      </c>
      <c r="R404" s="329">
        <f t="shared" si="170"/>
        <v>0</v>
      </c>
      <c r="S404" s="329">
        <f t="shared" si="170"/>
        <v>0</v>
      </c>
      <c r="T404" s="329">
        <f t="shared" si="170"/>
        <v>0</v>
      </c>
      <c r="U404" s="329">
        <f t="shared" si="170"/>
        <v>0</v>
      </c>
      <c r="V404" s="329">
        <f t="shared" si="170"/>
        <v>0</v>
      </c>
      <c r="W404" s="329">
        <f t="shared" si="170"/>
        <v>0</v>
      </c>
      <c r="X404" s="329">
        <f t="shared" si="170"/>
        <v>0</v>
      </c>
      <c r="Y404" s="329">
        <f t="shared" si="170"/>
        <v>0</v>
      </c>
      <c r="Z404" s="329">
        <f t="shared" si="170"/>
        <v>0</v>
      </c>
      <c r="AA404" s="329">
        <f t="shared" si="170"/>
        <v>0</v>
      </c>
      <c r="AB404" s="329">
        <f t="shared" si="170"/>
        <v>0</v>
      </c>
      <c r="AC404" s="329">
        <f t="shared" si="170"/>
        <v>0</v>
      </c>
      <c r="AD404" s="329">
        <f t="shared" si="170"/>
        <v>0</v>
      </c>
      <c r="AE404" s="329">
        <f t="shared" si="170"/>
        <v>0</v>
      </c>
      <c r="AF404" s="329">
        <f t="shared" si="170"/>
        <v>0</v>
      </c>
      <c r="AG404" s="329">
        <f t="shared" si="170"/>
        <v>0</v>
      </c>
      <c r="AH404" s="329">
        <f t="shared" si="170"/>
        <v>0</v>
      </c>
      <c r="AI404" s="329">
        <f t="shared" si="170"/>
        <v>0</v>
      </c>
      <c r="AJ404" s="329">
        <f t="shared" si="170"/>
        <v>0</v>
      </c>
      <c r="AK404" s="329">
        <f t="shared" si="170"/>
        <v>0</v>
      </c>
      <c r="AL404" s="329">
        <f t="shared" si="170"/>
        <v>0</v>
      </c>
      <c r="AM404" s="329">
        <f t="shared" si="170"/>
        <v>0</v>
      </c>
      <c r="AN404" s="329">
        <f t="shared" si="170"/>
        <v>0</v>
      </c>
      <c r="AO404" s="329">
        <f t="shared" si="170"/>
        <v>0</v>
      </c>
    </row>
    <row r="405" spans="2:43" x14ac:dyDescent="0.3">
      <c r="C405" s="29"/>
      <c r="F405" s="37" t="s">
        <v>157</v>
      </c>
      <c r="G405" s="37" t="s">
        <v>268</v>
      </c>
      <c r="H405" s="37"/>
      <c r="I405" s="37"/>
      <c r="J405" s="398">
        <f t="shared" si="170"/>
        <v>0</v>
      </c>
      <c r="K405" s="398">
        <f t="shared" si="170"/>
        <v>0</v>
      </c>
      <c r="L405" s="398">
        <f t="shared" si="170"/>
        <v>0</v>
      </c>
      <c r="M405" s="398">
        <f t="shared" si="170"/>
        <v>0</v>
      </c>
      <c r="N405" s="398">
        <f t="shared" si="170"/>
        <v>0</v>
      </c>
      <c r="O405" s="398">
        <f t="shared" si="170"/>
        <v>0</v>
      </c>
      <c r="P405" s="398">
        <f t="shared" si="170"/>
        <v>0</v>
      </c>
      <c r="Q405" s="398">
        <f t="shared" si="170"/>
        <v>0</v>
      </c>
      <c r="R405" s="398">
        <f t="shared" si="170"/>
        <v>0</v>
      </c>
      <c r="S405" s="398">
        <f t="shared" si="170"/>
        <v>0</v>
      </c>
      <c r="T405" s="398">
        <f t="shared" si="170"/>
        <v>0</v>
      </c>
      <c r="U405" s="398">
        <f t="shared" si="170"/>
        <v>0</v>
      </c>
      <c r="V405" s="398">
        <f t="shared" si="170"/>
        <v>0</v>
      </c>
      <c r="W405" s="398">
        <f t="shared" si="170"/>
        <v>0</v>
      </c>
      <c r="X405" s="398">
        <f t="shared" si="170"/>
        <v>0</v>
      </c>
      <c r="Y405" s="398">
        <f t="shared" si="170"/>
        <v>0</v>
      </c>
      <c r="Z405" s="398">
        <f t="shared" si="170"/>
        <v>0</v>
      </c>
      <c r="AA405" s="398">
        <f t="shared" si="170"/>
        <v>0</v>
      </c>
      <c r="AB405" s="398">
        <f t="shared" si="170"/>
        <v>0</v>
      </c>
      <c r="AC405" s="398">
        <f t="shared" si="170"/>
        <v>0</v>
      </c>
      <c r="AD405" s="398">
        <f t="shared" si="170"/>
        <v>0</v>
      </c>
      <c r="AE405" s="398">
        <f t="shared" si="170"/>
        <v>0</v>
      </c>
      <c r="AF405" s="398">
        <f t="shared" si="170"/>
        <v>0</v>
      </c>
      <c r="AG405" s="398">
        <f t="shared" si="170"/>
        <v>0</v>
      </c>
      <c r="AH405" s="398">
        <f t="shared" si="170"/>
        <v>0</v>
      </c>
      <c r="AI405" s="398">
        <f t="shared" si="170"/>
        <v>0</v>
      </c>
      <c r="AJ405" s="398">
        <f t="shared" si="170"/>
        <v>0</v>
      </c>
      <c r="AK405" s="398">
        <f t="shared" si="170"/>
        <v>0</v>
      </c>
      <c r="AL405" s="398">
        <f t="shared" si="170"/>
        <v>0</v>
      </c>
      <c r="AM405" s="398">
        <f t="shared" si="170"/>
        <v>0</v>
      </c>
      <c r="AN405" s="398">
        <f t="shared" si="170"/>
        <v>0</v>
      </c>
      <c r="AO405" s="398">
        <f t="shared" si="170"/>
        <v>0</v>
      </c>
    </row>
    <row r="406" spans="2:43" x14ac:dyDescent="0.3">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3">
      <c r="B407" s="30" t="s">
        <v>1026</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3">
      <c r="C408" s="29"/>
      <c r="J408" s="14"/>
      <c r="K408" s="14"/>
      <c r="L408" s="14"/>
      <c r="M408" s="14"/>
      <c r="N408" s="329"/>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3">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3">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3">
      <c r="C411" s="29"/>
      <c r="E411" s="88" t="s">
        <v>942</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3">
      <c r="C412" s="29"/>
      <c r="F412" s="23" t="s">
        <v>155</v>
      </c>
      <c r="G412" s="23" t="s">
        <v>268</v>
      </c>
      <c r="H412" s="23"/>
      <c r="I412" s="23"/>
      <c r="J412" s="266">
        <f>J403 + J$207</f>
        <v>0</v>
      </c>
      <c r="K412" s="266">
        <f t="shared" ref="K412:AO412" si="171">K403 + K$207</f>
        <v>0</v>
      </c>
      <c r="L412" s="266">
        <f t="shared" si="171"/>
        <v>0</v>
      </c>
      <c r="M412" s="266">
        <f t="shared" si="171"/>
        <v>0</v>
      </c>
      <c r="N412" s="266">
        <f t="shared" si="171"/>
        <v>0</v>
      </c>
      <c r="O412" s="266">
        <f t="shared" si="171"/>
        <v>0</v>
      </c>
      <c r="P412" s="266">
        <f t="shared" si="171"/>
        <v>0</v>
      </c>
      <c r="Q412" s="266">
        <f t="shared" si="171"/>
        <v>0</v>
      </c>
      <c r="R412" s="266">
        <f t="shared" si="171"/>
        <v>0</v>
      </c>
      <c r="S412" s="266">
        <f t="shared" si="171"/>
        <v>0</v>
      </c>
      <c r="T412" s="266">
        <f t="shared" si="171"/>
        <v>0</v>
      </c>
      <c r="U412" s="266">
        <f t="shared" si="171"/>
        <v>0</v>
      </c>
      <c r="V412" s="266">
        <f t="shared" si="171"/>
        <v>0</v>
      </c>
      <c r="W412" s="266">
        <f t="shared" si="171"/>
        <v>0</v>
      </c>
      <c r="X412" s="266">
        <f t="shared" si="171"/>
        <v>0</v>
      </c>
      <c r="Y412" s="266">
        <f t="shared" si="171"/>
        <v>0</v>
      </c>
      <c r="Z412" s="266">
        <f t="shared" si="171"/>
        <v>0</v>
      </c>
      <c r="AA412" s="266">
        <f t="shared" si="171"/>
        <v>0</v>
      </c>
      <c r="AB412" s="266">
        <f t="shared" si="171"/>
        <v>0</v>
      </c>
      <c r="AC412" s="266">
        <f t="shared" si="171"/>
        <v>0</v>
      </c>
      <c r="AD412" s="266">
        <f t="shared" si="171"/>
        <v>0</v>
      </c>
      <c r="AE412" s="266">
        <f t="shared" si="171"/>
        <v>0</v>
      </c>
      <c r="AF412" s="266">
        <f t="shared" si="171"/>
        <v>0</v>
      </c>
      <c r="AG412" s="266">
        <f t="shared" si="171"/>
        <v>0.73245524396402151</v>
      </c>
      <c r="AH412" s="266">
        <f t="shared" si="171"/>
        <v>0</v>
      </c>
      <c r="AI412" s="266">
        <f t="shared" si="171"/>
        <v>0</v>
      </c>
      <c r="AJ412" s="266">
        <f t="shared" si="171"/>
        <v>0</v>
      </c>
      <c r="AK412" s="266">
        <f t="shared" si="171"/>
        <v>0</v>
      </c>
      <c r="AL412" s="266">
        <f t="shared" si="171"/>
        <v>0</v>
      </c>
      <c r="AM412" s="266">
        <f t="shared" si="171"/>
        <v>0</v>
      </c>
      <c r="AN412" s="266">
        <f t="shared" si="171"/>
        <v>0</v>
      </c>
      <c r="AO412" s="266">
        <f t="shared" si="171"/>
        <v>0</v>
      </c>
    </row>
    <row r="413" spans="2:43" x14ac:dyDescent="0.3">
      <c r="C413" s="29"/>
      <c r="F413" t="s">
        <v>156</v>
      </c>
      <c r="G413" t="s">
        <v>268</v>
      </c>
      <c r="J413" s="267">
        <f t="shared" ref="J413:AO414" si="172">J404 + J$207</f>
        <v>0</v>
      </c>
      <c r="K413" s="267">
        <f t="shared" si="172"/>
        <v>0</v>
      </c>
      <c r="L413" s="267">
        <f t="shared" si="172"/>
        <v>0</v>
      </c>
      <c r="M413" s="267">
        <f t="shared" si="172"/>
        <v>0</v>
      </c>
      <c r="N413" s="267">
        <f t="shared" si="172"/>
        <v>0</v>
      </c>
      <c r="O413" s="267">
        <f t="shared" si="172"/>
        <v>0</v>
      </c>
      <c r="P413" s="267">
        <f t="shared" si="172"/>
        <v>0</v>
      </c>
      <c r="Q413" s="267">
        <f t="shared" si="172"/>
        <v>0</v>
      </c>
      <c r="R413" s="267">
        <f t="shared" si="172"/>
        <v>0</v>
      </c>
      <c r="S413" s="267">
        <f t="shared" si="172"/>
        <v>0</v>
      </c>
      <c r="T413" s="267">
        <f t="shared" si="172"/>
        <v>0</v>
      </c>
      <c r="U413" s="267">
        <f t="shared" si="172"/>
        <v>0</v>
      </c>
      <c r="V413" s="267">
        <f t="shared" si="172"/>
        <v>0</v>
      </c>
      <c r="W413" s="267">
        <f t="shared" si="172"/>
        <v>0</v>
      </c>
      <c r="X413" s="267">
        <f t="shared" si="172"/>
        <v>0</v>
      </c>
      <c r="Y413" s="267">
        <f t="shared" si="172"/>
        <v>0</v>
      </c>
      <c r="Z413" s="267">
        <f t="shared" si="172"/>
        <v>0</v>
      </c>
      <c r="AA413" s="267">
        <f t="shared" si="172"/>
        <v>0</v>
      </c>
      <c r="AB413" s="267">
        <f t="shared" si="172"/>
        <v>0</v>
      </c>
      <c r="AC413" s="267">
        <f t="shared" si="172"/>
        <v>0</v>
      </c>
      <c r="AD413" s="267">
        <f t="shared" si="172"/>
        <v>0</v>
      </c>
      <c r="AE413" s="267">
        <f t="shared" si="172"/>
        <v>0</v>
      </c>
      <c r="AF413" s="267">
        <f t="shared" si="172"/>
        <v>0</v>
      </c>
      <c r="AG413" s="267">
        <f t="shared" si="172"/>
        <v>0.73245524396402151</v>
      </c>
      <c r="AH413" s="267">
        <f t="shared" si="172"/>
        <v>0</v>
      </c>
      <c r="AI413" s="267">
        <f t="shared" si="172"/>
        <v>0</v>
      </c>
      <c r="AJ413" s="267">
        <f t="shared" si="172"/>
        <v>0</v>
      </c>
      <c r="AK413" s="267">
        <f t="shared" si="172"/>
        <v>0</v>
      </c>
      <c r="AL413" s="267">
        <f t="shared" si="172"/>
        <v>0</v>
      </c>
      <c r="AM413" s="267">
        <f t="shared" si="172"/>
        <v>0</v>
      </c>
      <c r="AN413" s="267">
        <f t="shared" si="172"/>
        <v>0</v>
      </c>
      <c r="AO413" s="267">
        <f t="shared" si="172"/>
        <v>0</v>
      </c>
    </row>
    <row r="414" spans="2:43" x14ac:dyDescent="0.3">
      <c r="C414" s="29"/>
      <c r="F414" t="s">
        <v>157</v>
      </c>
      <c r="G414" t="s">
        <v>268</v>
      </c>
      <c r="J414" s="268">
        <f t="shared" si="172"/>
        <v>0</v>
      </c>
      <c r="K414" s="268">
        <f t="shared" si="172"/>
        <v>0</v>
      </c>
      <c r="L414" s="268">
        <f t="shared" si="172"/>
        <v>0</v>
      </c>
      <c r="M414" s="268">
        <f t="shared" si="172"/>
        <v>0</v>
      </c>
      <c r="N414" s="268">
        <f t="shared" si="172"/>
        <v>0</v>
      </c>
      <c r="O414" s="268">
        <f t="shared" si="172"/>
        <v>0</v>
      </c>
      <c r="P414" s="268">
        <f t="shared" si="172"/>
        <v>0</v>
      </c>
      <c r="Q414" s="268">
        <f t="shared" si="172"/>
        <v>0</v>
      </c>
      <c r="R414" s="268">
        <f t="shared" si="172"/>
        <v>0</v>
      </c>
      <c r="S414" s="268">
        <f t="shared" si="172"/>
        <v>0</v>
      </c>
      <c r="T414" s="268">
        <f t="shared" si="172"/>
        <v>0</v>
      </c>
      <c r="U414" s="268">
        <f t="shared" si="172"/>
        <v>0</v>
      </c>
      <c r="V414" s="268">
        <f t="shared" si="172"/>
        <v>0</v>
      </c>
      <c r="W414" s="268">
        <f t="shared" si="172"/>
        <v>0</v>
      </c>
      <c r="X414" s="268">
        <f t="shared" si="172"/>
        <v>0</v>
      </c>
      <c r="Y414" s="268">
        <f t="shared" si="172"/>
        <v>0</v>
      </c>
      <c r="Z414" s="268">
        <f t="shared" si="172"/>
        <v>0</v>
      </c>
      <c r="AA414" s="268">
        <f t="shared" si="172"/>
        <v>0</v>
      </c>
      <c r="AB414" s="268">
        <f t="shared" si="172"/>
        <v>0</v>
      </c>
      <c r="AC414" s="268">
        <f t="shared" si="172"/>
        <v>0</v>
      </c>
      <c r="AD414" s="268">
        <f t="shared" si="172"/>
        <v>0</v>
      </c>
      <c r="AE414" s="268">
        <f t="shared" si="172"/>
        <v>0</v>
      </c>
      <c r="AF414" s="268">
        <f t="shared" si="172"/>
        <v>0</v>
      </c>
      <c r="AG414" s="268">
        <f t="shared" si="172"/>
        <v>0.73245524396402151</v>
      </c>
      <c r="AH414" s="268">
        <f t="shared" si="172"/>
        <v>0</v>
      </c>
      <c r="AI414" s="268">
        <f t="shared" si="172"/>
        <v>0</v>
      </c>
      <c r="AJ414" s="268">
        <f t="shared" si="172"/>
        <v>0</v>
      </c>
      <c r="AK414" s="268">
        <f t="shared" si="172"/>
        <v>0</v>
      </c>
      <c r="AL414" s="268">
        <f t="shared" si="172"/>
        <v>0</v>
      </c>
      <c r="AM414" s="268">
        <f t="shared" si="172"/>
        <v>0</v>
      </c>
      <c r="AN414" s="268">
        <f t="shared" si="172"/>
        <v>0</v>
      </c>
      <c r="AO414" s="268">
        <f t="shared" si="172"/>
        <v>0</v>
      </c>
    </row>
    <row r="415" spans="2:43" x14ac:dyDescent="0.3">
      <c r="C415" s="29"/>
      <c r="F415" t="s">
        <v>158</v>
      </c>
      <c r="G415" t="s">
        <v>269</v>
      </c>
      <c r="J415" s="199">
        <f t="shared" ref="J415:AO415" si="173">J224</f>
        <v>6.4953389750201174</v>
      </c>
      <c r="K415" s="199">
        <f t="shared" si="173"/>
        <v>0</v>
      </c>
      <c r="L415" s="199">
        <f t="shared" si="173"/>
        <v>0</v>
      </c>
      <c r="M415" s="199">
        <f t="shared" si="173"/>
        <v>3.0771130096177806</v>
      </c>
      <c r="N415" s="199">
        <f t="shared" si="173"/>
        <v>15.181347116577008</v>
      </c>
      <c r="O415" s="199">
        <f t="shared" si="173"/>
        <v>37.613161988697961</v>
      </c>
      <c r="P415" s="199">
        <f t="shared" si="173"/>
        <v>117.13337423640333</v>
      </c>
      <c r="Q415" s="199">
        <f t="shared" si="173"/>
        <v>0</v>
      </c>
      <c r="R415" s="199">
        <f t="shared" si="173"/>
        <v>0</v>
      </c>
      <c r="S415" s="199">
        <f t="shared" si="173"/>
        <v>154.0019769488963</v>
      </c>
      <c r="T415" s="199">
        <f t="shared" si="173"/>
        <v>384.01684868090041</v>
      </c>
      <c r="U415" s="199">
        <f t="shared" si="173"/>
        <v>626.35265847008452</v>
      </c>
      <c r="V415" s="199">
        <f t="shared" si="173"/>
        <v>1315.019620489222</v>
      </c>
      <c r="W415" s="199">
        <f t="shared" si="173"/>
        <v>0</v>
      </c>
      <c r="X415" s="199">
        <f t="shared" si="173"/>
        <v>154.00197694889627</v>
      </c>
      <c r="Y415" s="199">
        <f t="shared" si="173"/>
        <v>384.01684868090041</v>
      </c>
      <c r="Z415" s="199">
        <f t="shared" si="173"/>
        <v>626.35265847008429</v>
      </c>
      <c r="AA415" s="199">
        <f t="shared" si="173"/>
        <v>1315.019620489222</v>
      </c>
      <c r="AB415" s="199">
        <f t="shared" si="173"/>
        <v>0</v>
      </c>
      <c r="AC415" s="199">
        <f t="shared" si="173"/>
        <v>982.18383895849809</v>
      </c>
      <c r="AD415" s="199">
        <f t="shared" si="173"/>
        <v>3210.4698922591228</v>
      </c>
      <c r="AE415" s="199">
        <f t="shared" si="173"/>
        <v>6729.9279478751132</v>
      </c>
      <c r="AF415" s="199">
        <f t="shared" si="173"/>
        <v>15694.343415322313</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3">
      <c r="C416" s="29"/>
      <c r="E416" s="28"/>
      <c r="F416" t="s">
        <v>159</v>
      </c>
      <c r="G416" t="s">
        <v>270</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3">
      <c r="C417" s="29"/>
      <c r="F417" t="s">
        <v>160</v>
      </c>
      <c r="G417" t="s">
        <v>270</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3">
      <c r="C418" s="29"/>
      <c r="E418" s="28"/>
      <c r="F418" s="37" t="s">
        <v>161</v>
      </c>
      <c r="G418" s="37" t="s">
        <v>271</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3">
      <c r="C419" s="29"/>
    </row>
    <row r="420" spans="2:43" x14ac:dyDescent="0.3">
      <c r="B420" s="30" t="s">
        <v>230</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3">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3">
      <c r="C422" s="29"/>
      <c r="E422" s="28" t="s">
        <v>1109</v>
      </c>
      <c r="F422" s="28"/>
      <c r="G422" t="s">
        <v>935</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3">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3">
      <c r="C424" s="29"/>
      <c r="E424" s="28" t="s">
        <v>1110</v>
      </c>
      <c r="F424" s="28"/>
      <c r="G424" t="s">
        <v>935</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3">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3">
      <c r="C426" s="29"/>
      <c r="E426" s="28" t="s">
        <v>1111</v>
      </c>
      <c r="F426" s="28"/>
      <c r="G426" t="s">
        <v>911</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3">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3">
      <c r="C428" s="29"/>
      <c r="E428" s="28" t="s">
        <v>1112</v>
      </c>
      <c r="G428" s="6" t="s">
        <v>54</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3">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3">
      <c r="C430" s="29"/>
      <c r="E430" t="s">
        <v>231</v>
      </c>
      <c r="G430" s="6" t="s">
        <v>54</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3">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3">
      <c r="C432" s="29"/>
      <c r="E432" s="28" t="s">
        <v>941</v>
      </c>
      <c r="G432" s="6" t="s">
        <v>54</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3">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3">
      <c r="B434" s="30" t="s">
        <v>105</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336" width="24.5546875" hidden="1" customWidth="1"/>
    <col min="337" max="16384" width="8.5546875" hidden="1"/>
  </cols>
  <sheetData>
    <row r="1" spans="1:43" s="1" customFormat="1" x14ac:dyDescent="0.3">
      <c r="A1" s="1" t="str">
        <f ca="1">MID(CELL("filename",A1),FIND("]",CELL("filename",A1))+1,255)</f>
        <v>Rounding</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H178 &amp; IF(H178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741</v>
      </c>
      <c r="E9"/>
    </row>
    <row r="10" spans="1:43" x14ac:dyDescent="0.3">
      <c r="C10" s="29" t="s">
        <v>742</v>
      </c>
      <c r="E10"/>
    </row>
    <row r="12" spans="1:43" x14ac:dyDescent="0.3">
      <c r="B12" s="30" t="s">
        <v>743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x14ac:dyDescent="0.3">
      <c r="C14" s="29" t="s">
        <v>744</v>
      </c>
    </row>
    <row r="16" spans="1:43" x14ac:dyDescent="0.3">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x14ac:dyDescent="0.3">
      <c r="E18" s="32" t="s">
        <v>745</v>
      </c>
      <c r="F18" s="32"/>
    </row>
    <row r="19" spans="3:43" x14ac:dyDescent="0.3">
      <c r="E19" s="29" t="s">
        <v>746</v>
      </c>
      <c r="F19" s="2"/>
    </row>
    <row r="20" spans="3:43" x14ac:dyDescent="0.3">
      <c r="C20" s="88"/>
      <c r="F20" s="23" t="s">
        <v>155</v>
      </c>
      <c r="G20" s="23" t="s">
        <v>268</v>
      </c>
      <c r="H20" s="270"/>
      <c r="I20" s="258"/>
      <c r="J20" s="270">
        <f>'Revenue matching'!J40</f>
        <v>8.3514870140558912</v>
      </c>
      <c r="K20" s="270">
        <f>'Revenue matching'!K40</f>
        <v>8.3514870140558912</v>
      </c>
      <c r="L20" s="270">
        <f>'Revenue matching'!L40</f>
        <v>9.6316615981711351</v>
      </c>
      <c r="M20" s="270">
        <f>'Revenue matching'!M40</f>
        <v>9.6316615981711351</v>
      </c>
      <c r="N20" s="270">
        <f>'Revenue matching'!N40</f>
        <v>9.6316615981711351</v>
      </c>
      <c r="O20" s="270">
        <f>'Revenue matching'!O40</f>
        <v>9.6316615981711351</v>
      </c>
      <c r="P20" s="270">
        <f>'Revenue matching'!P40</f>
        <v>9.6316615981711351</v>
      </c>
      <c r="Q20" s="270">
        <f>'Revenue matching'!Q40</f>
        <v>9.6316615981711351</v>
      </c>
      <c r="R20" s="270">
        <f>'Revenue matching'!R40</f>
        <v>7.0444036746190282</v>
      </c>
      <c r="S20" s="270">
        <f>'Revenue matching'!S40</f>
        <v>7.0444036746190282</v>
      </c>
      <c r="T20" s="270">
        <f>'Revenue matching'!T40</f>
        <v>7.0444036746190282</v>
      </c>
      <c r="U20" s="270">
        <f>'Revenue matching'!U40</f>
        <v>7.0444036746190282</v>
      </c>
      <c r="V20" s="270">
        <f>'Revenue matching'!V40</f>
        <v>7.0444036746190282</v>
      </c>
      <c r="W20" s="270">
        <f>'Revenue matching'!W40</f>
        <v>5.6834108878816547</v>
      </c>
      <c r="X20" s="270">
        <f>'Revenue matching'!X40</f>
        <v>5.6834108878816547</v>
      </c>
      <c r="Y20" s="270">
        <f>'Revenue matching'!Y40</f>
        <v>5.6834108878816547</v>
      </c>
      <c r="Z20" s="270">
        <f>'Revenue matching'!Z40</f>
        <v>5.6834108878816547</v>
      </c>
      <c r="AA20" s="270">
        <f>'Revenue matching'!AA40</f>
        <v>5.6834108878816547</v>
      </c>
      <c r="AB20" s="270">
        <f>'Revenue matching'!AB40</f>
        <v>3.9131724055976909</v>
      </c>
      <c r="AC20" s="270">
        <f>'Revenue matching'!AC40</f>
        <v>3.9131724055976909</v>
      </c>
      <c r="AD20" s="270">
        <f>'Revenue matching'!AD40</f>
        <v>3.9131724055976909</v>
      </c>
      <c r="AE20" s="270">
        <f>'Revenue matching'!AE40</f>
        <v>3.9131724055976909</v>
      </c>
      <c r="AF20" s="270">
        <f>'Revenue matching'!AF40</f>
        <v>3.9131724055976909</v>
      </c>
      <c r="AG20" s="270">
        <f>'Revenue matching'!AG40</f>
        <v>16.003051911330189</v>
      </c>
      <c r="AH20" s="270">
        <f>'Revenue matching'!AH40</f>
        <v>-6.5192956999219849</v>
      </c>
      <c r="AI20" s="270">
        <f>'Revenue matching'!AI40</f>
        <v>-5.4300819577995343</v>
      </c>
      <c r="AJ20" s="270">
        <f>'Revenue matching'!AJ40</f>
        <v>-6.5192956999219849</v>
      </c>
      <c r="AK20" s="270">
        <f>'Revenue matching'!AK40</f>
        <v>-6.5192956999219849</v>
      </c>
      <c r="AL20" s="270">
        <f>'Revenue matching'!AL40</f>
        <v>-5.4300819577995343</v>
      </c>
      <c r="AM20" s="270">
        <f>'Revenue matching'!AM40</f>
        <v>-5.4300819577995343</v>
      </c>
      <c r="AN20" s="270">
        <f>'Revenue matching'!AN40</f>
        <v>-4.1415516971992012</v>
      </c>
      <c r="AO20" s="270">
        <f>'Revenue matching'!AO40</f>
        <v>-4.1415516971992012</v>
      </c>
      <c r="AP20" s="259"/>
      <c r="AQ20" s="259"/>
    </row>
    <row r="21" spans="3:43" x14ac:dyDescent="0.3">
      <c r="C21" s="88"/>
      <c r="F21" t="s">
        <v>156</v>
      </c>
      <c r="G21" t="s">
        <v>268</v>
      </c>
      <c r="H21" s="271"/>
      <c r="I21" s="259"/>
      <c r="J21" s="271">
        <f>'Revenue matching'!J41</f>
        <v>1.5166758132927634</v>
      </c>
      <c r="K21" s="271">
        <f>'Revenue matching'!K41</f>
        <v>1.5166758132927634</v>
      </c>
      <c r="L21" s="271">
        <f>'Revenue matching'!L41</f>
        <v>1.7491625339512411</v>
      </c>
      <c r="M21" s="271">
        <f>'Revenue matching'!M41</f>
        <v>1.7491625339512411</v>
      </c>
      <c r="N21" s="271">
        <f>'Revenue matching'!N41</f>
        <v>1.7491625339512411</v>
      </c>
      <c r="O21" s="271">
        <f>'Revenue matching'!O41</f>
        <v>1.7491625339512411</v>
      </c>
      <c r="P21" s="271">
        <f>'Revenue matching'!P41</f>
        <v>1.7491625339512411</v>
      </c>
      <c r="Q21" s="271">
        <f>'Revenue matching'!Q41</f>
        <v>1.7491625339512411</v>
      </c>
      <c r="R21" s="271">
        <f>'Revenue matching'!R41</f>
        <v>1.1739839411843249</v>
      </c>
      <c r="S21" s="271">
        <f>'Revenue matching'!S41</f>
        <v>1.1739839411843249</v>
      </c>
      <c r="T21" s="271">
        <f>'Revenue matching'!T41</f>
        <v>1.1739839411843249</v>
      </c>
      <c r="U21" s="271">
        <f>'Revenue matching'!U41</f>
        <v>1.1739839411843249</v>
      </c>
      <c r="V21" s="271">
        <f>'Revenue matching'!V41</f>
        <v>1.1739839411843249</v>
      </c>
      <c r="W21" s="271">
        <f>'Revenue matching'!W41</f>
        <v>0.86039593221703004</v>
      </c>
      <c r="X21" s="271">
        <f>'Revenue matching'!X41</f>
        <v>0.86039593221703004</v>
      </c>
      <c r="Y21" s="271">
        <f>'Revenue matching'!Y41</f>
        <v>0.86039593221703004</v>
      </c>
      <c r="Z21" s="271">
        <f>'Revenue matching'!Z41</f>
        <v>0.86039593221703004</v>
      </c>
      <c r="AA21" s="271">
        <f>'Revenue matching'!AA41</f>
        <v>0.86039593221703004</v>
      </c>
      <c r="AB21" s="271">
        <f>'Revenue matching'!AB41</f>
        <v>0.49314204944907558</v>
      </c>
      <c r="AC21" s="271">
        <f>'Revenue matching'!AC41</f>
        <v>0.49314204944907558</v>
      </c>
      <c r="AD21" s="271">
        <f>'Revenue matching'!AD41</f>
        <v>0.49314204944907558</v>
      </c>
      <c r="AE21" s="271">
        <f>'Revenue matching'!AE41</f>
        <v>0.49314204944907558</v>
      </c>
      <c r="AF21" s="271">
        <f>'Revenue matching'!AF41</f>
        <v>0.49314204944907558</v>
      </c>
      <c r="AG21" s="271">
        <f>'Revenue matching'!AG41</f>
        <v>3.214125871494339</v>
      </c>
      <c r="AH21" s="271">
        <f>'Revenue matching'!AH41</f>
        <v>-1.1839398290548573</v>
      </c>
      <c r="AI21" s="271">
        <f>'Revenue matching'!AI41</f>
        <v>-0.92197810927331569</v>
      </c>
      <c r="AJ21" s="271">
        <f>'Revenue matching'!AJ41</f>
        <v>-1.1839398290548573</v>
      </c>
      <c r="AK21" s="271">
        <f>'Revenue matching'!AK41</f>
        <v>-1.1839398290548573</v>
      </c>
      <c r="AL21" s="271">
        <f>'Revenue matching'!AL41</f>
        <v>-0.92197810927331569</v>
      </c>
      <c r="AM21" s="271">
        <f>'Revenue matching'!AM41</f>
        <v>-0.92197810927331569</v>
      </c>
      <c r="AN21" s="271">
        <f>'Revenue matching'!AN41</f>
        <v>-0.60092414595446808</v>
      </c>
      <c r="AO21" s="271">
        <f>'Revenue matching'!AO41</f>
        <v>-0.60092414595446808</v>
      </c>
      <c r="AP21" s="259"/>
      <c r="AQ21" s="259"/>
    </row>
    <row r="22" spans="3:43" x14ac:dyDescent="0.3">
      <c r="C22" s="88"/>
      <c r="F22" t="s">
        <v>157</v>
      </c>
      <c r="G22" t="s">
        <v>268</v>
      </c>
      <c r="H22" s="271"/>
      <c r="I22" s="259"/>
      <c r="J22" s="271">
        <f>'Revenue matching'!J42</f>
        <v>0.21376900381029099</v>
      </c>
      <c r="K22" s="271">
        <f>'Revenue matching'!K42</f>
        <v>0.21376900381029099</v>
      </c>
      <c r="L22" s="271">
        <f>'Revenue matching'!L42</f>
        <v>0.24653701806798978</v>
      </c>
      <c r="M22" s="271">
        <f>'Revenue matching'!M42</f>
        <v>0.24653701806798978</v>
      </c>
      <c r="N22" s="271">
        <f>'Revenue matching'!N42</f>
        <v>0.24653701806798978</v>
      </c>
      <c r="O22" s="271">
        <f>'Revenue matching'!O42</f>
        <v>0.24653701806798978</v>
      </c>
      <c r="P22" s="271">
        <f>'Revenue matching'!P42</f>
        <v>0.24653701806798978</v>
      </c>
      <c r="Q22" s="271">
        <f>'Revenue matching'!Q42</f>
        <v>0.24653701806798978</v>
      </c>
      <c r="R22" s="271">
        <f>'Revenue matching'!R42</f>
        <v>0.17017696970973151</v>
      </c>
      <c r="S22" s="271">
        <f>'Revenue matching'!S42</f>
        <v>0.17017696970973151</v>
      </c>
      <c r="T22" s="271">
        <f>'Revenue matching'!T42</f>
        <v>0.17017696970973151</v>
      </c>
      <c r="U22" s="271">
        <f>'Revenue matching'!U42</f>
        <v>0.17017696970973151</v>
      </c>
      <c r="V22" s="271">
        <f>'Revenue matching'!V42</f>
        <v>0.17017696970973151</v>
      </c>
      <c r="W22" s="271">
        <f>'Revenue matching'!W42</f>
        <v>0.12894799267730714</v>
      </c>
      <c r="X22" s="271">
        <f>'Revenue matching'!X42</f>
        <v>0.12894799267730714</v>
      </c>
      <c r="Y22" s="271">
        <f>'Revenue matching'!Y42</f>
        <v>0.12894799267730714</v>
      </c>
      <c r="Z22" s="271">
        <f>'Revenue matching'!Z42</f>
        <v>0.12894799267730714</v>
      </c>
      <c r="AA22" s="271">
        <f>'Revenue matching'!AA42</f>
        <v>0.12894799267730714</v>
      </c>
      <c r="AB22" s="271">
        <f>'Revenue matching'!AB42</f>
        <v>7.9231508627719355E-2</v>
      </c>
      <c r="AC22" s="271">
        <f>'Revenue matching'!AC42</f>
        <v>7.9231508627719355E-2</v>
      </c>
      <c r="AD22" s="271">
        <f>'Revenue matching'!AD42</f>
        <v>7.9231508627719355E-2</v>
      </c>
      <c r="AE22" s="271">
        <f>'Revenue matching'!AE42</f>
        <v>7.9231508627719355E-2</v>
      </c>
      <c r="AF22" s="271">
        <f>'Revenue matching'!AF42</f>
        <v>7.9231508627719355E-2</v>
      </c>
      <c r="AG22" s="271">
        <f>'Revenue matching'!AG42</f>
        <v>2.2971353389064215</v>
      </c>
      <c r="AH22" s="271">
        <f>'Revenue matching'!AH42</f>
        <v>-0.16687128232032356</v>
      </c>
      <c r="AI22" s="271">
        <f>'Revenue matching'!AI42</f>
        <v>-0.1328173286336693</v>
      </c>
      <c r="AJ22" s="271">
        <f>'Revenue matching'!AJ42</f>
        <v>-0.16687128232032356</v>
      </c>
      <c r="AK22" s="271">
        <f>'Revenue matching'!AK42</f>
        <v>-0.16687128232032356</v>
      </c>
      <c r="AL22" s="271">
        <f>'Revenue matching'!AL42</f>
        <v>-0.1328173286336693</v>
      </c>
      <c r="AM22" s="271">
        <f>'Revenue matching'!AM42</f>
        <v>-0.1328173286336693</v>
      </c>
      <c r="AN22" s="271">
        <f>'Revenue matching'!AN42</f>
        <v>-9.1458253259940767E-2</v>
      </c>
      <c r="AO22" s="271">
        <f>'Revenue matching'!AO42</f>
        <v>-9.1458253259940767E-2</v>
      </c>
      <c r="AP22" s="259"/>
      <c r="AQ22" s="259"/>
    </row>
    <row r="23" spans="3:43" x14ac:dyDescent="0.3">
      <c r="C23" s="88"/>
      <c r="F23" t="s">
        <v>158</v>
      </c>
      <c r="G23" t="s">
        <v>269</v>
      </c>
      <c r="H23" s="51"/>
      <c r="J23" s="120">
        <f>'Revenue matching'!J43</f>
        <v>4.2948115217685636</v>
      </c>
      <c r="K23" s="120">
        <f>'Revenue matching'!K43</f>
        <v>0</v>
      </c>
      <c r="L23" s="120">
        <f>'Revenue matching'!L43</f>
        <v>4.2948115217685636</v>
      </c>
      <c r="M23" s="120">
        <f>'Revenue matching'!M43</f>
        <v>4.2948115217685636</v>
      </c>
      <c r="N23" s="120">
        <f>'Revenue matching'!N43</f>
        <v>4.2948115217685636</v>
      </c>
      <c r="O23" s="120">
        <f>'Revenue matching'!O43</f>
        <v>4.2948115217685636</v>
      </c>
      <c r="P23" s="120">
        <f>'Revenue matching'!P43</f>
        <v>4.2948115217685636</v>
      </c>
      <c r="Q23" s="120">
        <f>'Revenue matching'!Q43</f>
        <v>0</v>
      </c>
      <c r="R23" s="120">
        <f>'Revenue matching'!R43</f>
        <v>17.49531407933436</v>
      </c>
      <c r="S23" s="120">
        <f>'Revenue matching'!S43</f>
        <v>17.49531407933436</v>
      </c>
      <c r="T23" s="120">
        <f>'Revenue matching'!T43</f>
        <v>17.49531407933436</v>
      </c>
      <c r="U23" s="120">
        <f>'Revenue matching'!U43</f>
        <v>17.49531407933436</v>
      </c>
      <c r="V23" s="120">
        <f>'Revenue matching'!V43</f>
        <v>17.49531407933436</v>
      </c>
      <c r="W23" s="120">
        <f>'Revenue matching'!W43</f>
        <v>56.467738784040058</v>
      </c>
      <c r="X23" s="120">
        <f>'Revenue matching'!X43</f>
        <v>56.467738784040058</v>
      </c>
      <c r="Y23" s="120">
        <f>'Revenue matching'!Y43</f>
        <v>56.467738784040058</v>
      </c>
      <c r="Z23" s="120">
        <f>'Revenue matching'!Z43</f>
        <v>56.467738784040058</v>
      </c>
      <c r="AA23" s="120">
        <f>'Revenue matching'!AA43</f>
        <v>56.467738784040058</v>
      </c>
      <c r="AB23" s="120">
        <f>'Revenue matching'!AB43</f>
        <v>124.16502858254897</v>
      </c>
      <c r="AC23" s="120">
        <f>'Revenue matching'!AC43</f>
        <v>124.16502858254897</v>
      </c>
      <c r="AD23" s="120">
        <f>'Revenue matching'!AD43</f>
        <v>124.16502858254897</v>
      </c>
      <c r="AE23" s="120">
        <f>'Revenue matching'!AE43</f>
        <v>124.16502858254897</v>
      </c>
      <c r="AF23" s="120">
        <f>'Revenue matching'!AF43</f>
        <v>124.16502858254897</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8.3608666107087686</v>
      </c>
      <c r="AO23" s="120">
        <f>'Revenue matching'!AO43</f>
        <v>8.3608666107087686</v>
      </c>
    </row>
    <row r="24" spans="3:43" x14ac:dyDescent="0.3">
      <c r="C24" s="88"/>
      <c r="F24" t="s">
        <v>159</v>
      </c>
      <c r="G24" t="s">
        <v>270</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3.1390766052084453</v>
      </c>
      <c r="S24" s="120">
        <f>'Revenue matching'!S44</f>
        <v>3.1390766052084453</v>
      </c>
      <c r="T24" s="120">
        <f>'Revenue matching'!T44</f>
        <v>3.1390766052084453</v>
      </c>
      <c r="U24" s="120">
        <f>'Revenue matching'!U44</f>
        <v>3.1390766052084453</v>
      </c>
      <c r="V24" s="120">
        <f>'Revenue matching'!V44</f>
        <v>3.1390766052084453</v>
      </c>
      <c r="W24" s="120">
        <f>'Revenue matching'!W44</f>
        <v>3.2135567800468432</v>
      </c>
      <c r="X24" s="120">
        <f>'Revenue matching'!X44</f>
        <v>3.2135567800468432</v>
      </c>
      <c r="Y24" s="120">
        <f>'Revenue matching'!Y44</f>
        <v>3.2135567800468432</v>
      </c>
      <c r="Z24" s="120">
        <f>'Revenue matching'!Z44</f>
        <v>3.2135567800468432</v>
      </c>
      <c r="AA24" s="120">
        <f>'Revenue matching'!AA44</f>
        <v>3.2135567800468432</v>
      </c>
      <c r="AB24" s="120">
        <f>'Revenue matching'!AB44</f>
        <v>3.1526526297383777</v>
      </c>
      <c r="AC24" s="120">
        <f>'Revenue matching'!AC44</f>
        <v>3.1526526297383777</v>
      </c>
      <c r="AD24" s="120">
        <f>'Revenue matching'!AD44</f>
        <v>3.1526526297383777</v>
      </c>
      <c r="AE24" s="120">
        <f>'Revenue matching'!AE44</f>
        <v>3.1526526297383777</v>
      </c>
      <c r="AF24" s="120">
        <f>'Revenue matching'!AF44</f>
        <v>3.1526526297383777</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x14ac:dyDescent="0.3">
      <c r="C25" s="88"/>
      <c r="F25" t="s">
        <v>160</v>
      </c>
      <c r="G25" t="s">
        <v>270</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4.7497751254470124</v>
      </c>
      <c r="S25" s="120">
        <f>'Revenue matching'!S45</f>
        <v>4.7497751254470124</v>
      </c>
      <c r="T25" s="120">
        <f>'Revenue matching'!T45</f>
        <v>4.7497751254470124</v>
      </c>
      <c r="U25" s="120">
        <f>'Revenue matching'!U45</f>
        <v>4.7497751254470124</v>
      </c>
      <c r="V25" s="120">
        <f>'Revenue matching'!V45</f>
        <v>4.7497751254470124</v>
      </c>
      <c r="W25" s="120">
        <f>'Revenue matching'!W45</f>
        <v>5.5065938692732104</v>
      </c>
      <c r="X25" s="120">
        <f>'Revenue matching'!X45</f>
        <v>5.5065938692732104</v>
      </c>
      <c r="Y25" s="120">
        <f>'Revenue matching'!Y45</f>
        <v>5.5065938692732104</v>
      </c>
      <c r="Z25" s="120">
        <f>'Revenue matching'!Z45</f>
        <v>5.5065938692732104</v>
      </c>
      <c r="AA25" s="120">
        <f>'Revenue matching'!AA45</f>
        <v>5.5065938692732104</v>
      </c>
      <c r="AB25" s="120">
        <f>'Revenue matching'!AB45</f>
        <v>5.7359205926323256</v>
      </c>
      <c r="AC25" s="120">
        <f>'Revenue matching'!AC45</f>
        <v>5.7359205926323256</v>
      </c>
      <c r="AD25" s="120">
        <f>'Revenue matching'!AD45</f>
        <v>5.7359205926323256</v>
      </c>
      <c r="AE25" s="120">
        <f>'Revenue matching'!AE45</f>
        <v>5.7359205926323256</v>
      </c>
      <c r="AF25" s="120">
        <f>'Revenue matching'!AF45</f>
        <v>5.7359205926323256</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x14ac:dyDescent="0.3">
      <c r="C26" s="88"/>
      <c r="F26" s="37" t="s">
        <v>161</v>
      </c>
      <c r="G26" s="37" t="s">
        <v>271</v>
      </c>
      <c r="H26" s="275"/>
      <c r="I26" s="261"/>
      <c r="J26" s="275">
        <f>'Revenue matching'!J46</f>
        <v>0</v>
      </c>
      <c r="K26" s="275">
        <f>'Revenue matching'!K46</f>
        <v>0</v>
      </c>
      <c r="L26" s="275">
        <f>'Revenue matching'!L46</f>
        <v>0</v>
      </c>
      <c r="M26" s="275">
        <f>'Revenue matching'!M46</f>
        <v>0</v>
      </c>
      <c r="N26" s="275">
        <f>'Revenue matching'!N46</f>
        <v>0</v>
      </c>
      <c r="O26" s="275">
        <f>'Revenue matching'!O46</f>
        <v>0</v>
      </c>
      <c r="P26" s="275">
        <f>'Revenue matching'!P46</f>
        <v>0</v>
      </c>
      <c r="Q26" s="275">
        <f>'Revenue matching'!Q46</f>
        <v>0</v>
      </c>
      <c r="R26" s="275">
        <f>'Revenue matching'!R46</f>
        <v>0.15183967715066449</v>
      </c>
      <c r="S26" s="275">
        <f>'Revenue matching'!S46</f>
        <v>0.15183967715066449</v>
      </c>
      <c r="T26" s="275">
        <f>'Revenue matching'!T46</f>
        <v>0.15183967715066449</v>
      </c>
      <c r="U26" s="275">
        <f>'Revenue matching'!U46</f>
        <v>0.15183967715066449</v>
      </c>
      <c r="V26" s="275">
        <f>'Revenue matching'!V46</f>
        <v>0.15183967715066449</v>
      </c>
      <c r="W26" s="275">
        <f>'Revenue matching'!W46</f>
        <v>0.11214938018401023</v>
      </c>
      <c r="X26" s="275">
        <f>'Revenue matching'!X46</f>
        <v>0.11214938018401023</v>
      </c>
      <c r="Y26" s="275">
        <f>'Revenue matching'!Y46</f>
        <v>0.11214938018401023</v>
      </c>
      <c r="Z26" s="275">
        <f>'Revenue matching'!Z46</f>
        <v>0.11214938018401023</v>
      </c>
      <c r="AA26" s="275">
        <f>'Revenue matching'!AA46</f>
        <v>0.11214938018401023</v>
      </c>
      <c r="AB26" s="275">
        <f>'Revenue matching'!AB46</f>
        <v>6.9049453472262365E-2</v>
      </c>
      <c r="AC26" s="275">
        <f>'Revenue matching'!AC46</f>
        <v>6.9049453472262365E-2</v>
      </c>
      <c r="AD26" s="275">
        <f>'Revenue matching'!AD46</f>
        <v>6.9049453472262365E-2</v>
      </c>
      <c r="AE26" s="275">
        <f>'Revenue matching'!AE46</f>
        <v>6.9049453472262365E-2</v>
      </c>
      <c r="AF26" s="275">
        <f>'Revenue matching'!AF46</f>
        <v>6.9049453472262365E-2</v>
      </c>
      <c r="AG26" s="275">
        <f>'Revenue matching'!AG46</f>
        <v>0</v>
      </c>
      <c r="AH26" s="275">
        <f>'Revenue matching'!AH46</f>
        <v>0</v>
      </c>
      <c r="AI26" s="275">
        <f>'Revenue matching'!AI46</f>
        <v>0</v>
      </c>
      <c r="AJ26" s="275">
        <f>'Revenue matching'!AJ46</f>
        <v>0.12610930005179521</v>
      </c>
      <c r="AK26" s="275">
        <f>'Revenue matching'!AK46</f>
        <v>0</v>
      </c>
      <c r="AL26" s="275">
        <f>'Revenue matching'!AL46</f>
        <v>0.10643979123499889</v>
      </c>
      <c r="AM26" s="275">
        <f>'Revenue matching'!AM46</f>
        <v>0</v>
      </c>
      <c r="AN26" s="275">
        <f>'Revenue matching'!AN46</f>
        <v>8.016654544178127E-2</v>
      </c>
      <c r="AO26" s="275">
        <f>'Revenue matching'!AO46</f>
        <v>0</v>
      </c>
      <c r="AP26" s="259"/>
      <c r="AQ26" s="259"/>
    </row>
    <row r="27" spans="3:43" x14ac:dyDescent="0.3">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x14ac:dyDescent="0.3">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x14ac:dyDescent="0.3">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3">
      <c r="E30" s="88" t="s">
        <v>1132</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3">
      <c r="E31" s="29" t="s">
        <v>1133</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3">
      <c r="E32" s="88"/>
      <c r="F32" s="23" t="s">
        <v>155</v>
      </c>
      <c r="G32" s="23" t="s">
        <v>268</v>
      </c>
      <c r="H32" s="270"/>
      <c r="I32" s="258"/>
      <c r="J32" s="263">
        <f>'Revenue matching'!J412</f>
        <v>0</v>
      </c>
      <c r="K32" s="263">
        <f>'Revenue matching'!K412</f>
        <v>0</v>
      </c>
      <c r="L32" s="263">
        <f>'Revenue matching'!L412</f>
        <v>0</v>
      </c>
      <c r="M32" s="263">
        <f>'Revenue matching'!M412</f>
        <v>0</v>
      </c>
      <c r="N32" s="263">
        <f>'Revenue matching'!N412</f>
        <v>0</v>
      </c>
      <c r="O32" s="263">
        <f>'Revenue matching'!O412</f>
        <v>0</v>
      </c>
      <c r="P32" s="263">
        <f>'Revenue matching'!P412</f>
        <v>0</v>
      </c>
      <c r="Q32" s="263">
        <f>'Revenue matching'!Q412</f>
        <v>0</v>
      </c>
      <c r="R32" s="263">
        <f>'Revenue matching'!R412</f>
        <v>0</v>
      </c>
      <c r="S32" s="263">
        <f>'Revenue matching'!S412</f>
        <v>0</v>
      </c>
      <c r="T32" s="263">
        <f>'Revenue matching'!T412</f>
        <v>0</v>
      </c>
      <c r="U32" s="263">
        <f>'Revenue matching'!U412</f>
        <v>0</v>
      </c>
      <c r="V32" s="263">
        <f>'Revenue matching'!V412</f>
        <v>0</v>
      </c>
      <c r="W32" s="263">
        <f>'Revenue matching'!W412</f>
        <v>0</v>
      </c>
      <c r="X32" s="263">
        <f>'Revenue matching'!X412</f>
        <v>0</v>
      </c>
      <c r="Y32" s="263">
        <f>'Revenue matching'!Y412</f>
        <v>0</v>
      </c>
      <c r="Z32" s="263">
        <f>'Revenue matching'!Z412</f>
        <v>0</v>
      </c>
      <c r="AA32" s="263">
        <f>'Revenue matching'!AA412</f>
        <v>0</v>
      </c>
      <c r="AB32" s="263">
        <f>'Revenue matching'!AB412</f>
        <v>0</v>
      </c>
      <c r="AC32" s="263">
        <f>'Revenue matching'!AC412</f>
        <v>0</v>
      </c>
      <c r="AD32" s="263">
        <f>'Revenue matching'!AD412</f>
        <v>0</v>
      </c>
      <c r="AE32" s="263">
        <f>'Revenue matching'!AE412</f>
        <v>0</v>
      </c>
      <c r="AF32" s="263">
        <f>'Revenue matching'!AF412</f>
        <v>0</v>
      </c>
      <c r="AG32" s="263">
        <f>'Revenue matching'!AG412</f>
        <v>0.73245524396402151</v>
      </c>
      <c r="AH32" s="263">
        <f>'Revenue matching'!AH412</f>
        <v>0</v>
      </c>
      <c r="AI32" s="263">
        <f>'Revenue matching'!AI412</f>
        <v>0</v>
      </c>
      <c r="AJ32" s="263">
        <f>'Revenue matching'!AJ412</f>
        <v>0</v>
      </c>
      <c r="AK32" s="263">
        <f>'Revenue matching'!AK412</f>
        <v>0</v>
      </c>
      <c r="AL32" s="263">
        <f>'Revenue matching'!AL412</f>
        <v>0</v>
      </c>
      <c r="AM32" s="263">
        <f>'Revenue matching'!AM412</f>
        <v>0</v>
      </c>
      <c r="AN32" s="263">
        <f>'Revenue matching'!AN412</f>
        <v>0</v>
      </c>
      <c r="AO32" s="263">
        <f>'Revenue matching'!AO412</f>
        <v>0</v>
      </c>
      <c r="AP32" s="259"/>
      <c r="AQ32" s="259"/>
    </row>
    <row r="33" spans="3:43" x14ac:dyDescent="0.3">
      <c r="E33" s="88"/>
      <c r="F33" t="s">
        <v>156</v>
      </c>
      <c r="G33" t="s">
        <v>268</v>
      </c>
      <c r="H33" s="271"/>
      <c r="I33" s="259"/>
      <c r="J33" s="264">
        <f>'Revenue matching'!J413</f>
        <v>0</v>
      </c>
      <c r="K33" s="264">
        <f>'Revenue matching'!K413</f>
        <v>0</v>
      </c>
      <c r="L33" s="264">
        <f>'Revenue matching'!L413</f>
        <v>0</v>
      </c>
      <c r="M33" s="264">
        <f>'Revenue matching'!M413</f>
        <v>0</v>
      </c>
      <c r="N33" s="264">
        <f>'Revenue matching'!N413</f>
        <v>0</v>
      </c>
      <c r="O33" s="264">
        <f>'Revenue matching'!O413</f>
        <v>0</v>
      </c>
      <c r="P33" s="264">
        <f>'Revenue matching'!P413</f>
        <v>0</v>
      </c>
      <c r="Q33" s="264">
        <f>'Revenue matching'!Q413</f>
        <v>0</v>
      </c>
      <c r="R33" s="264">
        <f>'Revenue matching'!R413</f>
        <v>0</v>
      </c>
      <c r="S33" s="264">
        <f>'Revenue matching'!S413</f>
        <v>0</v>
      </c>
      <c r="T33" s="264">
        <f>'Revenue matching'!T413</f>
        <v>0</v>
      </c>
      <c r="U33" s="264">
        <f>'Revenue matching'!U413</f>
        <v>0</v>
      </c>
      <c r="V33" s="264">
        <f>'Revenue matching'!V413</f>
        <v>0</v>
      </c>
      <c r="W33" s="264">
        <f>'Revenue matching'!W413</f>
        <v>0</v>
      </c>
      <c r="X33" s="264">
        <f>'Revenue matching'!X413</f>
        <v>0</v>
      </c>
      <c r="Y33" s="264">
        <f>'Revenue matching'!Y413</f>
        <v>0</v>
      </c>
      <c r="Z33" s="264">
        <f>'Revenue matching'!Z413</f>
        <v>0</v>
      </c>
      <c r="AA33" s="264">
        <f>'Revenue matching'!AA413</f>
        <v>0</v>
      </c>
      <c r="AB33" s="264">
        <f>'Revenue matching'!AB413</f>
        <v>0</v>
      </c>
      <c r="AC33" s="264">
        <f>'Revenue matching'!AC413</f>
        <v>0</v>
      </c>
      <c r="AD33" s="264">
        <f>'Revenue matching'!AD413</f>
        <v>0</v>
      </c>
      <c r="AE33" s="264">
        <f>'Revenue matching'!AE413</f>
        <v>0</v>
      </c>
      <c r="AF33" s="264">
        <f>'Revenue matching'!AF413</f>
        <v>0</v>
      </c>
      <c r="AG33" s="264">
        <f>'Revenue matching'!AG413</f>
        <v>0.73245524396402151</v>
      </c>
      <c r="AH33" s="264">
        <f>'Revenue matching'!AH413</f>
        <v>0</v>
      </c>
      <c r="AI33" s="264">
        <f>'Revenue matching'!AI413</f>
        <v>0</v>
      </c>
      <c r="AJ33" s="264">
        <f>'Revenue matching'!AJ413</f>
        <v>0</v>
      </c>
      <c r="AK33" s="264">
        <f>'Revenue matching'!AK413</f>
        <v>0</v>
      </c>
      <c r="AL33" s="264">
        <f>'Revenue matching'!AL413</f>
        <v>0</v>
      </c>
      <c r="AM33" s="264">
        <f>'Revenue matching'!AM413</f>
        <v>0</v>
      </c>
      <c r="AN33" s="264">
        <f>'Revenue matching'!AN413</f>
        <v>0</v>
      </c>
      <c r="AO33" s="264">
        <f>'Revenue matching'!AO413</f>
        <v>0</v>
      </c>
      <c r="AP33" s="259"/>
      <c r="AQ33" s="259"/>
    </row>
    <row r="34" spans="3:43" x14ac:dyDescent="0.3">
      <c r="E34" s="88"/>
      <c r="F34" t="s">
        <v>157</v>
      </c>
      <c r="G34" t="s">
        <v>268</v>
      </c>
      <c r="H34" s="271"/>
      <c r="I34" s="259"/>
      <c r="J34" s="264">
        <f>'Revenue matching'!J414</f>
        <v>0</v>
      </c>
      <c r="K34" s="264">
        <f>'Revenue matching'!K414</f>
        <v>0</v>
      </c>
      <c r="L34" s="264">
        <f>'Revenue matching'!L414</f>
        <v>0</v>
      </c>
      <c r="M34" s="264">
        <f>'Revenue matching'!M414</f>
        <v>0</v>
      </c>
      <c r="N34" s="264">
        <f>'Revenue matching'!N414</f>
        <v>0</v>
      </c>
      <c r="O34" s="264">
        <f>'Revenue matching'!O414</f>
        <v>0</v>
      </c>
      <c r="P34" s="264">
        <f>'Revenue matching'!P414</f>
        <v>0</v>
      </c>
      <c r="Q34" s="264">
        <f>'Revenue matching'!Q414</f>
        <v>0</v>
      </c>
      <c r="R34" s="264">
        <f>'Revenue matching'!R414</f>
        <v>0</v>
      </c>
      <c r="S34" s="264">
        <f>'Revenue matching'!S414</f>
        <v>0</v>
      </c>
      <c r="T34" s="264">
        <f>'Revenue matching'!T414</f>
        <v>0</v>
      </c>
      <c r="U34" s="264">
        <f>'Revenue matching'!U414</f>
        <v>0</v>
      </c>
      <c r="V34" s="264">
        <f>'Revenue matching'!V414</f>
        <v>0</v>
      </c>
      <c r="W34" s="264">
        <f>'Revenue matching'!W414</f>
        <v>0</v>
      </c>
      <c r="X34" s="264">
        <f>'Revenue matching'!X414</f>
        <v>0</v>
      </c>
      <c r="Y34" s="264">
        <f>'Revenue matching'!Y414</f>
        <v>0</v>
      </c>
      <c r="Z34" s="264">
        <f>'Revenue matching'!Z414</f>
        <v>0</v>
      </c>
      <c r="AA34" s="264">
        <f>'Revenue matching'!AA414</f>
        <v>0</v>
      </c>
      <c r="AB34" s="264">
        <f>'Revenue matching'!AB414</f>
        <v>0</v>
      </c>
      <c r="AC34" s="264">
        <f>'Revenue matching'!AC414</f>
        <v>0</v>
      </c>
      <c r="AD34" s="264">
        <f>'Revenue matching'!AD414</f>
        <v>0</v>
      </c>
      <c r="AE34" s="264">
        <f>'Revenue matching'!AE414</f>
        <v>0</v>
      </c>
      <c r="AF34" s="264">
        <f>'Revenue matching'!AF414</f>
        <v>0</v>
      </c>
      <c r="AG34" s="264">
        <f>'Revenue matching'!AG414</f>
        <v>0.73245524396402151</v>
      </c>
      <c r="AH34" s="264">
        <f>'Revenue matching'!AH414</f>
        <v>0</v>
      </c>
      <c r="AI34" s="264">
        <f>'Revenue matching'!AI414</f>
        <v>0</v>
      </c>
      <c r="AJ34" s="264">
        <f>'Revenue matching'!AJ414</f>
        <v>0</v>
      </c>
      <c r="AK34" s="264">
        <f>'Revenue matching'!AK414</f>
        <v>0</v>
      </c>
      <c r="AL34" s="264">
        <f>'Revenue matching'!AL414</f>
        <v>0</v>
      </c>
      <c r="AM34" s="264">
        <f>'Revenue matching'!AM414</f>
        <v>0</v>
      </c>
      <c r="AN34" s="264">
        <f>'Revenue matching'!AN414</f>
        <v>0</v>
      </c>
      <c r="AO34" s="264">
        <f>'Revenue matching'!AO414</f>
        <v>0</v>
      </c>
      <c r="AP34" s="259"/>
      <c r="AQ34" s="259"/>
    </row>
    <row r="35" spans="3:43" x14ac:dyDescent="0.3">
      <c r="E35" s="88"/>
      <c r="F35" t="s">
        <v>158</v>
      </c>
      <c r="G35" t="s">
        <v>269</v>
      </c>
      <c r="H35" s="51"/>
      <c r="J35" s="264">
        <f>'Revenue matching'!J415</f>
        <v>6.4953389750201174</v>
      </c>
      <c r="K35" s="264">
        <f>'Revenue matching'!K415</f>
        <v>0</v>
      </c>
      <c r="L35" s="264">
        <f>'Revenue matching'!L415</f>
        <v>0</v>
      </c>
      <c r="M35" s="264">
        <f>'Revenue matching'!M415</f>
        <v>3.0771130096177806</v>
      </c>
      <c r="N35" s="264">
        <f>'Revenue matching'!N415</f>
        <v>15.181347116577008</v>
      </c>
      <c r="O35" s="264">
        <f>'Revenue matching'!O415</f>
        <v>37.613161988697961</v>
      </c>
      <c r="P35" s="264">
        <f>'Revenue matching'!P415</f>
        <v>117.13337423640333</v>
      </c>
      <c r="Q35" s="264">
        <f>'Revenue matching'!Q415</f>
        <v>0</v>
      </c>
      <c r="R35" s="264">
        <f>'Revenue matching'!R415</f>
        <v>0</v>
      </c>
      <c r="S35" s="264">
        <f>'Revenue matching'!S415</f>
        <v>154.0019769488963</v>
      </c>
      <c r="T35" s="264">
        <f>'Revenue matching'!T415</f>
        <v>384.01684868090041</v>
      </c>
      <c r="U35" s="264">
        <f>'Revenue matching'!U415</f>
        <v>626.35265847008452</v>
      </c>
      <c r="V35" s="264">
        <f>'Revenue matching'!V415</f>
        <v>1315.019620489222</v>
      </c>
      <c r="W35" s="264">
        <f>'Revenue matching'!W415</f>
        <v>0</v>
      </c>
      <c r="X35" s="264">
        <f>'Revenue matching'!X415</f>
        <v>154.00197694889627</v>
      </c>
      <c r="Y35" s="264">
        <f>'Revenue matching'!Y415</f>
        <v>384.01684868090041</v>
      </c>
      <c r="Z35" s="264">
        <f>'Revenue matching'!Z415</f>
        <v>626.35265847008429</v>
      </c>
      <c r="AA35" s="264">
        <f>'Revenue matching'!AA415</f>
        <v>1315.019620489222</v>
      </c>
      <c r="AB35" s="264">
        <f>'Revenue matching'!AB415</f>
        <v>0</v>
      </c>
      <c r="AC35" s="264">
        <f>'Revenue matching'!AC415</f>
        <v>982.18383895849809</v>
      </c>
      <c r="AD35" s="264">
        <f>'Revenue matching'!AD415</f>
        <v>3210.4698922591228</v>
      </c>
      <c r="AE35" s="264">
        <f>'Revenue matching'!AE415</f>
        <v>6729.9279478751132</v>
      </c>
      <c r="AF35" s="264">
        <f>'Revenue matching'!AF415</f>
        <v>15694.343415322313</v>
      </c>
      <c r="AG35" s="264">
        <f>'Revenue matching'!AG415</f>
        <v>0</v>
      </c>
      <c r="AH35" s="264">
        <f>'Revenue matching'!AH415</f>
        <v>0</v>
      </c>
      <c r="AI35" s="264">
        <f>'Revenue matching'!AI415</f>
        <v>0</v>
      </c>
      <c r="AJ35" s="264">
        <f>'Revenue matching'!AJ415</f>
        <v>0</v>
      </c>
      <c r="AK35" s="264">
        <f>'Revenue matching'!AK415</f>
        <v>0</v>
      </c>
      <c r="AL35" s="264">
        <f>'Revenue matching'!AL415</f>
        <v>0</v>
      </c>
      <c r="AM35" s="264">
        <f>'Revenue matching'!AM415</f>
        <v>0</v>
      </c>
      <c r="AN35" s="264">
        <f>'Revenue matching'!AN415</f>
        <v>0</v>
      </c>
      <c r="AO35" s="264">
        <f>'Revenue matching'!AO415</f>
        <v>0</v>
      </c>
    </row>
    <row r="36" spans="3:43" x14ac:dyDescent="0.3">
      <c r="E36" s="88"/>
      <c r="F36" t="s">
        <v>159</v>
      </c>
      <c r="G36" t="s">
        <v>270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3">
      <c r="E37" s="88"/>
      <c r="F37" t="s">
        <v>160</v>
      </c>
      <c r="G37" t="s">
        <v>270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3">
      <c r="E38" s="88"/>
      <c r="F38" s="37" t="s">
        <v>161</v>
      </c>
      <c r="G38" s="37" t="s">
        <v>271</v>
      </c>
      <c r="H38" s="275"/>
      <c r="I38" s="261"/>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59"/>
      <c r="AQ38" s="259"/>
    </row>
    <row r="39" spans="3:43" x14ac:dyDescent="0.3">
      <c r="D39" s="88"/>
      <c r="E39"/>
    </row>
    <row r="40" spans="3:43" x14ac:dyDescent="0.3">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3">
      <c r="E42" s="88" t="s">
        <v>876</v>
      </c>
    </row>
    <row r="43" spans="3:43" x14ac:dyDescent="0.3">
      <c r="E43" s="29" t="s">
        <v>888</v>
      </c>
    </row>
    <row r="44" spans="3:43" x14ac:dyDescent="0.3">
      <c r="E44" s="88"/>
      <c r="F44" s="23" t="s">
        <v>155</v>
      </c>
      <c r="G44" s="23" t="s">
        <v>268</v>
      </c>
      <c r="H44" s="270"/>
      <c r="I44" s="258"/>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3">
      <c r="E45" s="88"/>
      <c r="F45" t="s">
        <v>156</v>
      </c>
      <c r="G45" t="s">
        <v>268</v>
      </c>
      <c r="H45" s="271"/>
      <c r="I45" s="25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3">
      <c r="E46" s="88"/>
      <c r="F46" t="s">
        <v>157</v>
      </c>
      <c r="G46" t="s">
        <v>268</v>
      </c>
      <c r="H46" s="271"/>
      <c r="I46" s="25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3">
      <c r="E47" s="88"/>
      <c r="F47" t="s">
        <v>158</v>
      </c>
      <c r="G47" t="s">
        <v>269</v>
      </c>
      <c r="H47" s="51"/>
      <c r="J47" s="121">
        <f>'Revenue matching'!J48</f>
        <v>9.4643746985088963</v>
      </c>
      <c r="K47" s="121">
        <f>'Revenue matching'!K48</f>
        <v>0</v>
      </c>
      <c r="L47" s="121">
        <f>'Revenue matching'!L48</f>
        <v>3.8879927832875319E-2</v>
      </c>
      <c r="M47" s="121">
        <f>'Revenue matching'!M48</f>
        <v>3.8879927832875319E-2</v>
      </c>
      <c r="N47" s="121">
        <f>'Revenue matching'!N48</f>
        <v>3.8879927832875319E-2</v>
      </c>
      <c r="O47" s="121">
        <f>'Revenue matching'!O48</f>
        <v>3.8879927832875319E-2</v>
      </c>
      <c r="P47" s="121">
        <f>'Revenue matching'!P48</f>
        <v>3.8879927832875319E-2</v>
      </c>
      <c r="Q47" s="121">
        <f>'Revenue matching'!Q48</f>
        <v>0</v>
      </c>
      <c r="R47" s="121">
        <f>'Revenue matching'!R48</f>
        <v>3.8879927832875319E-2</v>
      </c>
      <c r="S47" s="121">
        <f>'Revenue matching'!S48</f>
        <v>3.8879927832875319E-2</v>
      </c>
      <c r="T47" s="121">
        <f>'Revenue matching'!T48</f>
        <v>3.8879927832875319E-2</v>
      </c>
      <c r="U47" s="121">
        <f>'Revenue matching'!U48</f>
        <v>3.8879927832875319E-2</v>
      </c>
      <c r="V47" s="121">
        <f>'Revenue matching'!V48</f>
        <v>3.8879927832875319E-2</v>
      </c>
      <c r="W47" s="121">
        <f>'Revenue matching'!W48</f>
        <v>3.8879927832875319E-2</v>
      </c>
      <c r="X47" s="121">
        <f>'Revenue matching'!X48</f>
        <v>3.8879927832875319E-2</v>
      </c>
      <c r="Y47" s="121">
        <f>'Revenue matching'!Y48</f>
        <v>3.8879927832875319E-2</v>
      </c>
      <c r="Z47" s="121">
        <f>'Revenue matching'!Z48</f>
        <v>3.8879927832875319E-2</v>
      </c>
      <c r="AA47" s="121">
        <f>'Revenue matching'!AA48</f>
        <v>3.8879927832875319E-2</v>
      </c>
      <c r="AB47" s="121">
        <f>'Revenue matching'!AB48</f>
        <v>3.8879927832875319E-2</v>
      </c>
      <c r="AC47" s="121">
        <f>'Revenue matching'!AC48</f>
        <v>3.8879927832875319E-2</v>
      </c>
      <c r="AD47" s="121">
        <f>'Revenue matching'!AD48</f>
        <v>3.8879927832875319E-2</v>
      </c>
      <c r="AE47" s="121">
        <f>'Revenue matching'!AE48</f>
        <v>3.8879927832875319E-2</v>
      </c>
      <c r="AF47" s="121">
        <f>'Revenue matching'!AF48</f>
        <v>3.8879927832875319E-2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3">
      <c r="E48" s="88"/>
      <c r="F48" t="s">
        <v>159</v>
      </c>
      <c r="G48" t="s">
        <v>270</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3">
      <c r="E49" s="88"/>
      <c r="F49" t="s">
        <v>160</v>
      </c>
      <c r="G49" t="s">
        <v>270</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3">
      <c r="E50" s="88"/>
      <c r="F50" s="37" t="s">
        <v>161</v>
      </c>
      <c r="G50" s="37" t="s">
        <v>271</v>
      </c>
      <c r="H50" s="275"/>
      <c r="I50" s="261"/>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row>
    <row r="51" spans="3:43" x14ac:dyDescent="0.3">
      <c r="D51" s="88"/>
      <c r="E51"/>
    </row>
    <row r="52" spans="3:43" x14ac:dyDescent="0.3">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3">
      <c r="E54" s="51"/>
      <c r="F54" s="367" t="s">
        <v>1009</v>
      </c>
      <c r="G54" s="367" t="s">
        <v>148</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43.2" x14ac:dyDescent="0.3">
      <c r="E56" s="88" t="s">
        <v>747</v>
      </c>
      <c r="I56" t="s">
        <v>153</v>
      </c>
      <c r="J56" s="236" t="s">
        <v>828</v>
      </c>
      <c r="K56" s="236" t="s">
        <v>830</v>
      </c>
      <c r="L56" s="236" t="s">
        <v>829</v>
      </c>
      <c r="M56" s="236" t="s">
        <v>831</v>
      </c>
      <c r="N56" s="236" t="s">
        <v>837</v>
      </c>
      <c r="O56" s="236" t="s">
        <v>838</v>
      </c>
      <c r="P56" s="236" t="s">
        <v>839</v>
      </c>
      <c r="Q56" s="236" t="s">
        <v>840</v>
      </c>
      <c r="R56" s="236" t="s">
        <v>832</v>
      </c>
      <c r="S56" s="236" t="s">
        <v>833</v>
      </c>
      <c r="T56" s="236" t="s">
        <v>834</v>
      </c>
      <c r="U56" s="236" t="s">
        <v>843</v>
      </c>
      <c r="V56" s="236" t="s">
        <v>835</v>
      </c>
      <c r="W56" s="236" t="s">
        <v>842</v>
      </c>
      <c r="X56" s="236" t="s">
        <v>836</v>
      </c>
      <c r="Y56" s="236" t="s">
        <v>841</v>
      </c>
    </row>
    <row r="57" spans="3:43" x14ac:dyDescent="0.3">
      <c r="E57" s="88"/>
      <c r="F57" s="23" t="s">
        <v>155</v>
      </c>
      <c r="G57" s="23" t="s">
        <v>166</v>
      </c>
      <c r="H57" s="174"/>
      <c r="I57" s="23"/>
      <c r="J57" s="333">
        <f>'Volume adjustments'!J315</f>
        <v>0.34865983505227499</v>
      </c>
      <c r="K57" s="333">
        <f>'Volume adjustments'!K315</f>
        <v>0.34865983505227499</v>
      </c>
      <c r="L57" s="333">
        <f>'Volume adjustments'!L315</f>
        <v>0.34865983505227499</v>
      </c>
      <c r="M57" s="333">
        <f>'Volume adjustments'!M315</f>
        <v>0.34865983505227499</v>
      </c>
      <c r="N57" s="333">
        <f>'Volume adjustments'!N315</f>
        <v>0.34865983505227499</v>
      </c>
      <c r="O57" s="333">
        <f>'Volume adjustments'!O315</f>
        <v>0</v>
      </c>
      <c r="P57" s="333">
        <f>'Volume adjustments'!P315</f>
        <v>0</v>
      </c>
      <c r="Q57" s="333">
        <f>'Volume adjustments'!Q315</f>
        <v>0.34865983505227499</v>
      </c>
      <c r="R57" s="333">
        <f>'Volume adjustments'!R315</f>
        <v>0</v>
      </c>
      <c r="S57" s="333">
        <f>'Volume adjustments'!S315</f>
        <v>0</v>
      </c>
      <c r="T57" s="333">
        <f>'Volume adjustments'!T315</f>
        <v>0</v>
      </c>
      <c r="U57" s="333">
        <f>'Volume adjustments'!U315</f>
        <v>0</v>
      </c>
      <c r="V57" s="333">
        <f>'Volume adjustments'!V315</f>
        <v>0</v>
      </c>
      <c r="W57" s="333">
        <f>'Volume adjustments'!W315</f>
        <v>0</v>
      </c>
      <c r="X57" s="333">
        <f>'Volume adjustments'!X315</f>
        <v>0</v>
      </c>
      <c r="Y57" s="333">
        <f>'Volume adjustments'!Y315</f>
        <v>0</v>
      </c>
    </row>
    <row r="58" spans="3:43" x14ac:dyDescent="0.3">
      <c r="E58" s="88"/>
      <c r="F58" t="s">
        <v>156</v>
      </c>
      <c r="G58" t="s">
        <v>166</v>
      </c>
      <c r="H58" s="51"/>
      <c r="J58" s="334">
        <f>'Volume adjustments'!J316</f>
        <v>0.34865983505227499</v>
      </c>
      <c r="K58" s="334">
        <f>'Volume adjustments'!K316</f>
        <v>0.34865983505227499</v>
      </c>
      <c r="L58" s="334">
        <f>'Volume adjustments'!L316</f>
        <v>0.34865983505227499</v>
      </c>
      <c r="M58" s="334">
        <f>'Volume adjustments'!M316</f>
        <v>0.34865983505227499</v>
      </c>
      <c r="N58" s="334">
        <f>'Volume adjustments'!N316</f>
        <v>0.34865983505227499</v>
      </c>
      <c r="O58" s="334">
        <f>'Volume adjustments'!O316</f>
        <v>0</v>
      </c>
      <c r="P58" s="334">
        <f>'Volume adjustments'!P316</f>
        <v>0</v>
      </c>
      <c r="Q58" s="334">
        <f>'Volume adjustments'!Q316</f>
        <v>0.34865983505227499</v>
      </c>
      <c r="R58" s="334">
        <f>'Volume adjustments'!R316</f>
        <v>0</v>
      </c>
      <c r="S58" s="334">
        <f>'Volume adjustments'!S316</f>
        <v>0</v>
      </c>
      <c r="T58" s="334">
        <f>'Volume adjustments'!T316</f>
        <v>0</v>
      </c>
      <c r="U58" s="334">
        <f>'Volume adjustments'!U316</f>
        <v>0</v>
      </c>
      <c r="V58" s="334">
        <f>'Volume adjustments'!V316</f>
        <v>0</v>
      </c>
      <c r="W58" s="334">
        <f>'Volume adjustments'!W316</f>
        <v>0</v>
      </c>
      <c r="X58" s="334">
        <f>'Volume adjustments'!X316</f>
        <v>0</v>
      </c>
      <c r="Y58" s="334">
        <f>'Volume adjustments'!Y316</f>
        <v>0</v>
      </c>
    </row>
    <row r="59" spans="3:43" x14ac:dyDescent="0.3">
      <c r="E59" s="88"/>
      <c r="F59" t="s">
        <v>157</v>
      </c>
      <c r="G59" t="s">
        <v>166</v>
      </c>
      <c r="H59" s="51"/>
      <c r="J59" s="334">
        <f>'Volume adjustments'!J317</f>
        <v>0.34865983505227499</v>
      </c>
      <c r="K59" s="334">
        <f>'Volume adjustments'!K317</f>
        <v>0.34865983505227499</v>
      </c>
      <c r="L59" s="334">
        <f>'Volume adjustments'!L317</f>
        <v>0.34865983505227499</v>
      </c>
      <c r="M59" s="334">
        <f>'Volume adjustments'!M317</f>
        <v>0.34865983505227499</v>
      </c>
      <c r="N59" s="334">
        <f>'Volume adjustments'!N317</f>
        <v>0.34865983505227499</v>
      </c>
      <c r="O59" s="334">
        <f>'Volume adjustments'!O317</f>
        <v>0</v>
      </c>
      <c r="P59" s="334">
        <f>'Volume adjustments'!P317</f>
        <v>0</v>
      </c>
      <c r="Q59" s="334">
        <f>'Volume adjustments'!Q317</f>
        <v>0.34865983505227499</v>
      </c>
      <c r="R59" s="334">
        <f>'Volume adjustments'!R317</f>
        <v>0</v>
      </c>
      <c r="S59" s="334">
        <f>'Volume adjustments'!S317</f>
        <v>0</v>
      </c>
      <c r="T59" s="334">
        <f>'Volume adjustments'!T317</f>
        <v>0</v>
      </c>
      <c r="U59" s="334">
        <f>'Volume adjustments'!U317</f>
        <v>0</v>
      </c>
      <c r="V59" s="334">
        <f>'Volume adjustments'!V317</f>
        <v>0</v>
      </c>
      <c r="W59" s="334">
        <f>'Volume adjustments'!W317</f>
        <v>0</v>
      </c>
      <c r="X59" s="334">
        <f>'Volume adjustments'!X317</f>
        <v>0</v>
      </c>
      <c r="Y59" s="334">
        <f>'Volume adjustments'!Y317</f>
        <v>0</v>
      </c>
    </row>
    <row r="60" spans="3:43" x14ac:dyDescent="0.3">
      <c r="E60" s="88"/>
      <c r="F60" t="s">
        <v>158</v>
      </c>
      <c r="G60" t="s">
        <v>166</v>
      </c>
      <c r="H60" s="51"/>
      <c r="J60" s="334">
        <f>'Volume adjustments'!J318</f>
        <v>0.34865983505227499</v>
      </c>
      <c r="K60" s="334">
        <f>'Volume adjustments'!K318</f>
        <v>0.34865983505227499</v>
      </c>
      <c r="L60" s="334">
        <f>'Volume adjustments'!L318</f>
        <v>0.34865983505227499</v>
      </c>
      <c r="M60" s="334">
        <f>'Volume adjustments'!M318</f>
        <v>0.34865983505227499</v>
      </c>
      <c r="N60" s="334">
        <f>'Volume adjustments'!N318</f>
        <v>0.34865983505227499</v>
      </c>
      <c r="O60" s="334">
        <f>'Volume adjustments'!O318</f>
        <v>0</v>
      </c>
      <c r="P60" s="334">
        <f>'Volume adjustments'!P318</f>
        <v>0</v>
      </c>
      <c r="Q60" s="334">
        <f>'Volume adjustments'!Q318</f>
        <v>0.34865983505227499</v>
      </c>
      <c r="R60" s="334">
        <f>'Volume adjustments'!R318</f>
        <v>1</v>
      </c>
      <c r="S60" s="334">
        <f>'Volume adjustments'!S318</f>
        <v>1</v>
      </c>
      <c r="T60" s="334">
        <f>'Volume adjustments'!T318</f>
        <v>1</v>
      </c>
      <c r="U60" s="334">
        <f>'Volume adjustments'!U318</f>
        <v>1</v>
      </c>
      <c r="V60" s="334">
        <f>'Volume adjustments'!V318</f>
        <v>1</v>
      </c>
      <c r="W60" s="334">
        <f>'Volume adjustments'!W318</f>
        <v>1</v>
      </c>
      <c r="X60" s="334">
        <f>'Volume adjustments'!X318</f>
        <v>1</v>
      </c>
      <c r="Y60" s="334">
        <f>'Volume adjustments'!Y318</f>
        <v>1</v>
      </c>
    </row>
    <row r="61" spans="3:43" x14ac:dyDescent="0.3">
      <c r="E61" s="88"/>
      <c r="F61" t="s">
        <v>159</v>
      </c>
      <c r="G61" t="s">
        <v>166</v>
      </c>
      <c r="H61" s="51"/>
      <c r="J61" s="334">
        <f>'Volume adjustments'!J319</f>
        <v>0.34865983505227499</v>
      </c>
      <c r="K61" s="334">
        <f>'Volume adjustments'!K319</f>
        <v>0.34865983505227499</v>
      </c>
      <c r="L61" s="334">
        <f>'Volume adjustments'!L319</f>
        <v>0.34865983505227499</v>
      </c>
      <c r="M61" s="334">
        <f>'Volume adjustments'!M319</f>
        <v>0.34865983505227499</v>
      </c>
      <c r="N61" s="334">
        <f>'Volume adjustments'!N319</f>
        <v>0.34865983505227499</v>
      </c>
      <c r="O61" s="334">
        <f>'Volume adjustments'!O319</f>
        <v>0</v>
      </c>
      <c r="P61" s="334">
        <f>'Volume adjustments'!P319</f>
        <v>0</v>
      </c>
      <c r="Q61" s="334">
        <f>'Volume adjustments'!Q319</f>
        <v>0.34865983505227499</v>
      </c>
      <c r="R61" s="334">
        <f>'Volume adjustments'!R319</f>
        <v>0</v>
      </c>
      <c r="S61" s="334">
        <f>'Volume adjustments'!S319</f>
        <v>0</v>
      </c>
      <c r="T61" s="334">
        <f>'Volume adjustments'!T319</f>
        <v>0</v>
      </c>
      <c r="U61" s="334">
        <f>'Volume adjustments'!U319</f>
        <v>0</v>
      </c>
      <c r="V61" s="334">
        <f>'Volume adjustments'!V319</f>
        <v>0</v>
      </c>
      <c r="W61" s="334">
        <f>'Volume adjustments'!W319</f>
        <v>0</v>
      </c>
      <c r="X61" s="334">
        <f>'Volume adjustments'!X319</f>
        <v>0</v>
      </c>
      <c r="Y61" s="334">
        <f>'Volume adjustments'!Y319</f>
        <v>0</v>
      </c>
    </row>
    <row r="62" spans="3:43" x14ac:dyDescent="0.3">
      <c r="E62" s="88"/>
      <c r="F62" t="s">
        <v>160</v>
      </c>
      <c r="G62" t="s">
        <v>166</v>
      </c>
      <c r="H62" s="51"/>
      <c r="J62" s="334">
        <f>'Volume adjustments'!J320</f>
        <v>0.34865983505227499</v>
      </c>
      <c r="K62" s="334">
        <f>'Volume adjustments'!K320</f>
        <v>0.34865983505227499</v>
      </c>
      <c r="L62" s="334">
        <f>'Volume adjustments'!L320</f>
        <v>0.34865983505227499</v>
      </c>
      <c r="M62" s="334">
        <f>'Volume adjustments'!M320</f>
        <v>0.34865983505227499</v>
      </c>
      <c r="N62" s="334">
        <f>'Volume adjustments'!N320</f>
        <v>0.34865983505227499</v>
      </c>
      <c r="O62" s="334">
        <f>'Volume adjustments'!O320</f>
        <v>0</v>
      </c>
      <c r="P62" s="334">
        <f>'Volume adjustments'!P320</f>
        <v>0</v>
      </c>
      <c r="Q62" s="334">
        <f>'Volume adjustments'!Q320</f>
        <v>0.34865983505227499</v>
      </c>
      <c r="R62" s="334">
        <f>'Volume adjustments'!R320</f>
        <v>0</v>
      </c>
      <c r="S62" s="334">
        <f>'Volume adjustments'!S320</f>
        <v>0</v>
      </c>
      <c r="T62" s="334">
        <f>'Volume adjustments'!T320</f>
        <v>0</v>
      </c>
      <c r="U62" s="334">
        <f>'Volume adjustments'!U320</f>
        <v>0</v>
      </c>
      <c r="V62" s="334">
        <f>'Volume adjustments'!V320</f>
        <v>0</v>
      </c>
      <c r="W62" s="334">
        <f>'Volume adjustments'!W320</f>
        <v>0</v>
      </c>
      <c r="X62" s="334">
        <f>'Volume adjustments'!X320</f>
        <v>0</v>
      </c>
      <c r="Y62" s="334">
        <f>'Volume adjustments'!Y320</f>
        <v>0</v>
      </c>
    </row>
    <row r="63" spans="3:43" x14ac:dyDescent="0.3">
      <c r="E63" s="88"/>
      <c r="F63" s="37" t="s">
        <v>161</v>
      </c>
      <c r="G63" s="37" t="s">
        <v>166</v>
      </c>
      <c r="H63" s="211"/>
      <c r="I63" s="37"/>
      <c r="J63" s="335">
        <f>'Volume adjustments'!J321</f>
        <v>0.34865983505227499</v>
      </c>
      <c r="K63" s="335">
        <f>'Volume adjustments'!K321</f>
        <v>0.34865983505227499</v>
      </c>
      <c r="L63" s="335">
        <f>'Volume adjustments'!L321</f>
        <v>0.34865983505227499</v>
      </c>
      <c r="M63" s="335">
        <f>'Volume adjustments'!M321</f>
        <v>0.34865983505227499</v>
      </c>
      <c r="N63" s="335">
        <f>'Volume adjustments'!N321</f>
        <v>0.34865983505227499</v>
      </c>
      <c r="O63" s="335">
        <f>'Volume adjustments'!O321</f>
        <v>0</v>
      </c>
      <c r="P63" s="335">
        <f>'Volume adjustments'!P321</f>
        <v>0</v>
      </c>
      <c r="Q63" s="335">
        <f>'Volume adjustments'!Q321</f>
        <v>0.34865983505227499</v>
      </c>
      <c r="R63" s="335">
        <f>'Volume adjustments'!R321</f>
        <v>0</v>
      </c>
      <c r="S63" s="335">
        <f>'Volume adjustments'!S321</f>
        <v>0</v>
      </c>
      <c r="T63" s="335">
        <f>'Volume adjustments'!T321</f>
        <v>0</v>
      </c>
      <c r="U63" s="335">
        <f>'Volume adjustments'!U321</f>
        <v>0</v>
      </c>
      <c r="V63" s="335">
        <f>'Volume adjustments'!V321</f>
        <v>0</v>
      </c>
      <c r="W63" s="335">
        <f>'Volume adjustments'!W321</f>
        <v>0</v>
      </c>
      <c r="X63" s="335">
        <f>'Volume adjustments'!X321</f>
        <v>0</v>
      </c>
      <c r="Y63" s="335">
        <f>'Volume adjustments'!Y321</f>
        <v>0</v>
      </c>
    </row>
    <row r="64" spans="3:43" x14ac:dyDescent="0.3">
      <c r="E64"/>
    </row>
    <row r="65" spans="4:43" ht="43.2" x14ac:dyDescent="0.3">
      <c r="E65" s="88" t="s">
        <v>748</v>
      </c>
      <c r="I65" t="s">
        <v>153</v>
      </c>
      <c r="J65" s="236" t="s">
        <v>828</v>
      </c>
      <c r="K65" s="236" t="s">
        <v>830</v>
      </c>
      <c r="L65" s="236" t="s">
        <v>829</v>
      </c>
      <c r="M65" s="236" t="s">
        <v>831</v>
      </c>
      <c r="N65" s="236" t="s">
        <v>837</v>
      </c>
      <c r="O65" s="236" t="s">
        <v>838</v>
      </c>
      <c r="P65" s="236" t="s">
        <v>839</v>
      </c>
      <c r="Q65" s="236" t="s">
        <v>840</v>
      </c>
      <c r="R65" s="236" t="s">
        <v>832</v>
      </c>
      <c r="S65" s="236" t="s">
        <v>833</v>
      </c>
      <c r="T65" s="236" t="s">
        <v>834</v>
      </c>
      <c r="U65" s="236" t="s">
        <v>843</v>
      </c>
      <c r="V65" s="236" t="s">
        <v>835</v>
      </c>
      <c r="W65" s="236" t="s">
        <v>842</v>
      </c>
      <c r="X65" s="236" t="s">
        <v>836</v>
      </c>
      <c r="Y65" s="236" t="s">
        <v>841</v>
      </c>
    </row>
    <row r="66" spans="4:43" x14ac:dyDescent="0.3">
      <c r="E66" s="88"/>
      <c r="F66" s="23" t="s">
        <v>155</v>
      </c>
      <c r="G66" s="23" t="s">
        <v>166</v>
      </c>
      <c r="H66" s="174"/>
      <c r="I66" s="23"/>
      <c r="J66" s="333">
        <f>'Volume adjustments'!J324</f>
        <v>0.54319459284507854</v>
      </c>
      <c r="K66" s="333">
        <f>'Volume adjustments'!K324</f>
        <v>0.54319459284507854</v>
      </c>
      <c r="L66" s="333">
        <f>'Volume adjustments'!L324</f>
        <v>0.54319459284507854</v>
      </c>
      <c r="M66" s="333">
        <f>'Volume adjustments'!M324</f>
        <v>0.54319459284507854</v>
      </c>
      <c r="N66" s="333">
        <f>'Volume adjustments'!N324</f>
        <v>0.54319459284507854</v>
      </c>
      <c r="O66" s="333">
        <f>'Volume adjustments'!O324</f>
        <v>0.27624476019334121</v>
      </c>
      <c r="P66" s="333">
        <f>'Volume adjustments'!P324</f>
        <v>0.14407962362625185</v>
      </c>
      <c r="Q66" s="333">
        <f>'Volume adjustments'!Q324</f>
        <v>0.54319459284507854</v>
      </c>
      <c r="R66" s="333">
        <f>'Volume adjustments'!R324</f>
        <v>0</v>
      </c>
      <c r="S66" s="333">
        <f>'Volume adjustments'!S324</f>
        <v>0</v>
      </c>
      <c r="T66" s="333">
        <f>'Volume adjustments'!T324</f>
        <v>0</v>
      </c>
      <c r="U66" s="333">
        <f>'Volume adjustments'!U324</f>
        <v>0</v>
      </c>
      <c r="V66" s="333">
        <f>'Volume adjustments'!V324</f>
        <v>0</v>
      </c>
      <c r="W66" s="333">
        <f>'Volume adjustments'!W324</f>
        <v>0</v>
      </c>
      <c r="X66" s="333">
        <f>'Volume adjustments'!X324</f>
        <v>0</v>
      </c>
      <c r="Y66" s="333">
        <f>'Volume adjustments'!Y324</f>
        <v>0</v>
      </c>
    </row>
    <row r="67" spans="4:43" x14ac:dyDescent="0.3">
      <c r="E67" s="88"/>
      <c r="F67" t="s">
        <v>156</v>
      </c>
      <c r="G67" t="s">
        <v>166</v>
      </c>
      <c r="H67" s="51"/>
      <c r="J67" s="334">
        <f>'Volume adjustments'!J325</f>
        <v>0.54319459284507854</v>
      </c>
      <c r="K67" s="334">
        <f>'Volume adjustments'!K325</f>
        <v>0.54319459284507854</v>
      </c>
      <c r="L67" s="334">
        <f>'Volume adjustments'!L325</f>
        <v>0.54319459284507854</v>
      </c>
      <c r="M67" s="334">
        <f>'Volume adjustments'!M325</f>
        <v>0.54319459284507854</v>
      </c>
      <c r="N67" s="334">
        <f>'Volume adjustments'!N325</f>
        <v>0.54319459284507854</v>
      </c>
      <c r="O67" s="334">
        <f>'Volume adjustments'!O325</f>
        <v>0.27624476019334121</v>
      </c>
      <c r="P67" s="334">
        <f>'Volume adjustments'!P325</f>
        <v>0.14407962362625185</v>
      </c>
      <c r="Q67" s="334">
        <f>'Volume adjustments'!Q325</f>
        <v>0.54319459284507854</v>
      </c>
      <c r="R67" s="334">
        <f>'Volume adjustments'!R325</f>
        <v>0</v>
      </c>
      <c r="S67" s="334">
        <f>'Volume adjustments'!S325</f>
        <v>0</v>
      </c>
      <c r="T67" s="334">
        <f>'Volume adjustments'!T325</f>
        <v>0</v>
      </c>
      <c r="U67" s="334">
        <f>'Volume adjustments'!U325</f>
        <v>0</v>
      </c>
      <c r="V67" s="334">
        <f>'Volume adjustments'!V325</f>
        <v>0</v>
      </c>
      <c r="W67" s="334">
        <f>'Volume adjustments'!W325</f>
        <v>0</v>
      </c>
      <c r="X67" s="334">
        <f>'Volume adjustments'!X325</f>
        <v>0</v>
      </c>
      <c r="Y67" s="334">
        <f>'Volume adjustments'!Y325</f>
        <v>0</v>
      </c>
    </row>
    <row r="68" spans="4:43" x14ac:dyDescent="0.3">
      <c r="E68" s="88"/>
      <c r="F68" t="s">
        <v>157</v>
      </c>
      <c r="G68" t="s">
        <v>166</v>
      </c>
      <c r="H68" s="51"/>
      <c r="J68" s="334">
        <f>'Volume adjustments'!J326</f>
        <v>0.54319459284507854</v>
      </c>
      <c r="K68" s="334">
        <f>'Volume adjustments'!K326</f>
        <v>0.54319459284507854</v>
      </c>
      <c r="L68" s="334">
        <f>'Volume adjustments'!L326</f>
        <v>0.54319459284507854</v>
      </c>
      <c r="M68" s="334">
        <f>'Volume adjustments'!M326</f>
        <v>0.54319459284507854</v>
      </c>
      <c r="N68" s="334">
        <f>'Volume adjustments'!N326</f>
        <v>0.54319459284507854</v>
      </c>
      <c r="O68" s="334">
        <f>'Volume adjustments'!O326</f>
        <v>0.27624476019334121</v>
      </c>
      <c r="P68" s="334">
        <f>'Volume adjustments'!P326</f>
        <v>0.14407962362625185</v>
      </c>
      <c r="Q68" s="334">
        <f>'Volume adjustments'!Q326</f>
        <v>0.54319459284507854</v>
      </c>
      <c r="R68" s="334">
        <f>'Volume adjustments'!R326</f>
        <v>0</v>
      </c>
      <c r="S68" s="334">
        <f>'Volume adjustments'!S326</f>
        <v>0</v>
      </c>
      <c r="T68" s="334">
        <f>'Volume adjustments'!T326</f>
        <v>0</v>
      </c>
      <c r="U68" s="334">
        <f>'Volume adjustments'!U326</f>
        <v>0</v>
      </c>
      <c r="V68" s="334">
        <f>'Volume adjustments'!V326</f>
        <v>0</v>
      </c>
      <c r="W68" s="334">
        <f>'Volume adjustments'!W326</f>
        <v>0</v>
      </c>
      <c r="X68" s="334">
        <f>'Volume adjustments'!X326</f>
        <v>0</v>
      </c>
      <c r="Y68" s="334">
        <f>'Volume adjustments'!Y326</f>
        <v>0</v>
      </c>
    </row>
    <row r="69" spans="4:43" x14ac:dyDescent="0.3">
      <c r="E69" s="88"/>
      <c r="F69" t="s">
        <v>158</v>
      </c>
      <c r="G69" t="s">
        <v>166</v>
      </c>
      <c r="H69" s="51"/>
      <c r="J69" s="334">
        <f>'Volume adjustments'!J327</f>
        <v>0.54319459284507854</v>
      </c>
      <c r="K69" s="334">
        <f>'Volume adjustments'!K327</f>
        <v>0.54319459284507854</v>
      </c>
      <c r="L69" s="334">
        <f>'Volume adjustments'!L327</f>
        <v>0.54319459284507854</v>
      </c>
      <c r="M69" s="334">
        <f>'Volume adjustments'!M327</f>
        <v>0.54319459284507854</v>
      </c>
      <c r="N69" s="334">
        <f>'Volume adjustments'!N327</f>
        <v>0.54319459284507854</v>
      </c>
      <c r="O69" s="334">
        <f>'Volume adjustments'!O327</f>
        <v>0.27624476019334121</v>
      </c>
      <c r="P69" s="334">
        <f>'Volume adjustments'!P327</f>
        <v>0.14407962362625185</v>
      </c>
      <c r="Q69" s="334">
        <f>'Volume adjustments'!Q327</f>
        <v>0.54319459284507854</v>
      </c>
      <c r="R69" s="334">
        <f>'Volume adjustments'!R327</f>
        <v>1</v>
      </c>
      <c r="S69" s="334">
        <f>'Volume adjustments'!S327</f>
        <v>1</v>
      </c>
      <c r="T69" s="334">
        <f>'Volume adjustments'!T327</f>
        <v>1</v>
      </c>
      <c r="U69" s="334">
        <f>'Volume adjustments'!U327</f>
        <v>1</v>
      </c>
      <c r="V69" s="334">
        <f>'Volume adjustments'!V327</f>
        <v>1</v>
      </c>
      <c r="W69" s="334">
        <f>'Volume adjustments'!W327</f>
        <v>1</v>
      </c>
      <c r="X69" s="334">
        <f>'Volume adjustments'!X327</f>
        <v>1</v>
      </c>
      <c r="Y69" s="334">
        <f>'Volume adjustments'!Y327</f>
        <v>1</v>
      </c>
    </row>
    <row r="70" spans="4:43" x14ac:dyDescent="0.3">
      <c r="E70" s="88"/>
      <c r="F70" t="s">
        <v>159</v>
      </c>
      <c r="G70" t="s">
        <v>166</v>
      </c>
      <c r="H70" s="51"/>
      <c r="J70" s="334">
        <f>'Volume adjustments'!J328</f>
        <v>0.54319459284507854</v>
      </c>
      <c r="K70" s="334">
        <f>'Volume adjustments'!K328</f>
        <v>0.54319459284507854</v>
      </c>
      <c r="L70" s="334">
        <f>'Volume adjustments'!L328</f>
        <v>0.54319459284507854</v>
      </c>
      <c r="M70" s="334">
        <f>'Volume adjustments'!M328</f>
        <v>0.54319459284507854</v>
      </c>
      <c r="N70" s="334">
        <f>'Volume adjustments'!N328</f>
        <v>0.54319459284507854</v>
      </c>
      <c r="O70" s="334">
        <f>'Volume adjustments'!O328</f>
        <v>0.27624476019334121</v>
      </c>
      <c r="P70" s="334">
        <f>'Volume adjustments'!P328</f>
        <v>0.14407962362625185</v>
      </c>
      <c r="Q70" s="334">
        <f>'Volume adjustments'!Q328</f>
        <v>0.54319459284507854</v>
      </c>
      <c r="R70" s="334">
        <f>'Volume adjustments'!R328</f>
        <v>0</v>
      </c>
      <c r="S70" s="334">
        <f>'Volume adjustments'!S328</f>
        <v>0</v>
      </c>
      <c r="T70" s="334">
        <f>'Volume adjustments'!T328</f>
        <v>0</v>
      </c>
      <c r="U70" s="334">
        <f>'Volume adjustments'!U328</f>
        <v>0</v>
      </c>
      <c r="V70" s="334">
        <f>'Volume adjustments'!V328</f>
        <v>0</v>
      </c>
      <c r="W70" s="334">
        <f>'Volume adjustments'!W328</f>
        <v>0</v>
      </c>
      <c r="X70" s="334">
        <f>'Volume adjustments'!X328</f>
        <v>0</v>
      </c>
      <c r="Y70" s="334">
        <f>'Volume adjustments'!Y328</f>
        <v>0</v>
      </c>
    </row>
    <row r="71" spans="4:43" x14ac:dyDescent="0.3">
      <c r="E71" s="88"/>
      <c r="F71" t="s">
        <v>160</v>
      </c>
      <c r="G71" t="s">
        <v>166</v>
      </c>
      <c r="H71" s="51"/>
      <c r="J71" s="334">
        <f>'Volume adjustments'!J329</f>
        <v>0.54319459284507854</v>
      </c>
      <c r="K71" s="334">
        <f>'Volume adjustments'!K329</f>
        <v>0.54319459284507854</v>
      </c>
      <c r="L71" s="334">
        <f>'Volume adjustments'!L329</f>
        <v>0.54319459284507854</v>
      </c>
      <c r="M71" s="334">
        <f>'Volume adjustments'!M329</f>
        <v>0.54319459284507854</v>
      </c>
      <c r="N71" s="334">
        <f>'Volume adjustments'!N329</f>
        <v>0.54319459284507854</v>
      </c>
      <c r="O71" s="334">
        <f>'Volume adjustments'!O329</f>
        <v>0.27624476019334121</v>
      </c>
      <c r="P71" s="334">
        <f>'Volume adjustments'!P329</f>
        <v>0.14407962362625185</v>
      </c>
      <c r="Q71" s="334">
        <f>'Volume adjustments'!Q329</f>
        <v>0.54319459284507854</v>
      </c>
      <c r="R71" s="334">
        <f>'Volume adjustments'!R329</f>
        <v>0</v>
      </c>
      <c r="S71" s="334">
        <f>'Volume adjustments'!S329</f>
        <v>0</v>
      </c>
      <c r="T71" s="334">
        <f>'Volume adjustments'!T329</f>
        <v>0</v>
      </c>
      <c r="U71" s="334">
        <f>'Volume adjustments'!U329</f>
        <v>0</v>
      </c>
      <c r="V71" s="334">
        <f>'Volume adjustments'!V329</f>
        <v>0</v>
      </c>
      <c r="W71" s="334">
        <f>'Volume adjustments'!W329</f>
        <v>0</v>
      </c>
      <c r="X71" s="334">
        <f>'Volume adjustments'!X329</f>
        <v>0</v>
      </c>
      <c r="Y71" s="334">
        <f>'Volume adjustments'!Y329</f>
        <v>0</v>
      </c>
    </row>
    <row r="72" spans="4:43" x14ac:dyDescent="0.3">
      <c r="E72" s="88"/>
      <c r="F72" s="37" t="s">
        <v>161</v>
      </c>
      <c r="G72" s="37" t="s">
        <v>166</v>
      </c>
      <c r="H72" s="211"/>
      <c r="I72" s="37"/>
      <c r="J72" s="335">
        <f>'Volume adjustments'!J330</f>
        <v>0.54319459284507854</v>
      </c>
      <c r="K72" s="335">
        <f>'Volume adjustments'!K330</f>
        <v>0.54319459284507854</v>
      </c>
      <c r="L72" s="335">
        <f>'Volume adjustments'!L330</f>
        <v>0.54319459284507854</v>
      </c>
      <c r="M72" s="335">
        <f>'Volume adjustments'!M330</f>
        <v>0.54319459284507854</v>
      </c>
      <c r="N72" s="335">
        <f>'Volume adjustments'!N330</f>
        <v>0.54319459284507854</v>
      </c>
      <c r="O72" s="335">
        <f>'Volume adjustments'!O330</f>
        <v>0.27624476019334121</v>
      </c>
      <c r="P72" s="335">
        <f>'Volume adjustments'!P330</f>
        <v>0.14407962362625185</v>
      </c>
      <c r="Q72" s="335">
        <f>'Volume adjustments'!Q330</f>
        <v>0.54319459284507854</v>
      </c>
      <c r="R72" s="335">
        <f>'Volume adjustments'!R330</f>
        <v>0</v>
      </c>
      <c r="S72" s="335">
        <f>'Volume adjustments'!S330</f>
        <v>0</v>
      </c>
      <c r="T72" s="335">
        <f>'Volume adjustments'!T330</f>
        <v>0</v>
      </c>
      <c r="U72" s="335">
        <f>'Volume adjustments'!U330</f>
        <v>0</v>
      </c>
      <c r="V72" s="335">
        <f>'Volume adjustments'!V330</f>
        <v>0</v>
      </c>
      <c r="W72" s="335">
        <f>'Volume adjustments'!W330</f>
        <v>0</v>
      </c>
      <c r="X72" s="335">
        <f>'Volume adjustments'!X330</f>
        <v>0</v>
      </c>
      <c r="Y72" s="335">
        <f>'Volume adjustments'!Y330</f>
        <v>0</v>
      </c>
    </row>
    <row r="73" spans="4:43" x14ac:dyDescent="0.3">
      <c r="E73"/>
    </row>
    <row r="74" spans="4:43" x14ac:dyDescent="0.3">
      <c r="D74"/>
      <c r="E74" s="88" t="s">
        <v>747</v>
      </c>
      <c r="I74" t="s">
        <v>153</v>
      </c>
      <c r="AQ74" t="s">
        <v>427</v>
      </c>
    </row>
    <row r="75" spans="4:43" x14ac:dyDescent="0.3">
      <c r="D75"/>
      <c r="E75" s="88"/>
      <c r="F75" s="23" t="s">
        <v>155</v>
      </c>
      <c r="G75" s="23" t="s">
        <v>166</v>
      </c>
      <c r="H75" s="174"/>
      <c r="I75" s="23"/>
      <c r="J75" s="154">
        <f>INDEX($J57:$Y57,J$54)</f>
        <v>0.34865983505227499</v>
      </c>
      <c r="K75" s="154">
        <f t="shared" ref="K75:AO75" si="0">INDEX($J57:$Y57,K$54)</f>
        <v>0.34865983505227499</v>
      </c>
      <c r="L75" s="154">
        <f t="shared" si="0"/>
        <v>0.34865983505227499</v>
      </c>
      <c r="M75" s="154">
        <f t="shared" si="0"/>
        <v>0.34865983505227499</v>
      </c>
      <c r="N75" s="154">
        <f t="shared" si="0"/>
        <v>0.34865983505227499</v>
      </c>
      <c r="O75" s="154">
        <f t="shared" si="0"/>
        <v>0.34865983505227499</v>
      </c>
      <c r="P75" s="154">
        <f t="shared" si="0"/>
        <v>0.34865983505227499</v>
      </c>
      <c r="Q75" s="154">
        <f t="shared" si="0"/>
        <v>0.34865983505227499</v>
      </c>
      <c r="R75" s="154">
        <f t="shared" si="0"/>
        <v>0.34865983505227499</v>
      </c>
      <c r="S75" s="154">
        <f t="shared" si="0"/>
        <v>0.34865983505227499</v>
      </c>
      <c r="T75" s="154">
        <f t="shared" si="0"/>
        <v>0.34865983505227499</v>
      </c>
      <c r="U75" s="154">
        <f t="shared" si="0"/>
        <v>0.34865983505227499</v>
      </c>
      <c r="V75" s="154">
        <f t="shared" si="0"/>
        <v>0.34865983505227499</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0.34865983505227499</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3">
      <c r="D76"/>
      <c r="E76" s="88"/>
      <c r="F76" t="s">
        <v>156</v>
      </c>
      <c r="G76" t="s">
        <v>166</v>
      </c>
      <c r="H76" s="51"/>
      <c r="J76" s="145">
        <f t="shared" ref="J76:AO76" si="1">INDEX($J58:$Y58,J$54)</f>
        <v>0.34865983505227499</v>
      </c>
      <c r="K76" s="145">
        <f t="shared" si="1"/>
        <v>0.34865983505227499</v>
      </c>
      <c r="L76" s="145">
        <f t="shared" si="1"/>
        <v>0.34865983505227499</v>
      </c>
      <c r="M76" s="145">
        <f t="shared" si="1"/>
        <v>0.34865983505227499</v>
      </c>
      <c r="N76" s="145">
        <f t="shared" si="1"/>
        <v>0.34865983505227499</v>
      </c>
      <c r="O76" s="145">
        <f t="shared" si="1"/>
        <v>0.34865983505227499</v>
      </c>
      <c r="P76" s="145">
        <f t="shared" si="1"/>
        <v>0.34865983505227499</v>
      </c>
      <c r="Q76" s="145">
        <f t="shared" si="1"/>
        <v>0.34865983505227499</v>
      </c>
      <c r="R76" s="145">
        <f t="shared" si="1"/>
        <v>0.34865983505227499</v>
      </c>
      <c r="S76" s="145">
        <f t="shared" si="1"/>
        <v>0.34865983505227499</v>
      </c>
      <c r="T76" s="145">
        <f t="shared" si="1"/>
        <v>0.34865983505227499</v>
      </c>
      <c r="U76" s="145">
        <f t="shared" si="1"/>
        <v>0.34865983505227499</v>
      </c>
      <c r="V76" s="145">
        <f t="shared" si="1"/>
        <v>0.34865983505227499</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0.34865983505227499</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3">
      <c r="D77"/>
      <c r="E77" s="88"/>
      <c r="F77" t="s">
        <v>157</v>
      </c>
      <c r="G77" t="s">
        <v>166</v>
      </c>
      <c r="H77" s="51"/>
      <c r="J77" s="145">
        <f t="shared" ref="J77:AO77" si="2">INDEX($J59:$Y59,J$54)</f>
        <v>0.34865983505227499</v>
      </c>
      <c r="K77" s="145">
        <f t="shared" si="2"/>
        <v>0.34865983505227499</v>
      </c>
      <c r="L77" s="145">
        <f t="shared" si="2"/>
        <v>0.34865983505227499</v>
      </c>
      <c r="M77" s="145">
        <f t="shared" si="2"/>
        <v>0.34865983505227499</v>
      </c>
      <c r="N77" s="145">
        <f t="shared" si="2"/>
        <v>0.34865983505227499</v>
      </c>
      <c r="O77" s="145">
        <f t="shared" si="2"/>
        <v>0.34865983505227499</v>
      </c>
      <c r="P77" s="145">
        <f t="shared" si="2"/>
        <v>0.34865983505227499</v>
      </c>
      <c r="Q77" s="145">
        <f t="shared" si="2"/>
        <v>0.34865983505227499</v>
      </c>
      <c r="R77" s="145">
        <f t="shared" si="2"/>
        <v>0.34865983505227499</v>
      </c>
      <c r="S77" s="145">
        <f t="shared" si="2"/>
        <v>0.34865983505227499</v>
      </c>
      <c r="T77" s="145">
        <f t="shared" si="2"/>
        <v>0.34865983505227499</v>
      </c>
      <c r="U77" s="145">
        <f t="shared" si="2"/>
        <v>0.34865983505227499</v>
      </c>
      <c r="V77" s="145">
        <f t="shared" si="2"/>
        <v>0.34865983505227499</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0.34865983505227499</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3">
      <c r="D78"/>
      <c r="E78" s="88"/>
      <c r="F78" t="s">
        <v>158</v>
      </c>
      <c r="G78" t="s">
        <v>166</v>
      </c>
      <c r="H78" s="51"/>
      <c r="J78" s="145">
        <f t="shared" ref="J78:AO78" si="3">INDEX($J60:$Y60,J$54)</f>
        <v>0.34865983505227499</v>
      </c>
      <c r="K78" s="145">
        <f t="shared" si="3"/>
        <v>0.34865983505227499</v>
      </c>
      <c r="L78" s="145">
        <f t="shared" si="3"/>
        <v>0.34865983505227499</v>
      </c>
      <c r="M78" s="145">
        <f t="shared" si="3"/>
        <v>0.34865983505227499</v>
      </c>
      <c r="N78" s="145">
        <f t="shared" si="3"/>
        <v>0.34865983505227499</v>
      </c>
      <c r="O78" s="145">
        <f t="shared" si="3"/>
        <v>0.34865983505227499</v>
      </c>
      <c r="P78" s="145">
        <f t="shared" si="3"/>
        <v>0.34865983505227499</v>
      </c>
      <c r="Q78" s="145">
        <f t="shared" si="3"/>
        <v>0.34865983505227499</v>
      </c>
      <c r="R78" s="145">
        <f t="shared" si="3"/>
        <v>0.34865983505227499</v>
      </c>
      <c r="S78" s="145">
        <f t="shared" si="3"/>
        <v>0.34865983505227499</v>
      </c>
      <c r="T78" s="145">
        <f t="shared" si="3"/>
        <v>0.34865983505227499</v>
      </c>
      <c r="U78" s="145">
        <f t="shared" si="3"/>
        <v>0.34865983505227499</v>
      </c>
      <c r="V78" s="145">
        <f t="shared" si="3"/>
        <v>0.34865983505227499</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0.34865983505227499</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3">
      <c r="D79"/>
      <c r="E79" s="88"/>
      <c r="F79" t="s">
        <v>159</v>
      </c>
      <c r="G79" t="s">
        <v>166</v>
      </c>
      <c r="H79" s="51"/>
      <c r="J79" s="145">
        <f t="shared" ref="J79:AO79" si="4">INDEX($J61:$Y61,J$54)</f>
        <v>0.34865983505227499</v>
      </c>
      <c r="K79" s="145">
        <f t="shared" si="4"/>
        <v>0.34865983505227499</v>
      </c>
      <c r="L79" s="145">
        <f t="shared" si="4"/>
        <v>0.34865983505227499</v>
      </c>
      <c r="M79" s="145">
        <f t="shared" si="4"/>
        <v>0.34865983505227499</v>
      </c>
      <c r="N79" s="145">
        <f t="shared" si="4"/>
        <v>0.34865983505227499</v>
      </c>
      <c r="O79" s="145">
        <f t="shared" si="4"/>
        <v>0.34865983505227499</v>
      </c>
      <c r="P79" s="145">
        <f t="shared" si="4"/>
        <v>0.34865983505227499</v>
      </c>
      <c r="Q79" s="145">
        <f t="shared" si="4"/>
        <v>0.34865983505227499</v>
      </c>
      <c r="R79" s="145">
        <f t="shared" si="4"/>
        <v>0.34865983505227499</v>
      </c>
      <c r="S79" s="145">
        <f t="shared" si="4"/>
        <v>0.34865983505227499</v>
      </c>
      <c r="T79" s="145">
        <f t="shared" si="4"/>
        <v>0.34865983505227499</v>
      </c>
      <c r="U79" s="145">
        <f t="shared" si="4"/>
        <v>0.34865983505227499</v>
      </c>
      <c r="V79" s="145">
        <f t="shared" si="4"/>
        <v>0.34865983505227499</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0.34865983505227499</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3">
      <c r="D80"/>
      <c r="E80" s="88"/>
      <c r="F80" t="s">
        <v>160</v>
      </c>
      <c r="G80" t="s">
        <v>166</v>
      </c>
      <c r="H80" s="51"/>
      <c r="J80" s="145">
        <f t="shared" ref="J80:AO80" si="5">INDEX($J62:$Y62,J$54)</f>
        <v>0.34865983505227499</v>
      </c>
      <c r="K80" s="145">
        <f t="shared" si="5"/>
        <v>0.34865983505227499</v>
      </c>
      <c r="L80" s="145">
        <f t="shared" si="5"/>
        <v>0.34865983505227499</v>
      </c>
      <c r="M80" s="145">
        <f t="shared" si="5"/>
        <v>0.34865983505227499</v>
      </c>
      <c r="N80" s="145">
        <f t="shared" si="5"/>
        <v>0.34865983505227499</v>
      </c>
      <c r="O80" s="145">
        <f t="shared" si="5"/>
        <v>0.34865983505227499</v>
      </c>
      <c r="P80" s="145">
        <f t="shared" si="5"/>
        <v>0.34865983505227499</v>
      </c>
      <c r="Q80" s="145">
        <f t="shared" si="5"/>
        <v>0.34865983505227499</v>
      </c>
      <c r="R80" s="145">
        <f t="shared" si="5"/>
        <v>0.34865983505227499</v>
      </c>
      <c r="S80" s="145">
        <f t="shared" si="5"/>
        <v>0.34865983505227499</v>
      </c>
      <c r="T80" s="145">
        <f t="shared" si="5"/>
        <v>0.34865983505227499</v>
      </c>
      <c r="U80" s="145">
        <f t="shared" si="5"/>
        <v>0.34865983505227499</v>
      </c>
      <c r="V80" s="145">
        <f t="shared" si="5"/>
        <v>0.34865983505227499</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0.34865983505227499</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3">
      <c r="D81"/>
      <c r="E81" s="88"/>
      <c r="F81" s="37" t="s">
        <v>161</v>
      </c>
      <c r="G81" s="37" t="s">
        <v>166</v>
      </c>
      <c r="H81" s="211"/>
      <c r="I81" s="37"/>
      <c r="J81" s="155">
        <f t="shared" ref="J81:AO81" si="6">INDEX($J63:$Y63,J$54)</f>
        <v>0.34865983505227499</v>
      </c>
      <c r="K81" s="155">
        <f t="shared" si="6"/>
        <v>0.34865983505227499</v>
      </c>
      <c r="L81" s="155">
        <f t="shared" si="6"/>
        <v>0.34865983505227499</v>
      </c>
      <c r="M81" s="155">
        <f t="shared" si="6"/>
        <v>0.34865983505227499</v>
      </c>
      <c r="N81" s="155">
        <f t="shared" si="6"/>
        <v>0.34865983505227499</v>
      </c>
      <c r="O81" s="155">
        <f t="shared" si="6"/>
        <v>0.34865983505227499</v>
      </c>
      <c r="P81" s="155">
        <f t="shared" si="6"/>
        <v>0.34865983505227499</v>
      </c>
      <c r="Q81" s="155">
        <f t="shared" si="6"/>
        <v>0.34865983505227499</v>
      </c>
      <c r="R81" s="155">
        <f t="shared" si="6"/>
        <v>0.34865983505227499</v>
      </c>
      <c r="S81" s="155">
        <f t="shared" si="6"/>
        <v>0.34865983505227499</v>
      </c>
      <c r="T81" s="155">
        <f t="shared" si="6"/>
        <v>0.34865983505227499</v>
      </c>
      <c r="U81" s="155">
        <f t="shared" si="6"/>
        <v>0.34865983505227499</v>
      </c>
      <c r="V81" s="155">
        <f t="shared" si="6"/>
        <v>0.34865983505227499</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0.34865983505227499</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3">
      <c r="D82" s="88"/>
      <c r="E82"/>
    </row>
    <row r="83" spans="3:43" x14ac:dyDescent="0.3">
      <c r="D83"/>
      <c r="E83" s="88" t="s">
        <v>748</v>
      </c>
      <c r="I83" t="s">
        <v>153</v>
      </c>
      <c r="AQ83" t="s">
        <v>427</v>
      </c>
    </row>
    <row r="84" spans="3:43" x14ac:dyDescent="0.3">
      <c r="D84"/>
      <c r="E84" s="88"/>
      <c r="F84" s="23" t="s">
        <v>155</v>
      </c>
      <c r="G84" s="23" t="s">
        <v>166</v>
      </c>
      <c r="H84" s="174"/>
      <c r="I84" s="23"/>
      <c r="J84" s="154">
        <f>INDEX($J66:$Y66,J$54)</f>
        <v>0.54319459284507854</v>
      </c>
      <c r="K84" s="154">
        <f t="shared" ref="K84:AO84" si="7">INDEX($J66:$Y66,K$54)</f>
        <v>0.54319459284507854</v>
      </c>
      <c r="L84" s="154">
        <f t="shared" si="7"/>
        <v>0.54319459284507854</v>
      </c>
      <c r="M84" s="154">
        <f t="shared" si="7"/>
        <v>0.54319459284507854</v>
      </c>
      <c r="N84" s="154">
        <f t="shared" si="7"/>
        <v>0.54319459284507854</v>
      </c>
      <c r="O84" s="154">
        <f t="shared" si="7"/>
        <v>0.54319459284507854</v>
      </c>
      <c r="P84" s="154">
        <f t="shared" si="7"/>
        <v>0.54319459284507854</v>
      </c>
      <c r="Q84" s="154">
        <f t="shared" si="7"/>
        <v>0.54319459284507854</v>
      </c>
      <c r="R84" s="154">
        <f t="shared" si="7"/>
        <v>0.54319459284507854</v>
      </c>
      <c r="S84" s="154">
        <f t="shared" si="7"/>
        <v>0.54319459284507854</v>
      </c>
      <c r="T84" s="154">
        <f t="shared" si="7"/>
        <v>0.54319459284507854</v>
      </c>
      <c r="U84" s="154">
        <f t="shared" si="7"/>
        <v>0.54319459284507854</v>
      </c>
      <c r="V84" s="154">
        <f t="shared" si="7"/>
        <v>0.54319459284507854</v>
      </c>
      <c r="W84" s="154">
        <f t="shared" si="7"/>
        <v>0.27624476019334121</v>
      </c>
      <c r="X84" s="154">
        <f t="shared" si="7"/>
        <v>0.27624476019334121</v>
      </c>
      <c r="Y84" s="154">
        <f t="shared" si="7"/>
        <v>0.27624476019334121</v>
      </c>
      <c r="Z84" s="154">
        <f t="shared" si="7"/>
        <v>0.27624476019334121</v>
      </c>
      <c r="AA84" s="154">
        <f t="shared" si="7"/>
        <v>0.27624476019334121</v>
      </c>
      <c r="AB84" s="154">
        <f t="shared" si="7"/>
        <v>0.14407962362625185</v>
      </c>
      <c r="AC84" s="154">
        <f t="shared" si="7"/>
        <v>0.14407962362625185</v>
      </c>
      <c r="AD84" s="154">
        <f t="shared" si="7"/>
        <v>0.14407962362625185</v>
      </c>
      <c r="AE84" s="154">
        <f t="shared" si="7"/>
        <v>0.14407962362625185</v>
      </c>
      <c r="AF84" s="154">
        <f t="shared" si="7"/>
        <v>0.14407962362625185</v>
      </c>
      <c r="AG84" s="154">
        <f t="shared" si="7"/>
        <v>0.54319459284507854</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3">
      <c r="D85"/>
      <c r="E85" s="88"/>
      <c r="F85" t="s">
        <v>156</v>
      </c>
      <c r="G85" t="s">
        <v>166</v>
      </c>
      <c r="H85" s="51"/>
      <c r="J85" s="145">
        <f t="shared" ref="J85:AO85" si="8">INDEX($J67:$Y67,J$54)</f>
        <v>0.54319459284507854</v>
      </c>
      <c r="K85" s="145">
        <f t="shared" si="8"/>
        <v>0.54319459284507854</v>
      </c>
      <c r="L85" s="145">
        <f t="shared" si="8"/>
        <v>0.54319459284507854</v>
      </c>
      <c r="M85" s="145">
        <f t="shared" si="8"/>
        <v>0.54319459284507854</v>
      </c>
      <c r="N85" s="145">
        <f t="shared" si="8"/>
        <v>0.54319459284507854</v>
      </c>
      <c r="O85" s="145">
        <f t="shared" si="8"/>
        <v>0.54319459284507854</v>
      </c>
      <c r="P85" s="145">
        <f t="shared" si="8"/>
        <v>0.54319459284507854</v>
      </c>
      <c r="Q85" s="145">
        <f t="shared" si="8"/>
        <v>0.54319459284507854</v>
      </c>
      <c r="R85" s="145">
        <f t="shared" si="8"/>
        <v>0.54319459284507854</v>
      </c>
      <c r="S85" s="145">
        <f t="shared" si="8"/>
        <v>0.54319459284507854</v>
      </c>
      <c r="T85" s="145">
        <f t="shared" si="8"/>
        <v>0.54319459284507854</v>
      </c>
      <c r="U85" s="145">
        <f t="shared" si="8"/>
        <v>0.54319459284507854</v>
      </c>
      <c r="V85" s="145">
        <f t="shared" si="8"/>
        <v>0.54319459284507854</v>
      </c>
      <c r="W85" s="145">
        <f t="shared" si="8"/>
        <v>0.27624476019334121</v>
      </c>
      <c r="X85" s="145">
        <f t="shared" si="8"/>
        <v>0.27624476019334121</v>
      </c>
      <c r="Y85" s="145">
        <f t="shared" si="8"/>
        <v>0.27624476019334121</v>
      </c>
      <c r="Z85" s="145">
        <f t="shared" si="8"/>
        <v>0.27624476019334121</v>
      </c>
      <c r="AA85" s="145">
        <f t="shared" si="8"/>
        <v>0.27624476019334121</v>
      </c>
      <c r="AB85" s="145">
        <f t="shared" si="8"/>
        <v>0.14407962362625185</v>
      </c>
      <c r="AC85" s="145">
        <f t="shared" si="8"/>
        <v>0.14407962362625185</v>
      </c>
      <c r="AD85" s="145">
        <f t="shared" si="8"/>
        <v>0.14407962362625185</v>
      </c>
      <c r="AE85" s="145">
        <f t="shared" si="8"/>
        <v>0.14407962362625185</v>
      </c>
      <c r="AF85" s="145">
        <f t="shared" si="8"/>
        <v>0.14407962362625185</v>
      </c>
      <c r="AG85" s="145">
        <f t="shared" si="8"/>
        <v>0.54319459284507854</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3">
      <c r="D86"/>
      <c r="E86" s="88"/>
      <c r="F86" t="s">
        <v>157</v>
      </c>
      <c r="G86" t="s">
        <v>166</v>
      </c>
      <c r="H86" s="51"/>
      <c r="J86" s="145">
        <f t="shared" ref="J86:AO86" si="9">INDEX($J68:$Y68,J$54)</f>
        <v>0.54319459284507854</v>
      </c>
      <c r="K86" s="145">
        <f t="shared" si="9"/>
        <v>0.54319459284507854</v>
      </c>
      <c r="L86" s="145">
        <f t="shared" si="9"/>
        <v>0.54319459284507854</v>
      </c>
      <c r="M86" s="145">
        <f t="shared" si="9"/>
        <v>0.54319459284507854</v>
      </c>
      <c r="N86" s="145">
        <f t="shared" si="9"/>
        <v>0.54319459284507854</v>
      </c>
      <c r="O86" s="145">
        <f t="shared" si="9"/>
        <v>0.54319459284507854</v>
      </c>
      <c r="P86" s="145">
        <f t="shared" si="9"/>
        <v>0.54319459284507854</v>
      </c>
      <c r="Q86" s="145">
        <f t="shared" si="9"/>
        <v>0.54319459284507854</v>
      </c>
      <c r="R86" s="145">
        <f t="shared" si="9"/>
        <v>0.54319459284507854</v>
      </c>
      <c r="S86" s="145">
        <f t="shared" si="9"/>
        <v>0.54319459284507854</v>
      </c>
      <c r="T86" s="145">
        <f t="shared" si="9"/>
        <v>0.54319459284507854</v>
      </c>
      <c r="U86" s="145">
        <f t="shared" si="9"/>
        <v>0.54319459284507854</v>
      </c>
      <c r="V86" s="145">
        <f t="shared" si="9"/>
        <v>0.54319459284507854</v>
      </c>
      <c r="W86" s="145">
        <f t="shared" si="9"/>
        <v>0.27624476019334121</v>
      </c>
      <c r="X86" s="145">
        <f t="shared" si="9"/>
        <v>0.27624476019334121</v>
      </c>
      <c r="Y86" s="145">
        <f t="shared" si="9"/>
        <v>0.27624476019334121</v>
      </c>
      <c r="Z86" s="145">
        <f t="shared" si="9"/>
        <v>0.27624476019334121</v>
      </c>
      <c r="AA86" s="145">
        <f t="shared" si="9"/>
        <v>0.27624476019334121</v>
      </c>
      <c r="AB86" s="145">
        <f t="shared" si="9"/>
        <v>0.14407962362625185</v>
      </c>
      <c r="AC86" s="145">
        <f t="shared" si="9"/>
        <v>0.14407962362625185</v>
      </c>
      <c r="AD86" s="145">
        <f t="shared" si="9"/>
        <v>0.14407962362625185</v>
      </c>
      <c r="AE86" s="145">
        <f t="shared" si="9"/>
        <v>0.14407962362625185</v>
      </c>
      <c r="AF86" s="145">
        <f t="shared" si="9"/>
        <v>0.14407962362625185</v>
      </c>
      <c r="AG86" s="145">
        <f t="shared" si="9"/>
        <v>0.54319459284507854</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3">
      <c r="D87"/>
      <c r="E87" s="88"/>
      <c r="F87" t="s">
        <v>158</v>
      </c>
      <c r="G87" t="s">
        <v>166</v>
      </c>
      <c r="H87" s="51"/>
      <c r="J87" s="145">
        <f t="shared" ref="J87:AO87" si="10">INDEX($J69:$Y69,J$54)</f>
        <v>0.54319459284507854</v>
      </c>
      <c r="K87" s="145">
        <f t="shared" si="10"/>
        <v>0.54319459284507854</v>
      </c>
      <c r="L87" s="145">
        <f t="shared" si="10"/>
        <v>0.54319459284507854</v>
      </c>
      <c r="M87" s="145">
        <f t="shared" si="10"/>
        <v>0.54319459284507854</v>
      </c>
      <c r="N87" s="145">
        <f t="shared" si="10"/>
        <v>0.54319459284507854</v>
      </c>
      <c r="O87" s="145">
        <f t="shared" si="10"/>
        <v>0.54319459284507854</v>
      </c>
      <c r="P87" s="145">
        <f t="shared" si="10"/>
        <v>0.54319459284507854</v>
      </c>
      <c r="Q87" s="145">
        <f t="shared" si="10"/>
        <v>0.54319459284507854</v>
      </c>
      <c r="R87" s="145">
        <f t="shared" si="10"/>
        <v>0.54319459284507854</v>
      </c>
      <c r="S87" s="145">
        <f t="shared" si="10"/>
        <v>0.54319459284507854</v>
      </c>
      <c r="T87" s="145">
        <f t="shared" si="10"/>
        <v>0.54319459284507854</v>
      </c>
      <c r="U87" s="145">
        <f t="shared" si="10"/>
        <v>0.54319459284507854</v>
      </c>
      <c r="V87" s="145">
        <f t="shared" si="10"/>
        <v>0.54319459284507854</v>
      </c>
      <c r="W87" s="145">
        <f t="shared" si="10"/>
        <v>0.27624476019334121</v>
      </c>
      <c r="X87" s="145">
        <f t="shared" si="10"/>
        <v>0.27624476019334121</v>
      </c>
      <c r="Y87" s="145">
        <f t="shared" si="10"/>
        <v>0.27624476019334121</v>
      </c>
      <c r="Z87" s="145">
        <f t="shared" si="10"/>
        <v>0.27624476019334121</v>
      </c>
      <c r="AA87" s="145">
        <f t="shared" si="10"/>
        <v>0.27624476019334121</v>
      </c>
      <c r="AB87" s="145">
        <f t="shared" si="10"/>
        <v>0.14407962362625185</v>
      </c>
      <c r="AC87" s="145">
        <f t="shared" si="10"/>
        <v>0.14407962362625185</v>
      </c>
      <c r="AD87" s="145">
        <f t="shared" si="10"/>
        <v>0.14407962362625185</v>
      </c>
      <c r="AE87" s="145">
        <f t="shared" si="10"/>
        <v>0.14407962362625185</v>
      </c>
      <c r="AF87" s="145">
        <f t="shared" si="10"/>
        <v>0.14407962362625185</v>
      </c>
      <c r="AG87" s="145">
        <f t="shared" si="10"/>
        <v>0.54319459284507854</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3">
      <c r="D88"/>
      <c r="E88" s="88"/>
      <c r="F88" t="s">
        <v>159</v>
      </c>
      <c r="G88" t="s">
        <v>166</v>
      </c>
      <c r="H88" s="51"/>
      <c r="J88" s="145">
        <f t="shared" ref="J88:AO88" si="11">INDEX($J70:$Y70,J$54)</f>
        <v>0.54319459284507854</v>
      </c>
      <c r="K88" s="145">
        <f t="shared" si="11"/>
        <v>0.54319459284507854</v>
      </c>
      <c r="L88" s="145">
        <f t="shared" si="11"/>
        <v>0.54319459284507854</v>
      </c>
      <c r="M88" s="145">
        <f t="shared" si="11"/>
        <v>0.54319459284507854</v>
      </c>
      <c r="N88" s="145">
        <f t="shared" si="11"/>
        <v>0.54319459284507854</v>
      </c>
      <c r="O88" s="145">
        <f t="shared" si="11"/>
        <v>0.54319459284507854</v>
      </c>
      <c r="P88" s="145">
        <f t="shared" si="11"/>
        <v>0.54319459284507854</v>
      </c>
      <c r="Q88" s="145">
        <f t="shared" si="11"/>
        <v>0.54319459284507854</v>
      </c>
      <c r="R88" s="145">
        <f t="shared" si="11"/>
        <v>0.54319459284507854</v>
      </c>
      <c r="S88" s="145">
        <f t="shared" si="11"/>
        <v>0.54319459284507854</v>
      </c>
      <c r="T88" s="145">
        <f t="shared" si="11"/>
        <v>0.54319459284507854</v>
      </c>
      <c r="U88" s="145">
        <f t="shared" si="11"/>
        <v>0.54319459284507854</v>
      </c>
      <c r="V88" s="145">
        <f t="shared" si="11"/>
        <v>0.54319459284507854</v>
      </c>
      <c r="W88" s="145">
        <f t="shared" si="11"/>
        <v>0.27624476019334121</v>
      </c>
      <c r="X88" s="145">
        <f t="shared" si="11"/>
        <v>0.27624476019334121</v>
      </c>
      <c r="Y88" s="145">
        <f t="shared" si="11"/>
        <v>0.27624476019334121</v>
      </c>
      <c r="Z88" s="145">
        <f t="shared" si="11"/>
        <v>0.27624476019334121</v>
      </c>
      <c r="AA88" s="145">
        <f t="shared" si="11"/>
        <v>0.27624476019334121</v>
      </c>
      <c r="AB88" s="145">
        <f t="shared" si="11"/>
        <v>0.14407962362625185</v>
      </c>
      <c r="AC88" s="145">
        <f t="shared" si="11"/>
        <v>0.14407962362625185</v>
      </c>
      <c r="AD88" s="145">
        <f t="shared" si="11"/>
        <v>0.14407962362625185</v>
      </c>
      <c r="AE88" s="145">
        <f t="shared" si="11"/>
        <v>0.14407962362625185</v>
      </c>
      <c r="AF88" s="145">
        <f t="shared" si="11"/>
        <v>0.14407962362625185</v>
      </c>
      <c r="AG88" s="145">
        <f t="shared" si="11"/>
        <v>0.54319459284507854</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3">
      <c r="D89"/>
      <c r="E89" s="88"/>
      <c r="F89" t="s">
        <v>160</v>
      </c>
      <c r="G89" t="s">
        <v>166</v>
      </c>
      <c r="H89" s="51"/>
      <c r="J89" s="145">
        <f t="shared" ref="J89:AO89" si="12">INDEX($J71:$Y71,J$54)</f>
        <v>0.54319459284507854</v>
      </c>
      <c r="K89" s="145">
        <f t="shared" si="12"/>
        <v>0.54319459284507854</v>
      </c>
      <c r="L89" s="145">
        <f t="shared" si="12"/>
        <v>0.54319459284507854</v>
      </c>
      <c r="M89" s="145">
        <f t="shared" si="12"/>
        <v>0.54319459284507854</v>
      </c>
      <c r="N89" s="145">
        <f t="shared" si="12"/>
        <v>0.54319459284507854</v>
      </c>
      <c r="O89" s="145">
        <f t="shared" si="12"/>
        <v>0.54319459284507854</v>
      </c>
      <c r="P89" s="145">
        <f t="shared" si="12"/>
        <v>0.54319459284507854</v>
      </c>
      <c r="Q89" s="145">
        <f t="shared" si="12"/>
        <v>0.54319459284507854</v>
      </c>
      <c r="R89" s="145">
        <f t="shared" si="12"/>
        <v>0.54319459284507854</v>
      </c>
      <c r="S89" s="145">
        <f t="shared" si="12"/>
        <v>0.54319459284507854</v>
      </c>
      <c r="T89" s="145">
        <f t="shared" si="12"/>
        <v>0.54319459284507854</v>
      </c>
      <c r="U89" s="145">
        <f t="shared" si="12"/>
        <v>0.54319459284507854</v>
      </c>
      <c r="V89" s="145">
        <f t="shared" si="12"/>
        <v>0.54319459284507854</v>
      </c>
      <c r="W89" s="145">
        <f t="shared" si="12"/>
        <v>0.27624476019334121</v>
      </c>
      <c r="X89" s="145">
        <f t="shared" si="12"/>
        <v>0.27624476019334121</v>
      </c>
      <c r="Y89" s="145">
        <f t="shared" si="12"/>
        <v>0.27624476019334121</v>
      </c>
      <c r="Z89" s="145">
        <f t="shared" si="12"/>
        <v>0.27624476019334121</v>
      </c>
      <c r="AA89" s="145">
        <f t="shared" si="12"/>
        <v>0.27624476019334121</v>
      </c>
      <c r="AB89" s="145">
        <f t="shared" si="12"/>
        <v>0.14407962362625185</v>
      </c>
      <c r="AC89" s="145">
        <f t="shared" si="12"/>
        <v>0.14407962362625185</v>
      </c>
      <c r="AD89" s="145">
        <f t="shared" si="12"/>
        <v>0.14407962362625185</v>
      </c>
      <c r="AE89" s="145">
        <f t="shared" si="12"/>
        <v>0.14407962362625185</v>
      </c>
      <c r="AF89" s="145">
        <f t="shared" si="12"/>
        <v>0.14407962362625185</v>
      </c>
      <c r="AG89" s="145">
        <f t="shared" si="12"/>
        <v>0.54319459284507854</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3">
      <c r="D90"/>
      <c r="E90" s="88"/>
      <c r="F90" s="37" t="s">
        <v>161</v>
      </c>
      <c r="G90" s="37" t="s">
        <v>166</v>
      </c>
      <c r="H90" s="211"/>
      <c r="I90" s="37"/>
      <c r="J90" s="155">
        <f t="shared" ref="J90:AO90" si="13">INDEX($J72:$Y72,J$54)</f>
        <v>0.54319459284507854</v>
      </c>
      <c r="K90" s="155">
        <f t="shared" si="13"/>
        <v>0.54319459284507854</v>
      </c>
      <c r="L90" s="155">
        <f t="shared" si="13"/>
        <v>0.54319459284507854</v>
      </c>
      <c r="M90" s="155">
        <f t="shared" si="13"/>
        <v>0.54319459284507854</v>
      </c>
      <c r="N90" s="155">
        <f t="shared" si="13"/>
        <v>0.54319459284507854</v>
      </c>
      <c r="O90" s="155">
        <f t="shared" si="13"/>
        <v>0.54319459284507854</v>
      </c>
      <c r="P90" s="155">
        <f t="shared" si="13"/>
        <v>0.54319459284507854</v>
      </c>
      <c r="Q90" s="155">
        <f t="shared" si="13"/>
        <v>0.54319459284507854</v>
      </c>
      <c r="R90" s="155">
        <f t="shared" si="13"/>
        <v>0.54319459284507854</v>
      </c>
      <c r="S90" s="155">
        <f t="shared" si="13"/>
        <v>0.54319459284507854</v>
      </c>
      <c r="T90" s="155">
        <f t="shared" si="13"/>
        <v>0.54319459284507854</v>
      </c>
      <c r="U90" s="155">
        <f t="shared" si="13"/>
        <v>0.54319459284507854</v>
      </c>
      <c r="V90" s="155">
        <f t="shared" si="13"/>
        <v>0.54319459284507854</v>
      </c>
      <c r="W90" s="155">
        <f t="shared" si="13"/>
        <v>0.27624476019334121</v>
      </c>
      <c r="X90" s="155">
        <f t="shared" si="13"/>
        <v>0.27624476019334121</v>
      </c>
      <c r="Y90" s="155">
        <f t="shared" si="13"/>
        <v>0.27624476019334121</v>
      </c>
      <c r="Z90" s="155">
        <f t="shared" si="13"/>
        <v>0.27624476019334121</v>
      </c>
      <c r="AA90" s="155">
        <f t="shared" si="13"/>
        <v>0.27624476019334121</v>
      </c>
      <c r="AB90" s="155">
        <f t="shared" si="13"/>
        <v>0.14407962362625185</v>
      </c>
      <c r="AC90" s="155">
        <f t="shared" si="13"/>
        <v>0.14407962362625185</v>
      </c>
      <c r="AD90" s="155">
        <f t="shared" si="13"/>
        <v>0.14407962362625185</v>
      </c>
      <c r="AE90" s="155">
        <f t="shared" si="13"/>
        <v>0.14407962362625185</v>
      </c>
      <c r="AF90" s="155">
        <f t="shared" si="13"/>
        <v>0.14407962362625185</v>
      </c>
      <c r="AG90" s="155">
        <f t="shared" si="13"/>
        <v>0.54319459284507854</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3">
      <c r="D91" s="88"/>
      <c r="E91"/>
    </row>
    <row r="92" spans="3:43" x14ac:dyDescent="0.3">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3">
      <c r="E94" s="32" t="s">
        <v>749</v>
      </c>
      <c r="I94" t="s">
        <v>153</v>
      </c>
      <c r="AQ94" t="s">
        <v>154</v>
      </c>
    </row>
    <row r="95" spans="3:43" x14ac:dyDescent="0.3">
      <c r="C95" s="88"/>
      <c r="F95" s="23" t="s">
        <v>155</v>
      </c>
      <c r="G95" s="23" t="s">
        <v>148</v>
      </c>
      <c r="H95" s="174">
        <f>'Fixed inputs'!H25</f>
        <v>3</v>
      </c>
    </row>
    <row r="96" spans="3:43" x14ac:dyDescent="0.3">
      <c r="C96" s="88"/>
      <c r="F96" t="s">
        <v>156</v>
      </c>
      <c r="G96" t="s">
        <v>148</v>
      </c>
      <c r="H96" s="51">
        <f>'Fixed inputs'!H26</f>
        <v>3</v>
      </c>
    </row>
    <row r="97" spans="2:43" x14ac:dyDescent="0.3">
      <c r="C97" s="88"/>
      <c r="F97" t="s">
        <v>157</v>
      </c>
      <c r="G97" t="s">
        <v>148</v>
      </c>
      <c r="H97" s="51">
        <f>'Fixed inputs'!H27</f>
        <v>3</v>
      </c>
    </row>
    <row r="98" spans="2:43" x14ac:dyDescent="0.3">
      <c r="C98" s="88"/>
      <c r="F98" t="s">
        <v>158</v>
      </c>
      <c r="G98" t="s">
        <v>148</v>
      </c>
      <c r="H98" s="51">
        <f>'Fixed inputs'!H28</f>
        <v>2</v>
      </c>
    </row>
    <row r="99" spans="2:43" x14ac:dyDescent="0.3">
      <c r="C99" s="88"/>
      <c r="F99" t="s">
        <v>159</v>
      </c>
      <c r="G99" t="s">
        <v>148</v>
      </c>
      <c r="H99" s="51">
        <f>'Fixed inputs'!H29</f>
        <v>2</v>
      </c>
    </row>
    <row r="100" spans="2:43" x14ac:dyDescent="0.3">
      <c r="C100" s="88"/>
      <c r="F100" t="s">
        <v>160</v>
      </c>
      <c r="G100" t="s">
        <v>148</v>
      </c>
      <c r="H100" s="51">
        <f>'Fixed inputs'!H30</f>
        <v>2</v>
      </c>
    </row>
    <row r="101" spans="2:43" x14ac:dyDescent="0.3">
      <c r="C101" s="88"/>
      <c r="F101" s="37" t="s">
        <v>161</v>
      </c>
      <c r="G101" s="37" t="s">
        <v>148</v>
      </c>
      <c r="H101" s="211">
        <f>'Fixed inputs'!H31</f>
        <v>3</v>
      </c>
    </row>
    <row r="102" spans="2:43" x14ac:dyDescent="0.3">
      <c r="C102" s="88"/>
    </row>
    <row r="103" spans="2:43" x14ac:dyDescent="0.3">
      <c r="B103" s="30" t="s">
        <v>750</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3">
      <c r="C105" s="29" t="s">
        <v>751</v>
      </c>
    </row>
    <row r="107" spans="2:43" x14ac:dyDescent="0.3">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3">
      <c r="D109"/>
      <c r="E109" s="32" t="s">
        <v>752</v>
      </c>
      <c r="F109" s="32"/>
    </row>
    <row r="110" spans="2:43" x14ac:dyDescent="0.3">
      <c r="D110"/>
      <c r="E110" s="88"/>
      <c r="F110" s="23" t="s">
        <v>155</v>
      </c>
      <c r="G110" s="23" t="s">
        <v>268</v>
      </c>
      <c r="H110" s="270"/>
      <c r="I110" s="258"/>
      <c r="J110" s="273">
        <f xml:space="preserve"> J20 + J32</f>
        <v>8.3514870140558912</v>
      </c>
      <c r="K110" s="273">
        <f t="shared" ref="K110:AO110" si="14" xml:space="preserve"> K20 + K32</f>
        <v>8.3514870140558912</v>
      </c>
      <c r="L110" s="273">
        <f t="shared" si="14"/>
        <v>9.6316615981711351</v>
      </c>
      <c r="M110" s="273">
        <f t="shared" si="14"/>
        <v>9.6316615981711351</v>
      </c>
      <c r="N110" s="273">
        <f t="shared" si="14"/>
        <v>9.6316615981711351</v>
      </c>
      <c r="O110" s="273">
        <f t="shared" si="14"/>
        <v>9.6316615981711351</v>
      </c>
      <c r="P110" s="273">
        <f t="shared" si="14"/>
        <v>9.6316615981711351</v>
      </c>
      <c r="Q110" s="273">
        <f t="shared" si="14"/>
        <v>9.6316615981711351</v>
      </c>
      <c r="R110" s="273">
        <f t="shared" si="14"/>
        <v>7.0444036746190282</v>
      </c>
      <c r="S110" s="273">
        <f t="shared" si="14"/>
        <v>7.0444036746190282</v>
      </c>
      <c r="T110" s="273">
        <f t="shared" si="14"/>
        <v>7.0444036746190282</v>
      </c>
      <c r="U110" s="273">
        <f t="shared" si="14"/>
        <v>7.0444036746190282</v>
      </c>
      <c r="V110" s="273">
        <f t="shared" si="14"/>
        <v>7.0444036746190282</v>
      </c>
      <c r="W110" s="273">
        <f t="shared" si="14"/>
        <v>5.6834108878816547</v>
      </c>
      <c r="X110" s="273">
        <f t="shared" si="14"/>
        <v>5.6834108878816547</v>
      </c>
      <c r="Y110" s="273">
        <f t="shared" si="14"/>
        <v>5.6834108878816547</v>
      </c>
      <c r="Z110" s="273">
        <f t="shared" si="14"/>
        <v>5.6834108878816547</v>
      </c>
      <c r="AA110" s="273">
        <f t="shared" si="14"/>
        <v>5.6834108878816547</v>
      </c>
      <c r="AB110" s="273">
        <f t="shared" si="14"/>
        <v>3.9131724055976909</v>
      </c>
      <c r="AC110" s="273">
        <f t="shared" si="14"/>
        <v>3.9131724055976909</v>
      </c>
      <c r="AD110" s="273">
        <f t="shared" si="14"/>
        <v>3.9131724055976909</v>
      </c>
      <c r="AE110" s="273">
        <f t="shared" si="14"/>
        <v>3.9131724055976909</v>
      </c>
      <c r="AF110" s="273">
        <f t="shared" si="14"/>
        <v>3.9131724055976909</v>
      </c>
      <c r="AG110" s="273">
        <f t="shared" si="14"/>
        <v>16.735507155294211</v>
      </c>
      <c r="AH110" s="273">
        <f t="shared" si="14"/>
        <v>-6.5192956999219849</v>
      </c>
      <c r="AI110" s="273">
        <f t="shared" si="14"/>
        <v>-5.4300819577995343</v>
      </c>
      <c r="AJ110" s="273">
        <f t="shared" si="14"/>
        <v>-6.5192956999219849</v>
      </c>
      <c r="AK110" s="273">
        <f t="shared" si="14"/>
        <v>-6.5192956999219849</v>
      </c>
      <c r="AL110" s="273">
        <f t="shared" si="14"/>
        <v>-5.4300819577995343</v>
      </c>
      <c r="AM110" s="273">
        <f t="shared" si="14"/>
        <v>-5.4300819577995343</v>
      </c>
      <c r="AN110" s="273">
        <f t="shared" si="14"/>
        <v>-4.1415516971992012</v>
      </c>
      <c r="AO110" s="273">
        <f t="shared" si="14"/>
        <v>-4.1415516971992012</v>
      </c>
      <c r="AP110" s="259"/>
      <c r="AQ110" s="259"/>
    </row>
    <row r="111" spans="2:43" x14ac:dyDescent="0.3">
      <c r="D111"/>
      <c r="E111" s="88"/>
      <c r="F111" t="s">
        <v>156</v>
      </c>
      <c r="G111" t="s">
        <v>268</v>
      </c>
      <c r="H111" s="271"/>
      <c r="I111" s="259"/>
      <c r="J111" s="274">
        <f t="shared" ref="J111" si="15" xml:space="preserve"> J21 + J33</f>
        <v>1.5166758132927634</v>
      </c>
      <c r="K111" s="274">
        <f t="shared" ref="K111:AO111" si="16" xml:space="preserve"> K21 + K33</f>
        <v>1.5166758132927634</v>
      </c>
      <c r="L111" s="274">
        <f t="shared" si="16"/>
        <v>1.7491625339512411</v>
      </c>
      <c r="M111" s="274">
        <f t="shared" si="16"/>
        <v>1.7491625339512411</v>
      </c>
      <c r="N111" s="274">
        <f t="shared" si="16"/>
        <v>1.7491625339512411</v>
      </c>
      <c r="O111" s="274">
        <f t="shared" si="16"/>
        <v>1.7491625339512411</v>
      </c>
      <c r="P111" s="274">
        <f t="shared" si="16"/>
        <v>1.7491625339512411</v>
      </c>
      <c r="Q111" s="274">
        <f t="shared" si="16"/>
        <v>1.7491625339512411</v>
      </c>
      <c r="R111" s="274">
        <f t="shared" si="16"/>
        <v>1.1739839411843249</v>
      </c>
      <c r="S111" s="274">
        <f t="shared" si="16"/>
        <v>1.1739839411843249</v>
      </c>
      <c r="T111" s="274">
        <f t="shared" si="16"/>
        <v>1.1739839411843249</v>
      </c>
      <c r="U111" s="274">
        <f t="shared" si="16"/>
        <v>1.1739839411843249</v>
      </c>
      <c r="V111" s="274">
        <f t="shared" si="16"/>
        <v>1.1739839411843249</v>
      </c>
      <c r="W111" s="274">
        <f t="shared" si="16"/>
        <v>0.86039593221703004</v>
      </c>
      <c r="X111" s="274">
        <f t="shared" si="16"/>
        <v>0.86039593221703004</v>
      </c>
      <c r="Y111" s="274">
        <f t="shared" si="16"/>
        <v>0.86039593221703004</v>
      </c>
      <c r="Z111" s="274">
        <f t="shared" si="16"/>
        <v>0.86039593221703004</v>
      </c>
      <c r="AA111" s="274">
        <f t="shared" si="16"/>
        <v>0.86039593221703004</v>
      </c>
      <c r="AB111" s="274">
        <f t="shared" si="16"/>
        <v>0.49314204944907558</v>
      </c>
      <c r="AC111" s="274">
        <f t="shared" si="16"/>
        <v>0.49314204944907558</v>
      </c>
      <c r="AD111" s="274">
        <f t="shared" si="16"/>
        <v>0.49314204944907558</v>
      </c>
      <c r="AE111" s="274">
        <f t="shared" si="16"/>
        <v>0.49314204944907558</v>
      </c>
      <c r="AF111" s="274">
        <f t="shared" si="16"/>
        <v>0.49314204944907558</v>
      </c>
      <c r="AG111" s="274">
        <f t="shared" si="16"/>
        <v>3.9465811154583603</v>
      </c>
      <c r="AH111" s="274">
        <f t="shared" si="16"/>
        <v>-1.1839398290548573</v>
      </c>
      <c r="AI111" s="274">
        <f t="shared" si="16"/>
        <v>-0.92197810927331569</v>
      </c>
      <c r="AJ111" s="274">
        <f t="shared" si="16"/>
        <v>-1.1839398290548573</v>
      </c>
      <c r="AK111" s="274">
        <f t="shared" si="16"/>
        <v>-1.1839398290548573</v>
      </c>
      <c r="AL111" s="274">
        <f t="shared" si="16"/>
        <v>-0.92197810927331569</v>
      </c>
      <c r="AM111" s="274">
        <f t="shared" si="16"/>
        <v>-0.92197810927331569</v>
      </c>
      <c r="AN111" s="274">
        <f t="shared" si="16"/>
        <v>-0.60092414595446808</v>
      </c>
      <c r="AO111" s="274">
        <f t="shared" si="16"/>
        <v>-0.60092414595446808</v>
      </c>
      <c r="AP111" s="259"/>
      <c r="AQ111" s="259"/>
    </row>
    <row r="112" spans="2:43" x14ac:dyDescent="0.3">
      <c r="D112"/>
      <c r="E112" s="88"/>
      <c r="F112" t="s">
        <v>157</v>
      </c>
      <c r="G112" t="s">
        <v>268</v>
      </c>
      <c r="H112" s="271"/>
      <c r="I112" s="259"/>
      <c r="J112" s="274">
        <f t="shared" ref="J112" si="17" xml:space="preserve"> J22 + J34</f>
        <v>0.21376900381029099</v>
      </c>
      <c r="K112" s="274">
        <f t="shared" ref="K112:AO112" si="18" xml:space="preserve"> K22 + K34</f>
        <v>0.21376900381029099</v>
      </c>
      <c r="L112" s="274">
        <f t="shared" si="18"/>
        <v>0.24653701806798978</v>
      </c>
      <c r="M112" s="274">
        <f t="shared" si="18"/>
        <v>0.24653701806798978</v>
      </c>
      <c r="N112" s="274">
        <f t="shared" si="18"/>
        <v>0.24653701806798978</v>
      </c>
      <c r="O112" s="274">
        <f t="shared" si="18"/>
        <v>0.24653701806798978</v>
      </c>
      <c r="P112" s="274">
        <f t="shared" si="18"/>
        <v>0.24653701806798978</v>
      </c>
      <c r="Q112" s="274">
        <f t="shared" si="18"/>
        <v>0.24653701806798978</v>
      </c>
      <c r="R112" s="274">
        <f t="shared" si="18"/>
        <v>0.17017696970973151</v>
      </c>
      <c r="S112" s="274">
        <f t="shared" si="18"/>
        <v>0.17017696970973151</v>
      </c>
      <c r="T112" s="274">
        <f t="shared" si="18"/>
        <v>0.17017696970973151</v>
      </c>
      <c r="U112" s="274">
        <f t="shared" si="18"/>
        <v>0.17017696970973151</v>
      </c>
      <c r="V112" s="274">
        <f t="shared" si="18"/>
        <v>0.17017696970973151</v>
      </c>
      <c r="W112" s="274">
        <f t="shared" si="18"/>
        <v>0.12894799267730714</v>
      </c>
      <c r="X112" s="274">
        <f t="shared" si="18"/>
        <v>0.12894799267730714</v>
      </c>
      <c r="Y112" s="274">
        <f t="shared" si="18"/>
        <v>0.12894799267730714</v>
      </c>
      <c r="Z112" s="274">
        <f t="shared" si="18"/>
        <v>0.12894799267730714</v>
      </c>
      <c r="AA112" s="274">
        <f t="shared" si="18"/>
        <v>0.12894799267730714</v>
      </c>
      <c r="AB112" s="274">
        <f t="shared" si="18"/>
        <v>7.9231508627719355E-2</v>
      </c>
      <c r="AC112" s="274">
        <f t="shared" si="18"/>
        <v>7.9231508627719355E-2</v>
      </c>
      <c r="AD112" s="274">
        <f t="shared" si="18"/>
        <v>7.9231508627719355E-2</v>
      </c>
      <c r="AE112" s="274">
        <f t="shared" si="18"/>
        <v>7.9231508627719355E-2</v>
      </c>
      <c r="AF112" s="274">
        <f t="shared" si="18"/>
        <v>7.9231508627719355E-2</v>
      </c>
      <c r="AG112" s="274">
        <f t="shared" si="18"/>
        <v>3.0295905828704432</v>
      </c>
      <c r="AH112" s="274">
        <f t="shared" si="18"/>
        <v>-0.16687128232032356</v>
      </c>
      <c r="AI112" s="274">
        <f t="shared" si="18"/>
        <v>-0.1328173286336693</v>
      </c>
      <c r="AJ112" s="274">
        <f t="shared" si="18"/>
        <v>-0.16687128232032356</v>
      </c>
      <c r="AK112" s="274">
        <f t="shared" si="18"/>
        <v>-0.16687128232032356</v>
      </c>
      <c r="AL112" s="274">
        <f t="shared" si="18"/>
        <v>-0.1328173286336693</v>
      </c>
      <c r="AM112" s="274">
        <f t="shared" si="18"/>
        <v>-0.1328173286336693</v>
      </c>
      <c r="AN112" s="274">
        <f t="shared" si="18"/>
        <v>-9.1458253259940767E-2</v>
      </c>
      <c r="AO112" s="274">
        <f t="shared" si="18"/>
        <v>-9.1458253259940767E-2</v>
      </c>
      <c r="AP112" s="259"/>
      <c r="AQ112" s="259"/>
    </row>
    <row r="113" spans="3:43" x14ac:dyDescent="0.3">
      <c r="D113"/>
      <c r="E113" s="88"/>
      <c r="F113" t="s">
        <v>158</v>
      </c>
      <c r="G113" t="s">
        <v>269</v>
      </c>
      <c r="H113" s="51"/>
      <c r="J113" s="98">
        <f t="shared" ref="J113" si="19" xml:space="preserve"> J23 + J35</f>
        <v>10.79015049678868</v>
      </c>
      <c r="K113" s="98">
        <f t="shared" ref="K113:AO113" si="20" xml:space="preserve"> K23 + K35</f>
        <v>0</v>
      </c>
      <c r="L113" s="98">
        <f t="shared" si="20"/>
        <v>4.2948115217685636</v>
      </c>
      <c r="M113" s="98">
        <f t="shared" si="20"/>
        <v>7.3719245313863446</v>
      </c>
      <c r="N113" s="98">
        <f t="shared" si="20"/>
        <v>19.476158638345574</v>
      </c>
      <c r="O113" s="98">
        <f t="shared" si="20"/>
        <v>41.907973510466526</v>
      </c>
      <c r="P113" s="98">
        <f t="shared" si="20"/>
        <v>121.42818575817189</v>
      </c>
      <c r="Q113" s="98">
        <f t="shared" si="20"/>
        <v>0</v>
      </c>
      <c r="R113" s="98">
        <f t="shared" si="20"/>
        <v>17.49531407933436</v>
      </c>
      <c r="S113" s="98">
        <f t="shared" si="20"/>
        <v>171.49729102823065</v>
      </c>
      <c r="T113" s="98">
        <f t="shared" si="20"/>
        <v>401.51216276023479</v>
      </c>
      <c r="U113" s="98">
        <f t="shared" si="20"/>
        <v>643.84797254941884</v>
      </c>
      <c r="V113" s="98">
        <f t="shared" si="20"/>
        <v>1332.5149345685563</v>
      </c>
      <c r="W113" s="98">
        <f t="shared" si="20"/>
        <v>56.467738784040058</v>
      </c>
      <c r="X113" s="98">
        <f t="shared" si="20"/>
        <v>210.46971573293632</v>
      </c>
      <c r="Y113" s="98">
        <f t="shared" si="20"/>
        <v>440.48458746494049</v>
      </c>
      <c r="Z113" s="98">
        <f t="shared" si="20"/>
        <v>682.82039725412437</v>
      </c>
      <c r="AA113" s="98">
        <f t="shared" si="20"/>
        <v>1371.487359273262</v>
      </c>
      <c r="AB113" s="98">
        <f t="shared" si="20"/>
        <v>124.16502858254897</v>
      </c>
      <c r="AC113" s="98">
        <f t="shared" si="20"/>
        <v>1106.348867541047</v>
      </c>
      <c r="AD113" s="98">
        <f t="shared" si="20"/>
        <v>3334.6349208416718</v>
      </c>
      <c r="AE113" s="98">
        <f t="shared" si="20"/>
        <v>6854.0929764576622</v>
      </c>
      <c r="AF113" s="98">
        <f t="shared" si="20"/>
        <v>15818.508443904862</v>
      </c>
      <c r="AG113" s="98">
        <f t="shared" si="20"/>
        <v>0</v>
      </c>
      <c r="AH113" s="98">
        <f t="shared" si="20"/>
        <v>0</v>
      </c>
      <c r="AI113" s="98">
        <f t="shared" si="20"/>
        <v>0</v>
      </c>
      <c r="AJ113" s="98">
        <f t="shared" si="20"/>
        <v>0</v>
      </c>
      <c r="AK113" s="98">
        <f t="shared" si="20"/>
        <v>0</v>
      </c>
      <c r="AL113" s="98">
        <f t="shared" si="20"/>
        <v>0</v>
      </c>
      <c r="AM113" s="98">
        <f t="shared" si="20"/>
        <v>0</v>
      </c>
      <c r="AN113" s="98">
        <f t="shared" si="20"/>
        <v>8.3608666107087686</v>
      </c>
      <c r="AO113" s="98">
        <f t="shared" si="20"/>
        <v>8.3608666107087686</v>
      </c>
    </row>
    <row r="114" spans="3:43" x14ac:dyDescent="0.3">
      <c r="D114"/>
      <c r="E114" s="88"/>
      <c r="F114" t="s">
        <v>159</v>
      </c>
      <c r="G114" t="s">
        <v>270</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3.1390766052084453</v>
      </c>
      <c r="S114" s="98">
        <f t="shared" si="22"/>
        <v>3.1390766052084453</v>
      </c>
      <c r="T114" s="98">
        <f t="shared" si="22"/>
        <v>3.1390766052084453</v>
      </c>
      <c r="U114" s="98">
        <f t="shared" si="22"/>
        <v>3.1390766052084453</v>
      </c>
      <c r="V114" s="98">
        <f t="shared" si="22"/>
        <v>3.1390766052084453</v>
      </c>
      <c r="W114" s="98">
        <f t="shared" si="22"/>
        <v>3.2135567800468432</v>
      </c>
      <c r="X114" s="98">
        <f t="shared" si="22"/>
        <v>3.2135567800468432</v>
      </c>
      <c r="Y114" s="98">
        <f t="shared" si="22"/>
        <v>3.2135567800468432</v>
      </c>
      <c r="Z114" s="98">
        <f t="shared" si="22"/>
        <v>3.2135567800468432</v>
      </c>
      <c r="AA114" s="98">
        <f t="shared" si="22"/>
        <v>3.2135567800468432</v>
      </c>
      <c r="AB114" s="98">
        <f t="shared" si="22"/>
        <v>3.1526526297383777</v>
      </c>
      <c r="AC114" s="98">
        <f t="shared" si="22"/>
        <v>3.1526526297383777</v>
      </c>
      <c r="AD114" s="98">
        <f t="shared" si="22"/>
        <v>3.1526526297383777</v>
      </c>
      <c r="AE114" s="98">
        <f t="shared" si="22"/>
        <v>3.1526526297383777</v>
      </c>
      <c r="AF114" s="98">
        <f t="shared" si="22"/>
        <v>3.1526526297383777</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3">
      <c r="D115"/>
      <c r="E115" s="88"/>
      <c r="F115" t="s">
        <v>160</v>
      </c>
      <c r="G115" t="s">
        <v>270</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4.7497751254470124</v>
      </c>
      <c r="S115" s="98">
        <f t="shared" si="24"/>
        <v>4.7497751254470124</v>
      </c>
      <c r="T115" s="98">
        <f t="shared" si="24"/>
        <v>4.7497751254470124</v>
      </c>
      <c r="U115" s="98">
        <f t="shared" si="24"/>
        <v>4.7497751254470124</v>
      </c>
      <c r="V115" s="98">
        <f t="shared" si="24"/>
        <v>4.7497751254470124</v>
      </c>
      <c r="W115" s="98">
        <f t="shared" si="24"/>
        <v>5.5065938692732104</v>
      </c>
      <c r="X115" s="98">
        <f t="shared" si="24"/>
        <v>5.5065938692732104</v>
      </c>
      <c r="Y115" s="98">
        <f t="shared" si="24"/>
        <v>5.5065938692732104</v>
      </c>
      <c r="Z115" s="98">
        <f t="shared" si="24"/>
        <v>5.5065938692732104</v>
      </c>
      <c r="AA115" s="98">
        <f t="shared" si="24"/>
        <v>5.5065938692732104</v>
      </c>
      <c r="AB115" s="98">
        <f t="shared" si="24"/>
        <v>5.7359205926323256</v>
      </c>
      <c r="AC115" s="98">
        <f t="shared" si="24"/>
        <v>5.7359205926323256</v>
      </c>
      <c r="AD115" s="98">
        <f t="shared" si="24"/>
        <v>5.7359205926323256</v>
      </c>
      <c r="AE115" s="98">
        <f t="shared" si="24"/>
        <v>5.7359205926323256</v>
      </c>
      <c r="AF115" s="98">
        <f t="shared" si="24"/>
        <v>5.7359205926323256</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3">
      <c r="D116"/>
      <c r="E116" s="88"/>
      <c r="F116" s="37" t="s">
        <v>161</v>
      </c>
      <c r="G116" s="37" t="s">
        <v>271</v>
      </c>
      <c r="H116" s="275"/>
      <c r="I116" s="261"/>
      <c r="J116" s="276">
        <f t="shared" ref="J116" si="25" xml:space="preserve"> J26 + J38</f>
        <v>0</v>
      </c>
      <c r="K116" s="276">
        <f t="shared" ref="K116:AO116" si="26" xml:space="preserve"> K26 + K38</f>
        <v>0</v>
      </c>
      <c r="L116" s="276">
        <f t="shared" si="26"/>
        <v>0</v>
      </c>
      <c r="M116" s="276">
        <f t="shared" si="26"/>
        <v>0</v>
      </c>
      <c r="N116" s="276">
        <f t="shared" si="26"/>
        <v>0</v>
      </c>
      <c r="O116" s="276">
        <f t="shared" si="26"/>
        <v>0</v>
      </c>
      <c r="P116" s="276">
        <f t="shared" si="26"/>
        <v>0</v>
      </c>
      <c r="Q116" s="276">
        <f t="shared" si="26"/>
        <v>0</v>
      </c>
      <c r="R116" s="276">
        <f t="shared" si="26"/>
        <v>0.15183967715066449</v>
      </c>
      <c r="S116" s="276">
        <f t="shared" si="26"/>
        <v>0.15183967715066449</v>
      </c>
      <c r="T116" s="276">
        <f t="shared" si="26"/>
        <v>0.15183967715066449</v>
      </c>
      <c r="U116" s="276">
        <f t="shared" si="26"/>
        <v>0.15183967715066449</v>
      </c>
      <c r="V116" s="276">
        <f t="shared" si="26"/>
        <v>0.15183967715066449</v>
      </c>
      <c r="W116" s="276">
        <f t="shared" si="26"/>
        <v>0.11214938018401023</v>
      </c>
      <c r="X116" s="276">
        <f t="shared" si="26"/>
        <v>0.11214938018401023</v>
      </c>
      <c r="Y116" s="276">
        <f t="shared" si="26"/>
        <v>0.11214938018401023</v>
      </c>
      <c r="Z116" s="276">
        <f t="shared" si="26"/>
        <v>0.11214938018401023</v>
      </c>
      <c r="AA116" s="276">
        <f t="shared" si="26"/>
        <v>0.11214938018401023</v>
      </c>
      <c r="AB116" s="276">
        <f t="shared" si="26"/>
        <v>6.9049453472262365E-2</v>
      </c>
      <c r="AC116" s="276">
        <f t="shared" si="26"/>
        <v>6.9049453472262365E-2</v>
      </c>
      <c r="AD116" s="276">
        <f t="shared" si="26"/>
        <v>6.9049453472262365E-2</v>
      </c>
      <c r="AE116" s="276">
        <f t="shared" si="26"/>
        <v>6.9049453472262365E-2</v>
      </c>
      <c r="AF116" s="276">
        <f t="shared" si="26"/>
        <v>6.9049453472262365E-2</v>
      </c>
      <c r="AG116" s="276">
        <f t="shared" si="26"/>
        <v>0</v>
      </c>
      <c r="AH116" s="276">
        <f t="shared" si="26"/>
        <v>0</v>
      </c>
      <c r="AI116" s="276">
        <f t="shared" si="26"/>
        <v>0</v>
      </c>
      <c r="AJ116" s="276">
        <f t="shared" si="26"/>
        <v>0.12610930005179521</v>
      </c>
      <c r="AK116" s="276">
        <f t="shared" si="26"/>
        <v>0</v>
      </c>
      <c r="AL116" s="276">
        <f t="shared" si="26"/>
        <v>0.10643979123499889</v>
      </c>
      <c r="AM116" s="276">
        <f t="shared" si="26"/>
        <v>0</v>
      </c>
      <c r="AN116" s="276">
        <f t="shared" si="26"/>
        <v>8.016654544178127E-2</v>
      </c>
      <c r="AO116" s="276">
        <f t="shared" si="26"/>
        <v>0</v>
      </c>
      <c r="AP116" s="259"/>
      <c r="AQ116" s="259"/>
    </row>
    <row r="117" spans="3:43" x14ac:dyDescent="0.3">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3">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3">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3">
      <c r="E120" s="32" t="s">
        <v>889</v>
      </c>
      <c r="F120" s="32"/>
      <c r="I120" t="s">
        <v>153</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898</v>
      </c>
    </row>
    <row r="121" spans="3:43" x14ac:dyDescent="0.3">
      <c r="E121" s="88"/>
      <c r="F121" s="23" t="s">
        <v>155</v>
      </c>
      <c r="G121" s="23" t="s">
        <v>268</v>
      </c>
      <c r="H121" s="270"/>
      <c r="I121" s="258"/>
      <c r="J121" s="319">
        <f xml:space="preserve"> J110 + J44</f>
        <v>8.3514870140558912</v>
      </c>
      <c r="K121" s="319">
        <f t="shared" ref="K121:AO121" si="27" xml:space="preserve"> K110 + K44</f>
        <v>8.3514870140558912</v>
      </c>
      <c r="L121" s="319">
        <f t="shared" si="27"/>
        <v>9.6316615981711351</v>
      </c>
      <c r="M121" s="319">
        <f t="shared" si="27"/>
        <v>9.6316615981711351</v>
      </c>
      <c r="N121" s="319">
        <f t="shared" si="27"/>
        <v>9.6316615981711351</v>
      </c>
      <c r="O121" s="319">
        <f t="shared" si="27"/>
        <v>9.6316615981711351</v>
      </c>
      <c r="P121" s="319">
        <f t="shared" si="27"/>
        <v>9.6316615981711351</v>
      </c>
      <c r="Q121" s="319">
        <f t="shared" si="27"/>
        <v>9.6316615981711351</v>
      </c>
      <c r="R121" s="319">
        <f t="shared" si="27"/>
        <v>7.0444036746190282</v>
      </c>
      <c r="S121" s="319">
        <f t="shared" si="27"/>
        <v>7.0444036746190282</v>
      </c>
      <c r="T121" s="319">
        <f t="shared" si="27"/>
        <v>7.0444036746190282</v>
      </c>
      <c r="U121" s="319">
        <f t="shared" si="27"/>
        <v>7.0444036746190282</v>
      </c>
      <c r="V121" s="319">
        <f t="shared" si="27"/>
        <v>7.0444036746190282</v>
      </c>
      <c r="W121" s="319">
        <f t="shared" si="27"/>
        <v>5.6834108878816547</v>
      </c>
      <c r="X121" s="319">
        <f t="shared" si="27"/>
        <v>5.6834108878816547</v>
      </c>
      <c r="Y121" s="319">
        <f t="shared" si="27"/>
        <v>5.6834108878816547</v>
      </c>
      <c r="Z121" s="319">
        <f t="shared" si="27"/>
        <v>5.6834108878816547</v>
      </c>
      <c r="AA121" s="319">
        <f t="shared" si="27"/>
        <v>5.6834108878816547</v>
      </c>
      <c r="AB121" s="319">
        <f t="shared" si="27"/>
        <v>3.9131724055976909</v>
      </c>
      <c r="AC121" s="319">
        <f t="shared" si="27"/>
        <v>3.9131724055976909</v>
      </c>
      <c r="AD121" s="319">
        <f t="shared" si="27"/>
        <v>3.9131724055976909</v>
      </c>
      <c r="AE121" s="319">
        <f t="shared" si="27"/>
        <v>3.9131724055976909</v>
      </c>
      <c r="AF121" s="319">
        <f t="shared" si="27"/>
        <v>3.9131724055976909</v>
      </c>
      <c r="AG121" s="319">
        <f t="shared" si="27"/>
        <v>16.735507155294211</v>
      </c>
      <c r="AH121" s="319">
        <f t="shared" si="27"/>
        <v>-6.5192956999219849</v>
      </c>
      <c r="AI121" s="319">
        <f t="shared" si="27"/>
        <v>-5.4300819577995343</v>
      </c>
      <c r="AJ121" s="319">
        <f t="shared" si="27"/>
        <v>-6.5192956999219849</v>
      </c>
      <c r="AK121" s="319">
        <f t="shared" si="27"/>
        <v>-6.5192956999219849</v>
      </c>
      <c r="AL121" s="319">
        <f t="shared" si="27"/>
        <v>-5.4300819577995343</v>
      </c>
      <c r="AM121" s="319">
        <f t="shared" si="27"/>
        <v>-5.4300819577995343</v>
      </c>
      <c r="AN121" s="319">
        <f t="shared" si="27"/>
        <v>-4.1415516971992012</v>
      </c>
      <c r="AO121" s="319">
        <f t="shared" si="27"/>
        <v>-4.1415516971992012</v>
      </c>
      <c r="AP121" s="259"/>
      <c r="AQ121" s="259"/>
    </row>
    <row r="122" spans="3:43" x14ac:dyDescent="0.3">
      <c r="E122" s="88"/>
      <c r="F122" t="s">
        <v>156</v>
      </c>
      <c r="G122" t="s">
        <v>268</v>
      </c>
      <c r="H122" s="271"/>
      <c r="I122" s="259"/>
      <c r="J122" s="320">
        <f t="shared" ref="J122" si="28" xml:space="preserve"> J111 + J45</f>
        <v>1.5166758132927634</v>
      </c>
      <c r="K122" s="320">
        <f t="shared" ref="K122:AO122" si="29" xml:space="preserve"> K111 + K45</f>
        <v>1.5166758132927634</v>
      </c>
      <c r="L122" s="320">
        <f t="shared" si="29"/>
        <v>1.7491625339512411</v>
      </c>
      <c r="M122" s="320">
        <f t="shared" si="29"/>
        <v>1.7491625339512411</v>
      </c>
      <c r="N122" s="320">
        <f t="shared" si="29"/>
        <v>1.7491625339512411</v>
      </c>
      <c r="O122" s="320">
        <f t="shared" si="29"/>
        <v>1.7491625339512411</v>
      </c>
      <c r="P122" s="320">
        <f t="shared" si="29"/>
        <v>1.7491625339512411</v>
      </c>
      <c r="Q122" s="320">
        <f t="shared" si="29"/>
        <v>1.7491625339512411</v>
      </c>
      <c r="R122" s="320">
        <f t="shared" si="29"/>
        <v>1.1739839411843249</v>
      </c>
      <c r="S122" s="320">
        <f t="shared" si="29"/>
        <v>1.1739839411843249</v>
      </c>
      <c r="T122" s="320">
        <f t="shared" si="29"/>
        <v>1.1739839411843249</v>
      </c>
      <c r="U122" s="320">
        <f t="shared" si="29"/>
        <v>1.1739839411843249</v>
      </c>
      <c r="V122" s="320">
        <f t="shared" si="29"/>
        <v>1.1739839411843249</v>
      </c>
      <c r="W122" s="320">
        <f t="shared" si="29"/>
        <v>0.86039593221703004</v>
      </c>
      <c r="X122" s="320">
        <f t="shared" si="29"/>
        <v>0.86039593221703004</v>
      </c>
      <c r="Y122" s="320">
        <f t="shared" si="29"/>
        <v>0.86039593221703004</v>
      </c>
      <c r="Z122" s="320">
        <f t="shared" si="29"/>
        <v>0.86039593221703004</v>
      </c>
      <c r="AA122" s="320">
        <f t="shared" si="29"/>
        <v>0.86039593221703004</v>
      </c>
      <c r="AB122" s="320">
        <f t="shared" si="29"/>
        <v>0.49314204944907558</v>
      </c>
      <c r="AC122" s="320">
        <f t="shared" si="29"/>
        <v>0.49314204944907558</v>
      </c>
      <c r="AD122" s="320">
        <f t="shared" si="29"/>
        <v>0.49314204944907558</v>
      </c>
      <c r="AE122" s="320">
        <f t="shared" si="29"/>
        <v>0.49314204944907558</v>
      </c>
      <c r="AF122" s="320">
        <f t="shared" si="29"/>
        <v>0.49314204944907558</v>
      </c>
      <c r="AG122" s="320">
        <f t="shared" si="29"/>
        <v>3.9465811154583603</v>
      </c>
      <c r="AH122" s="320">
        <f t="shared" si="29"/>
        <v>-1.1839398290548573</v>
      </c>
      <c r="AI122" s="320">
        <f t="shared" si="29"/>
        <v>-0.92197810927331569</v>
      </c>
      <c r="AJ122" s="320">
        <f t="shared" si="29"/>
        <v>-1.1839398290548573</v>
      </c>
      <c r="AK122" s="320">
        <f t="shared" si="29"/>
        <v>-1.1839398290548573</v>
      </c>
      <c r="AL122" s="320">
        <f t="shared" si="29"/>
        <v>-0.92197810927331569</v>
      </c>
      <c r="AM122" s="320">
        <f t="shared" si="29"/>
        <v>-0.92197810927331569</v>
      </c>
      <c r="AN122" s="320">
        <f t="shared" si="29"/>
        <v>-0.60092414595446808</v>
      </c>
      <c r="AO122" s="320">
        <f t="shared" si="29"/>
        <v>-0.60092414595446808</v>
      </c>
      <c r="AP122" s="259"/>
      <c r="AQ122" s="259"/>
    </row>
    <row r="123" spans="3:43" x14ac:dyDescent="0.3">
      <c r="E123" s="88"/>
      <c r="F123" t="s">
        <v>157</v>
      </c>
      <c r="G123" t="s">
        <v>268</v>
      </c>
      <c r="H123" s="271"/>
      <c r="I123" s="259"/>
      <c r="J123" s="320">
        <f t="shared" ref="J123" si="30" xml:space="preserve"> J112 + J46</f>
        <v>0.21376900381029099</v>
      </c>
      <c r="K123" s="320">
        <f t="shared" ref="K123:AO123" si="31" xml:space="preserve"> K112 + K46</f>
        <v>0.21376900381029099</v>
      </c>
      <c r="L123" s="320">
        <f t="shared" si="31"/>
        <v>0.24653701806798978</v>
      </c>
      <c r="M123" s="320">
        <f t="shared" si="31"/>
        <v>0.24653701806798978</v>
      </c>
      <c r="N123" s="320">
        <f t="shared" si="31"/>
        <v>0.24653701806798978</v>
      </c>
      <c r="O123" s="320">
        <f t="shared" si="31"/>
        <v>0.24653701806798978</v>
      </c>
      <c r="P123" s="320">
        <f t="shared" si="31"/>
        <v>0.24653701806798978</v>
      </c>
      <c r="Q123" s="320">
        <f t="shared" si="31"/>
        <v>0.24653701806798978</v>
      </c>
      <c r="R123" s="320">
        <f t="shared" si="31"/>
        <v>0.17017696970973151</v>
      </c>
      <c r="S123" s="320">
        <f t="shared" si="31"/>
        <v>0.17017696970973151</v>
      </c>
      <c r="T123" s="320">
        <f t="shared" si="31"/>
        <v>0.17017696970973151</v>
      </c>
      <c r="U123" s="320">
        <f t="shared" si="31"/>
        <v>0.17017696970973151</v>
      </c>
      <c r="V123" s="320">
        <f t="shared" si="31"/>
        <v>0.17017696970973151</v>
      </c>
      <c r="W123" s="320">
        <f t="shared" si="31"/>
        <v>0.12894799267730714</v>
      </c>
      <c r="X123" s="320">
        <f t="shared" si="31"/>
        <v>0.12894799267730714</v>
      </c>
      <c r="Y123" s="320">
        <f t="shared" si="31"/>
        <v>0.12894799267730714</v>
      </c>
      <c r="Z123" s="320">
        <f t="shared" si="31"/>
        <v>0.12894799267730714</v>
      </c>
      <c r="AA123" s="320">
        <f t="shared" si="31"/>
        <v>0.12894799267730714</v>
      </c>
      <c r="AB123" s="320">
        <f t="shared" si="31"/>
        <v>7.9231508627719355E-2</v>
      </c>
      <c r="AC123" s="320">
        <f t="shared" si="31"/>
        <v>7.9231508627719355E-2</v>
      </c>
      <c r="AD123" s="320">
        <f t="shared" si="31"/>
        <v>7.9231508627719355E-2</v>
      </c>
      <c r="AE123" s="320">
        <f t="shared" si="31"/>
        <v>7.9231508627719355E-2</v>
      </c>
      <c r="AF123" s="320">
        <f t="shared" si="31"/>
        <v>7.9231508627719355E-2</v>
      </c>
      <c r="AG123" s="320">
        <f t="shared" si="31"/>
        <v>3.0295905828704432</v>
      </c>
      <c r="AH123" s="320">
        <f t="shared" si="31"/>
        <v>-0.16687128232032356</v>
      </c>
      <c r="AI123" s="320">
        <f t="shared" si="31"/>
        <v>-0.1328173286336693</v>
      </c>
      <c r="AJ123" s="320">
        <f t="shared" si="31"/>
        <v>-0.16687128232032356</v>
      </c>
      <c r="AK123" s="320">
        <f t="shared" si="31"/>
        <v>-0.16687128232032356</v>
      </c>
      <c r="AL123" s="320">
        <f t="shared" si="31"/>
        <v>-0.1328173286336693</v>
      </c>
      <c r="AM123" s="320">
        <f t="shared" si="31"/>
        <v>-0.1328173286336693</v>
      </c>
      <c r="AN123" s="320">
        <f t="shared" si="31"/>
        <v>-9.1458253259940767E-2</v>
      </c>
      <c r="AO123" s="320">
        <f t="shared" si="31"/>
        <v>-9.1458253259940767E-2</v>
      </c>
      <c r="AP123" s="259"/>
      <c r="AQ123" s="259"/>
    </row>
    <row r="124" spans="3:43" x14ac:dyDescent="0.3">
      <c r="E124" s="88"/>
      <c r="F124" t="s">
        <v>158</v>
      </c>
      <c r="G124" t="s">
        <v>269</v>
      </c>
      <c r="H124" s="51"/>
      <c r="J124" s="321">
        <f t="shared" ref="J124" si="32" xml:space="preserve"> J113 + J47</f>
        <v>20.254525195297575</v>
      </c>
      <c r="K124" s="321">
        <f t="shared" ref="K124:AO124" si="33" xml:space="preserve"> K113 + K47</f>
        <v>0</v>
      </c>
      <c r="L124" s="321">
        <f t="shared" si="33"/>
        <v>4.3336914496014387</v>
      </c>
      <c r="M124" s="321">
        <f t="shared" si="33"/>
        <v>7.4108044592192197</v>
      </c>
      <c r="N124" s="321">
        <f t="shared" si="33"/>
        <v>19.51503856617845</v>
      </c>
      <c r="O124" s="321">
        <f t="shared" si="33"/>
        <v>41.946853438299399</v>
      </c>
      <c r="P124" s="321">
        <f t="shared" si="33"/>
        <v>121.46706568600477</v>
      </c>
      <c r="Q124" s="321">
        <f t="shared" si="33"/>
        <v>0</v>
      </c>
      <c r="R124" s="321">
        <f t="shared" si="33"/>
        <v>17.534194007167237</v>
      </c>
      <c r="S124" s="321">
        <f t="shared" si="33"/>
        <v>171.53617095606353</v>
      </c>
      <c r="T124" s="321">
        <f t="shared" si="33"/>
        <v>401.55104268806764</v>
      </c>
      <c r="U124" s="321">
        <f t="shared" si="33"/>
        <v>643.88685247725175</v>
      </c>
      <c r="V124" s="321">
        <f t="shared" si="33"/>
        <v>1332.5538144963891</v>
      </c>
      <c r="W124" s="321">
        <f t="shared" si="33"/>
        <v>56.506618711872932</v>
      </c>
      <c r="X124" s="321">
        <f t="shared" si="33"/>
        <v>210.5085956607692</v>
      </c>
      <c r="Y124" s="321">
        <f t="shared" si="33"/>
        <v>440.52346739277334</v>
      </c>
      <c r="Z124" s="321">
        <f t="shared" si="33"/>
        <v>682.85927718195728</v>
      </c>
      <c r="AA124" s="321">
        <f t="shared" si="33"/>
        <v>1371.5262392010948</v>
      </c>
      <c r="AB124" s="321">
        <f t="shared" si="33"/>
        <v>124.20390851038185</v>
      </c>
      <c r="AC124" s="321">
        <f t="shared" si="33"/>
        <v>1106.3877474688798</v>
      </c>
      <c r="AD124" s="321">
        <f t="shared" si="33"/>
        <v>3334.6738007695049</v>
      </c>
      <c r="AE124" s="321">
        <f t="shared" si="33"/>
        <v>6854.1318563854948</v>
      </c>
      <c r="AF124" s="321">
        <f t="shared" si="33"/>
        <v>15818.547323832696</v>
      </c>
      <c r="AG124" s="321">
        <f t="shared" si="33"/>
        <v>0</v>
      </c>
      <c r="AH124" s="321">
        <f t="shared" si="33"/>
        <v>0</v>
      </c>
      <c r="AI124" s="321">
        <f t="shared" si="33"/>
        <v>0</v>
      </c>
      <c r="AJ124" s="321">
        <f t="shared" si="33"/>
        <v>0</v>
      </c>
      <c r="AK124" s="321">
        <f t="shared" si="33"/>
        <v>0</v>
      </c>
      <c r="AL124" s="321">
        <f t="shared" si="33"/>
        <v>0</v>
      </c>
      <c r="AM124" s="321">
        <f t="shared" si="33"/>
        <v>0</v>
      </c>
      <c r="AN124" s="321">
        <f t="shared" si="33"/>
        <v>8.3608666107087686</v>
      </c>
      <c r="AO124" s="321">
        <f t="shared" si="33"/>
        <v>8.3608666107087686</v>
      </c>
    </row>
    <row r="125" spans="3:43" x14ac:dyDescent="0.3">
      <c r="E125" s="88"/>
      <c r="F125" t="s">
        <v>159</v>
      </c>
      <c r="G125" t="s">
        <v>270</v>
      </c>
      <c r="H125" s="51"/>
      <c r="J125" s="321">
        <f t="shared" ref="J125" si="34" xml:space="preserve"> J114 + J48</f>
        <v>0</v>
      </c>
      <c r="K125" s="321">
        <f t="shared" ref="K125:AO125" si="35" xml:space="preserve"> K114 + K48</f>
        <v>0</v>
      </c>
      <c r="L125" s="321">
        <f t="shared" si="35"/>
        <v>0</v>
      </c>
      <c r="M125" s="321">
        <f t="shared" si="35"/>
        <v>0</v>
      </c>
      <c r="N125" s="321">
        <f t="shared" si="35"/>
        <v>0</v>
      </c>
      <c r="O125" s="321">
        <f t="shared" si="35"/>
        <v>0</v>
      </c>
      <c r="P125" s="321">
        <f t="shared" si="35"/>
        <v>0</v>
      </c>
      <c r="Q125" s="321">
        <f t="shared" si="35"/>
        <v>0</v>
      </c>
      <c r="R125" s="321">
        <f t="shared" si="35"/>
        <v>3.1390766052084453</v>
      </c>
      <c r="S125" s="321">
        <f t="shared" si="35"/>
        <v>3.1390766052084453</v>
      </c>
      <c r="T125" s="321">
        <f t="shared" si="35"/>
        <v>3.1390766052084453</v>
      </c>
      <c r="U125" s="321">
        <f t="shared" si="35"/>
        <v>3.1390766052084453</v>
      </c>
      <c r="V125" s="321">
        <f t="shared" si="35"/>
        <v>3.1390766052084453</v>
      </c>
      <c r="W125" s="321">
        <f t="shared" si="35"/>
        <v>3.2135567800468432</v>
      </c>
      <c r="X125" s="321">
        <f t="shared" si="35"/>
        <v>3.2135567800468432</v>
      </c>
      <c r="Y125" s="321">
        <f t="shared" si="35"/>
        <v>3.2135567800468432</v>
      </c>
      <c r="Z125" s="321">
        <f t="shared" si="35"/>
        <v>3.2135567800468432</v>
      </c>
      <c r="AA125" s="321">
        <f t="shared" si="35"/>
        <v>3.2135567800468432</v>
      </c>
      <c r="AB125" s="321">
        <f t="shared" si="35"/>
        <v>3.1526526297383777</v>
      </c>
      <c r="AC125" s="321">
        <f t="shared" si="35"/>
        <v>3.1526526297383777</v>
      </c>
      <c r="AD125" s="321">
        <f t="shared" si="35"/>
        <v>3.1526526297383777</v>
      </c>
      <c r="AE125" s="321">
        <f t="shared" si="35"/>
        <v>3.1526526297383777</v>
      </c>
      <c r="AF125" s="321">
        <f t="shared" si="35"/>
        <v>3.1526526297383777</v>
      </c>
      <c r="AG125" s="321">
        <f t="shared" si="35"/>
        <v>0</v>
      </c>
      <c r="AH125" s="321">
        <f t="shared" si="35"/>
        <v>0</v>
      </c>
      <c r="AI125" s="321">
        <f t="shared" si="35"/>
        <v>0</v>
      </c>
      <c r="AJ125" s="321">
        <f t="shared" si="35"/>
        <v>0</v>
      </c>
      <c r="AK125" s="321">
        <f t="shared" si="35"/>
        <v>0</v>
      </c>
      <c r="AL125" s="321">
        <f t="shared" si="35"/>
        <v>0</v>
      </c>
      <c r="AM125" s="321">
        <f t="shared" si="35"/>
        <v>0</v>
      </c>
      <c r="AN125" s="321">
        <f t="shared" si="35"/>
        <v>0</v>
      </c>
      <c r="AO125" s="321">
        <f t="shared" si="35"/>
        <v>0</v>
      </c>
    </row>
    <row r="126" spans="3:43" x14ac:dyDescent="0.3">
      <c r="E126" s="88"/>
      <c r="F126" t="s">
        <v>160</v>
      </c>
      <c r="G126" t="s">
        <v>270</v>
      </c>
      <c r="H126" s="51"/>
      <c r="J126" s="321">
        <f t="shared" ref="J126" si="36" xml:space="preserve"> J115 + J49</f>
        <v>0</v>
      </c>
      <c r="K126" s="321">
        <f t="shared" ref="K126:AO126" si="37" xml:space="preserve"> K115 + K49</f>
        <v>0</v>
      </c>
      <c r="L126" s="321">
        <f t="shared" si="37"/>
        <v>0</v>
      </c>
      <c r="M126" s="321">
        <f t="shared" si="37"/>
        <v>0</v>
      </c>
      <c r="N126" s="321">
        <f t="shared" si="37"/>
        <v>0</v>
      </c>
      <c r="O126" s="321">
        <f t="shared" si="37"/>
        <v>0</v>
      </c>
      <c r="P126" s="321">
        <f t="shared" si="37"/>
        <v>0</v>
      </c>
      <c r="Q126" s="321">
        <f t="shared" si="37"/>
        <v>0</v>
      </c>
      <c r="R126" s="321">
        <f t="shared" si="37"/>
        <v>4.7497751254470124</v>
      </c>
      <c r="S126" s="321">
        <f t="shared" si="37"/>
        <v>4.7497751254470124</v>
      </c>
      <c r="T126" s="321">
        <f t="shared" si="37"/>
        <v>4.7497751254470124</v>
      </c>
      <c r="U126" s="321">
        <f t="shared" si="37"/>
        <v>4.7497751254470124</v>
      </c>
      <c r="V126" s="321">
        <f t="shared" si="37"/>
        <v>4.7497751254470124</v>
      </c>
      <c r="W126" s="321">
        <f t="shared" si="37"/>
        <v>5.5065938692732104</v>
      </c>
      <c r="X126" s="321">
        <f t="shared" si="37"/>
        <v>5.5065938692732104</v>
      </c>
      <c r="Y126" s="321">
        <f t="shared" si="37"/>
        <v>5.5065938692732104</v>
      </c>
      <c r="Z126" s="321">
        <f t="shared" si="37"/>
        <v>5.5065938692732104</v>
      </c>
      <c r="AA126" s="321">
        <f t="shared" si="37"/>
        <v>5.5065938692732104</v>
      </c>
      <c r="AB126" s="321">
        <f t="shared" si="37"/>
        <v>5.7359205926323256</v>
      </c>
      <c r="AC126" s="321">
        <f t="shared" si="37"/>
        <v>5.7359205926323256</v>
      </c>
      <c r="AD126" s="321">
        <f t="shared" si="37"/>
        <v>5.7359205926323256</v>
      </c>
      <c r="AE126" s="321">
        <f t="shared" si="37"/>
        <v>5.7359205926323256</v>
      </c>
      <c r="AF126" s="321">
        <f t="shared" si="37"/>
        <v>5.7359205926323256</v>
      </c>
      <c r="AG126" s="321">
        <f t="shared" si="37"/>
        <v>0</v>
      </c>
      <c r="AH126" s="321">
        <f t="shared" si="37"/>
        <v>0</v>
      </c>
      <c r="AI126" s="321">
        <f t="shared" si="37"/>
        <v>0</v>
      </c>
      <c r="AJ126" s="321">
        <f t="shared" si="37"/>
        <v>0</v>
      </c>
      <c r="AK126" s="321">
        <f t="shared" si="37"/>
        <v>0</v>
      </c>
      <c r="AL126" s="321">
        <f t="shared" si="37"/>
        <v>0</v>
      </c>
      <c r="AM126" s="321">
        <f t="shared" si="37"/>
        <v>0</v>
      </c>
      <c r="AN126" s="321">
        <f t="shared" si="37"/>
        <v>0</v>
      </c>
      <c r="AO126" s="321">
        <f t="shared" si="37"/>
        <v>0</v>
      </c>
    </row>
    <row r="127" spans="3:43" x14ac:dyDescent="0.3">
      <c r="E127" s="88"/>
      <c r="F127" s="37" t="s">
        <v>161</v>
      </c>
      <c r="G127" s="37" t="s">
        <v>271</v>
      </c>
      <c r="H127" s="275"/>
      <c r="I127" s="261"/>
      <c r="J127" s="276">
        <f t="shared" ref="J127" si="38" xml:space="preserve"> J116 + J50</f>
        <v>0</v>
      </c>
      <c r="K127" s="276">
        <f t="shared" ref="K127:AO127" si="39" xml:space="preserve"> K116 + K50</f>
        <v>0</v>
      </c>
      <c r="L127" s="276">
        <f t="shared" si="39"/>
        <v>0</v>
      </c>
      <c r="M127" s="276">
        <f t="shared" si="39"/>
        <v>0</v>
      </c>
      <c r="N127" s="276">
        <f t="shared" si="39"/>
        <v>0</v>
      </c>
      <c r="O127" s="276">
        <f t="shared" si="39"/>
        <v>0</v>
      </c>
      <c r="P127" s="276">
        <f t="shared" si="39"/>
        <v>0</v>
      </c>
      <c r="Q127" s="276">
        <f t="shared" si="39"/>
        <v>0</v>
      </c>
      <c r="R127" s="276">
        <f t="shared" si="39"/>
        <v>0.15183967715066449</v>
      </c>
      <c r="S127" s="276">
        <f t="shared" si="39"/>
        <v>0.15183967715066449</v>
      </c>
      <c r="T127" s="276">
        <f t="shared" si="39"/>
        <v>0.15183967715066449</v>
      </c>
      <c r="U127" s="276">
        <f t="shared" si="39"/>
        <v>0.15183967715066449</v>
      </c>
      <c r="V127" s="276">
        <f t="shared" si="39"/>
        <v>0.15183967715066449</v>
      </c>
      <c r="W127" s="276">
        <f t="shared" si="39"/>
        <v>0.11214938018401023</v>
      </c>
      <c r="X127" s="276">
        <f t="shared" si="39"/>
        <v>0.11214938018401023</v>
      </c>
      <c r="Y127" s="276">
        <f t="shared" si="39"/>
        <v>0.11214938018401023</v>
      </c>
      <c r="Z127" s="276">
        <f t="shared" si="39"/>
        <v>0.11214938018401023</v>
      </c>
      <c r="AA127" s="276">
        <f t="shared" si="39"/>
        <v>0.11214938018401023</v>
      </c>
      <c r="AB127" s="276">
        <f t="shared" si="39"/>
        <v>6.9049453472262365E-2</v>
      </c>
      <c r="AC127" s="276">
        <f t="shared" si="39"/>
        <v>6.9049453472262365E-2</v>
      </c>
      <c r="AD127" s="276">
        <f t="shared" si="39"/>
        <v>6.9049453472262365E-2</v>
      </c>
      <c r="AE127" s="276">
        <f t="shared" si="39"/>
        <v>6.9049453472262365E-2</v>
      </c>
      <c r="AF127" s="276">
        <f t="shared" si="39"/>
        <v>6.9049453472262365E-2</v>
      </c>
      <c r="AG127" s="276">
        <f t="shared" si="39"/>
        <v>0</v>
      </c>
      <c r="AH127" s="276">
        <f t="shared" si="39"/>
        <v>0</v>
      </c>
      <c r="AI127" s="276">
        <f t="shared" si="39"/>
        <v>0</v>
      </c>
      <c r="AJ127" s="276">
        <f t="shared" si="39"/>
        <v>0.12610930005179521</v>
      </c>
      <c r="AK127" s="276">
        <f t="shared" si="39"/>
        <v>0</v>
      </c>
      <c r="AL127" s="276">
        <f t="shared" si="39"/>
        <v>0.10643979123499889</v>
      </c>
      <c r="AM127" s="276">
        <f t="shared" si="39"/>
        <v>0</v>
      </c>
      <c r="AN127" s="276">
        <f t="shared" si="39"/>
        <v>8.016654544178127E-2</v>
      </c>
      <c r="AO127" s="276">
        <f t="shared" si="39"/>
        <v>0</v>
      </c>
      <c r="AP127" s="259"/>
      <c r="AQ127" s="259"/>
    </row>
    <row r="128" spans="3:43" x14ac:dyDescent="0.3">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3">
      <c r="E129" s="32" t="s">
        <v>890</v>
      </c>
      <c r="I129" t="s">
        <v>153</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898</v>
      </c>
    </row>
    <row r="130" spans="3:43" x14ac:dyDescent="0.3">
      <c r="E130" s="88"/>
      <c r="F130" s="23" t="s">
        <v>155</v>
      </c>
      <c r="G130" s="23" t="s">
        <v>268</v>
      </c>
      <c r="H130" s="270"/>
      <c r="I130" s="258"/>
      <c r="J130" s="273">
        <f t="shared" ref="J130:J136" si="40" xml:space="preserve"> J110 * (1 - J75) + J44</f>
        <v>5.4396589292939481</v>
      </c>
      <c r="K130" s="273">
        <f t="shared" ref="K130:AJ130" si="41" xml:space="preserve"> K110 * (1 - K75) + K44</f>
        <v>5.4396589292939481</v>
      </c>
      <c r="L130" s="273">
        <f t="shared" si="41"/>
        <v>6.2734880540734563</v>
      </c>
      <c r="M130" s="273">
        <f t="shared" si="41"/>
        <v>6.2734880540734563</v>
      </c>
      <c r="N130" s="273">
        <f t="shared" si="41"/>
        <v>6.2734880540734563</v>
      </c>
      <c r="O130" s="273">
        <f t="shared" si="41"/>
        <v>6.2734880540734563</v>
      </c>
      <c r="P130" s="273">
        <f t="shared" si="41"/>
        <v>6.2734880540734563</v>
      </c>
      <c r="Q130" s="273">
        <f t="shared" si="41"/>
        <v>6.2734880540734563</v>
      </c>
      <c r="R130" s="273">
        <f t="shared" si="41"/>
        <v>4.5883030513847185</v>
      </c>
      <c r="S130" s="273">
        <f t="shared" si="41"/>
        <v>4.5883030513847185</v>
      </c>
      <c r="T130" s="273">
        <f t="shared" si="41"/>
        <v>4.5883030513847185</v>
      </c>
      <c r="U130" s="273">
        <f t="shared" si="41"/>
        <v>4.5883030513847185</v>
      </c>
      <c r="V130" s="273">
        <f t="shared" si="41"/>
        <v>4.5883030513847185</v>
      </c>
      <c r="W130" s="272"/>
      <c r="X130" s="272"/>
      <c r="Y130" s="272"/>
      <c r="Z130" s="272"/>
      <c r="AA130" s="272"/>
      <c r="AB130" s="272"/>
      <c r="AC130" s="272"/>
      <c r="AD130" s="272"/>
      <c r="AE130" s="272"/>
      <c r="AF130" s="272"/>
      <c r="AG130" s="273">
        <f t="shared" si="41"/>
        <v>10.900507991013164</v>
      </c>
      <c r="AH130" s="273">
        <f t="shared" si="41"/>
        <v>-6.5192956999219849</v>
      </c>
      <c r="AI130" s="272"/>
      <c r="AJ130" s="273">
        <f t="shared" si="41"/>
        <v>-6.5192956999219849</v>
      </c>
      <c r="AK130" s="272"/>
      <c r="AL130" s="272"/>
      <c r="AM130" s="272"/>
      <c r="AN130" s="272"/>
      <c r="AO130" s="272"/>
      <c r="AP130" s="259"/>
      <c r="AQ130" s="259"/>
    </row>
    <row r="131" spans="3:43" x14ac:dyDescent="0.3">
      <c r="E131" s="88"/>
      <c r="F131" t="s">
        <v>156</v>
      </c>
      <c r="G131" t="s">
        <v>268</v>
      </c>
      <c r="H131" s="271"/>
      <c r="I131" s="259"/>
      <c r="J131" s="320">
        <f t="shared" si="40"/>
        <v>0.98787187440233359</v>
      </c>
      <c r="K131" s="320">
        <f t="shared" ref="K131:AJ131" si="42" xml:space="preserve"> K111 * (1 - K76) + K45</f>
        <v>0.98787187440233359</v>
      </c>
      <c r="L131" s="320">
        <f t="shared" si="42"/>
        <v>1.1392998133841821</v>
      </c>
      <c r="M131" s="320">
        <f t="shared" si="42"/>
        <v>1.1392998133841821</v>
      </c>
      <c r="N131" s="320">
        <f t="shared" si="42"/>
        <v>1.1392998133841821</v>
      </c>
      <c r="O131" s="320">
        <f t="shared" si="42"/>
        <v>1.1392998133841821</v>
      </c>
      <c r="P131" s="320">
        <f t="shared" si="42"/>
        <v>1.1392998133841821</v>
      </c>
      <c r="Q131" s="320">
        <f t="shared" si="42"/>
        <v>1.1392998133841821</v>
      </c>
      <c r="R131" s="320">
        <f t="shared" si="42"/>
        <v>0.7646628938969785</v>
      </c>
      <c r="S131" s="320">
        <f t="shared" si="42"/>
        <v>0.7646628938969785</v>
      </c>
      <c r="T131" s="320">
        <f t="shared" si="42"/>
        <v>0.7646628938969785</v>
      </c>
      <c r="U131" s="320">
        <f t="shared" si="42"/>
        <v>0.7646628938969785</v>
      </c>
      <c r="V131" s="320">
        <f t="shared" si="42"/>
        <v>0.7646628938969785</v>
      </c>
      <c r="W131" s="260"/>
      <c r="X131" s="260"/>
      <c r="Y131" s="260"/>
      <c r="Z131" s="260"/>
      <c r="AA131" s="260"/>
      <c r="AB131" s="260"/>
      <c r="AC131" s="260"/>
      <c r="AD131" s="260"/>
      <c r="AE131" s="260"/>
      <c r="AF131" s="260"/>
      <c r="AG131" s="320">
        <f t="shared" si="42"/>
        <v>2.5705667947222253</v>
      </c>
      <c r="AH131" s="320">
        <f t="shared" si="42"/>
        <v>-1.1839398290548573</v>
      </c>
      <c r="AI131" s="260"/>
      <c r="AJ131" s="320">
        <f t="shared" si="42"/>
        <v>-1.1839398290548573</v>
      </c>
      <c r="AK131" s="260"/>
      <c r="AL131" s="260"/>
      <c r="AM131" s="260"/>
      <c r="AN131" s="260"/>
      <c r="AO131" s="260"/>
      <c r="AP131" s="259"/>
      <c r="AQ131" s="259"/>
    </row>
    <row r="132" spans="3:43" x14ac:dyDescent="0.3">
      <c r="E132" s="88"/>
      <c r="F132" t="s">
        <v>157</v>
      </c>
      <c r="G132" t="s">
        <v>268</v>
      </c>
      <c r="H132" s="271"/>
      <c r="I132" s="259"/>
      <c r="J132" s="320">
        <f t="shared" si="40"/>
        <v>0.1392363382025058</v>
      </c>
      <c r="K132" s="320">
        <f t="shared" ref="K132:AJ132" si="43" xml:space="preserve"> K112 * (1 - K77) + K46</f>
        <v>0.1392363382025058</v>
      </c>
      <c r="L132" s="320">
        <f t="shared" si="43"/>
        <v>0.16057946201412474</v>
      </c>
      <c r="M132" s="320">
        <f t="shared" si="43"/>
        <v>0.16057946201412474</v>
      </c>
      <c r="N132" s="320">
        <f t="shared" si="43"/>
        <v>0.16057946201412474</v>
      </c>
      <c r="O132" s="320">
        <f t="shared" si="43"/>
        <v>0.16057946201412474</v>
      </c>
      <c r="P132" s="320">
        <f t="shared" si="43"/>
        <v>0.16057946201412474</v>
      </c>
      <c r="Q132" s="320">
        <f t="shared" si="43"/>
        <v>0.16057946201412474</v>
      </c>
      <c r="R132" s="320">
        <f t="shared" si="43"/>
        <v>0.11084309552104053</v>
      </c>
      <c r="S132" s="320">
        <f t="shared" si="43"/>
        <v>0.11084309552104053</v>
      </c>
      <c r="T132" s="320">
        <f t="shared" si="43"/>
        <v>0.11084309552104053</v>
      </c>
      <c r="U132" s="320">
        <f t="shared" si="43"/>
        <v>0.11084309552104053</v>
      </c>
      <c r="V132" s="320">
        <f t="shared" si="43"/>
        <v>0.11084309552104053</v>
      </c>
      <c r="W132" s="260"/>
      <c r="X132" s="260"/>
      <c r="Y132" s="260"/>
      <c r="Z132" s="260"/>
      <c r="AA132" s="260"/>
      <c r="AB132" s="260"/>
      <c r="AC132" s="260"/>
      <c r="AD132" s="260"/>
      <c r="AE132" s="260"/>
      <c r="AF132" s="260"/>
      <c r="AG132" s="320">
        <f t="shared" si="43"/>
        <v>1.973294029970909</v>
      </c>
      <c r="AH132" s="320">
        <f t="shared" si="43"/>
        <v>-0.16687128232032356</v>
      </c>
      <c r="AI132" s="260"/>
      <c r="AJ132" s="320">
        <f t="shared" si="43"/>
        <v>-0.16687128232032356</v>
      </c>
      <c r="AK132" s="260"/>
      <c r="AL132" s="260"/>
      <c r="AM132" s="260"/>
      <c r="AN132" s="260"/>
      <c r="AO132" s="260"/>
      <c r="AP132" s="259"/>
      <c r="AQ132" s="259"/>
    </row>
    <row r="133" spans="3:43" x14ac:dyDescent="0.3">
      <c r="E133" s="88"/>
      <c r="F133" t="s">
        <v>158</v>
      </c>
      <c r="G133" t="s">
        <v>269</v>
      </c>
      <c r="H133" s="51"/>
      <c r="J133" s="321">
        <f t="shared" si="40"/>
        <v>16.492433102898012</v>
      </c>
      <c r="K133" s="321">
        <f t="shared" ref="K133:AJ133" si="44" xml:space="preserve"> K113 * (1 - K78) + K47</f>
        <v>0</v>
      </c>
      <c r="L133" s="321">
        <f t="shared" si="44"/>
        <v>2.8362631728410017</v>
      </c>
      <c r="M133" s="321">
        <f t="shared" si="44"/>
        <v>4.8405104680882376</v>
      </c>
      <c r="N133" s="321">
        <f t="shared" si="44"/>
        <v>12.724484307880941</v>
      </c>
      <c r="O133" s="321">
        <f t="shared" si="44"/>
        <v>27.335226306765037</v>
      </c>
      <c r="P133" s="321">
        <f t="shared" si="44"/>
        <v>79.129934468863567</v>
      </c>
      <c r="Q133" s="321">
        <f t="shared" si="44"/>
        <v>0</v>
      </c>
      <c r="R133" s="321">
        <f t="shared" si="44"/>
        <v>11.434280686078774</v>
      </c>
      <c r="S133" s="321">
        <f t="shared" si="44"/>
        <v>111.74195375424864</v>
      </c>
      <c r="T133" s="321">
        <f t="shared" si="44"/>
        <v>261.55987824860199</v>
      </c>
      <c r="U133" s="321">
        <f t="shared" si="44"/>
        <v>419.40292456942967</v>
      </c>
      <c r="V133" s="321">
        <f t="shared" si="44"/>
        <v>867.95937720502343</v>
      </c>
      <c r="W133" s="79"/>
      <c r="X133" s="79"/>
      <c r="Y133" s="79"/>
      <c r="Z133" s="79"/>
      <c r="AA133" s="79"/>
      <c r="AB133" s="79"/>
      <c r="AC133" s="79"/>
      <c r="AD133" s="79"/>
      <c r="AE133" s="79"/>
      <c r="AF133" s="79"/>
      <c r="AG133" s="321">
        <f t="shared" si="44"/>
        <v>0</v>
      </c>
      <c r="AH133" s="321">
        <f t="shared" si="44"/>
        <v>0</v>
      </c>
      <c r="AI133" s="79"/>
      <c r="AJ133" s="321">
        <f t="shared" si="44"/>
        <v>0</v>
      </c>
      <c r="AK133" s="79"/>
      <c r="AL133" s="79"/>
      <c r="AM133" s="79"/>
      <c r="AN133" s="79"/>
      <c r="AO133" s="79"/>
    </row>
    <row r="134" spans="3:43" x14ac:dyDescent="0.3">
      <c r="E134" s="88"/>
      <c r="F134" t="s">
        <v>159</v>
      </c>
      <c r="G134" t="s">
        <v>270</v>
      </c>
      <c r="H134" s="51"/>
      <c r="J134" s="321">
        <f t="shared" si="40"/>
        <v>0</v>
      </c>
      <c r="K134" s="321">
        <f t="shared" ref="K134:AJ134" si="45" xml:space="preserve"> K114 * (1 - K79) + K48</f>
        <v>0</v>
      </c>
      <c r="L134" s="321">
        <f t="shared" si="45"/>
        <v>0</v>
      </c>
      <c r="M134" s="321">
        <f t="shared" si="45"/>
        <v>0</v>
      </c>
      <c r="N134" s="321">
        <f t="shared" si="45"/>
        <v>0</v>
      </c>
      <c r="O134" s="321">
        <f t="shared" si="45"/>
        <v>0</v>
      </c>
      <c r="P134" s="321">
        <f t="shared" si="45"/>
        <v>0</v>
      </c>
      <c r="Q134" s="321">
        <f t="shared" si="45"/>
        <v>0</v>
      </c>
      <c r="R134" s="321">
        <f t="shared" si="45"/>
        <v>2.0446066738200135</v>
      </c>
      <c r="S134" s="321">
        <f t="shared" si="45"/>
        <v>2.0446066738200135</v>
      </c>
      <c r="T134" s="321">
        <f t="shared" si="45"/>
        <v>2.0446066738200135</v>
      </c>
      <c r="U134" s="321">
        <f t="shared" si="45"/>
        <v>2.0446066738200135</v>
      </c>
      <c r="V134" s="321">
        <f t="shared" si="45"/>
        <v>2.0446066738200135</v>
      </c>
      <c r="W134" s="79"/>
      <c r="X134" s="79"/>
      <c r="Y134" s="79"/>
      <c r="Z134" s="79"/>
      <c r="AA134" s="79"/>
      <c r="AB134" s="79"/>
      <c r="AC134" s="79"/>
      <c r="AD134" s="79"/>
      <c r="AE134" s="79"/>
      <c r="AF134" s="79"/>
      <c r="AG134" s="321">
        <f t="shared" si="45"/>
        <v>0</v>
      </c>
      <c r="AH134" s="321">
        <f t="shared" si="45"/>
        <v>0</v>
      </c>
      <c r="AI134" s="79"/>
      <c r="AJ134" s="321">
        <f t="shared" si="45"/>
        <v>0</v>
      </c>
      <c r="AK134" s="79"/>
      <c r="AL134" s="79"/>
      <c r="AM134" s="79"/>
      <c r="AN134" s="79"/>
      <c r="AO134" s="79"/>
    </row>
    <row r="135" spans="3:43" x14ac:dyDescent="0.3">
      <c r="E135" s="88"/>
      <c r="F135" t="s">
        <v>160</v>
      </c>
      <c r="G135" t="s">
        <v>270</v>
      </c>
      <c r="H135" s="51"/>
      <c r="J135" s="321">
        <f t="shared" si="40"/>
        <v>0</v>
      </c>
      <c r="K135" s="321">
        <f t="shared" ref="K135:AJ135" si="46" xml:space="preserve"> K115 * (1 - K80) + K49</f>
        <v>0</v>
      </c>
      <c r="L135" s="321">
        <f t="shared" si="46"/>
        <v>0</v>
      </c>
      <c r="M135" s="321">
        <f t="shared" si="46"/>
        <v>0</v>
      </c>
      <c r="N135" s="321">
        <f t="shared" si="46"/>
        <v>0</v>
      </c>
      <c r="O135" s="321">
        <f t="shared" si="46"/>
        <v>0</v>
      </c>
      <c r="P135" s="321">
        <f t="shared" si="46"/>
        <v>0</v>
      </c>
      <c r="Q135" s="321">
        <f t="shared" si="46"/>
        <v>0</v>
      </c>
      <c r="R135" s="321">
        <f t="shared" si="46"/>
        <v>3.0937193136732586</v>
      </c>
      <c r="S135" s="321">
        <f t="shared" si="46"/>
        <v>3.0937193136732586</v>
      </c>
      <c r="T135" s="321">
        <f t="shared" si="46"/>
        <v>3.0937193136732586</v>
      </c>
      <c r="U135" s="321">
        <f t="shared" si="46"/>
        <v>3.0937193136732586</v>
      </c>
      <c r="V135" s="321">
        <f t="shared" si="46"/>
        <v>3.0937193136732586</v>
      </c>
      <c r="W135" s="79"/>
      <c r="X135" s="79"/>
      <c r="Y135" s="79"/>
      <c r="Z135" s="79"/>
      <c r="AA135" s="79"/>
      <c r="AB135" s="79"/>
      <c r="AC135" s="79"/>
      <c r="AD135" s="79"/>
      <c r="AE135" s="79"/>
      <c r="AF135" s="79"/>
      <c r="AG135" s="321">
        <f t="shared" si="46"/>
        <v>0</v>
      </c>
      <c r="AH135" s="321">
        <f t="shared" si="46"/>
        <v>0</v>
      </c>
      <c r="AI135" s="79"/>
      <c r="AJ135" s="321">
        <f t="shared" si="46"/>
        <v>0</v>
      </c>
      <c r="AK135" s="79"/>
      <c r="AL135" s="79"/>
      <c r="AM135" s="79"/>
      <c r="AN135" s="79"/>
      <c r="AO135" s="79"/>
    </row>
    <row r="136" spans="3:43" x14ac:dyDescent="0.3">
      <c r="E136" s="88"/>
      <c r="F136" s="37" t="s">
        <v>161</v>
      </c>
      <c r="G136" s="37" t="s">
        <v>271</v>
      </c>
      <c r="H136" s="275"/>
      <c r="I136" s="261"/>
      <c r="J136" s="276">
        <f t="shared" si="40"/>
        <v>0</v>
      </c>
      <c r="K136" s="276">
        <f t="shared" ref="K136:AJ136" si="47" xml:space="preserve"> K116 * (1 - K81) + K50</f>
        <v>0</v>
      </c>
      <c r="L136" s="276">
        <f t="shared" si="47"/>
        <v>0</v>
      </c>
      <c r="M136" s="276">
        <f t="shared" si="47"/>
        <v>0</v>
      </c>
      <c r="N136" s="276">
        <f t="shared" si="47"/>
        <v>0</v>
      </c>
      <c r="O136" s="276">
        <f t="shared" si="47"/>
        <v>0</v>
      </c>
      <c r="P136" s="276">
        <f t="shared" si="47"/>
        <v>0</v>
      </c>
      <c r="Q136" s="276">
        <f t="shared" si="47"/>
        <v>0</v>
      </c>
      <c r="R136" s="276">
        <f t="shared" si="47"/>
        <v>9.8899280360923131E-2</v>
      </c>
      <c r="S136" s="276">
        <f t="shared" si="47"/>
        <v>9.8899280360923131E-2</v>
      </c>
      <c r="T136" s="276">
        <f t="shared" si="47"/>
        <v>9.8899280360923131E-2</v>
      </c>
      <c r="U136" s="276">
        <f t="shared" si="47"/>
        <v>9.8899280360923131E-2</v>
      </c>
      <c r="V136" s="276">
        <f t="shared" si="47"/>
        <v>9.8899280360923131E-2</v>
      </c>
      <c r="W136" s="262"/>
      <c r="X136" s="262"/>
      <c r="Y136" s="262"/>
      <c r="Z136" s="262"/>
      <c r="AA136" s="262"/>
      <c r="AB136" s="262"/>
      <c r="AC136" s="262"/>
      <c r="AD136" s="262"/>
      <c r="AE136" s="262"/>
      <c r="AF136" s="262"/>
      <c r="AG136" s="276">
        <f t="shared" si="47"/>
        <v>0</v>
      </c>
      <c r="AH136" s="276">
        <f t="shared" si="47"/>
        <v>0</v>
      </c>
      <c r="AI136" s="262"/>
      <c r="AJ136" s="276">
        <f t="shared" si="47"/>
        <v>0.12610930005179521</v>
      </c>
      <c r="AK136" s="262"/>
      <c r="AL136" s="262"/>
      <c r="AM136" s="262"/>
      <c r="AN136" s="262"/>
      <c r="AO136" s="262"/>
      <c r="AP136" s="259"/>
      <c r="AQ136" s="259"/>
    </row>
    <row r="137" spans="3:43" x14ac:dyDescent="0.3">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
      <c r="E138" s="32" t="s">
        <v>891</v>
      </c>
      <c r="I138" t="s">
        <v>153</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898</v>
      </c>
    </row>
    <row r="139" spans="3:43" x14ac:dyDescent="0.3">
      <c r="C139" s="88"/>
      <c r="F139" s="23" t="s">
        <v>155</v>
      </c>
      <c r="G139" s="23" t="s">
        <v>268</v>
      </c>
      <c r="H139" s="270"/>
      <c r="I139" s="258"/>
      <c r="J139" s="273">
        <f t="shared" ref="J139:J145" si="48">J110 * (1 - J84) + J44</f>
        <v>3.8150044258048408</v>
      </c>
      <c r="K139" s="273">
        <f t="shared" ref="K139:AN139" si="49">K110 * (1 - K84) + K44</f>
        <v>3.8150044258048408</v>
      </c>
      <c r="L139" s="273">
        <f t="shared" si="49"/>
        <v>4.399795097930987</v>
      </c>
      <c r="M139" s="273">
        <f t="shared" si="49"/>
        <v>4.399795097930987</v>
      </c>
      <c r="N139" s="273">
        <f t="shared" si="49"/>
        <v>4.399795097930987</v>
      </c>
      <c r="O139" s="273">
        <f t="shared" si="49"/>
        <v>4.399795097930987</v>
      </c>
      <c r="P139" s="273">
        <f t="shared" si="49"/>
        <v>4.399795097930987</v>
      </c>
      <c r="Q139" s="273">
        <f t="shared" si="49"/>
        <v>4.399795097930987</v>
      </c>
      <c r="R139" s="273">
        <f t="shared" si="49"/>
        <v>3.2179216887479702</v>
      </c>
      <c r="S139" s="273">
        <f t="shared" si="49"/>
        <v>3.2179216887479702</v>
      </c>
      <c r="T139" s="273">
        <f t="shared" si="49"/>
        <v>3.2179216887479702</v>
      </c>
      <c r="U139" s="273">
        <f t="shared" si="49"/>
        <v>3.2179216887479702</v>
      </c>
      <c r="V139" s="273">
        <f t="shared" si="49"/>
        <v>3.2179216887479702</v>
      </c>
      <c r="W139" s="273">
        <f t="shared" si="49"/>
        <v>4.1133984100785623</v>
      </c>
      <c r="X139" s="273">
        <f t="shared" si="49"/>
        <v>4.1133984100785623</v>
      </c>
      <c r="Y139" s="273">
        <f t="shared" si="49"/>
        <v>4.1133984100785623</v>
      </c>
      <c r="Z139" s="273">
        <f t="shared" si="49"/>
        <v>4.1133984100785623</v>
      </c>
      <c r="AA139" s="273">
        <f t="shared" si="49"/>
        <v>4.1133984100785623</v>
      </c>
      <c r="AB139" s="273">
        <f t="shared" si="49"/>
        <v>3.3493639982145411</v>
      </c>
      <c r="AC139" s="273">
        <f t="shared" si="49"/>
        <v>3.3493639982145411</v>
      </c>
      <c r="AD139" s="273">
        <f t="shared" si="49"/>
        <v>3.3493639982145411</v>
      </c>
      <c r="AE139" s="273">
        <f t="shared" si="49"/>
        <v>3.3493639982145411</v>
      </c>
      <c r="AF139" s="273">
        <f t="shared" si="49"/>
        <v>3.3493639982145411</v>
      </c>
      <c r="AG139" s="273">
        <f t="shared" si="49"/>
        <v>7.6448701600182734</v>
      </c>
      <c r="AH139" s="273">
        <f t="shared" si="49"/>
        <v>-6.5192956999219849</v>
      </c>
      <c r="AI139" s="273">
        <f t="shared" si="49"/>
        <v>-5.4300819577995343</v>
      </c>
      <c r="AJ139" s="273">
        <f t="shared" si="49"/>
        <v>-6.5192956999219849</v>
      </c>
      <c r="AK139" s="272"/>
      <c r="AL139" s="273">
        <f t="shared" si="49"/>
        <v>-5.4300819577995343</v>
      </c>
      <c r="AM139" s="272"/>
      <c r="AN139" s="273">
        <f t="shared" si="49"/>
        <v>-4.1415516971992012</v>
      </c>
      <c r="AO139" s="272"/>
      <c r="AP139" s="259"/>
      <c r="AQ139" s="259"/>
    </row>
    <row r="140" spans="3:43" x14ac:dyDescent="0.3">
      <c r="C140" s="88"/>
      <c r="F140" t="s">
        <v>156</v>
      </c>
      <c r="G140" t="s">
        <v>268</v>
      </c>
      <c r="H140" s="271"/>
      <c r="I140" s="259"/>
      <c r="J140" s="320">
        <f t="shared" si="48"/>
        <v>0.69282571241322244</v>
      </c>
      <c r="K140" s="320">
        <f t="shared" ref="K140:AN140" si="50">K111 * (1 - K85) + K45</f>
        <v>0.69282571241322244</v>
      </c>
      <c r="L140" s="320">
        <f t="shared" si="50"/>
        <v>0.79902690350173078</v>
      </c>
      <c r="M140" s="320">
        <f t="shared" si="50"/>
        <v>0.79902690350173078</v>
      </c>
      <c r="N140" s="320">
        <f t="shared" si="50"/>
        <v>0.79902690350173078</v>
      </c>
      <c r="O140" s="320">
        <f t="shared" si="50"/>
        <v>0.79902690350173078</v>
      </c>
      <c r="P140" s="320">
        <f t="shared" si="50"/>
        <v>0.79902690350173078</v>
      </c>
      <c r="Q140" s="320">
        <f t="shared" si="50"/>
        <v>0.79902690350173078</v>
      </c>
      <c r="R140" s="320">
        <f t="shared" si="50"/>
        <v>0.53628221224604489</v>
      </c>
      <c r="S140" s="320">
        <f t="shared" si="50"/>
        <v>0.53628221224604489</v>
      </c>
      <c r="T140" s="320">
        <f t="shared" si="50"/>
        <v>0.53628221224604489</v>
      </c>
      <c r="U140" s="320">
        <f t="shared" si="50"/>
        <v>0.53628221224604489</v>
      </c>
      <c r="V140" s="320">
        <f t="shared" si="50"/>
        <v>0.53628221224604489</v>
      </c>
      <c r="W140" s="320">
        <f t="shared" si="50"/>
        <v>0.62271606425041026</v>
      </c>
      <c r="X140" s="320">
        <f t="shared" si="50"/>
        <v>0.62271606425041026</v>
      </c>
      <c r="Y140" s="320">
        <f t="shared" si="50"/>
        <v>0.62271606425041026</v>
      </c>
      <c r="Z140" s="320">
        <f t="shared" si="50"/>
        <v>0.62271606425041026</v>
      </c>
      <c r="AA140" s="320">
        <f t="shared" si="50"/>
        <v>0.62271606425041026</v>
      </c>
      <c r="AB140" s="320">
        <f t="shared" si="50"/>
        <v>0.42209032857017431</v>
      </c>
      <c r="AC140" s="320">
        <f t="shared" si="50"/>
        <v>0.42209032857017431</v>
      </c>
      <c r="AD140" s="320">
        <f t="shared" si="50"/>
        <v>0.42209032857017431</v>
      </c>
      <c r="AE140" s="320">
        <f t="shared" si="50"/>
        <v>0.42209032857017431</v>
      </c>
      <c r="AF140" s="320">
        <f t="shared" si="50"/>
        <v>0.42209032857017431</v>
      </c>
      <c r="AG140" s="320">
        <f t="shared" si="50"/>
        <v>1.8028195933168805</v>
      </c>
      <c r="AH140" s="320">
        <f t="shared" si="50"/>
        <v>-1.1839398290548573</v>
      </c>
      <c r="AI140" s="320">
        <f t="shared" si="50"/>
        <v>-0.92197810927331569</v>
      </c>
      <c r="AJ140" s="320">
        <f t="shared" si="50"/>
        <v>-1.1839398290548573</v>
      </c>
      <c r="AK140" s="260"/>
      <c r="AL140" s="320">
        <f t="shared" si="50"/>
        <v>-0.92197810927331569</v>
      </c>
      <c r="AM140" s="260"/>
      <c r="AN140" s="320">
        <f t="shared" si="50"/>
        <v>-0.60092414595446808</v>
      </c>
      <c r="AO140" s="260"/>
      <c r="AP140" s="259"/>
      <c r="AQ140" s="259"/>
    </row>
    <row r="141" spans="3:43" x14ac:dyDescent="0.3">
      <c r="C141" s="88"/>
      <c r="F141" t="s">
        <v>157</v>
      </c>
      <c r="G141" t="s">
        <v>268</v>
      </c>
      <c r="H141" s="271"/>
      <c r="I141" s="259"/>
      <c r="J141" s="320">
        <f t="shared" si="48"/>
        <v>9.7650836822661929E-2</v>
      </c>
      <c r="K141" s="320">
        <f t="shared" ref="K141:AN141" si="51">K112 * (1 - K86) + K46</f>
        <v>9.7650836822661929E-2</v>
      </c>
      <c r="L141" s="320">
        <f t="shared" si="51"/>
        <v>0.1126194429173083</v>
      </c>
      <c r="M141" s="320">
        <f t="shared" si="51"/>
        <v>0.1126194429173083</v>
      </c>
      <c r="N141" s="320">
        <f t="shared" si="51"/>
        <v>0.1126194429173083</v>
      </c>
      <c r="O141" s="320">
        <f t="shared" si="51"/>
        <v>0.1126194429173083</v>
      </c>
      <c r="P141" s="320">
        <f t="shared" si="51"/>
        <v>0.1126194429173083</v>
      </c>
      <c r="Q141" s="320">
        <f t="shared" si="51"/>
        <v>0.1126194429173083</v>
      </c>
      <c r="R141" s="320">
        <f t="shared" si="51"/>
        <v>7.773775993664464E-2</v>
      </c>
      <c r="S141" s="320">
        <f t="shared" si="51"/>
        <v>7.773775993664464E-2</v>
      </c>
      <c r="T141" s="320">
        <f t="shared" si="51"/>
        <v>7.773775993664464E-2</v>
      </c>
      <c r="U141" s="320">
        <f t="shared" si="51"/>
        <v>7.773775993664464E-2</v>
      </c>
      <c r="V141" s="320">
        <f t="shared" si="51"/>
        <v>7.773775993664464E-2</v>
      </c>
      <c r="W141" s="320">
        <f t="shared" si="51"/>
        <v>9.3326785362751713E-2</v>
      </c>
      <c r="X141" s="320">
        <f t="shared" si="51"/>
        <v>9.3326785362751713E-2</v>
      </c>
      <c r="Y141" s="320">
        <f t="shared" si="51"/>
        <v>9.3326785362751713E-2</v>
      </c>
      <c r="Z141" s="320">
        <f t="shared" si="51"/>
        <v>9.3326785362751713E-2</v>
      </c>
      <c r="AA141" s="320">
        <f t="shared" si="51"/>
        <v>9.3326785362751713E-2</v>
      </c>
      <c r="AB141" s="320">
        <f t="shared" si="51"/>
        <v>6.7815862685297421E-2</v>
      </c>
      <c r="AC141" s="320">
        <f t="shared" si="51"/>
        <v>6.7815862685297421E-2</v>
      </c>
      <c r="AD141" s="320">
        <f t="shared" si="51"/>
        <v>6.7815862685297421E-2</v>
      </c>
      <c r="AE141" s="320">
        <f t="shared" si="51"/>
        <v>6.7815862685297421E-2</v>
      </c>
      <c r="AF141" s="320">
        <f t="shared" si="51"/>
        <v>6.7815862685297421E-2</v>
      </c>
      <c r="AG141" s="320">
        <f t="shared" si="51"/>
        <v>1.3839333597208487</v>
      </c>
      <c r="AH141" s="320">
        <f t="shared" si="51"/>
        <v>-0.16687128232032356</v>
      </c>
      <c r="AI141" s="320">
        <f t="shared" si="51"/>
        <v>-0.1328173286336693</v>
      </c>
      <c r="AJ141" s="320">
        <f t="shared" si="51"/>
        <v>-0.16687128232032356</v>
      </c>
      <c r="AK141" s="260"/>
      <c r="AL141" s="320">
        <f t="shared" si="51"/>
        <v>-0.1328173286336693</v>
      </c>
      <c r="AM141" s="260"/>
      <c r="AN141" s="320">
        <f t="shared" si="51"/>
        <v>-9.1458253259940767E-2</v>
      </c>
      <c r="AO141" s="260"/>
      <c r="AP141" s="259"/>
      <c r="AQ141" s="259"/>
    </row>
    <row r="142" spans="3:43" x14ac:dyDescent="0.3">
      <c r="C142" s="88"/>
      <c r="F142" t="s">
        <v>158</v>
      </c>
      <c r="G142" t="s">
        <v>269</v>
      </c>
      <c r="H142" s="51"/>
      <c r="J142" s="321">
        <f t="shared" si="48"/>
        <v>14.393373789457328</v>
      </c>
      <c r="K142" s="321">
        <f t="shared" ref="K142:AN142" si="52">K113 * (1 - K87) + K47</f>
        <v>0</v>
      </c>
      <c r="L142" s="321">
        <f t="shared" si="52"/>
        <v>2.0007730536880119</v>
      </c>
      <c r="M142" s="321">
        <f t="shared" si="52"/>
        <v>3.4064149149081682</v>
      </c>
      <c r="N142" s="321">
        <f t="shared" si="52"/>
        <v>8.9356945044361655</v>
      </c>
      <c r="O142" s="321">
        <f t="shared" si="52"/>
        <v>19.182668830319201</v>
      </c>
      <c r="P142" s="321">
        <f t="shared" si="52"/>
        <v>55.507931763178021</v>
      </c>
      <c r="Q142" s="321">
        <f t="shared" si="52"/>
        <v>0</v>
      </c>
      <c r="R142" s="321">
        <f t="shared" si="52"/>
        <v>8.0308339991464379</v>
      </c>
      <c r="S142" s="321">
        <f t="shared" si="52"/>
        <v>78.379769781949847</v>
      </c>
      <c r="T142" s="321">
        <f t="shared" si="52"/>
        <v>183.45180691517501</v>
      </c>
      <c r="U142" s="321">
        <f t="shared" si="52"/>
        <v>294.15211517414082</v>
      </c>
      <c r="V142" s="321">
        <f t="shared" si="52"/>
        <v>608.73890715343578</v>
      </c>
      <c r="W142" s="321">
        <f t="shared" si="52"/>
        <v>40.907701752815555</v>
      </c>
      <c r="X142" s="321">
        <f t="shared" si="52"/>
        <v>152.36743951016351</v>
      </c>
      <c r="Y142" s="321">
        <f t="shared" si="52"/>
        <v>318.84190815965803</v>
      </c>
      <c r="Z142" s="321">
        <f t="shared" si="52"/>
        <v>494.23372028736964</v>
      </c>
      <c r="AA142" s="321">
        <f t="shared" si="52"/>
        <v>992.66004253045378</v>
      </c>
      <c r="AB142" s="321">
        <f t="shared" si="52"/>
        <v>106.3142579246654</v>
      </c>
      <c r="AC142" s="321">
        <f t="shared" si="52"/>
        <v>946.98541903423586</v>
      </c>
      <c r="AD142" s="321">
        <f t="shared" si="52"/>
        <v>2854.2208564436805</v>
      </c>
      <c r="AE142" s="321">
        <f t="shared" si="52"/>
        <v>5866.5967200381383</v>
      </c>
      <c r="AF142" s="321">
        <f t="shared" si="52"/>
        <v>13539.422580906197</v>
      </c>
      <c r="AG142" s="321">
        <f t="shared" si="52"/>
        <v>0</v>
      </c>
      <c r="AH142" s="321">
        <f t="shared" si="52"/>
        <v>0</v>
      </c>
      <c r="AI142" s="321">
        <f t="shared" si="52"/>
        <v>0</v>
      </c>
      <c r="AJ142" s="321">
        <f t="shared" si="52"/>
        <v>0</v>
      </c>
      <c r="AK142" s="79"/>
      <c r="AL142" s="321">
        <f t="shared" si="52"/>
        <v>0</v>
      </c>
      <c r="AM142" s="79"/>
      <c r="AN142" s="321">
        <f t="shared" si="52"/>
        <v>0</v>
      </c>
      <c r="AO142" s="79"/>
    </row>
    <row r="143" spans="3:43" x14ac:dyDescent="0.3">
      <c r="C143" s="88"/>
      <c r="F143" t="s">
        <v>159</v>
      </c>
      <c r="G143" t="s">
        <v>270</v>
      </c>
      <c r="H143" s="51"/>
      <c r="J143" s="321">
        <f t="shared" si="48"/>
        <v>0</v>
      </c>
      <c r="K143" s="321">
        <f t="shared" ref="K143:AN143" si="53">K114 * (1 - K88) + K48</f>
        <v>0</v>
      </c>
      <c r="L143" s="321">
        <f t="shared" si="53"/>
        <v>0</v>
      </c>
      <c r="M143" s="321">
        <f t="shared" si="53"/>
        <v>0</v>
      </c>
      <c r="N143" s="321">
        <f t="shared" si="53"/>
        <v>0</v>
      </c>
      <c r="O143" s="321">
        <f t="shared" si="53"/>
        <v>0</v>
      </c>
      <c r="P143" s="321">
        <f t="shared" si="53"/>
        <v>0</v>
      </c>
      <c r="Q143" s="321">
        <f t="shared" si="53"/>
        <v>0</v>
      </c>
      <c r="R143" s="321">
        <f t="shared" si="53"/>
        <v>1.4339471667327326</v>
      </c>
      <c r="S143" s="321">
        <f t="shared" si="53"/>
        <v>1.4339471667327326</v>
      </c>
      <c r="T143" s="321">
        <f t="shared" si="53"/>
        <v>1.4339471667327326</v>
      </c>
      <c r="U143" s="321">
        <f t="shared" si="53"/>
        <v>1.4339471667327326</v>
      </c>
      <c r="V143" s="321">
        <f t="shared" si="53"/>
        <v>1.4339471667327326</v>
      </c>
      <c r="W143" s="321">
        <f t="shared" si="53"/>
        <v>2.3258285579751172</v>
      </c>
      <c r="X143" s="321">
        <f t="shared" si="53"/>
        <v>2.3258285579751172</v>
      </c>
      <c r="Y143" s="321">
        <f t="shared" si="53"/>
        <v>2.3258285579751172</v>
      </c>
      <c r="Z143" s="321">
        <f t="shared" si="53"/>
        <v>2.3258285579751172</v>
      </c>
      <c r="AA143" s="321">
        <f t="shared" si="53"/>
        <v>2.3258285579751172</v>
      </c>
      <c r="AB143" s="321">
        <f t="shared" si="53"/>
        <v>2.698419625421359</v>
      </c>
      <c r="AC143" s="321">
        <f t="shared" si="53"/>
        <v>2.698419625421359</v>
      </c>
      <c r="AD143" s="321">
        <f t="shared" si="53"/>
        <v>2.698419625421359</v>
      </c>
      <c r="AE143" s="321">
        <f t="shared" si="53"/>
        <v>2.698419625421359</v>
      </c>
      <c r="AF143" s="321">
        <f t="shared" si="53"/>
        <v>2.698419625421359</v>
      </c>
      <c r="AG143" s="321">
        <f t="shared" si="53"/>
        <v>0</v>
      </c>
      <c r="AH143" s="321">
        <f t="shared" si="53"/>
        <v>0</v>
      </c>
      <c r="AI143" s="321">
        <f t="shared" si="53"/>
        <v>0</v>
      </c>
      <c r="AJ143" s="321">
        <f t="shared" si="53"/>
        <v>0</v>
      </c>
      <c r="AK143" s="79"/>
      <c r="AL143" s="321">
        <f t="shared" si="53"/>
        <v>0</v>
      </c>
      <c r="AM143" s="79"/>
      <c r="AN143" s="321">
        <f t="shared" si="53"/>
        <v>0</v>
      </c>
      <c r="AO143" s="79"/>
    </row>
    <row r="144" spans="3:43" x14ac:dyDescent="0.3">
      <c r="C144" s="88"/>
      <c r="F144" t="s">
        <v>160</v>
      </c>
      <c r="G144" t="s">
        <v>270</v>
      </c>
      <c r="H144" s="51"/>
      <c r="J144" s="321">
        <f t="shared" si="48"/>
        <v>0</v>
      </c>
      <c r="K144" s="321">
        <f t="shared" ref="K144:AN144" si="54">K115 * (1 - K89) + K49</f>
        <v>0</v>
      </c>
      <c r="L144" s="321">
        <f t="shared" si="54"/>
        <v>0</v>
      </c>
      <c r="M144" s="321">
        <f t="shared" si="54"/>
        <v>0</v>
      </c>
      <c r="N144" s="321">
        <f t="shared" si="54"/>
        <v>0</v>
      </c>
      <c r="O144" s="321">
        <f t="shared" si="54"/>
        <v>0</v>
      </c>
      <c r="P144" s="321">
        <f t="shared" si="54"/>
        <v>0</v>
      </c>
      <c r="Q144" s="321">
        <f t="shared" si="54"/>
        <v>0</v>
      </c>
      <c r="R144" s="321">
        <f t="shared" si="54"/>
        <v>2.1697229600741408</v>
      </c>
      <c r="S144" s="321">
        <f t="shared" si="54"/>
        <v>2.1697229600741408</v>
      </c>
      <c r="T144" s="321">
        <f t="shared" si="54"/>
        <v>2.1697229600741408</v>
      </c>
      <c r="U144" s="321">
        <f t="shared" si="54"/>
        <v>2.1697229600741408</v>
      </c>
      <c r="V144" s="321">
        <f t="shared" si="54"/>
        <v>2.1697229600741408</v>
      </c>
      <c r="W144" s="321">
        <f t="shared" si="54"/>
        <v>3.9854261663737094</v>
      </c>
      <c r="X144" s="321">
        <f t="shared" si="54"/>
        <v>3.9854261663737094</v>
      </c>
      <c r="Y144" s="321">
        <f t="shared" si="54"/>
        <v>3.9854261663737094</v>
      </c>
      <c r="Z144" s="321">
        <f t="shared" si="54"/>
        <v>3.9854261663737094</v>
      </c>
      <c r="AA144" s="321">
        <f t="shared" si="54"/>
        <v>3.9854261663737094</v>
      </c>
      <c r="AB144" s="321">
        <f t="shared" si="54"/>
        <v>4.9094913124957928</v>
      </c>
      <c r="AC144" s="321">
        <f t="shared" si="54"/>
        <v>4.9094913124957928</v>
      </c>
      <c r="AD144" s="321">
        <f t="shared" si="54"/>
        <v>4.9094913124957928</v>
      </c>
      <c r="AE144" s="321">
        <f t="shared" si="54"/>
        <v>4.9094913124957928</v>
      </c>
      <c r="AF144" s="321">
        <f t="shared" si="54"/>
        <v>4.9094913124957928</v>
      </c>
      <c r="AG144" s="321">
        <f t="shared" si="54"/>
        <v>0</v>
      </c>
      <c r="AH144" s="321">
        <f t="shared" si="54"/>
        <v>0</v>
      </c>
      <c r="AI144" s="321">
        <f t="shared" si="54"/>
        <v>0</v>
      </c>
      <c r="AJ144" s="321">
        <f t="shared" si="54"/>
        <v>0</v>
      </c>
      <c r="AK144" s="79"/>
      <c r="AL144" s="321">
        <f t="shared" si="54"/>
        <v>0</v>
      </c>
      <c r="AM144" s="79"/>
      <c r="AN144" s="321">
        <f t="shared" si="54"/>
        <v>0</v>
      </c>
      <c r="AO144" s="79"/>
    </row>
    <row r="145" spans="1:43" x14ac:dyDescent="0.3">
      <c r="C145" s="88"/>
      <c r="F145" s="37" t="s">
        <v>161</v>
      </c>
      <c r="G145" s="37" t="s">
        <v>271</v>
      </c>
      <c r="H145" s="275"/>
      <c r="I145" s="261"/>
      <c r="J145" s="276">
        <f t="shared" si="48"/>
        <v>0</v>
      </c>
      <c r="K145" s="276">
        <f t="shared" ref="K145:AN145" si="55">K116 * (1 - K90) + K50</f>
        <v>0</v>
      </c>
      <c r="L145" s="276">
        <f t="shared" si="55"/>
        <v>0</v>
      </c>
      <c r="M145" s="276">
        <f t="shared" si="55"/>
        <v>0</v>
      </c>
      <c r="N145" s="276">
        <f t="shared" si="55"/>
        <v>0</v>
      </c>
      <c r="O145" s="276">
        <f t="shared" si="55"/>
        <v>0</v>
      </c>
      <c r="P145" s="276">
        <f t="shared" si="55"/>
        <v>0</v>
      </c>
      <c r="Q145" s="276">
        <f t="shared" si="55"/>
        <v>0</v>
      </c>
      <c r="R145" s="276">
        <f t="shared" si="55"/>
        <v>6.9361185543081114E-2</v>
      </c>
      <c r="S145" s="276">
        <f t="shared" si="55"/>
        <v>6.9361185543081114E-2</v>
      </c>
      <c r="T145" s="276">
        <f t="shared" si="55"/>
        <v>6.9361185543081114E-2</v>
      </c>
      <c r="U145" s="276">
        <f t="shared" si="55"/>
        <v>6.9361185543081114E-2</v>
      </c>
      <c r="V145" s="276">
        <f t="shared" si="55"/>
        <v>6.9361185543081114E-2</v>
      </c>
      <c r="W145" s="276">
        <f t="shared" si="55"/>
        <v>8.1168701549246478E-2</v>
      </c>
      <c r="X145" s="276">
        <f t="shared" si="55"/>
        <v>8.1168701549246478E-2</v>
      </c>
      <c r="Y145" s="276">
        <f t="shared" si="55"/>
        <v>8.1168701549246478E-2</v>
      </c>
      <c r="Z145" s="276">
        <f t="shared" si="55"/>
        <v>8.1168701549246478E-2</v>
      </c>
      <c r="AA145" s="276">
        <f t="shared" si="55"/>
        <v>8.1168701549246478E-2</v>
      </c>
      <c r="AB145" s="276">
        <f t="shared" si="55"/>
        <v>5.9100834204380413E-2</v>
      </c>
      <c r="AC145" s="276">
        <f t="shared" si="55"/>
        <v>5.9100834204380413E-2</v>
      </c>
      <c r="AD145" s="276">
        <f t="shared" si="55"/>
        <v>5.9100834204380413E-2</v>
      </c>
      <c r="AE145" s="276">
        <f t="shared" si="55"/>
        <v>5.9100834204380413E-2</v>
      </c>
      <c r="AF145" s="276">
        <f t="shared" si="55"/>
        <v>5.9100834204380413E-2</v>
      </c>
      <c r="AG145" s="276">
        <f t="shared" si="55"/>
        <v>0</v>
      </c>
      <c r="AH145" s="276">
        <f t="shared" si="55"/>
        <v>0</v>
      </c>
      <c r="AI145" s="276">
        <f t="shared" si="55"/>
        <v>0</v>
      </c>
      <c r="AJ145" s="276">
        <f t="shared" si="55"/>
        <v>0.12610930005179521</v>
      </c>
      <c r="AK145" s="262"/>
      <c r="AL145" s="276">
        <f t="shared" si="55"/>
        <v>0.10643979123499889</v>
      </c>
      <c r="AM145" s="262"/>
      <c r="AN145" s="276">
        <f t="shared" si="55"/>
        <v>8.016654544178127E-2</v>
      </c>
      <c r="AO145" s="262"/>
      <c r="AP145" s="259"/>
      <c r="AQ145" s="259"/>
    </row>
    <row r="146" spans="1:43" x14ac:dyDescent="0.3">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row>
    <row r="147" spans="1:43" x14ac:dyDescent="0.3">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3">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3">
      <c r="E149" s="32" t="s">
        <v>753</v>
      </c>
      <c r="F149" s="32"/>
      <c r="I149" t="s">
        <v>153</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154</v>
      </c>
    </row>
    <row r="150" spans="1:43" x14ac:dyDescent="0.3">
      <c r="E150" s="88"/>
      <c r="F150" s="23" t="s">
        <v>155</v>
      </c>
      <c r="G150" s="23" t="s">
        <v>268</v>
      </c>
      <c r="H150" s="270"/>
      <c r="I150" s="258"/>
      <c r="J150" s="263">
        <f t="shared" ref="J150" si="56">ROUND(J121, $H95)</f>
        <v>8.3510000000000009</v>
      </c>
      <c r="K150" s="263">
        <f t="shared" ref="K150:AO150" si="57">ROUND(K121, $H95)</f>
        <v>8.3510000000000009</v>
      </c>
      <c r="L150" s="263">
        <f t="shared" si="57"/>
        <v>9.6319999999999997</v>
      </c>
      <c r="M150" s="263">
        <f t="shared" si="57"/>
        <v>9.6319999999999997</v>
      </c>
      <c r="N150" s="263">
        <f t="shared" si="57"/>
        <v>9.6319999999999997</v>
      </c>
      <c r="O150" s="263">
        <f t="shared" si="57"/>
        <v>9.6319999999999997</v>
      </c>
      <c r="P150" s="263">
        <f t="shared" si="57"/>
        <v>9.6319999999999997</v>
      </c>
      <c r="Q150" s="263">
        <f t="shared" si="57"/>
        <v>9.6319999999999997</v>
      </c>
      <c r="R150" s="263">
        <f t="shared" si="57"/>
        <v>7.0439999999999996</v>
      </c>
      <c r="S150" s="263">
        <f t="shared" si="57"/>
        <v>7.0439999999999996</v>
      </c>
      <c r="T150" s="263">
        <f t="shared" si="57"/>
        <v>7.0439999999999996</v>
      </c>
      <c r="U150" s="263">
        <f t="shared" si="57"/>
        <v>7.0439999999999996</v>
      </c>
      <c r="V150" s="263">
        <f t="shared" si="57"/>
        <v>7.0439999999999996</v>
      </c>
      <c r="W150" s="263">
        <f t="shared" si="57"/>
        <v>5.6829999999999998</v>
      </c>
      <c r="X150" s="263">
        <f t="shared" si="57"/>
        <v>5.6829999999999998</v>
      </c>
      <c r="Y150" s="263">
        <f t="shared" si="57"/>
        <v>5.6829999999999998</v>
      </c>
      <c r="Z150" s="263">
        <f t="shared" si="57"/>
        <v>5.6829999999999998</v>
      </c>
      <c r="AA150" s="263">
        <f t="shared" si="57"/>
        <v>5.6829999999999998</v>
      </c>
      <c r="AB150" s="263">
        <f t="shared" si="57"/>
        <v>3.9129999999999998</v>
      </c>
      <c r="AC150" s="263">
        <f t="shared" si="57"/>
        <v>3.9129999999999998</v>
      </c>
      <c r="AD150" s="263">
        <f t="shared" si="57"/>
        <v>3.9129999999999998</v>
      </c>
      <c r="AE150" s="263">
        <f t="shared" si="57"/>
        <v>3.9129999999999998</v>
      </c>
      <c r="AF150" s="263">
        <f t="shared" si="57"/>
        <v>3.9129999999999998</v>
      </c>
      <c r="AG150" s="263">
        <f t="shared" si="57"/>
        <v>16.736000000000001</v>
      </c>
      <c r="AH150" s="263">
        <f t="shared" si="57"/>
        <v>-6.5190000000000001</v>
      </c>
      <c r="AI150" s="263">
        <f t="shared" si="57"/>
        <v>-5.43</v>
      </c>
      <c r="AJ150" s="263">
        <f t="shared" si="57"/>
        <v>-6.5190000000000001</v>
      </c>
      <c r="AK150" s="263">
        <f t="shared" si="57"/>
        <v>-6.5190000000000001</v>
      </c>
      <c r="AL150" s="263">
        <f t="shared" si="57"/>
        <v>-5.43</v>
      </c>
      <c r="AM150" s="263">
        <f t="shared" si="57"/>
        <v>-5.43</v>
      </c>
      <c r="AN150" s="263">
        <f t="shared" si="57"/>
        <v>-4.1420000000000003</v>
      </c>
      <c r="AO150" s="263">
        <f t="shared" si="57"/>
        <v>-4.1420000000000003</v>
      </c>
      <c r="AP150" s="259"/>
      <c r="AQ150" s="259"/>
    </row>
    <row r="151" spans="1:43" x14ac:dyDescent="0.3">
      <c r="E151" s="88"/>
      <c r="F151" t="s">
        <v>156</v>
      </c>
      <c r="G151" t="s">
        <v>268</v>
      </c>
      <c r="H151" s="271"/>
      <c r="I151" s="259"/>
      <c r="J151" s="264">
        <f t="shared" ref="J151:J156" si="58">ROUND(J122, $H96)</f>
        <v>1.5169999999999999</v>
      </c>
      <c r="K151" s="264">
        <f t="shared" ref="K151:AO151" si="59">ROUND(K122, $H96)</f>
        <v>1.5169999999999999</v>
      </c>
      <c r="L151" s="264">
        <f t="shared" si="59"/>
        <v>1.7490000000000001</v>
      </c>
      <c r="M151" s="264">
        <f t="shared" si="59"/>
        <v>1.7490000000000001</v>
      </c>
      <c r="N151" s="264">
        <f t="shared" si="59"/>
        <v>1.7490000000000001</v>
      </c>
      <c r="O151" s="264">
        <f t="shared" si="59"/>
        <v>1.7490000000000001</v>
      </c>
      <c r="P151" s="264">
        <f t="shared" si="59"/>
        <v>1.7490000000000001</v>
      </c>
      <c r="Q151" s="264">
        <f t="shared" si="59"/>
        <v>1.7490000000000001</v>
      </c>
      <c r="R151" s="264">
        <f t="shared" si="59"/>
        <v>1.1739999999999999</v>
      </c>
      <c r="S151" s="264">
        <f t="shared" si="59"/>
        <v>1.1739999999999999</v>
      </c>
      <c r="T151" s="264">
        <f t="shared" si="59"/>
        <v>1.1739999999999999</v>
      </c>
      <c r="U151" s="264">
        <f t="shared" si="59"/>
        <v>1.1739999999999999</v>
      </c>
      <c r="V151" s="264">
        <f t="shared" si="59"/>
        <v>1.1739999999999999</v>
      </c>
      <c r="W151" s="264">
        <f t="shared" si="59"/>
        <v>0.86</v>
      </c>
      <c r="X151" s="264">
        <f t="shared" si="59"/>
        <v>0.86</v>
      </c>
      <c r="Y151" s="264">
        <f t="shared" si="59"/>
        <v>0.86</v>
      </c>
      <c r="Z151" s="264">
        <f t="shared" si="59"/>
        <v>0.86</v>
      </c>
      <c r="AA151" s="264">
        <f t="shared" si="59"/>
        <v>0.86</v>
      </c>
      <c r="AB151" s="264">
        <f t="shared" si="59"/>
        <v>0.49299999999999999</v>
      </c>
      <c r="AC151" s="264">
        <f t="shared" si="59"/>
        <v>0.49299999999999999</v>
      </c>
      <c r="AD151" s="264">
        <f t="shared" si="59"/>
        <v>0.49299999999999999</v>
      </c>
      <c r="AE151" s="264">
        <f t="shared" si="59"/>
        <v>0.49299999999999999</v>
      </c>
      <c r="AF151" s="264">
        <f t="shared" si="59"/>
        <v>0.49299999999999999</v>
      </c>
      <c r="AG151" s="264">
        <f t="shared" si="59"/>
        <v>3.9470000000000001</v>
      </c>
      <c r="AH151" s="264">
        <f t="shared" si="59"/>
        <v>-1.1839999999999999</v>
      </c>
      <c r="AI151" s="264">
        <f t="shared" si="59"/>
        <v>-0.92200000000000004</v>
      </c>
      <c r="AJ151" s="264">
        <f t="shared" si="59"/>
        <v>-1.1839999999999999</v>
      </c>
      <c r="AK151" s="264">
        <f t="shared" si="59"/>
        <v>-1.1839999999999999</v>
      </c>
      <c r="AL151" s="264">
        <f t="shared" si="59"/>
        <v>-0.92200000000000004</v>
      </c>
      <c r="AM151" s="264">
        <f t="shared" si="59"/>
        <v>-0.92200000000000004</v>
      </c>
      <c r="AN151" s="264">
        <f t="shared" si="59"/>
        <v>-0.60099999999999998</v>
      </c>
      <c r="AO151" s="264">
        <f t="shared" si="59"/>
        <v>-0.60099999999999998</v>
      </c>
      <c r="AP151" s="259"/>
      <c r="AQ151" s="259"/>
    </row>
    <row r="152" spans="1:43" x14ac:dyDescent="0.3">
      <c r="E152" s="88"/>
      <c r="F152" t="s">
        <v>157</v>
      </c>
      <c r="G152" t="s">
        <v>268</v>
      </c>
      <c r="H152" s="271"/>
      <c r="I152" s="259"/>
      <c r="J152" s="264">
        <f t="shared" si="58"/>
        <v>0.214</v>
      </c>
      <c r="K152" s="264">
        <f t="shared" ref="K152:AO152" si="60">ROUND(K123, $H97)</f>
        <v>0.214</v>
      </c>
      <c r="L152" s="264">
        <f t="shared" si="60"/>
        <v>0.247</v>
      </c>
      <c r="M152" s="264">
        <f t="shared" si="60"/>
        <v>0.247</v>
      </c>
      <c r="N152" s="264">
        <f t="shared" si="60"/>
        <v>0.247</v>
      </c>
      <c r="O152" s="264">
        <f t="shared" si="60"/>
        <v>0.247</v>
      </c>
      <c r="P152" s="264">
        <f t="shared" si="60"/>
        <v>0.247</v>
      </c>
      <c r="Q152" s="264">
        <f t="shared" si="60"/>
        <v>0.247</v>
      </c>
      <c r="R152" s="264">
        <f t="shared" si="60"/>
        <v>0.17</v>
      </c>
      <c r="S152" s="264">
        <f t="shared" si="60"/>
        <v>0.17</v>
      </c>
      <c r="T152" s="264">
        <f t="shared" si="60"/>
        <v>0.17</v>
      </c>
      <c r="U152" s="264">
        <f t="shared" si="60"/>
        <v>0.17</v>
      </c>
      <c r="V152" s="264">
        <f t="shared" si="60"/>
        <v>0.17</v>
      </c>
      <c r="W152" s="264">
        <f t="shared" si="60"/>
        <v>0.129</v>
      </c>
      <c r="X152" s="264">
        <f t="shared" si="60"/>
        <v>0.129</v>
      </c>
      <c r="Y152" s="264">
        <f t="shared" si="60"/>
        <v>0.129</v>
      </c>
      <c r="Z152" s="264">
        <f t="shared" si="60"/>
        <v>0.129</v>
      </c>
      <c r="AA152" s="264">
        <f t="shared" si="60"/>
        <v>0.129</v>
      </c>
      <c r="AB152" s="264">
        <f t="shared" si="60"/>
        <v>7.9000000000000001E-2</v>
      </c>
      <c r="AC152" s="264">
        <f t="shared" si="60"/>
        <v>7.9000000000000001E-2</v>
      </c>
      <c r="AD152" s="264">
        <f t="shared" si="60"/>
        <v>7.9000000000000001E-2</v>
      </c>
      <c r="AE152" s="264">
        <f t="shared" si="60"/>
        <v>7.9000000000000001E-2</v>
      </c>
      <c r="AF152" s="264">
        <f t="shared" si="60"/>
        <v>7.9000000000000001E-2</v>
      </c>
      <c r="AG152" s="264">
        <f t="shared" si="60"/>
        <v>3.03</v>
      </c>
      <c r="AH152" s="264">
        <f t="shared" si="60"/>
        <v>-0.16700000000000001</v>
      </c>
      <c r="AI152" s="264">
        <f t="shared" si="60"/>
        <v>-0.13300000000000001</v>
      </c>
      <c r="AJ152" s="264">
        <f t="shared" si="60"/>
        <v>-0.16700000000000001</v>
      </c>
      <c r="AK152" s="264">
        <f t="shared" si="60"/>
        <v>-0.16700000000000001</v>
      </c>
      <c r="AL152" s="264">
        <f t="shared" si="60"/>
        <v>-0.13300000000000001</v>
      </c>
      <c r="AM152" s="264">
        <f t="shared" si="60"/>
        <v>-0.13300000000000001</v>
      </c>
      <c r="AN152" s="264">
        <f t="shared" si="60"/>
        <v>-9.0999999999999998E-2</v>
      </c>
      <c r="AO152" s="264">
        <f t="shared" si="60"/>
        <v>-9.0999999999999998E-2</v>
      </c>
      <c r="AP152" s="259"/>
      <c r="AQ152" s="259"/>
    </row>
    <row r="153" spans="1:43" x14ac:dyDescent="0.3">
      <c r="E153" s="88"/>
      <c r="F153" t="s">
        <v>158</v>
      </c>
      <c r="G153" t="s">
        <v>269</v>
      </c>
      <c r="H153" s="51"/>
      <c r="J153" s="121">
        <f t="shared" si="58"/>
        <v>20.25</v>
      </c>
      <c r="K153" s="121">
        <f t="shared" ref="K153:AO153" si="61">ROUND(K124, $H98)</f>
        <v>0</v>
      </c>
      <c r="L153" s="121">
        <f t="shared" si="61"/>
        <v>4.33</v>
      </c>
      <c r="M153" s="121">
        <f t="shared" si="61"/>
        <v>7.41</v>
      </c>
      <c r="N153" s="121">
        <f t="shared" si="61"/>
        <v>19.52</v>
      </c>
      <c r="O153" s="121">
        <f t="shared" si="61"/>
        <v>41.95</v>
      </c>
      <c r="P153" s="121">
        <f t="shared" si="61"/>
        <v>121.47</v>
      </c>
      <c r="Q153" s="121">
        <f t="shared" si="61"/>
        <v>0</v>
      </c>
      <c r="R153" s="121">
        <f t="shared" si="61"/>
        <v>17.53</v>
      </c>
      <c r="S153" s="121">
        <f t="shared" si="61"/>
        <v>171.54</v>
      </c>
      <c r="T153" s="121">
        <f t="shared" si="61"/>
        <v>401.55</v>
      </c>
      <c r="U153" s="121">
        <f t="shared" si="61"/>
        <v>643.89</v>
      </c>
      <c r="V153" s="121">
        <f t="shared" si="61"/>
        <v>1332.55</v>
      </c>
      <c r="W153" s="121">
        <f t="shared" si="61"/>
        <v>56.51</v>
      </c>
      <c r="X153" s="121">
        <f t="shared" si="61"/>
        <v>210.51</v>
      </c>
      <c r="Y153" s="121">
        <f t="shared" si="61"/>
        <v>440.52</v>
      </c>
      <c r="Z153" s="121">
        <f t="shared" si="61"/>
        <v>682.86</v>
      </c>
      <c r="AA153" s="121">
        <f t="shared" si="61"/>
        <v>1371.53</v>
      </c>
      <c r="AB153" s="121">
        <f t="shared" si="61"/>
        <v>124.2</v>
      </c>
      <c r="AC153" s="121">
        <f t="shared" si="61"/>
        <v>1106.3900000000001</v>
      </c>
      <c r="AD153" s="121">
        <f t="shared" si="61"/>
        <v>3334.67</v>
      </c>
      <c r="AE153" s="121">
        <f t="shared" si="61"/>
        <v>6854.13</v>
      </c>
      <c r="AF153" s="121">
        <f t="shared" si="61"/>
        <v>15818.55</v>
      </c>
      <c r="AG153" s="121">
        <f t="shared" si="61"/>
        <v>0</v>
      </c>
      <c r="AH153" s="121">
        <f t="shared" si="61"/>
        <v>0</v>
      </c>
      <c r="AI153" s="121">
        <f t="shared" si="61"/>
        <v>0</v>
      </c>
      <c r="AJ153" s="121">
        <f t="shared" si="61"/>
        <v>0</v>
      </c>
      <c r="AK153" s="121">
        <f t="shared" si="61"/>
        <v>0</v>
      </c>
      <c r="AL153" s="121">
        <f t="shared" si="61"/>
        <v>0</v>
      </c>
      <c r="AM153" s="121">
        <f t="shared" si="61"/>
        <v>0</v>
      </c>
      <c r="AN153" s="121">
        <f t="shared" si="61"/>
        <v>8.36</v>
      </c>
      <c r="AO153" s="121">
        <f t="shared" si="61"/>
        <v>8.36</v>
      </c>
    </row>
    <row r="154" spans="1:43" x14ac:dyDescent="0.3">
      <c r="E154" s="88"/>
      <c r="F154" t="s">
        <v>159</v>
      </c>
      <c r="G154" t="s">
        <v>270</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3.14</v>
      </c>
      <c r="S154" s="121">
        <f t="shared" si="62"/>
        <v>3.14</v>
      </c>
      <c r="T154" s="121">
        <f t="shared" si="62"/>
        <v>3.14</v>
      </c>
      <c r="U154" s="121">
        <f t="shared" si="62"/>
        <v>3.14</v>
      </c>
      <c r="V154" s="121">
        <f t="shared" si="62"/>
        <v>3.14</v>
      </c>
      <c r="W154" s="121">
        <f t="shared" si="62"/>
        <v>3.21</v>
      </c>
      <c r="X154" s="121">
        <f t="shared" si="62"/>
        <v>3.21</v>
      </c>
      <c r="Y154" s="121">
        <f t="shared" si="62"/>
        <v>3.21</v>
      </c>
      <c r="Z154" s="121">
        <f t="shared" si="62"/>
        <v>3.21</v>
      </c>
      <c r="AA154" s="121">
        <f t="shared" si="62"/>
        <v>3.21</v>
      </c>
      <c r="AB154" s="121">
        <f t="shared" si="62"/>
        <v>3.15</v>
      </c>
      <c r="AC154" s="121">
        <f t="shared" si="62"/>
        <v>3.15</v>
      </c>
      <c r="AD154" s="121">
        <f t="shared" si="62"/>
        <v>3.15</v>
      </c>
      <c r="AE154" s="121">
        <f t="shared" si="62"/>
        <v>3.15</v>
      </c>
      <c r="AF154" s="121">
        <f t="shared" si="62"/>
        <v>3.15</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3">
      <c r="E155" s="88"/>
      <c r="F155" t="s">
        <v>160</v>
      </c>
      <c r="G155" t="s">
        <v>270</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4.75</v>
      </c>
      <c r="S155" s="121">
        <f t="shared" si="63"/>
        <v>4.75</v>
      </c>
      <c r="T155" s="121">
        <f t="shared" si="63"/>
        <v>4.75</v>
      </c>
      <c r="U155" s="121">
        <f t="shared" si="63"/>
        <v>4.75</v>
      </c>
      <c r="V155" s="121">
        <f t="shared" si="63"/>
        <v>4.75</v>
      </c>
      <c r="W155" s="121">
        <f t="shared" si="63"/>
        <v>5.51</v>
      </c>
      <c r="X155" s="121">
        <f t="shared" si="63"/>
        <v>5.51</v>
      </c>
      <c r="Y155" s="121">
        <f t="shared" si="63"/>
        <v>5.51</v>
      </c>
      <c r="Z155" s="121">
        <f t="shared" si="63"/>
        <v>5.51</v>
      </c>
      <c r="AA155" s="121">
        <f t="shared" si="63"/>
        <v>5.51</v>
      </c>
      <c r="AB155" s="121">
        <f t="shared" si="63"/>
        <v>5.74</v>
      </c>
      <c r="AC155" s="121">
        <f t="shared" si="63"/>
        <v>5.74</v>
      </c>
      <c r="AD155" s="121">
        <f t="shared" si="63"/>
        <v>5.74</v>
      </c>
      <c r="AE155" s="121">
        <f t="shared" si="63"/>
        <v>5.74</v>
      </c>
      <c r="AF155" s="121">
        <f t="shared" si="63"/>
        <v>5.74</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3">
      <c r="E156" s="88"/>
      <c r="F156" s="37" t="s">
        <v>161</v>
      </c>
      <c r="G156" s="37" t="s">
        <v>271</v>
      </c>
      <c r="H156" s="275"/>
      <c r="I156" s="261"/>
      <c r="J156" s="265">
        <f t="shared" si="58"/>
        <v>0</v>
      </c>
      <c r="K156" s="265">
        <f t="shared" ref="K156:AO156" si="64">ROUND(K127, $H101)</f>
        <v>0</v>
      </c>
      <c r="L156" s="265">
        <f t="shared" si="64"/>
        <v>0</v>
      </c>
      <c r="M156" s="265">
        <f t="shared" si="64"/>
        <v>0</v>
      </c>
      <c r="N156" s="265">
        <f t="shared" si="64"/>
        <v>0</v>
      </c>
      <c r="O156" s="265">
        <f t="shared" si="64"/>
        <v>0</v>
      </c>
      <c r="P156" s="265">
        <f t="shared" si="64"/>
        <v>0</v>
      </c>
      <c r="Q156" s="265">
        <f t="shared" si="64"/>
        <v>0</v>
      </c>
      <c r="R156" s="265">
        <f t="shared" si="64"/>
        <v>0.152</v>
      </c>
      <c r="S156" s="265">
        <f t="shared" si="64"/>
        <v>0.152</v>
      </c>
      <c r="T156" s="265">
        <f t="shared" si="64"/>
        <v>0.152</v>
      </c>
      <c r="U156" s="265">
        <f t="shared" si="64"/>
        <v>0.152</v>
      </c>
      <c r="V156" s="265">
        <f t="shared" si="64"/>
        <v>0.152</v>
      </c>
      <c r="W156" s="265">
        <f t="shared" si="64"/>
        <v>0.112</v>
      </c>
      <c r="X156" s="265">
        <f t="shared" si="64"/>
        <v>0.112</v>
      </c>
      <c r="Y156" s="265">
        <f t="shared" si="64"/>
        <v>0.112</v>
      </c>
      <c r="Z156" s="265">
        <f t="shared" si="64"/>
        <v>0.112</v>
      </c>
      <c r="AA156" s="265">
        <f t="shared" si="64"/>
        <v>0.112</v>
      </c>
      <c r="AB156" s="265">
        <f t="shared" si="64"/>
        <v>6.9000000000000006E-2</v>
      </c>
      <c r="AC156" s="265">
        <f t="shared" si="64"/>
        <v>6.9000000000000006E-2</v>
      </c>
      <c r="AD156" s="265">
        <f t="shared" si="64"/>
        <v>6.9000000000000006E-2</v>
      </c>
      <c r="AE156" s="265">
        <f t="shared" si="64"/>
        <v>6.9000000000000006E-2</v>
      </c>
      <c r="AF156" s="265">
        <f t="shared" si="64"/>
        <v>6.9000000000000006E-2</v>
      </c>
      <c r="AG156" s="265">
        <f t="shared" si="64"/>
        <v>0</v>
      </c>
      <c r="AH156" s="265">
        <f t="shared" si="64"/>
        <v>0</v>
      </c>
      <c r="AI156" s="265">
        <f t="shared" si="64"/>
        <v>0</v>
      </c>
      <c r="AJ156" s="265">
        <f t="shared" si="64"/>
        <v>0.126</v>
      </c>
      <c r="AK156" s="265">
        <f t="shared" si="64"/>
        <v>0</v>
      </c>
      <c r="AL156" s="265">
        <f t="shared" si="64"/>
        <v>0.106</v>
      </c>
      <c r="AM156" s="265">
        <f t="shared" si="64"/>
        <v>0</v>
      </c>
      <c r="AN156" s="265">
        <f t="shared" si="64"/>
        <v>0.08</v>
      </c>
      <c r="AO156" s="265">
        <f t="shared" si="64"/>
        <v>0</v>
      </c>
      <c r="AP156" s="259"/>
      <c r="AQ156" s="259"/>
    </row>
    <row r="157" spans="1:43" x14ac:dyDescent="0.3">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3">
      <c r="E158" s="32" t="s">
        <v>754</v>
      </c>
      <c r="I158" t="s">
        <v>153</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154</v>
      </c>
    </row>
    <row r="159" spans="1:43" x14ac:dyDescent="0.3">
      <c r="E159" s="88"/>
      <c r="F159" s="23" t="s">
        <v>155</v>
      </c>
      <c r="G159" s="23" t="s">
        <v>268</v>
      </c>
      <c r="H159" s="270"/>
      <c r="I159" s="258"/>
      <c r="J159" s="263">
        <f>ROUND(J130, $H95)</f>
        <v>5.44</v>
      </c>
      <c r="K159" s="263">
        <f t="shared" ref="K159:AO159" si="65">ROUND(K130, $H95)</f>
        <v>5.44</v>
      </c>
      <c r="L159" s="263">
        <f t="shared" si="65"/>
        <v>6.2729999999999997</v>
      </c>
      <c r="M159" s="263">
        <f t="shared" si="65"/>
        <v>6.2729999999999997</v>
      </c>
      <c r="N159" s="263">
        <f t="shared" si="65"/>
        <v>6.2729999999999997</v>
      </c>
      <c r="O159" s="263">
        <f t="shared" si="65"/>
        <v>6.2729999999999997</v>
      </c>
      <c r="P159" s="263">
        <f t="shared" si="65"/>
        <v>6.2729999999999997</v>
      </c>
      <c r="Q159" s="263">
        <f t="shared" si="65"/>
        <v>6.2729999999999997</v>
      </c>
      <c r="R159" s="263">
        <f t="shared" si="65"/>
        <v>4.5880000000000001</v>
      </c>
      <c r="S159" s="263">
        <f t="shared" si="65"/>
        <v>4.5880000000000001</v>
      </c>
      <c r="T159" s="263">
        <f t="shared" si="65"/>
        <v>4.5880000000000001</v>
      </c>
      <c r="U159" s="263">
        <f t="shared" si="65"/>
        <v>4.5880000000000001</v>
      </c>
      <c r="V159" s="263">
        <f t="shared" si="65"/>
        <v>4.5880000000000001</v>
      </c>
      <c r="W159" s="272">
        <f t="shared" si="65"/>
        <v>0</v>
      </c>
      <c r="X159" s="272">
        <f t="shared" si="65"/>
        <v>0</v>
      </c>
      <c r="Y159" s="272">
        <f t="shared" si="65"/>
        <v>0</v>
      </c>
      <c r="Z159" s="272">
        <f t="shared" si="65"/>
        <v>0</v>
      </c>
      <c r="AA159" s="272">
        <f t="shared" si="65"/>
        <v>0</v>
      </c>
      <c r="AB159" s="272">
        <f t="shared" si="65"/>
        <v>0</v>
      </c>
      <c r="AC159" s="272">
        <f t="shared" si="65"/>
        <v>0</v>
      </c>
      <c r="AD159" s="272">
        <f t="shared" si="65"/>
        <v>0</v>
      </c>
      <c r="AE159" s="272">
        <f t="shared" si="65"/>
        <v>0</v>
      </c>
      <c r="AF159" s="272">
        <f t="shared" si="65"/>
        <v>0</v>
      </c>
      <c r="AG159" s="263">
        <f t="shared" si="65"/>
        <v>10.901</v>
      </c>
      <c r="AH159" s="263">
        <f t="shared" si="65"/>
        <v>-6.5190000000000001</v>
      </c>
      <c r="AI159" s="272">
        <f t="shared" si="65"/>
        <v>0</v>
      </c>
      <c r="AJ159" s="263">
        <f t="shared" si="65"/>
        <v>-6.5190000000000001</v>
      </c>
      <c r="AK159" s="272">
        <f t="shared" si="65"/>
        <v>0</v>
      </c>
      <c r="AL159" s="272">
        <f t="shared" si="65"/>
        <v>0</v>
      </c>
      <c r="AM159" s="272">
        <f t="shared" si="65"/>
        <v>0</v>
      </c>
      <c r="AN159" s="272">
        <f t="shared" si="65"/>
        <v>0</v>
      </c>
      <c r="AO159" s="272">
        <f t="shared" si="65"/>
        <v>0</v>
      </c>
      <c r="AP159" s="259"/>
      <c r="AQ159" s="259"/>
    </row>
    <row r="160" spans="1:43" x14ac:dyDescent="0.3">
      <c r="E160" s="88"/>
      <c r="F160" t="s">
        <v>156</v>
      </c>
      <c r="G160" t="s">
        <v>268</v>
      </c>
      <c r="H160" s="271"/>
      <c r="I160" s="259"/>
      <c r="J160" s="264">
        <f t="shared" ref="J160:J165" si="66">ROUND(J131, $H96)</f>
        <v>0.98799999999999999</v>
      </c>
      <c r="K160" s="264">
        <f t="shared" ref="K160:AO160" si="67">ROUND(K131, $H96)</f>
        <v>0.98799999999999999</v>
      </c>
      <c r="L160" s="264">
        <f t="shared" si="67"/>
        <v>1.139</v>
      </c>
      <c r="M160" s="264">
        <f t="shared" si="67"/>
        <v>1.139</v>
      </c>
      <c r="N160" s="264">
        <f t="shared" si="67"/>
        <v>1.139</v>
      </c>
      <c r="O160" s="264">
        <f t="shared" si="67"/>
        <v>1.139</v>
      </c>
      <c r="P160" s="264">
        <f t="shared" si="67"/>
        <v>1.139</v>
      </c>
      <c r="Q160" s="264">
        <f t="shared" si="67"/>
        <v>1.139</v>
      </c>
      <c r="R160" s="264">
        <f t="shared" si="67"/>
        <v>0.76500000000000001</v>
      </c>
      <c r="S160" s="264">
        <f t="shared" si="67"/>
        <v>0.76500000000000001</v>
      </c>
      <c r="T160" s="264">
        <f t="shared" si="67"/>
        <v>0.76500000000000001</v>
      </c>
      <c r="U160" s="264">
        <f t="shared" si="67"/>
        <v>0.76500000000000001</v>
      </c>
      <c r="V160" s="264">
        <f t="shared" si="67"/>
        <v>0.76500000000000001</v>
      </c>
      <c r="W160" s="260">
        <f t="shared" si="67"/>
        <v>0</v>
      </c>
      <c r="X160" s="260">
        <f t="shared" si="67"/>
        <v>0</v>
      </c>
      <c r="Y160" s="260">
        <f t="shared" si="67"/>
        <v>0</v>
      </c>
      <c r="Z160" s="260">
        <f t="shared" si="67"/>
        <v>0</v>
      </c>
      <c r="AA160" s="260">
        <f t="shared" si="67"/>
        <v>0</v>
      </c>
      <c r="AB160" s="260">
        <f t="shared" si="67"/>
        <v>0</v>
      </c>
      <c r="AC160" s="260">
        <f t="shared" si="67"/>
        <v>0</v>
      </c>
      <c r="AD160" s="260">
        <f t="shared" si="67"/>
        <v>0</v>
      </c>
      <c r="AE160" s="260">
        <f t="shared" si="67"/>
        <v>0</v>
      </c>
      <c r="AF160" s="260">
        <f t="shared" si="67"/>
        <v>0</v>
      </c>
      <c r="AG160" s="264">
        <f t="shared" si="67"/>
        <v>2.5710000000000002</v>
      </c>
      <c r="AH160" s="264">
        <f t="shared" si="67"/>
        <v>-1.1839999999999999</v>
      </c>
      <c r="AI160" s="260">
        <f t="shared" si="67"/>
        <v>0</v>
      </c>
      <c r="AJ160" s="264">
        <f t="shared" si="67"/>
        <v>-1.1839999999999999</v>
      </c>
      <c r="AK160" s="260">
        <f t="shared" si="67"/>
        <v>0</v>
      </c>
      <c r="AL160" s="260">
        <f t="shared" si="67"/>
        <v>0</v>
      </c>
      <c r="AM160" s="260">
        <f t="shared" si="67"/>
        <v>0</v>
      </c>
      <c r="AN160" s="260">
        <f t="shared" si="67"/>
        <v>0</v>
      </c>
      <c r="AO160" s="260">
        <f t="shared" si="67"/>
        <v>0</v>
      </c>
      <c r="AP160" s="259"/>
      <c r="AQ160" s="259"/>
    </row>
    <row r="161" spans="2:43" x14ac:dyDescent="0.3">
      <c r="E161" s="88"/>
      <c r="F161" t="s">
        <v>157</v>
      </c>
      <c r="G161" t="s">
        <v>268</v>
      </c>
      <c r="H161" s="271"/>
      <c r="I161" s="259"/>
      <c r="J161" s="264">
        <f t="shared" si="66"/>
        <v>0.13900000000000001</v>
      </c>
      <c r="K161" s="264">
        <f t="shared" ref="K161:AO161" si="68">ROUND(K132, $H97)</f>
        <v>0.13900000000000001</v>
      </c>
      <c r="L161" s="264">
        <f t="shared" si="68"/>
        <v>0.161</v>
      </c>
      <c r="M161" s="264">
        <f t="shared" si="68"/>
        <v>0.161</v>
      </c>
      <c r="N161" s="264">
        <f t="shared" si="68"/>
        <v>0.161</v>
      </c>
      <c r="O161" s="264">
        <f t="shared" si="68"/>
        <v>0.161</v>
      </c>
      <c r="P161" s="264">
        <f t="shared" si="68"/>
        <v>0.161</v>
      </c>
      <c r="Q161" s="264">
        <f t="shared" si="68"/>
        <v>0.161</v>
      </c>
      <c r="R161" s="264">
        <f t="shared" si="68"/>
        <v>0.111</v>
      </c>
      <c r="S161" s="264">
        <f t="shared" si="68"/>
        <v>0.111</v>
      </c>
      <c r="T161" s="264">
        <f t="shared" si="68"/>
        <v>0.111</v>
      </c>
      <c r="U161" s="264">
        <f t="shared" si="68"/>
        <v>0.111</v>
      </c>
      <c r="V161" s="264">
        <f t="shared" si="68"/>
        <v>0.111</v>
      </c>
      <c r="W161" s="260">
        <f t="shared" si="68"/>
        <v>0</v>
      </c>
      <c r="X161" s="260">
        <f t="shared" si="68"/>
        <v>0</v>
      </c>
      <c r="Y161" s="260">
        <f t="shared" si="68"/>
        <v>0</v>
      </c>
      <c r="Z161" s="260">
        <f t="shared" si="68"/>
        <v>0</v>
      </c>
      <c r="AA161" s="260">
        <f t="shared" si="68"/>
        <v>0</v>
      </c>
      <c r="AB161" s="260">
        <f t="shared" si="68"/>
        <v>0</v>
      </c>
      <c r="AC161" s="260">
        <f t="shared" si="68"/>
        <v>0</v>
      </c>
      <c r="AD161" s="260">
        <f t="shared" si="68"/>
        <v>0</v>
      </c>
      <c r="AE161" s="260">
        <f t="shared" si="68"/>
        <v>0</v>
      </c>
      <c r="AF161" s="260">
        <f t="shared" si="68"/>
        <v>0</v>
      </c>
      <c r="AG161" s="264">
        <f t="shared" si="68"/>
        <v>1.9730000000000001</v>
      </c>
      <c r="AH161" s="264">
        <f t="shared" si="68"/>
        <v>-0.16700000000000001</v>
      </c>
      <c r="AI161" s="260">
        <f t="shared" si="68"/>
        <v>0</v>
      </c>
      <c r="AJ161" s="264">
        <f t="shared" si="68"/>
        <v>-0.16700000000000001</v>
      </c>
      <c r="AK161" s="260">
        <f t="shared" si="68"/>
        <v>0</v>
      </c>
      <c r="AL161" s="260">
        <f t="shared" si="68"/>
        <v>0</v>
      </c>
      <c r="AM161" s="260">
        <f t="shared" si="68"/>
        <v>0</v>
      </c>
      <c r="AN161" s="260">
        <f t="shared" si="68"/>
        <v>0</v>
      </c>
      <c r="AO161" s="260">
        <f t="shared" si="68"/>
        <v>0</v>
      </c>
      <c r="AP161" s="259"/>
      <c r="AQ161" s="259"/>
    </row>
    <row r="162" spans="2:43" x14ac:dyDescent="0.3">
      <c r="E162" s="88"/>
      <c r="F162" t="s">
        <v>158</v>
      </c>
      <c r="G162" t="s">
        <v>269</v>
      </c>
      <c r="H162" s="51"/>
      <c r="J162" s="121">
        <f t="shared" si="66"/>
        <v>16.489999999999998</v>
      </c>
      <c r="K162" s="121">
        <f t="shared" ref="K162:AO162" si="69">ROUND(K133, $H98)</f>
        <v>0</v>
      </c>
      <c r="L162" s="121">
        <f t="shared" si="69"/>
        <v>2.84</v>
      </c>
      <c r="M162" s="121">
        <f t="shared" si="69"/>
        <v>4.84</v>
      </c>
      <c r="N162" s="121">
        <f t="shared" si="69"/>
        <v>12.72</v>
      </c>
      <c r="O162" s="121">
        <f t="shared" si="69"/>
        <v>27.34</v>
      </c>
      <c r="P162" s="121">
        <f t="shared" si="69"/>
        <v>79.13</v>
      </c>
      <c r="Q162" s="121">
        <f t="shared" si="69"/>
        <v>0</v>
      </c>
      <c r="R162" s="121">
        <f t="shared" si="69"/>
        <v>11.43</v>
      </c>
      <c r="S162" s="121">
        <f t="shared" si="69"/>
        <v>111.74</v>
      </c>
      <c r="T162" s="121">
        <f t="shared" si="69"/>
        <v>261.56</v>
      </c>
      <c r="U162" s="121">
        <f t="shared" si="69"/>
        <v>419.4</v>
      </c>
      <c r="V162" s="121">
        <f t="shared" si="69"/>
        <v>867.96</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3">
      <c r="E163" s="88"/>
      <c r="F163" t="s">
        <v>159</v>
      </c>
      <c r="G163" t="s">
        <v>270</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2.04</v>
      </c>
      <c r="S163" s="121">
        <f t="shared" si="70"/>
        <v>2.04</v>
      </c>
      <c r="T163" s="121">
        <f t="shared" si="70"/>
        <v>2.04</v>
      </c>
      <c r="U163" s="121">
        <f t="shared" si="70"/>
        <v>2.04</v>
      </c>
      <c r="V163" s="121">
        <f t="shared" si="70"/>
        <v>2.04</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3">
      <c r="E164" s="88"/>
      <c r="F164" t="s">
        <v>160</v>
      </c>
      <c r="G164" t="s">
        <v>270</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3.09</v>
      </c>
      <c r="S164" s="121">
        <f t="shared" si="71"/>
        <v>3.09</v>
      </c>
      <c r="T164" s="121">
        <f t="shared" si="71"/>
        <v>3.09</v>
      </c>
      <c r="U164" s="121">
        <f t="shared" si="71"/>
        <v>3.09</v>
      </c>
      <c r="V164" s="121">
        <f t="shared" si="71"/>
        <v>3.09</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3">
      <c r="E165" s="88"/>
      <c r="F165" s="37" t="s">
        <v>161</v>
      </c>
      <c r="G165" s="37" t="s">
        <v>271</v>
      </c>
      <c r="H165" s="275"/>
      <c r="I165" s="261"/>
      <c r="J165" s="265">
        <f t="shared" si="66"/>
        <v>0</v>
      </c>
      <c r="K165" s="265">
        <f t="shared" ref="K165:AO165" si="72">ROUND(K136, $H101)</f>
        <v>0</v>
      </c>
      <c r="L165" s="265">
        <f t="shared" si="72"/>
        <v>0</v>
      </c>
      <c r="M165" s="265">
        <f t="shared" si="72"/>
        <v>0</v>
      </c>
      <c r="N165" s="265">
        <f t="shared" si="72"/>
        <v>0</v>
      </c>
      <c r="O165" s="265">
        <f t="shared" si="72"/>
        <v>0</v>
      </c>
      <c r="P165" s="265">
        <f t="shared" si="72"/>
        <v>0</v>
      </c>
      <c r="Q165" s="265">
        <f t="shared" si="72"/>
        <v>0</v>
      </c>
      <c r="R165" s="265">
        <f t="shared" si="72"/>
        <v>9.9000000000000005E-2</v>
      </c>
      <c r="S165" s="265">
        <f t="shared" si="72"/>
        <v>9.9000000000000005E-2</v>
      </c>
      <c r="T165" s="265">
        <f t="shared" si="72"/>
        <v>9.9000000000000005E-2</v>
      </c>
      <c r="U165" s="265">
        <f t="shared" si="72"/>
        <v>9.9000000000000005E-2</v>
      </c>
      <c r="V165" s="265">
        <f t="shared" si="72"/>
        <v>9.9000000000000005E-2</v>
      </c>
      <c r="W165" s="262">
        <f t="shared" si="72"/>
        <v>0</v>
      </c>
      <c r="X165" s="262">
        <f t="shared" si="72"/>
        <v>0</v>
      </c>
      <c r="Y165" s="262">
        <f t="shared" si="72"/>
        <v>0</v>
      </c>
      <c r="Z165" s="262">
        <f t="shared" si="72"/>
        <v>0</v>
      </c>
      <c r="AA165" s="262">
        <f t="shared" si="72"/>
        <v>0</v>
      </c>
      <c r="AB165" s="262">
        <f t="shared" si="72"/>
        <v>0</v>
      </c>
      <c r="AC165" s="262">
        <f t="shared" si="72"/>
        <v>0</v>
      </c>
      <c r="AD165" s="262">
        <f t="shared" si="72"/>
        <v>0</v>
      </c>
      <c r="AE165" s="262">
        <f t="shared" si="72"/>
        <v>0</v>
      </c>
      <c r="AF165" s="262">
        <f t="shared" si="72"/>
        <v>0</v>
      </c>
      <c r="AG165" s="265">
        <f t="shared" si="72"/>
        <v>0</v>
      </c>
      <c r="AH165" s="265">
        <f t="shared" si="72"/>
        <v>0</v>
      </c>
      <c r="AI165" s="262">
        <f t="shared" si="72"/>
        <v>0</v>
      </c>
      <c r="AJ165" s="265">
        <f t="shared" si="72"/>
        <v>0.126</v>
      </c>
      <c r="AK165" s="262">
        <f t="shared" si="72"/>
        <v>0</v>
      </c>
      <c r="AL165" s="262">
        <f t="shared" si="72"/>
        <v>0</v>
      </c>
      <c r="AM165" s="262">
        <f t="shared" si="72"/>
        <v>0</v>
      </c>
      <c r="AN165" s="262">
        <f t="shared" si="72"/>
        <v>0</v>
      </c>
      <c r="AO165" s="262">
        <f t="shared" si="72"/>
        <v>0</v>
      </c>
      <c r="AP165" s="259"/>
      <c r="AQ165" s="259"/>
    </row>
    <row r="166" spans="2:43" x14ac:dyDescent="0.3">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3">
      <c r="E167" s="32" t="s">
        <v>755</v>
      </c>
      <c r="I167" t="s">
        <v>153</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154</v>
      </c>
    </row>
    <row r="168" spans="2:43" x14ac:dyDescent="0.3">
      <c r="C168" s="88"/>
      <c r="F168" s="23" t="s">
        <v>155</v>
      </c>
      <c r="G168" s="23" t="s">
        <v>268</v>
      </c>
      <c r="H168" s="270"/>
      <c r="I168" s="258"/>
      <c r="J168" s="263">
        <f t="shared" ref="J168" si="73">ROUND( J139, $H95)</f>
        <v>3.8149999999999999</v>
      </c>
      <c r="K168" s="263">
        <f t="shared" ref="K168:AO168" si="74">ROUND( K139, $H95)</f>
        <v>3.8149999999999999</v>
      </c>
      <c r="L168" s="263">
        <f t="shared" si="74"/>
        <v>4.4000000000000004</v>
      </c>
      <c r="M168" s="263">
        <f t="shared" si="74"/>
        <v>4.4000000000000004</v>
      </c>
      <c r="N168" s="263">
        <f t="shared" si="74"/>
        <v>4.4000000000000004</v>
      </c>
      <c r="O168" s="263">
        <f t="shared" si="74"/>
        <v>4.4000000000000004</v>
      </c>
      <c r="P168" s="263">
        <f t="shared" si="74"/>
        <v>4.4000000000000004</v>
      </c>
      <c r="Q168" s="263">
        <f t="shared" si="74"/>
        <v>4.4000000000000004</v>
      </c>
      <c r="R168" s="263">
        <f t="shared" si="74"/>
        <v>3.218</v>
      </c>
      <c r="S168" s="263">
        <f t="shared" si="74"/>
        <v>3.218</v>
      </c>
      <c r="T168" s="263">
        <f t="shared" si="74"/>
        <v>3.218</v>
      </c>
      <c r="U168" s="263">
        <f t="shared" si="74"/>
        <v>3.218</v>
      </c>
      <c r="V168" s="263">
        <f t="shared" si="74"/>
        <v>3.218</v>
      </c>
      <c r="W168" s="263">
        <f t="shared" si="74"/>
        <v>4.1130000000000004</v>
      </c>
      <c r="X168" s="263">
        <f t="shared" si="74"/>
        <v>4.1130000000000004</v>
      </c>
      <c r="Y168" s="263">
        <f t="shared" si="74"/>
        <v>4.1130000000000004</v>
      </c>
      <c r="Z168" s="263">
        <f t="shared" si="74"/>
        <v>4.1130000000000004</v>
      </c>
      <c r="AA168" s="263">
        <f t="shared" si="74"/>
        <v>4.1130000000000004</v>
      </c>
      <c r="AB168" s="263">
        <f t="shared" si="74"/>
        <v>3.3490000000000002</v>
      </c>
      <c r="AC168" s="263">
        <f t="shared" si="74"/>
        <v>3.3490000000000002</v>
      </c>
      <c r="AD168" s="263">
        <f t="shared" si="74"/>
        <v>3.3490000000000002</v>
      </c>
      <c r="AE168" s="263">
        <f t="shared" si="74"/>
        <v>3.3490000000000002</v>
      </c>
      <c r="AF168" s="263">
        <f t="shared" si="74"/>
        <v>3.3490000000000002</v>
      </c>
      <c r="AG168" s="263">
        <f t="shared" si="74"/>
        <v>7.6449999999999996</v>
      </c>
      <c r="AH168" s="263">
        <f t="shared" si="74"/>
        <v>-6.5190000000000001</v>
      </c>
      <c r="AI168" s="263">
        <f t="shared" si="74"/>
        <v>-5.43</v>
      </c>
      <c r="AJ168" s="263">
        <f t="shared" si="74"/>
        <v>-6.5190000000000001</v>
      </c>
      <c r="AK168" s="272">
        <f t="shared" si="74"/>
        <v>0</v>
      </c>
      <c r="AL168" s="263">
        <f t="shared" si="74"/>
        <v>-5.43</v>
      </c>
      <c r="AM168" s="272">
        <f t="shared" si="74"/>
        <v>0</v>
      </c>
      <c r="AN168" s="263">
        <f t="shared" si="74"/>
        <v>-4.1420000000000003</v>
      </c>
      <c r="AO168" s="272">
        <f t="shared" si="74"/>
        <v>0</v>
      </c>
      <c r="AP168" s="259"/>
      <c r="AQ168" s="259"/>
    </row>
    <row r="169" spans="2:43" x14ac:dyDescent="0.3">
      <c r="C169" s="88"/>
      <c r="F169" t="s">
        <v>156</v>
      </c>
      <c r="G169" t="s">
        <v>268</v>
      </c>
      <c r="H169" s="271"/>
      <c r="I169" s="259"/>
      <c r="J169" s="264">
        <f t="shared" ref="J169:J174" si="75">ROUND( J140, $H96)</f>
        <v>0.69299999999999995</v>
      </c>
      <c r="K169" s="264">
        <f t="shared" ref="K169:AO169" si="76">ROUND( K140, $H96)</f>
        <v>0.69299999999999995</v>
      </c>
      <c r="L169" s="264">
        <f t="shared" si="76"/>
        <v>0.79900000000000004</v>
      </c>
      <c r="M169" s="264">
        <f t="shared" si="76"/>
        <v>0.79900000000000004</v>
      </c>
      <c r="N169" s="264">
        <f t="shared" si="76"/>
        <v>0.79900000000000004</v>
      </c>
      <c r="O169" s="264">
        <f t="shared" si="76"/>
        <v>0.79900000000000004</v>
      </c>
      <c r="P169" s="264">
        <f t="shared" si="76"/>
        <v>0.79900000000000004</v>
      </c>
      <c r="Q169" s="264">
        <f t="shared" si="76"/>
        <v>0.79900000000000004</v>
      </c>
      <c r="R169" s="264">
        <f t="shared" si="76"/>
        <v>0.53600000000000003</v>
      </c>
      <c r="S169" s="264">
        <f t="shared" si="76"/>
        <v>0.53600000000000003</v>
      </c>
      <c r="T169" s="264">
        <f t="shared" si="76"/>
        <v>0.53600000000000003</v>
      </c>
      <c r="U169" s="264">
        <f t="shared" si="76"/>
        <v>0.53600000000000003</v>
      </c>
      <c r="V169" s="264">
        <f t="shared" si="76"/>
        <v>0.53600000000000003</v>
      </c>
      <c r="W169" s="264">
        <f t="shared" si="76"/>
        <v>0.623</v>
      </c>
      <c r="X169" s="264">
        <f t="shared" si="76"/>
        <v>0.623</v>
      </c>
      <c r="Y169" s="264">
        <f t="shared" si="76"/>
        <v>0.623</v>
      </c>
      <c r="Z169" s="264">
        <f t="shared" si="76"/>
        <v>0.623</v>
      </c>
      <c r="AA169" s="264">
        <f t="shared" si="76"/>
        <v>0.623</v>
      </c>
      <c r="AB169" s="264">
        <f t="shared" si="76"/>
        <v>0.42199999999999999</v>
      </c>
      <c r="AC169" s="264">
        <f t="shared" si="76"/>
        <v>0.42199999999999999</v>
      </c>
      <c r="AD169" s="264">
        <f t="shared" si="76"/>
        <v>0.42199999999999999</v>
      </c>
      <c r="AE169" s="264">
        <f t="shared" si="76"/>
        <v>0.42199999999999999</v>
      </c>
      <c r="AF169" s="264">
        <f t="shared" si="76"/>
        <v>0.42199999999999999</v>
      </c>
      <c r="AG169" s="264">
        <f t="shared" si="76"/>
        <v>1.8029999999999999</v>
      </c>
      <c r="AH169" s="264">
        <f t="shared" si="76"/>
        <v>-1.1839999999999999</v>
      </c>
      <c r="AI169" s="264">
        <f t="shared" si="76"/>
        <v>-0.92200000000000004</v>
      </c>
      <c r="AJ169" s="264">
        <f t="shared" si="76"/>
        <v>-1.1839999999999999</v>
      </c>
      <c r="AK169" s="260">
        <f t="shared" si="76"/>
        <v>0</v>
      </c>
      <c r="AL169" s="264">
        <f t="shared" si="76"/>
        <v>-0.92200000000000004</v>
      </c>
      <c r="AM169" s="260">
        <f t="shared" si="76"/>
        <v>0</v>
      </c>
      <c r="AN169" s="264">
        <f t="shared" si="76"/>
        <v>-0.60099999999999998</v>
      </c>
      <c r="AO169" s="260">
        <f t="shared" si="76"/>
        <v>0</v>
      </c>
      <c r="AP169" s="259"/>
      <c r="AQ169" s="259"/>
    </row>
    <row r="170" spans="2:43" x14ac:dyDescent="0.3">
      <c r="C170" s="88"/>
      <c r="F170" t="s">
        <v>157</v>
      </c>
      <c r="G170" t="s">
        <v>268</v>
      </c>
      <c r="H170" s="271"/>
      <c r="I170" s="259"/>
      <c r="J170" s="264">
        <f t="shared" si="75"/>
        <v>9.8000000000000004E-2</v>
      </c>
      <c r="K170" s="264">
        <f t="shared" ref="K170:AO170" si="77">ROUND( K141, $H97)</f>
        <v>9.8000000000000004E-2</v>
      </c>
      <c r="L170" s="264">
        <f t="shared" si="77"/>
        <v>0.113</v>
      </c>
      <c r="M170" s="264">
        <f t="shared" si="77"/>
        <v>0.113</v>
      </c>
      <c r="N170" s="264">
        <f t="shared" si="77"/>
        <v>0.113</v>
      </c>
      <c r="O170" s="264">
        <f t="shared" si="77"/>
        <v>0.113</v>
      </c>
      <c r="P170" s="264">
        <f t="shared" si="77"/>
        <v>0.113</v>
      </c>
      <c r="Q170" s="264">
        <f t="shared" si="77"/>
        <v>0.113</v>
      </c>
      <c r="R170" s="264">
        <f t="shared" si="77"/>
        <v>7.8E-2</v>
      </c>
      <c r="S170" s="264">
        <f t="shared" si="77"/>
        <v>7.8E-2</v>
      </c>
      <c r="T170" s="264">
        <f t="shared" si="77"/>
        <v>7.8E-2</v>
      </c>
      <c r="U170" s="264">
        <f t="shared" si="77"/>
        <v>7.8E-2</v>
      </c>
      <c r="V170" s="264">
        <f t="shared" si="77"/>
        <v>7.8E-2</v>
      </c>
      <c r="W170" s="264">
        <f t="shared" si="77"/>
        <v>9.2999999999999999E-2</v>
      </c>
      <c r="X170" s="264">
        <f t="shared" si="77"/>
        <v>9.2999999999999999E-2</v>
      </c>
      <c r="Y170" s="264">
        <f t="shared" si="77"/>
        <v>9.2999999999999999E-2</v>
      </c>
      <c r="Z170" s="264">
        <f t="shared" si="77"/>
        <v>9.2999999999999999E-2</v>
      </c>
      <c r="AA170" s="264">
        <f t="shared" si="77"/>
        <v>9.2999999999999999E-2</v>
      </c>
      <c r="AB170" s="264">
        <f t="shared" si="77"/>
        <v>6.8000000000000005E-2</v>
      </c>
      <c r="AC170" s="264">
        <f t="shared" si="77"/>
        <v>6.8000000000000005E-2</v>
      </c>
      <c r="AD170" s="264">
        <f t="shared" si="77"/>
        <v>6.8000000000000005E-2</v>
      </c>
      <c r="AE170" s="264">
        <f t="shared" si="77"/>
        <v>6.8000000000000005E-2</v>
      </c>
      <c r="AF170" s="264">
        <f t="shared" si="77"/>
        <v>6.8000000000000005E-2</v>
      </c>
      <c r="AG170" s="264">
        <f t="shared" si="77"/>
        <v>1.3839999999999999</v>
      </c>
      <c r="AH170" s="264">
        <f t="shared" si="77"/>
        <v>-0.16700000000000001</v>
      </c>
      <c r="AI170" s="264">
        <f t="shared" si="77"/>
        <v>-0.13300000000000001</v>
      </c>
      <c r="AJ170" s="264">
        <f t="shared" si="77"/>
        <v>-0.16700000000000001</v>
      </c>
      <c r="AK170" s="260">
        <f t="shared" si="77"/>
        <v>0</v>
      </c>
      <c r="AL170" s="264">
        <f t="shared" si="77"/>
        <v>-0.13300000000000001</v>
      </c>
      <c r="AM170" s="260">
        <f t="shared" si="77"/>
        <v>0</v>
      </c>
      <c r="AN170" s="264">
        <f t="shared" si="77"/>
        <v>-9.0999999999999998E-2</v>
      </c>
      <c r="AO170" s="260">
        <f t="shared" si="77"/>
        <v>0</v>
      </c>
      <c r="AP170" s="259"/>
      <c r="AQ170" s="259"/>
    </row>
    <row r="171" spans="2:43" x14ac:dyDescent="0.3">
      <c r="C171" s="88"/>
      <c r="F171" t="s">
        <v>158</v>
      </c>
      <c r="G171" t="s">
        <v>269</v>
      </c>
      <c r="H171" s="51"/>
      <c r="J171" s="121">
        <f t="shared" si="75"/>
        <v>14.39</v>
      </c>
      <c r="K171" s="121">
        <f t="shared" ref="K171:AO171" si="78">ROUND( K142, $H98)</f>
        <v>0</v>
      </c>
      <c r="L171" s="121">
        <f t="shared" si="78"/>
        <v>2</v>
      </c>
      <c r="M171" s="121">
        <f t="shared" si="78"/>
        <v>3.41</v>
      </c>
      <c r="N171" s="121">
        <f t="shared" si="78"/>
        <v>8.94</v>
      </c>
      <c r="O171" s="121">
        <f t="shared" si="78"/>
        <v>19.18</v>
      </c>
      <c r="P171" s="121">
        <f t="shared" si="78"/>
        <v>55.51</v>
      </c>
      <c r="Q171" s="121">
        <f t="shared" si="78"/>
        <v>0</v>
      </c>
      <c r="R171" s="121">
        <f t="shared" si="78"/>
        <v>8.0299999999999994</v>
      </c>
      <c r="S171" s="121">
        <f t="shared" si="78"/>
        <v>78.38</v>
      </c>
      <c r="T171" s="121">
        <f t="shared" si="78"/>
        <v>183.45</v>
      </c>
      <c r="U171" s="121">
        <f t="shared" si="78"/>
        <v>294.14999999999998</v>
      </c>
      <c r="V171" s="121">
        <f t="shared" si="78"/>
        <v>608.74</v>
      </c>
      <c r="W171" s="121">
        <f t="shared" si="78"/>
        <v>40.909999999999997</v>
      </c>
      <c r="X171" s="121">
        <f t="shared" si="78"/>
        <v>152.37</v>
      </c>
      <c r="Y171" s="121">
        <f t="shared" si="78"/>
        <v>318.83999999999997</v>
      </c>
      <c r="Z171" s="121">
        <f t="shared" si="78"/>
        <v>494.23</v>
      </c>
      <c r="AA171" s="121">
        <f t="shared" si="78"/>
        <v>992.66</v>
      </c>
      <c r="AB171" s="121">
        <f t="shared" si="78"/>
        <v>106.31</v>
      </c>
      <c r="AC171" s="121">
        <f t="shared" si="78"/>
        <v>946.99</v>
      </c>
      <c r="AD171" s="121">
        <f t="shared" si="78"/>
        <v>2854.22</v>
      </c>
      <c r="AE171" s="121">
        <f t="shared" si="78"/>
        <v>5866.6</v>
      </c>
      <c r="AF171" s="121">
        <f t="shared" si="78"/>
        <v>13539.42</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3">
      <c r="C172" s="88"/>
      <c r="F172" t="s">
        <v>159</v>
      </c>
      <c r="G172" t="s">
        <v>270</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1.43</v>
      </c>
      <c r="S172" s="121">
        <f t="shared" si="79"/>
        <v>1.43</v>
      </c>
      <c r="T172" s="121">
        <f t="shared" si="79"/>
        <v>1.43</v>
      </c>
      <c r="U172" s="121">
        <f t="shared" si="79"/>
        <v>1.43</v>
      </c>
      <c r="V172" s="121">
        <f t="shared" si="79"/>
        <v>1.43</v>
      </c>
      <c r="W172" s="121">
        <f t="shared" si="79"/>
        <v>2.33</v>
      </c>
      <c r="X172" s="121">
        <f t="shared" si="79"/>
        <v>2.33</v>
      </c>
      <c r="Y172" s="121">
        <f t="shared" si="79"/>
        <v>2.33</v>
      </c>
      <c r="Z172" s="121">
        <f t="shared" si="79"/>
        <v>2.33</v>
      </c>
      <c r="AA172" s="121">
        <f t="shared" si="79"/>
        <v>2.33</v>
      </c>
      <c r="AB172" s="121">
        <f t="shared" si="79"/>
        <v>2.7</v>
      </c>
      <c r="AC172" s="121">
        <f t="shared" si="79"/>
        <v>2.7</v>
      </c>
      <c r="AD172" s="121">
        <f t="shared" si="79"/>
        <v>2.7</v>
      </c>
      <c r="AE172" s="121">
        <f t="shared" si="79"/>
        <v>2.7</v>
      </c>
      <c r="AF172" s="121">
        <f t="shared" si="79"/>
        <v>2.7</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3">
      <c r="C173" s="88"/>
      <c r="F173" t="s">
        <v>160</v>
      </c>
      <c r="G173" t="s">
        <v>270</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2.17</v>
      </c>
      <c r="S173" s="121">
        <f t="shared" si="80"/>
        <v>2.17</v>
      </c>
      <c r="T173" s="121">
        <f t="shared" si="80"/>
        <v>2.17</v>
      </c>
      <c r="U173" s="121">
        <f t="shared" si="80"/>
        <v>2.17</v>
      </c>
      <c r="V173" s="121">
        <f t="shared" si="80"/>
        <v>2.17</v>
      </c>
      <c r="W173" s="121">
        <f t="shared" si="80"/>
        <v>3.99</v>
      </c>
      <c r="X173" s="121">
        <f t="shared" si="80"/>
        <v>3.99</v>
      </c>
      <c r="Y173" s="121">
        <f t="shared" si="80"/>
        <v>3.99</v>
      </c>
      <c r="Z173" s="121">
        <f t="shared" si="80"/>
        <v>3.99</v>
      </c>
      <c r="AA173" s="121">
        <f t="shared" si="80"/>
        <v>3.99</v>
      </c>
      <c r="AB173" s="121">
        <f t="shared" si="80"/>
        <v>4.91</v>
      </c>
      <c r="AC173" s="121">
        <f t="shared" si="80"/>
        <v>4.91</v>
      </c>
      <c r="AD173" s="121">
        <f t="shared" si="80"/>
        <v>4.91</v>
      </c>
      <c r="AE173" s="121">
        <f t="shared" si="80"/>
        <v>4.91</v>
      </c>
      <c r="AF173" s="121">
        <f t="shared" si="80"/>
        <v>4.91</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3">
      <c r="C174" s="88"/>
      <c r="F174" s="37" t="s">
        <v>161</v>
      </c>
      <c r="G174" s="37" t="s">
        <v>271</v>
      </c>
      <c r="H174" s="275"/>
      <c r="I174" s="261"/>
      <c r="J174" s="265">
        <f t="shared" si="75"/>
        <v>0</v>
      </c>
      <c r="K174" s="265">
        <f t="shared" ref="K174:AO174" si="81">ROUND( K145, $H101)</f>
        <v>0</v>
      </c>
      <c r="L174" s="265">
        <f t="shared" si="81"/>
        <v>0</v>
      </c>
      <c r="M174" s="265">
        <f t="shared" si="81"/>
        <v>0</v>
      </c>
      <c r="N174" s="265">
        <f t="shared" si="81"/>
        <v>0</v>
      </c>
      <c r="O174" s="265">
        <f t="shared" si="81"/>
        <v>0</v>
      </c>
      <c r="P174" s="265">
        <f t="shared" si="81"/>
        <v>0</v>
      </c>
      <c r="Q174" s="265">
        <f t="shared" si="81"/>
        <v>0</v>
      </c>
      <c r="R174" s="265">
        <f t="shared" si="81"/>
        <v>6.9000000000000006E-2</v>
      </c>
      <c r="S174" s="265">
        <f t="shared" si="81"/>
        <v>6.9000000000000006E-2</v>
      </c>
      <c r="T174" s="265">
        <f t="shared" si="81"/>
        <v>6.9000000000000006E-2</v>
      </c>
      <c r="U174" s="265">
        <f t="shared" si="81"/>
        <v>6.9000000000000006E-2</v>
      </c>
      <c r="V174" s="265">
        <f t="shared" si="81"/>
        <v>6.9000000000000006E-2</v>
      </c>
      <c r="W174" s="265">
        <f t="shared" si="81"/>
        <v>8.1000000000000003E-2</v>
      </c>
      <c r="X174" s="265">
        <f t="shared" si="81"/>
        <v>8.1000000000000003E-2</v>
      </c>
      <c r="Y174" s="265">
        <f t="shared" si="81"/>
        <v>8.1000000000000003E-2</v>
      </c>
      <c r="Z174" s="265">
        <f t="shared" si="81"/>
        <v>8.1000000000000003E-2</v>
      </c>
      <c r="AA174" s="265">
        <f t="shared" si="81"/>
        <v>8.1000000000000003E-2</v>
      </c>
      <c r="AB174" s="265">
        <f t="shared" si="81"/>
        <v>5.8999999999999997E-2</v>
      </c>
      <c r="AC174" s="265">
        <f t="shared" si="81"/>
        <v>5.8999999999999997E-2</v>
      </c>
      <c r="AD174" s="265">
        <f t="shared" si="81"/>
        <v>5.8999999999999997E-2</v>
      </c>
      <c r="AE174" s="265">
        <f t="shared" si="81"/>
        <v>5.8999999999999997E-2</v>
      </c>
      <c r="AF174" s="265">
        <f t="shared" si="81"/>
        <v>5.8999999999999997E-2</v>
      </c>
      <c r="AG174" s="265">
        <f t="shared" si="81"/>
        <v>0</v>
      </c>
      <c r="AH174" s="265">
        <f t="shared" si="81"/>
        <v>0</v>
      </c>
      <c r="AI174" s="265">
        <f t="shared" si="81"/>
        <v>0</v>
      </c>
      <c r="AJ174" s="265">
        <f t="shared" si="81"/>
        <v>0.126</v>
      </c>
      <c r="AK174" s="262">
        <f t="shared" si="81"/>
        <v>0</v>
      </c>
      <c r="AL174" s="265">
        <f t="shared" si="81"/>
        <v>0.106</v>
      </c>
      <c r="AM174" s="262">
        <f t="shared" si="81"/>
        <v>0</v>
      </c>
      <c r="AN174" s="265">
        <f t="shared" si="81"/>
        <v>0.08</v>
      </c>
      <c r="AO174" s="262">
        <f t="shared" si="81"/>
        <v>0</v>
      </c>
      <c r="AP174" s="259"/>
      <c r="AQ174" s="259"/>
    </row>
    <row r="175" spans="2:43" x14ac:dyDescent="0.3">
      <c r="C175" s="88"/>
    </row>
    <row r="176" spans="2:43" x14ac:dyDescent="0.3">
      <c r="B176" s="30" t="s">
        <v>230</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3">
      <c r="E178" t="s">
        <v>231</v>
      </c>
      <c r="G178" s="6" t="s">
        <v>54</v>
      </c>
      <c r="H178" s="103">
        <f t="array" ref="H178">SUM(IF(ISERROR(H20:AO174), 1))</f>
        <v>0</v>
      </c>
    </row>
    <row r="180" spans="2:43" x14ac:dyDescent="0.3">
      <c r="B180" s="30" t="s">
        <v>105</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80" width="0" hidden="1" customWidth="1"/>
    <col min="81" max="16384" width="9.33203125" hidden="1"/>
  </cols>
  <sheetData>
    <row r="1" spans="1:43" s="1" customFormat="1" x14ac:dyDescent="0.3">
      <c r="A1" s="1" t="str">
        <f ca="1">MID(CELL("filename",A1),FIND("]",CELL("filename",A1))+1,255)</f>
        <v>Net revenue summary</v>
      </c>
    </row>
    <row r="2" spans="1:43" s="1" customFormat="1" x14ac:dyDescent="0.3">
      <c r="A2" s="1" t="str">
        <f>Cover!D21&amp;" - "&amp;Cover!D23</f>
        <v>Electricity North West Limited - Working Model</v>
      </c>
    </row>
    <row r="3" spans="1:43" s="5" customFormat="1" x14ac:dyDescent="0.3">
      <c r="A3" s="5" t="str">
        <f>Cover!D2&amp;" - "&amp;Cover!D8&amp;" v"&amp;Cover!D10&amp;" - "&amp;Cover!D19</f>
        <v>CDCM charging model - Release for charge setting v7 - 2022/23</v>
      </c>
    </row>
    <row r="4" spans="1:43" x14ac:dyDescent="0.3">
      <c r="A4" s="12" t="str">
        <f>H211 &amp; IF(H211 = 1, " issue", " issues") &amp;" identified in checks on this sheet"</f>
        <v>0 issues identified in checks on this sheet</v>
      </c>
      <c r="B4" s="13"/>
      <c r="C4" s="13"/>
      <c r="D4" s="13"/>
      <c r="E4" s="13"/>
      <c r="F4" s="13"/>
      <c r="G4" s="13"/>
      <c r="H4" s="14"/>
      <c r="I4" s="14"/>
    </row>
    <row r="5" spans="1:43" ht="43.2" x14ac:dyDescent="0.3">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756</v>
      </c>
    </row>
    <row r="10" spans="1:43" x14ac:dyDescent="0.3">
      <c r="C10" s="28"/>
    </row>
    <row r="11" spans="1:43" x14ac:dyDescent="0.3">
      <c r="B11" s="30" t="s">
        <v>757</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
      <c r="D12" s="2"/>
      <c r="E12" s="2"/>
    </row>
    <row r="13" spans="1:43" x14ac:dyDescent="0.3">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x14ac:dyDescent="0.3">
      <c r="D14" s="32"/>
    </row>
    <row r="15" spans="1:43" x14ac:dyDescent="0.3">
      <c r="C15" s="51"/>
      <c r="D15" s="51"/>
      <c r="E15" s="367" t="s">
        <v>1009</v>
      </c>
      <c r="G15" s="367" t="s">
        <v>148</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x14ac:dyDescent="0.3">
      <c r="E16" s="28"/>
      <c r="G16" s="28"/>
    </row>
    <row r="17" spans="1:43" x14ac:dyDescent="0.3">
      <c r="C17" s="51"/>
      <c r="D17" s="51"/>
      <c r="E17" s="367" t="s">
        <v>943</v>
      </c>
      <c r="G17" s="367" t="s">
        <v>148</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x14ac:dyDescent="0.3">
      <c r="D18" s="32"/>
    </row>
    <row r="19" spans="1:43" x14ac:dyDescent="0.3">
      <c r="A19" s="312"/>
      <c r="E19" s="32" t="s">
        <v>244</v>
      </c>
      <c r="I19" t="s">
        <v>153</v>
      </c>
      <c r="AQ19" t="s">
        <v>245</v>
      </c>
    </row>
    <row r="20" spans="1:43" x14ac:dyDescent="0.3">
      <c r="A20" s="312"/>
      <c r="E20" s="32"/>
      <c r="F20" s="29" t="s">
        <v>1038</v>
      </c>
    </row>
    <row r="21" spans="1:43" x14ac:dyDescent="0.3">
      <c r="A21" s="312"/>
      <c r="E21" s="32"/>
      <c r="F21" s="29" t="s">
        <v>1034</v>
      </c>
    </row>
    <row r="22" spans="1:43" x14ac:dyDescent="0.3">
      <c r="A22" s="312"/>
      <c r="F22" s="78" t="s">
        <v>246</v>
      </c>
      <c r="G22" s="78" t="s">
        <v>206</v>
      </c>
      <c r="H22" s="317">
        <v>0</v>
      </c>
      <c r="I22" s="23"/>
      <c r="J22" s="193">
        <f>INDEX('Volume adjustments'!$J$527:$Y$567,J$17 + 1 + $H22*$H$28, J$15)</f>
        <v>880894.32826876955</v>
      </c>
      <c r="K22" s="193">
        <f>INDEX('Volume adjustments'!$J$527:$Y$567,K$17 + 1 + $H22*$H$28, K$15)</f>
        <v>18.350451934590168</v>
      </c>
      <c r="L22" s="193">
        <f>INDEX('Volume adjustments'!$J$527:$Y$567,L$17 + 1 + $H22*$H$28, L$15)</f>
        <v>0.1664543847844776</v>
      </c>
      <c r="M22" s="193">
        <f>INDEX('Volume adjustments'!$J$527:$Y$567,M$17 + 1 + $H22*$H$28, M$15)</f>
        <v>9645.2292974652064</v>
      </c>
      <c r="N22" s="193">
        <f>INDEX('Volume adjustments'!$J$527:$Y$567,N$17 + 1 + $H22*$H$28, N$15)</f>
        <v>42372.297513466743</v>
      </c>
      <c r="O22" s="193">
        <f>INDEX('Volume adjustments'!$J$527:$Y$567,O$17 + 1 + $H22*$H$28, O$15)</f>
        <v>54098.883450339279</v>
      </c>
      <c r="P22" s="193">
        <f>INDEX('Volume adjustments'!$J$527:$Y$567,P$17 + 1 + $H22*$H$28, P$15)</f>
        <v>161539.81004671808</v>
      </c>
      <c r="Q22" s="193">
        <f>INDEX('Volume adjustments'!$J$527:$Y$567,Q$17 + 1 + $H22*$H$28, Q$15)</f>
        <v>30.968009054504083</v>
      </c>
      <c r="R22" s="193">
        <f>INDEX('Volume adjustments'!$J$527:$Y$567,R$17 + 1 + $H22*$H$28, R$15)</f>
        <v>6.286703172921615</v>
      </c>
      <c r="S22" s="193">
        <f>INDEX('Volume adjustments'!$J$527:$Y$567,S$17 + 1 + $H22*$H$28, S$15)</f>
        <v>32807.614136778771</v>
      </c>
      <c r="T22" s="193">
        <f>INDEX('Volume adjustments'!$J$527:$Y$567,T$17 + 1 + $H22*$H$28, T$15)</f>
        <v>75195.705303651775</v>
      </c>
      <c r="U22" s="193">
        <f>INDEX('Volume adjustments'!$J$527:$Y$567,U$17 + 1 + $H22*$H$28, U$15)</f>
        <v>43449.729574258825</v>
      </c>
      <c r="V22" s="193">
        <f>INDEX('Volume adjustments'!$J$527:$Y$567,V$17 + 1 + $H22*$H$28, V$15)</f>
        <v>95919.243489348184</v>
      </c>
      <c r="W22" s="193">
        <f>INDEX('Volume adjustments'!$J$527:$Y$567,W$17 + 1 + $H22*$H$28, W$15)</f>
        <v>19.278476192852601</v>
      </c>
      <c r="X22" s="193">
        <f>INDEX('Volume adjustments'!$J$527:$Y$567,X$17 + 1 + $H22*$H$28, X$15)</f>
        <v>16390.594029326767</v>
      </c>
      <c r="Y22" s="193">
        <f>INDEX('Volume adjustments'!$J$527:$Y$567,Y$17 + 1 + $H22*$H$28, Y$15)</f>
        <v>37567.568103020363</v>
      </c>
      <c r="Z22" s="193">
        <f>INDEX('Volume adjustments'!$J$527:$Y$567,Z$17 + 1 + $H22*$H$28, Z$15)</f>
        <v>21707.36570988072</v>
      </c>
      <c r="AA22" s="193">
        <f>INDEX('Volume adjustments'!$J$527:$Y$567,AA$17 + 1 + $H22*$H$28, AA$15)</f>
        <v>47920.990934588437</v>
      </c>
      <c r="AB22" s="193">
        <f>INDEX('Volume adjustments'!$J$527:$Y$567,AB$17 + 1 + $H22*$H$28, AB$15)</f>
        <v>48.779728202076853</v>
      </c>
      <c r="AC22" s="193">
        <f>INDEX('Volume adjustments'!$J$527:$Y$567,AC$17 + 1 + $H22*$H$28, AC$15)</f>
        <v>42767.227724782686</v>
      </c>
      <c r="AD22" s="193">
        <f>INDEX('Volume adjustments'!$J$527:$Y$567,AD$17 + 1 + $H22*$H$28, AD$15)</f>
        <v>113082.36894663839</v>
      </c>
      <c r="AE22" s="193">
        <f>INDEX('Volume adjustments'!$J$527:$Y$567,AE$17 + 1 + $H22*$H$28, AE$15)</f>
        <v>97233.360360408435</v>
      </c>
      <c r="AF22" s="193">
        <f>INDEX('Volume adjustments'!$J$527:$Y$567,AF$17 + 1 + $H22*$H$28, AF$15)</f>
        <v>184527.89899958792</v>
      </c>
      <c r="AG22" s="193">
        <f>INDEX('Volume adjustments'!$J$527:$Y$567,AG$17 + 1 + $H22*$H$28, AG$15)</f>
        <v>9039.9057209388866</v>
      </c>
      <c r="AH22" s="193">
        <f>INDEX('Volume adjustments'!$J$527:$Y$567,AH$17 + 1 + $H22*$H$28, AH$15)</f>
        <v>162.86490240768723</v>
      </c>
      <c r="AI22" s="193">
        <f>INDEX('Volume adjustments'!$J$527:$Y$567,AI$17 + 1 + $H22*$H$28, AI$15)</f>
        <v>0</v>
      </c>
      <c r="AJ22" s="193">
        <f>INDEX('Volume adjustments'!$J$527:$Y$567,AJ$17 + 1 + $H22*$H$28, AJ$15)</f>
        <v>2814.8705870277408</v>
      </c>
      <c r="AK22" s="193">
        <f>INDEX('Volume adjustments'!$J$527:$Y$567,AK$17 + 1 + $H22*$H$28, AK$15)</f>
        <v>0</v>
      </c>
      <c r="AL22" s="193">
        <f>INDEX('Volume adjustments'!$J$527:$Y$567,AL$17 + 1 + $H22*$H$28, AL$15)</f>
        <v>359.61906314590294</v>
      </c>
      <c r="AM22" s="193">
        <f>INDEX('Volume adjustments'!$J$527:$Y$567,AM$17 + 1 + $H22*$H$28, AM$15)</f>
        <v>0</v>
      </c>
      <c r="AN22" s="193">
        <f>INDEX('Volume adjustments'!$J$527:$Y$567,AN$17 + 1 + $H22*$H$28, AN$15)</f>
        <v>134754.49574344291</v>
      </c>
      <c r="AO22" s="193">
        <f>INDEX('Volume adjustments'!$J$527:$Y$567,AO$17 + 1 + $H22*$H$28, AO$15)</f>
        <v>0</v>
      </c>
    </row>
    <row r="23" spans="1:43" x14ac:dyDescent="0.3">
      <c r="A23" s="312"/>
      <c r="E23" s="28"/>
      <c r="F23" s="72" t="s">
        <v>247</v>
      </c>
      <c r="G23" s="72" t="s">
        <v>206</v>
      </c>
      <c r="H23" s="365">
        <v>1</v>
      </c>
      <c r="J23" s="330">
        <f>INDEX('Volume adjustments'!$J$527:$Y$567,J$17 + 1 + $H23*$H$28, J$15)</f>
        <v>2219285.745124469</v>
      </c>
      <c r="K23" s="330">
        <f>INDEX('Volume adjustments'!$J$527:$Y$567,K$17 + 1 + $H23*$H$28, K$15)</f>
        <v>442.08512771373279</v>
      </c>
      <c r="L23" s="330">
        <f>INDEX('Volume adjustments'!$J$527:$Y$567,L$17 + 1 + $H23*$H$28, L$15)</f>
        <v>0.59787580461090495</v>
      </c>
      <c r="M23" s="330">
        <f>INDEX('Volume adjustments'!$J$527:$Y$567,M$17 + 1 + $H23*$H$28, M$15)</f>
        <v>34644.021149369219</v>
      </c>
      <c r="N23" s="330">
        <f>INDEX('Volume adjustments'!$J$527:$Y$567,N$17 + 1 + $H23*$H$28, N$15)</f>
        <v>152194.07708530963</v>
      </c>
      <c r="O23" s="330">
        <f>INDEX('Volume adjustments'!$J$527:$Y$567,O$17 + 1 + $H23*$H$28, O$15)</f>
        <v>194313.97684898585</v>
      </c>
      <c r="P23" s="330">
        <f>INDEX('Volume adjustments'!$J$527:$Y$567,P$17 + 1 + $H23*$H$28, P$15)</f>
        <v>580223.48905632901</v>
      </c>
      <c r="Q23" s="330">
        <f>INDEX('Volume adjustments'!$J$527:$Y$567,Q$17 + 1 + $H23*$H$28, Q$15)</f>
        <v>924.22425525108804</v>
      </c>
      <c r="R23" s="330">
        <f>INDEX('Volume adjustments'!$J$527:$Y$567,R$17 + 1 + $H23*$H$28, R$15)</f>
        <v>22.675065430603073</v>
      </c>
      <c r="S23" s="330">
        <f>INDEX('Volume adjustments'!$J$527:$Y$567,S$17 + 1 + $H23*$H$28, S$15)</f>
        <v>118331.46511158058</v>
      </c>
      <c r="T23" s="330">
        <f>INDEX('Volume adjustments'!$J$527:$Y$567,T$17 + 1 + $H23*$H$28, T$15)</f>
        <v>271218.07582785172</v>
      </c>
      <c r="U23" s="330">
        <f>INDEX('Volume adjustments'!$J$527:$Y$567,U$17 + 1 + $H23*$H$28, U$15)</f>
        <v>156715.75926821836</v>
      </c>
      <c r="V23" s="330">
        <f>INDEX('Volume adjustments'!$J$527:$Y$567,V$17 + 1 + $H23*$H$28, V$15)</f>
        <v>345964.34130102937</v>
      </c>
      <c r="W23" s="330">
        <f>INDEX('Volume adjustments'!$J$527:$Y$567,W$17 + 1 + $H23*$H$28, W$15)</f>
        <v>70.918314424861464</v>
      </c>
      <c r="X23" s="330">
        <f>INDEX('Volume adjustments'!$J$527:$Y$567,X$17 + 1 + $H23*$H$28, X$15)</f>
        <v>60294.874416112005</v>
      </c>
      <c r="Y23" s="330">
        <f>INDEX('Volume adjustments'!$J$527:$Y$567,Y$17 + 1 + $H23*$H$28, Y$15)</f>
        <v>138197.05355629424</v>
      </c>
      <c r="Z23" s="330">
        <f>INDEX('Volume adjustments'!$J$527:$Y$567,Z$17 + 1 + $H23*$H$28, Z$15)</f>
        <v>79853.29189656183</v>
      </c>
      <c r="AA23" s="330">
        <f>INDEX('Volume adjustments'!$J$527:$Y$567,AA$17 + 1 + $H23*$H$28, AA$15)</f>
        <v>176283.42969918164</v>
      </c>
      <c r="AB23" s="330">
        <f>INDEX('Volume adjustments'!$J$527:$Y$567,AB$17 + 1 + $H23*$H$28, AB$15)</f>
        <v>165.60985233193685</v>
      </c>
      <c r="AC23" s="330">
        <f>INDEX('Volume adjustments'!$J$527:$Y$567,AC$17 + 1 + $H23*$H$28, AC$15)</f>
        <v>145197.08348530781</v>
      </c>
      <c r="AD23" s="330">
        <f>INDEX('Volume adjustments'!$J$527:$Y$567,AD$17 + 1 + $H23*$H$28, AD$15)</f>
        <v>383920.84402391239</v>
      </c>
      <c r="AE23" s="330">
        <f>INDEX('Volume adjustments'!$J$527:$Y$567,AE$17 + 1 + $H23*$H$28, AE$15)</f>
        <v>330112.59071221412</v>
      </c>
      <c r="AF23" s="330">
        <f>INDEX('Volume adjustments'!$J$527:$Y$567,AF$17 + 1 + $H23*$H$28, AF$15)</f>
        <v>626482.3366347336</v>
      </c>
      <c r="AG23" s="330">
        <f>INDEX('Volume adjustments'!$J$527:$Y$567,AG$17 + 1 + $H23*$H$28, AG$15)</f>
        <v>30004.340243212198</v>
      </c>
      <c r="AH23" s="330">
        <f>INDEX('Volume adjustments'!$J$527:$Y$567,AH$17 + 1 + $H23*$H$28, AH$15)</f>
        <v>602.4003628152069</v>
      </c>
      <c r="AI23" s="330">
        <f>INDEX('Volume adjustments'!$J$527:$Y$567,AI$17 + 1 + $H23*$H$28, AI$15)</f>
        <v>0</v>
      </c>
      <c r="AJ23" s="330">
        <f>INDEX('Volume adjustments'!$J$527:$Y$567,AJ$17 + 1 + $H23*$H$28, AJ$15)</f>
        <v>10411.568347971635</v>
      </c>
      <c r="AK23" s="330">
        <f>INDEX('Volume adjustments'!$J$527:$Y$567,AK$17 + 1 + $H23*$H$28, AK$15)</f>
        <v>0</v>
      </c>
      <c r="AL23" s="330">
        <f>INDEX('Volume adjustments'!$J$527:$Y$567,AL$17 + 1 + $H23*$H$28, AL$15)</f>
        <v>1554.6705868586694</v>
      </c>
      <c r="AM23" s="330">
        <f>INDEX('Volume adjustments'!$J$527:$Y$567,AM$17 + 1 + $H23*$H$28, AM$15)</f>
        <v>0</v>
      </c>
      <c r="AN23" s="330">
        <f>INDEX('Volume adjustments'!$J$527:$Y$567,AN$17 + 1 + $H23*$H$28, AN$15)</f>
        <v>332893.45294245722</v>
      </c>
      <c r="AO23" s="330">
        <f>INDEX('Volume adjustments'!$J$527:$Y$567,AO$17 + 1 + $H23*$H$28, AO$15)</f>
        <v>0</v>
      </c>
    </row>
    <row r="24" spans="1:43" x14ac:dyDescent="0.3">
      <c r="A24" s="312"/>
      <c r="E24" s="28"/>
      <c r="F24" s="72" t="s">
        <v>248</v>
      </c>
      <c r="G24" s="72" t="s">
        <v>206</v>
      </c>
      <c r="H24" s="365">
        <v>2</v>
      </c>
      <c r="J24" s="330">
        <f>INDEX('Volume adjustments'!$J$527:$Y$567,J$17 + 1 + $H24*$H$28, J$15)</f>
        <v>4076714.4467384536</v>
      </c>
      <c r="K24" s="330">
        <f>INDEX('Volume adjustments'!$J$527:$Y$567,K$17 + 1 + $H24*$H$28, K$15)</f>
        <v>4114.2867134426042</v>
      </c>
      <c r="L24" s="330">
        <f>INDEX('Volume adjustments'!$J$527:$Y$567,L$17 + 1 + $H24*$H$28, L$15)</f>
        <v>0.76270252774869396</v>
      </c>
      <c r="M24" s="330">
        <f>INDEX('Volume adjustments'!$J$527:$Y$567,M$17 + 1 + $H24*$H$28, M$15)</f>
        <v>44194.935299646633</v>
      </c>
      <c r="N24" s="330">
        <f>INDEX('Volume adjustments'!$J$527:$Y$567,N$17 + 1 + $H24*$H$28, N$15)</f>
        <v>194152.04028349806</v>
      </c>
      <c r="O24" s="330">
        <f>INDEX('Volume adjustments'!$J$527:$Y$567,O$17 + 1 + $H24*$H$28, O$15)</f>
        <v>247883.85844794821</v>
      </c>
      <c r="P24" s="330">
        <f>INDEX('Volume adjustments'!$J$527:$Y$567,P$17 + 1 + $H24*$H$28, P$15)</f>
        <v>740183.69425474678</v>
      </c>
      <c r="Q24" s="330">
        <f>INDEX('Volume adjustments'!$J$527:$Y$567,Q$17 + 1 + $H24*$H$28, Q$15)</f>
        <v>14603.793923010659</v>
      </c>
      <c r="R24" s="330">
        <f>INDEX('Volume adjustments'!$J$527:$Y$567,R$17 + 1 + $H24*$H$28, R$15)</f>
        <v>29.447702238505478</v>
      </c>
      <c r="S24" s="330">
        <f>INDEX('Volume adjustments'!$J$527:$Y$567,S$17 + 1 + $H24*$H$28, S$15)</f>
        <v>153674.95898596165</v>
      </c>
      <c r="T24" s="330">
        <f>INDEX('Volume adjustments'!$J$527:$Y$567,T$17 + 1 + $H24*$H$28, T$15)</f>
        <v>352226.068018299</v>
      </c>
      <c r="U24" s="330">
        <f>INDEX('Volume adjustments'!$J$527:$Y$567,U$17 + 1 + $H24*$H$28, U$15)</f>
        <v>203523.95582432768</v>
      </c>
      <c r="V24" s="330">
        <f>INDEX('Volume adjustments'!$J$527:$Y$567,V$17 + 1 + $H24*$H$28, V$15)</f>
        <v>449297.70716443035</v>
      </c>
      <c r="W24" s="330">
        <f>INDEX('Volume adjustments'!$J$527:$Y$567,W$17 + 1 + $H24*$H$28, W$15)</f>
        <v>97.54346399950731</v>
      </c>
      <c r="X24" s="330">
        <f>INDEX('Volume adjustments'!$J$527:$Y$567,X$17 + 1 + $H24*$H$28, X$15)</f>
        <v>82931.622947612443</v>
      </c>
      <c r="Y24" s="330">
        <f>INDEX('Volume adjustments'!$J$527:$Y$567,Y$17 + 1 + $H24*$H$28, Y$15)</f>
        <v>190080.93223491334</v>
      </c>
      <c r="Z24" s="330">
        <f>INDEX('Volume adjustments'!$J$527:$Y$567,Z$17 + 1 + $H24*$H$28, Z$15)</f>
        <v>109832.93619601062</v>
      </c>
      <c r="AA24" s="330">
        <f>INDEX('Volume adjustments'!$J$527:$Y$567,AA$17 + 1 + $H24*$H$28, AA$15)</f>
        <v>242466.23059252711</v>
      </c>
      <c r="AB24" s="330">
        <f>INDEX('Volume adjustments'!$J$527:$Y$567,AB$17 + 1 + $H24*$H$28, AB$15)</f>
        <v>275.57084393681538</v>
      </c>
      <c r="AC24" s="330">
        <f>INDEX('Volume adjustments'!$J$527:$Y$567,AC$17 + 1 + $H24*$H$28, AC$15)</f>
        <v>241604.48348817482</v>
      </c>
      <c r="AD24" s="330">
        <f>INDEX('Volume adjustments'!$J$527:$Y$567,AD$17 + 1 + $H24*$H$28, AD$15)</f>
        <v>638835.12667199934</v>
      </c>
      <c r="AE24" s="330">
        <f>INDEX('Volume adjustments'!$J$527:$Y$567,AE$17 + 1 + $H24*$H$28, AE$15)</f>
        <v>549299.47666640405</v>
      </c>
      <c r="AF24" s="330">
        <f>INDEX('Volume adjustments'!$J$527:$Y$567,AF$17 + 1 + $H24*$H$28, AF$15)</f>
        <v>1042451.6644813707</v>
      </c>
      <c r="AG24" s="330">
        <f>INDEX('Volume adjustments'!$J$527:$Y$567,AG$17 + 1 + $H24*$H$28, AG$15)</f>
        <v>155047.29553545482</v>
      </c>
      <c r="AH24" s="330">
        <f>INDEX('Volume adjustments'!$J$527:$Y$567,AH$17 + 1 + $H24*$H$28, AH$15)</f>
        <v>1012.2920957316472</v>
      </c>
      <c r="AI24" s="330">
        <f>INDEX('Volume adjustments'!$J$527:$Y$567,AI$17 + 1 + $H24*$H$28, AI$15)</f>
        <v>0</v>
      </c>
      <c r="AJ24" s="330">
        <f>INDEX('Volume adjustments'!$J$527:$Y$567,AJ$17 + 1 + $H24*$H$28, AJ$15)</f>
        <v>17495.919646473743</v>
      </c>
      <c r="AK24" s="330">
        <f>INDEX('Volume adjustments'!$J$527:$Y$567,AK$17 + 1 + $H24*$H$28, AK$15)</f>
        <v>0</v>
      </c>
      <c r="AL24" s="330">
        <f>INDEX('Volume adjustments'!$J$527:$Y$567,AL$17 + 1 + $H24*$H$28, AL$15)</f>
        <v>2113.8817344775266</v>
      </c>
      <c r="AM24" s="330">
        <f>INDEX('Volume adjustments'!$J$527:$Y$567,AM$17 + 1 + $H24*$H$28, AM$15)</f>
        <v>0</v>
      </c>
      <c r="AN24" s="330">
        <f>INDEX('Volume adjustments'!$J$527:$Y$567,AN$17 + 1 + $H24*$H$28, AN$15)</f>
        <v>476929.11411067331</v>
      </c>
      <c r="AO24" s="330">
        <f>INDEX('Volume adjustments'!$J$527:$Y$567,AO$17 + 1 + $H24*$H$28, AO$15)</f>
        <v>0</v>
      </c>
    </row>
    <row r="25" spans="1:43" x14ac:dyDescent="0.3">
      <c r="A25" s="312"/>
      <c r="E25" s="28"/>
      <c r="F25" s="72" t="s">
        <v>211</v>
      </c>
      <c r="G25" s="72" t="s">
        <v>211</v>
      </c>
      <c r="H25" s="365">
        <v>3</v>
      </c>
      <c r="J25" s="330">
        <f>INDEX('Volume adjustments'!$J$527:$Y$567,J$17 + 1 + $H25*$H$28, J$15)</f>
        <v>2209768.4645891488</v>
      </c>
      <c r="K25" s="330">
        <f>INDEX('Volume adjustments'!$J$527:$Y$567,K$17 + 1 + $H25*$H$28, K$15)</f>
        <v>1739.8559938586122</v>
      </c>
      <c r="L25" s="330">
        <f>INDEX('Volume adjustments'!$J$527:$Y$567,L$17 + 1 + $H25*$H$28, L$15)</f>
        <v>1</v>
      </c>
      <c r="M25" s="330">
        <f>INDEX('Volume adjustments'!$J$527:$Y$567,M$17 + 1 + $H25*$H$28, M$15)</f>
        <v>57945.180056107805</v>
      </c>
      <c r="N25" s="330">
        <f>INDEX('Volume adjustments'!$J$527:$Y$567,N$17 + 1 + $H25*$H$28, N$15)</f>
        <v>51596.460362794191</v>
      </c>
      <c r="O25" s="330">
        <f>INDEX('Volume adjustments'!$J$527:$Y$567,O$17 + 1 + $H25*$H$28, O$15)</f>
        <v>26588.673057952248</v>
      </c>
      <c r="P25" s="330">
        <f>INDEX('Volume adjustments'!$J$527:$Y$567,P$17 + 1 + $H25*$H$28, P$15)</f>
        <v>25494.536468374245</v>
      </c>
      <c r="Q25" s="330">
        <f>INDEX('Volume adjustments'!$J$527:$Y$567,Q$17 + 1 + $H25*$H$28, Q$15)</f>
        <v>2930.0356035322934</v>
      </c>
      <c r="R25" s="330">
        <f>INDEX('Volume adjustments'!$J$527:$Y$567,R$17 + 1 + $H25*$H$28, R$15)</f>
        <v>1</v>
      </c>
      <c r="S25" s="330">
        <f>INDEX('Volume adjustments'!$J$527:$Y$567,S$17 + 1 + $H25*$H$28, S$15)</f>
        <v>5218.57215688014</v>
      </c>
      <c r="T25" s="330">
        <f>INDEX('Volume adjustments'!$J$527:$Y$567,T$17 + 1 + $H25*$H$28, T$15)</f>
        <v>4796.7391092537537</v>
      </c>
      <c r="U25" s="330">
        <f>INDEX('Volume adjustments'!$J$527:$Y$567,U$17 + 1 + $H25*$H$28, U$15)</f>
        <v>1699.3056176215775</v>
      </c>
      <c r="V25" s="330">
        <f>INDEX('Volume adjustments'!$J$527:$Y$567,V$17 + 1 + $H25*$H$28, V$15)</f>
        <v>1786.803738854125</v>
      </c>
      <c r="W25" s="330">
        <f>INDEX('Volume adjustments'!$J$527:$Y$567,W$17 + 1 + $H25*$H$28, W$15)</f>
        <v>1</v>
      </c>
      <c r="X25" s="330">
        <f>INDEX('Volume adjustments'!$J$527:$Y$567,X$17 + 1 + $H25*$H$28, X$15)</f>
        <v>850.20174132867919</v>
      </c>
      <c r="Y25" s="330">
        <f>INDEX('Volume adjustments'!$J$527:$Y$567,Y$17 + 1 + $H25*$H$28, Y$15)</f>
        <v>781.47735066003543</v>
      </c>
      <c r="Z25" s="330">
        <f>INDEX('Volume adjustments'!$J$527:$Y$567,Z$17 + 1 + $H25*$H$28, Z$15)</f>
        <v>276.84825498613009</v>
      </c>
      <c r="AA25" s="330">
        <f>INDEX('Volume adjustments'!$J$527:$Y$567,AA$17 + 1 + $H25*$H$28, AA$15)</f>
        <v>291.10331418595791</v>
      </c>
      <c r="AB25" s="330">
        <f>INDEX('Volume adjustments'!$J$527:$Y$567,AB$17 + 1 + $H25*$H$28, AB$15)</f>
        <v>1</v>
      </c>
      <c r="AC25" s="330">
        <f>INDEX('Volume adjustments'!$J$527:$Y$567,AC$17 + 1 + $H25*$H$28, AC$15)</f>
        <v>876.74182085667758</v>
      </c>
      <c r="AD25" s="330">
        <f>INDEX('Volume adjustments'!$J$527:$Y$567,AD$17 + 1 + $H25*$H$28, AD$15)</f>
        <v>709.21792602479513</v>
      </c>
      <c r="AE25" s="330">
        <f>INDEX('Volume adjustments'!$J$527:$Y$567,AE$17 + 1 + $H25*$H$28, AE$15)</f>
        <v>290.90975749249031</v>
      </c>
      <c r="AF25" s="330">
        <f>INDEX('Volume adjustments'!$J$527:$Y$567,AF$17 + 1 + $H25*$H$28, AF$15)</f>
        <v>236.74035437319895</v>
      </c>
      <c r="AG25" s="330">
        <f>INDEX('Volume adjustments'!$J$527:$Y$567,AG$17 + 1 + $H25*$H$28, AG$15)</f>
        <v>609.61643835616439</v>
      </c>
      <c r="AH25" s="330">
        <f>INDEX('Volume adjustments'!$J$527:$Y$567,AH$17 + 1 + $H25*$H$28, AH$15)</f>
        <v>397.9095890410959</v>
      </c>
      <c r="AI25" s="330">
        <f>INDEX('Volume adjustments'!$J$527:$Y$567,AI$17 + 1 + $H25*$H$28, AI$15)</f>
        <v>0</v>
      </c>
      <c r="AJ25" s="330">
        <f>INDEX('Volume adjustments'!$J$527:$Y$567,AJ$17 + 1 + $H25*$H$28, AJ$15)</f>
        <v>258.48493150684931</v>
      </c>
      <c r="AK25" s="330">
        <f>INDEX('Volume adjustments'!$J$527:$Y$567,AK$17 + 1 + $H25*$H$28, AK$15)</f>
        <v>0</v>
      </c>
      <c r="AL25" s="330">
        <f>INDEX('Volume adjustments'!$J$527:$Y$567,AL$17 + 1 + $H25*$H$28, AL$15)</f>
        <v>42</v>
      </c>
      <c r="AM25" s="330">
        <f>INDEX('Volume adjustments'!$J$527:$Y$567,AM$17 + 1 + $H25*$H$28, AM$15)</f>
        <v>0</v>
      </c>
      <c r="AN25" s="330">
        <f>INDEX('Volume adjustments'!$J$527:$Y$567,AN$17 + 1 + $H25*$H$28, AN$15)</f>
        <v>280</v>
      </c>
      <c r="AO25" s="330">
        <f>INDEX('Volume adjustments'!$J$527:$Y$567,AO$17 + 1 + $H25*$H$28, AO$15)</f>
        <v>0</v>
      </c>
    </row>
    <row r="26" spans="1:43" x14ac:dyDescent="0.3">
      <c r="A26" s="312"/>
      <c r="E26" s="28"/>
      <c r="F26" s="72" t="s">
        <v>249</v>
      </c>
      <c r="G26" s="72" t="s">
        <v>250</v>
      </c>
      <c r="H26" s="365">
        <v>4</v>
      </c>
      <c r="J26" s="330">
        <f>INDEX('Volume adjustments'!$J$527:$Y$567,J$17 + 1 + $H26*$H$28, J$15)</f>
        <v>0</v>
      </c>
      <c r="K26" s="330">
        <f>INDEX('Volume adjustments'!$J$527:$Y$567,K$17 + 1 + $H26*$H$28, K$15)</f>
        <v>0</v>
      </c>
      <c r="L26" s="330">
        <f>INDEX('Volume adjustments'!$J$527:$Y$567,L$17 + 1 + $H26*$H$28, L$15)</f>
        <v>0</v>
      </c>
      <c r="M26" s="330">
        <f>INDEX('Volume adjustments'!$J$527:$Y$567,M$17 + 1 + $H26*$H$28, M$15)</f>
        <v>0</v>
      </c>
      <c r="N26" s="330">
        <f>INDEX('Volume adjustments'!$J$527:$Y$567,N$17 + 1 + $H26*$H$28, N$15)</f>
        <v>0</v>
      </c>
      <c r="O26" s="330">
        <f>INDEX('Volume adjustments'!$J$527:$Y$567,O$17 + 1 + $H26*$H$28, O$15)</f>
        <v>0</v>
      </c>
      <c r="P26" s="330">
        <f>INDEX('Volume adjustments'!$J$527:$Y$567,P$17 + 1 + $H26*$H$28, P$15)</f>
        <v>0</v>
      </c>
      <c r="Q26" s="330">
        <f>INDEX('Volume adjustments'!$J$527:$Y$567,Q$17 + 1 + $H26*$H$28, Q$15)</f>
        <v>0</v>
      </c>
      <c r="R26" s="330">
        <f>INDEX('Volume adjustments'!$J$527:$Y$567,R$17 + 1 + $H26*$H$28, R$15)</f>
        <v>37.850155191376949</v>
      </c>
      <c r="S26" s="330">
        <f>INDEX('Volume adjustments'!$J$527:$Y$567,S$17 + 1 + $H26*$H$28, S$15)</f>
        <v>197523.76601531202</v>
      </c>
      <c r="T26" s="330">
        <f>INDEX('Volume adjustments'!$J$527:$Y$567,T$17 + 1 + $H26*$H$28, T$15)</f>
        <v>452728.40743100789</v>
      </c>
      <c r="U26" s="330">
        <f>INDEX('Volume adjustments'!$J$527:$Y$567,U$17 + 1 + $H26*$H$28, U$15)</f>
        <v>261596.41423706242</v>
      </c>
      <c r="V26" s="330">
        <f>INDEX('Volume adjustments'!$J$527:$Y$567,V$17 + 1 + $H26*$H$28, V$15)</f>
        <v>577497.95911297586</v>
      </c>
      <c r="W26" s="330">
        <f>INDEX('Volume adjustments'!$J$527:$Y$567,W$17 + 1 + $H26*$H$28, W$15)</f>
        <v>107.18588337781929</v>
      </c>
      <c r="X26" s="330">
        <f>INDEX('Volume adjustments'!$J$527:$Y$567,X$17 + 1 + $H26*$H$28, X$15)</f>
        <v>91129.62469367469</v>
      </c>
      <c r="Y26" s="330">
        <f>INDEX('Volume adjustments'!$J$527:$Y$567,Y$17 + 1 + $H26*$H$28, Y$15)</f>
        <v>208870.91558468237</v>
      </c>
      <c r="Z26" s="330">
        <f>INDEX('Volume adjustments'!$J$527:$Y$567,Z$17 + 1 + $H26*$H$28, Z$15)</f>
        <v>120690.20114160109</v>
      </c>
      <c r="AA26" s="330">
        <f>INDEX('Volume adjustments'!$J$527:$Y$567,AA$17 + 1 + $H26*$H$28, AA$15)</f>
        <v>266434.63385185215</v>
      </c>
      <c r="AB26" s="330">
        <f>INDEX('Volume adjustments'!$J$527:$Y$567,AB$17 + 1 + $H26*$H$28, AB$15)</f>
        <v>204.67557859586987</v>
      </c>
      <c r="AC26" s="330">
        <f>INDEX('Volume adjustments'!$J$527:$Y$567,AC$17 + 1 + $H26*$H$28, AC$15)</f>
        <v>179447.63946303696</v>
      </c>
      <c r="AD26" s="330">
        <f>INDEX('Volume adjustments'!$J$527:$Y$567,AD$17 + 1 + $H26*$H$28, AD$15)</f>
        <v>474483.9741062643</v>
      </c>
      <c r="AE26" s="330">
        <f>INDEX('Volume adjustments'!$J$527:$Y$567,AE$17 + 1 + $H26*$H$28, AE$15)</f>
        <v>407982.88600837253</v>
      </c>
      <c r="AF26" s="330">
        <f>INDEX('Volume adjustments'!$J$527:$Y$567,AF$17 + 1 + $H26*$H$28, AF$15)</f>
        <v>774263.32386191655</v>
      </c>
      <c r="AG26" s="330">
        <f>INDEX('Volume adjustments'!$J$527:$Y$567,AG$17 + 1 + $H26*$H$28, AG$15)</f>
        <v>0</v>
      </c>
      <c r="AH26" s="330">
        <f>INDEX('Volume adjustments'!$J$527:$Y$567,AH$17 + 1 + $H26*$H$28, AH$15)</f>
        <v>0</v>
      </c>
      <c r="AI26" s="330">
        <f>INDEX('Volume adjustments'!$J$527:$Y$567,AI$17 + 1 + $H26*$H$28, AI$15)</f>
        <v>0</v>
      </c>
      <c r="AJ26" s="330">
        <f>INDEX('Volume adjustments'!$J$527:$Y$567,AJ$17 + 1 + $H26*$H$28, AJ$15)</f>
        <v>0</v>
      </c>
      <c r="AK26" s="330">
        <f>INDEX('Volume adjustments'!$J$527:$Y$567,AK$17 + 1 + $H26*$H$28, AK$15)</f>
        <v>0</v>
      </c>
      <c r="AL26" s="330">
        <f>INDEX('Volume adjustments'!$J$527:$Y$567,AL$17 + 1 + $H26*$H$28, AL$15)</f>
        <v>0</v>
      </c>
      <c r="AM26" s="330">
        <f>INDEX('Volume adjustments'!$J$527:$Y$567,AM$17 + 1 + $H26*$H$28, AM$15)</f>
        <v>0</v>
      </c>
      <c r="AN26" s="330">
        <f>INDEX('Volume adjustments'!$J$527:$Y$567,AN$17 + 1 + $H26*$H$28, AN$15)</f>
        <v>0</v>
      </c>
      <c r="AO26" s="330">
        <f>INDEX('Volume adjustments'!$J$527:$Y$567,AO$17 + 1 + $H26*$H$28, AO$15)</f>
        <v>0</v>
      </c>
    </row>
    <row r="27" spans="1:43" x14ac:dyDescent="0.3">
      <c r="A27" s="312"/>
      <c r="E27" s="28"/>
      <c r="F27" s="72" t="s">
        <v>251</v>
      </c>
      <c r="G27" s="72" t="s">
        <v>250</v>
      </c>
      <c r="H27" s="365">
        <v>5</v>
      </c>
      <c r="J27" s="330">
        <f>INDEX('Volume adjustments'!$J$527:$Y$567,J$17 + 1 + $H27*$H$28, J$15)</f>
        <v>0</v>
      </c>
      <c r="K27" s="330">
        <f>INDEX('Volume adjustments'!$J$527:$Y$567,K$17 + 1 + $H27*$H$28, K$15)</f>
        <v>0</v>
      </c>
      <c r="L27" s="330">
        <f>INDEX('Volume adjustments'!$J$527:$Y$567,L$17 + 1 + $H27*$H$28, L$15)</f>
        <v>0</v>
      </c>
      <c r="M27" s="330">
        <f>INDEX('Volume adjustments'!$J$527:$Y$567,M$17 + 1 + $H27*$H$28, M$15)</f>
        <v>0</v>
      </c>
      <c r="N27" s="330">
        <f>INDEX('Volume adjustments'!$J$527:$Y$567,N$17 + 1 + $H27*$H$28, N$15)</f>
        <v>0</v>
      </c>
      <c r="O27" s="330">
        <f>INDEX('Volume adjustments'!$J$527:$Y$567,O$17 + 1 + $H27*$H$28, O$15)</f>
        <v>0</v>
      </c>
      <c r="P27" s="330">
        <f>INDEX('Volume adjustments'!$J$527:$Y$567,P$17 + 1 + $H27*$H$28, P$15)</f>
        <v>0</v>
      </c>
      <c r="Q27" s="330">
        <f>INDEX('Volume adjustments'!$J$527:$Y$567,Q$17 + 1 + $H27*$H$28, Q$15)</f>
        <v>0</v>
      </c>
      <c r="R27" s="330">
        <f>INDEX('Volume adjustments'!$J$527:$Y$567,R$17 + 1 + $H27*$H$28, R$15)</f>
        <v>0.80898981879554421</v>
      </c>
      <c r="S27" s="330">
        <f>INDEX('Volume adjustments'!$J$527:$Y$567,S$17 + 1 + $H27*$H$28, S$15)</f>
        <v>4221.771743565937</v>
      </c>
      <c r="T27" s="330">
        <f>INDEX('Volume adjustments'!$J$527:$Y$567,T$17 + 1 + $H27*$H$28, T$15)</f>
        <v>9676.3849563989716</v>
      </c>
      <c r="U27" s="330">
        <f>INDEX('Volume adjustments'!$J$527:$Y$567,U$17 + 1 + $H27*$H$28, U$15)</f>
        <v>5591.2276893231519</v>
      </c>
      <c r="V27" s="330">
        <f>INDEX('Volume adjustments'!$J$527:$Y$567,V$17 + 1 + $H27*$H$28, V$15)</f>
        <v>12343.145409454977</v>
      </c>
      <c r="W27" s="330">
        <f>INDEX('Volume adjustments'!$J$527:$Y$567,W$17 + 1 + $H27*$H$28, W$15)</f>
        <v>0.99296401579984772</v>
      </c>
      <c r="X27" s="330">
        <f>INDEX('Volume adjustments'!$J$527:$Y$567,X$17 + 1 + $H27*$H$28, X$15)</f>
        <v>844.21973530974867</v>
      </c>
      <c r="Y27" s="330">
        <f>INDEX('Volume adjustments'!$J$527:$Y$567,Y$17 + 1 + $H27*$H$28, Y$15)</f>
        <v>1934.9684546768979</v>
      </c>
      <c r="Z27" s="330">
        <f>INDEX('Volume adjustments'!$J$527:$Y$567,Z$17 + 1 + $H27*$H$28, Z$15)</f>
        <v>1118.0672586410301</v>
      </c>
      <c r="AA27" s="330">
        <f>INDEX('Volume adjustments'!$J$527:$Y$567,AA$17 + 1 + $H27*$H$28, AA$15)</f>
        <v>2468.2355142341848</v>
      </c>
      <c r="AB27" s="330">
        <f>INDEX('Volume adjustments'!$J$527:$Y$567,AB$17 + 1 + $H27*$H$28, AB$15)</f>
        <v>1.810298734092207</v>
      </c>
      <c r="AC27" s="330">
        <f>INDEX('Volume adjustments'!$J$527:$Y$567,AC$17 + 1 + $H27*$H$28, AC$15)</f>
        <v>1587.1646084225399</v>
      </c>
      <c r="AD27" s="330">
        <f>INDEX('Volume adjustments'!$J$527:$Y$567,AD$17 + 1 + $H27*$H$28, AD$15)</f>
        <v>4196.6791718107916</v>
      </c>
      <c r="AE27" s="330">
        <f>INDEX('Volume adjustments'!$J$527:$Y$567,AE$17 + 1 + $H27*$H$28, AE$15)</f>
        <v>3608.4954890028371</v>
      </c>
      <c r="AF27" s="330">
        <f>INDEX('Volume adjustments'!$J$527:$Y$567,AF$17 + 1 + $H27*$H$28, AF$15)</f>
        <v>6848.1443885828394</v>
      </c>
      <c r="AG27" s="330">
        <f>INDEX('Volume adjustments'!$J$527:$Y$567,AG$17 + 1 + $H27*$H$28, AG$15)</f>
        <v>0</v>
      </c>
      <c r="AH27" s="330">
        <f>INDEX('Volume adjustments'!$J$527:$Y$567,AH$17 + 1 + $H27*$H$28, AH$15)</f>
        <v>0</v>
      </c>
      <c r="AI27" s="330">
        <f>INDEX('Volume adjustments'!$J$527:$Y$567,AI$17 + 1 + $H27*$H$28, AI$15)</f>
        <v>0</v>
      </c>
      <c r="AJ27" s="330">
        <f>INDEX('Volume adjustments'!$J$527:$Y$567,AJ$17 + 1 + $H27*$H$28, AJ$15)</f>
        <v>0</v>
      </c>
      <c r="AK27" s="330">
        <f>INDEX('Volume adjustments'!$J$527:$Y$567,AK$17 + 1 + $H27*$H$28, AK$15)</f>
        <v>0</v>
      </c>
      <c r="AL27" s="330">
        <f>INDEX('Volume adjustments'!$J$527:$Y$567,AL$17 + 1 + $H27*$H$28, AL$15)</f>
        <v>0</v>
      </c>
      <c r="AM27" s="330">
        <f>INDEX('Volume adjustments'!$J$527:$Y$567,AM$17 + 1 + $H27*$H$28, AM$15)</f>
        <v>0</v>
      </c>
      <c r="AN27" s="330">
        <f>INDEX('Volume adjustments'!$J$527:$Y$567,AN$17 + 1 + $H27*$H$28, AN$15)</f>
        <v>0</v>
      </c>
      <c r="AO27" s="330">
        <f>INDEX('Volume adjustments'!$J$527:$Y$567,AO$17 + 1 + $H27*$H$28, AO$15)</f>
        <v>0</v>
      </c>
    </row>
    <row r="28" spans="1:43" x14ac:dyDescent="0.3">
      <c r="A28" s="312"/>
      <c r="E28" s="28"/>
      <c r="F28" s="80" t="s">
        <v>252</v>
      </c>
      <c r="G28" s="80" t="s">
        <v>253</v>
      </c>
      <c r="H28" s="318">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4.7489974887219137</v>
      </c>
      <c r="S28" s="195">
        <f>INDEX('Volume adjustments'!$J$527:$Y$567,S$17 + 1 + $H28*$H$28, S$15)</f>
        <v>24782.986067737886</v>
      </c>
      <c r="T28" s="195">
        <f>INDEX('Volume adjustments'!$J$527:$Y$567,T$17 + 1 + $H28*$H$28, T$15)</f>
        <v>56803.097876141437</v>
      </c>
      <c r="U28" s="195">
        <f>INDEX('Volume adjustments'!$J$527:$Y$567,U$17 + 1 + $H28*$H$28, U$15)</f>
        <v>32822.077161614739</v>
      </c>
      <c r="V28" s="195">
        <f>INDEX('Volume adjustments'!$J$527:$Y$567,V$17 + 1 + $H28*$H$28, V$15)</f>
        <v>72457.730852167268</v>
      </c>
      <c r="W28" s="195">
        <f>INDEX('Volume adjustments'!$J$527:$Y$567,W$17 + 1 + $H28*$H$28, W$15)</f>
        <v>14.167994601186939</v>
      </c>
      <c r="X28" s="195">
        <f>INDEX('Volume adjustments'!$J$527:$Y$567,X$17 + 1 + $H28*$H$28, X$15)</f>
        <v>12045.653681064461</v>
      </c>
      <c r="Y28" s="195">
        <f>INDEX('Volume adjustments'!$J$527:$Y$567,Y$17 + 1 + $H28*$H$28, Y$15)</f>
        <v>27608.878250483653</v>
      </c>
      <c r="Z28" s="195">
        <f>INDEX('Volume adjustments'!$J$527:$Y$567,Z$17 + 1 + $H28*$H$28, Z$15)</f>
        <v>15953.016053084271</v>
      </c>
      <c r="AA28" s="195">
        <f>INDEX('Volume adjustments'!$J$527:$Y$567,AA$17 + 1 + $H28*$H$28, AA$15)</f>
        <v>35217.738894554976</v>
      </c>
      <c r="AB28" s="195">
        <f>INDEX('Volume adjustments'!$J$527:$Y$567,AB$17 + 1 + $H28*$H$28, AB$15)</f>
        <v>37.447582959517128</v>
      </c>
      <c r="AC28" s="195">
        <f>INDEX('Volume adjustments'!$J$527:$Y$567,AC$17 + 1 + $H28*$H$28, AC$15)</f>
        <v>32831.862070608535</v>
      </c>
      <c r="AD28" s="195">
        <f>INDEX('Volume adjustments'!$J$527:$Y$567,AD$17 + 1 + $H28*$H$28, AD$15)</f>
        <v>86811.910366644253</v>
      </c>
      <c r="AE28" s="195">
        <f>INDEX('Volume adjustments'!$J$527:$Y$567,AE$17 + 1 + $H28*$H$28, AE$15)</f>
        <v>74644.826093434298</v>
      </c>
      <c r="AF28" s="195">
        <f>INDEX('Volume adjustments'!$J$527:$Y$567,AF$17 + 1 + $H28*$H$28, AF$15)</f>
        <v>141659.74393105085</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2939.5815003992957</v>
      </c>
      <c r="AK28" s="195">
        <f>INDEX('Volume adjustments'!$J$527:$Y$567,AK$17 + 1 + $H28*$H$28, AK$15)</f>
        <v>0</v>
      </c>
      <c r="AL28" s="195">
        <f>INDEX('Volume adjustments'!$J$527:$Y$567,AL$17 + 1 + $H28*$H$28, AL$15)</f>
        <v>658.09713031219098</v>
      </c>
      <c r="AM28" s="195">
        <f>INDEX('Volume adjustments'!$J$527:$Y$567,AM$17 + 1 + $H28*$H$28, AM$15)</f>
        <v>0</v>
      </c>
      <c r="AN28" s="195">
        <f>INDEX('Volume adjustments'!$J$527:$Y$567,AN$17 + 1 + $H28*$H$28, AN$15)</f>
        <v>12290.739308282646</v>
      </c>
      <c r="AO28" s="195">
        <f>INDEX('Volume adjustments'!$J$527:$Y$567,AO$17 + 1 + $H28*$H$28, AO$15)</f>
        <v>0</v>
      </c>
    </row>
    <row r="29" spans="1:43" s="252" customFormat="1" x14ac:dyDescent="0.3">
      <c r="A29" s="366"/>
      <c r="E29" s="256"/>
      <c r="F29" s="235"/>
      <c r="G29" s="235"/>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row>
    <row r="30" spans="1:43" x14ac:dyDescent="0.3">
      <c r="A30" s="312"/>
      <c r="E30" s="32" t="s">
        <v>254</v>
      </c>
      <c r="F30" s="342"/>
      <c r="G30" s="342"/>
      <c r="H30" s="303"/>
      <c r="I30" s="303" t="s">
        <v>153</v>
      </c>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Q30" t="s">
        <v>245</v>
      </c>
    </row>
    <row r="31" spans="1:43" x14ac:dyDescent="0.3">
      <c r="A31" s="312"/>
      <c r="E31" s="32"/>
      <c r="F31" s="391" t="s">
        <v>1038</v>
      </c>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row>
    <row r="32" spans="1:43" x14ac:dyDescent="0.3">
      <c r="A32" s="312"/>
      <c r="E32" s="32"/>
      <c r="F32" s="390" t="s">
        <v>1034</v>
      </c>
      <c r="G32" s="37"/>
    </row>
    <row r="33" spans="1:43" x14ac:dyDescent="0.3">
      <c r="A33" s="312"/>
      <c r="F33" s="72" t="s">
        <v>246</v>
      </c>
      <c r="G33" s="72" t="s">
        <v>206</v>
      </c>
      <c r="H33" s="317">
        <v>0</v>
      </c>
      <c r="I33" s="23"/>
      <c r="J33" s="193">
        <f>INDEX('Volume adjustments'!$J$571:$Y$611,J$17 + 1 + $H33*$H$39, J$15)</f>
        <v>17617.880855232706</v>
      </c>
      <c r="K33" s="193">
        <f>INDEX('Volume adjustments'!$J$571:$Y$611,K$17 + 1 + $H33*$H$39, K$15)</f>
        <v>0</v>
      </c>
      <c r="L33" s="193">
        <f>INDEX('Volume adjustments'!$J$571:$Y$611,L$17 + 1 + $H33*$H$39, L$15)</f>
        <v>0</v>
      </c>
      <c r="M33" s="193">
        <f>INDEX('Volume adjustments'!$J$571:$Y$611,M$17 + 1 + $H33*$H$39, M$15)</f>
        <v>29.734926765165721</v>
      </c>
      <c r="N33" s="193">
        <f>INDEX('Volume adjustments'!$J$571:$Y$611,N$17 + 1 + $H33*$H$39, N$15)</f>
        <v>130.62801563109156</v>
      </c>
      <c r="O33" s="193">
        <f>INDEX('Volume adjustments'!$J$571:$Y$611,O$17 + 1 + $H33*$H$39, O$15)</f>
        <v>166.7794811156875</v>
      </c>
      <c r="P33" s="193">
        <f>INDEX('Volume adjustments'!$J$571:$Y$611,P$17 + 1 + $H33*$H$39, P$15)</f>
        <v>498.00520788658537</v>
      </c>
      <c r="Q33" s="193">
        <f>INDEX('Volume adjustments'!$J$571:$Y$611,Q$17 + 1 + $H33*$H$39, Q$15)</f>
        <v>0</v>
      </c>
      <c r="R33" s="193">
        <f>INDEX('Volume adjustments'!$J$571:$Y$611,R$17 + 1 + $H33*$H$39, R$15)</f>
        <v>0</v>
      </c>
      <c r="S33" s="193">
        <f>INDEX('Volume adjustments'!$J$571:$Y$611,S$17 + 1 + $H33*$H$39, S$15)</f>
        <v>67.654939959149416</v>
      </c>
      <c r="T33" s="193">
        <f>INDEX('Volume adjustments'!$J$571:$Y$611,T$17 + 1 + $H33*$H$39, T$15)</f>
        <v>155.06647043258474</v>
      </c>
      <c r="U33" s="193">
        <f>INDEX('Volume adjustments'!$J$571:$Y$611,U$17 + 1 + $H33*$H$39, U$15)</f>
        <v>89.600811364467745</v>
      </c>
      <c r="V33" s="193">
        <f>INDEX('Volume adjustments'!$J$571:$Y$611,V$17 + 1 + $H33*$H$39, V$15)</f>
        <v>197.80196853522401</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11.706974816638677</v>
      </c>
      <c r="AH33" s="193">
        <f>INDEX('Volume adjustments'!$J$571:$Y$611,AH$17 + 1 + $H33*$H$39, AH$15)</f>
        <v>0</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3">
      <c r="A34" s="312"/>
      <c r="E34" s="28"/>
      <c r="F34" s="72" t="s">
        <v>247</v>
      </c>
      <c r="G34" s="72" t="s">
        <v>206</v>
      </c>
      <c r="H34" s="365">
        <v>1</v>
      </c>
      <c r="J34" s="330">
        <f>INDEX('Volume adjustments'!$J$571:$Y$611,J$17 + 1 + $H34*$H$39, J$15)</f>
        <v>44385.700516611476</v>
      </c>
      <c r="K34" s="330">
        <f>INDEX('Volume adjustments'!$J$571:$Y$611,K$17 + 1 + $H34*$H$39, K$15)</f>
        <v>0</v>
      </c>
      <c r="L34" s="330">
        <f>INDEX('Volume adjustments'!$J$571:$Y$611,L$17 + 1 + $H34*$H$39, L$15)</f>
        <v>0</v>
      </c>
      <c r="M34" s="330">
        <f>INDEX('Volume adjustments'!$J$571:$Y$611,M$17 + 1 + $H34*$H$39, M$15)</f>
        <v>106.80279337662498</v>
      </c>
      <c r="N34" s="330">
        <f>INDEX('Volume adjustments'!$J$571:$Y$611,N$17 + 1 + $H34*$H$39, N$15)</f>
        <v>469.19358748816654</v>
      </c>
      <c r="O34" s="330">
        <f>INDEX('Volume adjustments'!$J$571:$Y$611,O$17 + 1 + $H34*$H$39, O$15)</f>
        <v>599.04349527192198</v>
      </c>
      <c r="P34" s="330">
        <f>INDEX('Volume adjustments'!$J$571:$Y$611,P$17 + 1 + $H34*$H$39, P$15)</f>
        <v>1788.7499013686474</v>
      </c>
      <c r="Q34" s="330">
        <f>INDEX('Volume adjustments'!$J$571:$Y$611,Q$17 + 1 + $H34*$H$39, Q$15)</f>
        <v>0</v>
      </c>
      <c r="R34" s="330">
        <f>INDEX('Volume adjustments'!$J$571:$Y$611,R$17 + 1 + $H34*$H$39, R$15)</f>
        <v>0</v>
      </c>
      <c r="S34" s="330">
        <f>INDEX('Volume adjustments'!$J$571:$Y$611,S$17 + 1 + $H34*$H$39, S$15)</f>
        <v>232.43787515006068</v>
      </c>
      <c r="T34" s="330">
        <f>INDEX('Volume adjustments'!$J$571:$Y$611,T$17 + 1 + $H34*$H$39, T$15)</f>
        <v>532.75224124259</v>
      </c>
      <c r="U34" s="330">
        <f>INDEX('Volume adjustments'!$J$571:$Y$611,U$17 + 1 + $H34*$H$39, U$15)</f>
        <v>307.8359424729897</v>
      </c>
      <c r="V34" s="330">
        <f>INDEX('Volume adjustments'!$J$571:$Y$611,V$17 + 1 + $H34*$H$39, V$15)</f>
        <v>679.57593775986948</v>
      </c>
      <c r="W34" s="330">
        <f>INDEX('Volume adjustments'!$J$571:$Y$611,W$17 + 1 + $H34*$H$39, W$15)</f>
        <v>0</v>
      </c>
      <c r="X34" s="330">
        <f>INDEX('Volume adjustments'!$J$571:$Y$611,X$17 + 1 + $H34*$H$39, X$15)</f>
        <v>0</v>
      </c>
      <c r="Y34" s="330">
        <f>INDEX('Volume adjustments'!$J$571:$Y$611,Y$17 + 1 + $H34*$H$39, Y$15)</f>
        <v>0</v>
      </c>
      <c r="Z34" s="330">
        <f>INDEX('Volume adjustments'!$J$571:$Y$611,Z$17 + 1 + $H34*$H$39, Z$15)</f>
        <v>0</v>
      </c>
      <c r="AA34" s="330">
        <f>INDEX('Volume adjustments'!$J$571:$Y$611,AA$17 + 1 + $H34*$H$39, AA$15)</f>
        <v>0</v>
      </c>
      <c r="AB34" s="330">
        <f>INDEX('Volume adjustments'!$J$571:$Y$611,AB$17 + 1 + $H34*$H$39, AB$15)</f>
        <v>0</v>
      </c>
      <c r="AC34" s="330">
        <f>INDEX('Volume adjustments'!$J$571:$Y$611,AC$17 + 1 + $H34*$H$39, AC$15)</f>
        <v>0</v>
      </c>
      <c r="AD34" s="330">
        <f>INDEX('Volume adjustments'!$J$571:$Y$611,AD$17 + 1 + $H34*$H$39, AD$15)</f>
        <v>0</v>
      </c>
      <c r="AE34" s="330">
        <f>INDEX('Volume adjustments'!$J$571:$Y$611,AE$17 + 1 + $H34*$H$39, AE$15)</f>
        <v>0</v>
      </c>
      <c r="AF34" s="330">
        <f>INDEX('Volume adjustments'!$J$571:$Y$611,AF$17 + 1 + $H34*$H$39, AF$15)</f>
        <v>0</v>
      </c>
      <c r="AG34" s="330">
        <f>INDEX('Volume adjustments'!$J$571:$Y$611,AG$17 + 1 + $H34*$H$39, AG$15)</f>
        <v>38.856606082022459</v>
      </c>
      <c r="AH34" s="330">
        <f>INDEX('Volume adjustments'!$J$571:$Y$611,AH$17 + 1 + $H34*$H$39, AH$15)</f>
        <v>0</v>
      </c>
      <c r="AI34" s="330">
        <f>INDEX('Volume adjustments'!$J$571:$Y$611,AI$17 + 1 + $H34*$H$39, AI$15)</f>
        <v>0</v>
      </c>
      <c r="AJ34" s="330">
        <f>INDEX('Volume adjustments'!$J$571:$Y$611,AJ$17 + 1 + $H34*$H$39, AJ$15)</f>
        <v>0</v>
      </c>
      <c r="AK34" s="330">
        <f>INDEX('Volume adjustments'!$J$571:$Y$611,AK$17 + 1 + $H34*$H$39, AK$15)</f>
        <v>0</v>
      </c>
      <c r="AL34" s="330">
        <f>INDEX('Volume adjustments'!$J$571:$Y$611,AL$17 + 1 + $H34*$H$39, AL$15)</f>
        <v>0</v>
      </c>
      <c r="AM34" s="330">
        <f>INDEX('Volume adjustments'!$J$571:$Y$611,AM$17 + 1 + $H34*$H$39, AM$15)</f>
        <v>0</v>
      </c>
      <c r="AN34" s="330">
        <f>INDEX('Volume adjustments'!$J$571:$Y$611,AN$17 + 1 + $H34*$H$39, AN$15)</f>
        <v>0</v>
      </c>
      <c r="AO34" s="330">
        <f>INDEX('Volume adjustments'!$J$571:$Y$611,AO$17 + 1 + $H34*$H$39, AO$15)</f>
        <v>0</v>
      </c>
    </row>
    <row r="35" spans="1:43" x14ac:dyDescent="0.3">
      <c r="A35" s="312"/>
      <c r="E35" s="28"/>
      <c r="F35" s="72" t="s">
        <v>248</v>
      </c>
      <c r="G35" s="72" t="s">
        <v>206</v>
      </c>
      <c r="H35" s="365">
        <v>2</v>
      </c>
      <c r="J35" s="330">
        <f>INDEX('Volume adjustments'!$J$571:$Y$611,J$17 + 1 + $H35*$H$39, J$15)</f>
        <v>81534.262508646862</v>
      </c>
      <c r="K35" s="330">
        <f>INDEX('Volume adjustments'!$J$571:$Y$611,K$17 + 1 + $H35*$H$39, K$15)</f>
        <v>0</v>
      </c>
      <c r="L35" s="330">
        <f>INDEX('Volume adjustments'!$J$571:$Y$611,L$17 + 1 + $H35*$H$39, L$15)</f>
        <v>0</v>
      </c>
      <c r="M35" s="330">
        <f>INDEX('Volume adjustments'!$J$571:$Y$611,M$17 + 1 + $H35*$H$39, M$15)</f>
        <v>136.24695940319302</v>
      </c>
      <c r="N35" s="330">
        <f>INDEX('Volume adjustments'!$J$571:$Y$611,N$17 + 1 + $H35*$H$39, N$15)</f>
        <v>598.5442669211094</v>
      </c>
      <c r="O35" s="330">
        <f>INDEX('Volume adjustments'!$J$571:$Y$611,O$17 + 1 + $H35*$H$39, O$15)</f>
        <v>764.19213581096665</v>
      </c>
      <c r="P35" s="330">
        <f>INDEX('Volume adjustments'!$J$571:$Y$611,P$17 + 1 + $H35*$H$39, P$15)</f>
        <v>2281.8854028922688</v>
      </c>
      <c r="Q35" s="330">
        <f>INDEX('Volume adjustments'!$J$571:$Y$611,Q$17 + 1 + $H35*$H$39, Q$15)</f>
        <v>0</v>
      </c>
      <c r="R35" s="330">
        <f>INDEX('Volume adjustments'!$J$571:$Y$611,R$17 + 1 + $H35*$H$39, R$15)</f>
        <v>0</v>
      </c>
      <c r="S35" s="330">
        <f>INDEX('Volume adjustments'!$J$571:$Y$611,S$17 + 1 + $H35*$H$39, S$15)</f>
        <v>344.15677431693729</v>
      </c>
      <c r="T35" s="330">
        <f>INDEX('Volume adjustments'!$J$571:$Y$611,T$17 + 1 + $H35*$H$39, T$15)</f>
        <v>788.81418416769884</v>
      </c>
      <c r="U35" s="330">
        <f>INDEX('Volume adjustments'!$J$571:$Y$611,U$17 + 1 + $H35*$H$39, U$15)</f>
        <v>455.79415537128625</v>
      </c>
      <c r="V35" s="330">
        <f>INDEX('Volume adjustments'!$J$571:$Y$611,V$17 + 1 + $H35*$H$39, V$15)</f>
        <v>1006.2071961888839</v>
      </c>
      <c r="W35" s="330">
        <f>INDEX('Volume adjustments'!$J$571:$Y$611,W$17 + 1 + $H35*$H$39, W$15)</f>
        <v>0</v>
      </c>
      <c r="X35" s="330">
        <f>INDEX('Volume adjustments'!$J$571:$Y$611,X$17 + 1 + $H35*$H$39, X$15)</f>
        <v>0</v>
      </c>
      <c r="Y35" s="330">
        <f>INDEX('Volume adjustments'!$J$571:$Y$611,Y$17 + 1 + $H35*$H$39, Y$15)</f>
        <v>0</v>
      </c>
      <c r="Z35" s="330">
        <f>INDEX('Volume adjustments'!$J$571:$Y$611,Z$17 + 1 + $H35*$H$39, Z$15)</f>
        <v>0</v>
      </c>
      <c r="AA35" s="330">
        <f>INDEX('Volume adjustments'!$J$571:$Y$611,AA$17 + 1 + $H35*$H$39, AA$15)</f>
        <v>0</v>
      </c>
      <c r="AB35" s="330">
        <f>INDEX('Volume adjustments'!$J$571:$Y$611,AB$17 + 1 + $H35*$H$39, AB$15)</f>
        <v>0</v>
      </c>
      <c r="AC35" s="330">
        <f>INDEX('Volume adjustments'!$J$571:$Y$611,AC$17 + 1 + $H35*$H$39, AC$15)</f>
        <v>0</v>
      </c>
      <c r="AD35" s="330">
        <f>INDEX('Volume adjustments'!$J$571:$Y$611,AD$17 + 1 + $H35*$H$39, AD$15)</f>
        <v>0</v>
      </c>
      <c r="AE35" s="330">
        <f>INDEX('Volume adjustments'!$J$571:$Y$611,AE$17 + 1 + $H35*$H$39, AE$15)</f>
        <v>0</v>
      </c>
      <c r="AF35" s="330">
        <f>INDEX('Volume adjustments'!$J$571:$Y$611,AF$17 + 1 + $H35*$H$39, AF$15)</f>
        <v>0</v>
      </c>
      <c r="AG35" s="330">
        <f>INDEX('Volume adjustments'!$J$571:$Y$611,AG$17 + 1 + $H35*$H$39, AG$15)</f>
        <v>200.79134011510283</v>
      </c>
      <c r="AH35" s="330">
        <f>INDEX('Volume adjustments'!$J$571:$Y$611,AH$17 + 1 + $H35*$H$39, AH$15)</f>
        <v>0</v>
      </c>
      <c r="AI35" s="330">
        <f>INDEX('Volume adjustments'!$J$571:$Y$611,AI$17 + 1 + $H35*$H$39, AI$15)</f>
        <v>0</v>
      </c>
      <c r="AJ35" s="330">
        <f>INDEX('Volume adjustments'!$J$571:$Y$611,AJ$17 + 1 + $H35*$H$39, AJ$15)</f>
        <v>0</v>
      </c>
      <c r="AK35" s="330">
        <f>INDEX('Volume adjustments'!$J$571:$Y$611,AK$17 + 1 + $H35*$H$39, AK$15)</f>
        <v>0</v>
      </c>
      <c r="AL35" s="330">
        <f>INDEX('Volume adjustments'!$J$571:$Y$611,AL$17 + 1 + $H35*$H$39, AL$15)</f>
        <v>0</v>
      </c>
      <c r="AM35" s="330">
        <f>INDEX('Volume adjustments'!$J$571:$Y$611,AM$17 + 1 + $H35*$H$39, AM$15)</f>
        <v>0</v>
      </c>
      <c r="AN35" s="330">
        <f>INDEX('Volume adjustments'!$J$571:$Y$611,AN$17 + 1 + $H35*$H$39, AN$15)</f>
        <v>0</v>
      </c>
      <c r="AO35" s="330">
        <f>INDEX('Volume adjustments'!$J$571:$Y$611,AO$17 + 1 + $H35*$H$39, AO$15)</f>
        <v>0</v>
      </c>
    </row>
    <row r="36" spans="1:43" x14ac:dyDescent="0.3">
      <c r="A36" s="312"/>
      <c r="E36" s="28"/>
      <c r="F36" s="72" t="s">
        <v>211</v>
      </c>
      <c r="G36" s="72" t="s">
        <v>211</v>
      </c>
      <c r="H36" s="365">
        <v>3</v>
      </c>
      <c r="J36" s="330">
        <f>INDEX('Volume adjustments'!$J$571:$Y$611,J$17 + 1 + $H36*$H$39, J$15)</f>
        <v>52808.841615088189</v>
      </c>
      <c r="K36" s="330">
        <f>INDEX('Volume adjustments'!$J$571:$Y$611,K$17 + 1 + $H36*$H$39, K$15)</f>
        <v>0</v>
      </c>
      <c r="L36" s="330">
        <f>INDEX('Volume adjustments'!$J$571:$Y$611,L$17 + 1 + $H36*$H$39, L$15)</f>
        <v>0</v>
      </c>
      <c r="M36" s="330">
        <f>INDEX('Volume adjustments'!$J$571:$Y$611,M$17 + 1 + $H36*$H$39, M$15)</f>
        <v>362.13214272409368</v>
      </c>
      <c r="N36" s="330">
        <f>INDEX('Volume adjustments'!$J$571:$Y$611,N$17 + 1 + $H36*$H$39, N$15)</f>
        <v>322.45540923447231</v>
      </c>
      <c r="O36" s="330">
        <f>INDEX('Volume adjustments'!$J$571:$Y$611,O$17 + 1 + $H36*$H$39, O$15)</f>
        <v>166.16762839192711</v>
      </c>
      <c r="P36" s="330">
        <f>INDEX('Volume adjustments'!$J$571:$Y$611,P$17 + 1 + $H36*$H$39, P$15)</f>
        <v>159.32975115635622</v>
      </c>
      <c r="Q36" s="330">
        <f>INDEX('Volume adjustments'!$J$571:$Y$611,Q$17 + 1 + $H36*$H$39, Q$15)</f>
        <v>0</v>
      </c>
      <c r="R36" s="330">
        <f>INDEX('Volume adjustments'!$J$571:$Y$611,R$17 + 1 + $H36*$H$39, R$15)</f>
        <v>0</v>
      </c>
      <c r="S36" s="330">
        <f>INDEX('Volume adjustments'!$J$571:$Y$611,S$17 + 1 + $H36*$H$39, S$15)</f>
        <v>16.620369738727064</v>
      </c>
      <c r="T36" s="330">
        <f>INDEX('Volume adjustments'!$J$571:$Y$611,T$17 + 1 + $H36*$H$39, T$15)</f>
        <v>15.276894740432498</v>
      </c>
      <c r="U36" s="330">
        <f>INDEX('Volume adjustments'!$J$571:$Y$611,U$17 + 1 + $H36*$H$39, U$15)</f>
        <v>5.4120335629988405</v>
      </c>
      <c r="V36" s="330">
        <f>INDEX('Volume adjustments'!$J$571:$Y$611,V$17 + 1 + $H36*$H$39, V$15)</f>
        <v>5.6907019578415996</v>
      </c>
      <c r="W36" s="330">
        <f>INDEX('Volume adjustments'!$J$571:$Y$611,W$17 + 1 + $H36*$H$39, W$15)</f>
        <v>0</v>
      </c>
      <c r="X36" s="330">
        <f>INDEX('Volume adjustments'!$J$571:$Y$611,X$17 + 1 + $H36*$H$39, X$15)</f>
        <v>0</v>
      </c>
      <c r="Y36" s="330">
        <f>INDEX('Volume adjustments'!$J$571:$Y$611,Y$17 + 1 + $H36*$H$39, Y$15)</f>
        <v>0</v>
      </c>
      <c r="Z36" s="330">
        <f>INDEX('Volume adjustments'!$J$571:$Y$611,Z$17 + 1 + $H36*$H$39, Z$15)</f>
        <v>0</v>
      </c>
      <c r="AA36" s="330">
        <f>INDEX('Volume adjustments'!$J$571:$Y$611,AA$17 + 1 + $H36*$H$39, AA$15)</f>
        <v>0</v>
      </c>
      <c r="AB36" s="330">
        <f>INDEX('Volume adjustments'!$J$571:$Y$611,AB$17 + 1 + $H36*$H$39, AB$15)</f>
        <v>0</v>
      </c>
      <c r="AC36" s="330">
        <f>INDEX('Volume adjustments'!$J$571:$Y$611,AC$17 + 1 + $H36*$H$39, AC$15)</f>
        <v>0</v>
      </c>
      <c r="AD36" s="330">
        <f>INDEX('Volume adjustments'!$J$571:$Y$611,AD$17 + 1 + $H36*$H$39, AD$15)</f>
        <v>0</v>
      </c>
      <c r="AE36" s="330">
        <f>INDEX('Volume adjustments'!$J$571:$Y$611,AE$17 + 1 + $H36*$H$39, AE$15)</f>
        <v>0</v>
      </c>
      <c r="AF36" s="330">
        <f>INDEX('Volume adjustments'!$J$571:$Y$611,AF$17 + 1 + $H36*$H$39, AF$15)</f>
        <v>0</v>
      </c>
      <c r="AG36" s="330">
        <f>INDEX('Volume adjustments'!$J$571:$Y$611,AG$17 + 1 + $H36*$H$39, AG$15)</f>
        <v>74</v>
      </c>
      <c r="AH36" s="330">
        <f>INDEX('Volume adjustments'!$J$571:$Y$611,AH$17 + 1 + $H36*$H$39, AH$15)</f>
        <v>0</v>
      </c>
      <c r="AI36" s="330">
        <f>INDEX('Volume adjustments'!$J$571:$Y$611,AI$17 + 1 + $H36*$H$39, AI$15)</f>
        <v>0</v>
      </c>
      <c r="AJ36" s="330">
        <f>INDEX('Volume adjustments'!$J$571:$Y$611,AJ$17 + 1 + $H36*$H$39, AJ$15)</f>
        <v>0</v>
      </c>
      <c r="AK36" s="330">
        <f>INDEX('Volume adjustments'!$J$571:$Y$611,AK$17 + 1 + $H36*$H$39, AK$15)</f>
        <v>0</v>
      </c>
      <c r="AL36" s="330">
        <f>INDEX('Volume adjustments'!$J$571:$Y$611,AL$17 + 1 + $H36*$H$39, AL$15)</f>
        <v>0</v>
      </c>
      <c r="AM36" s="330">
        <f>INDEX('Volume adjustments'!$J$571:$Y$611,AM$17 + 1 + $H36*$H$39, AM$15)</f>
        <v>0</v>
      </c>
      <c r="AN36" s="330">
        <f>INDEX('Volume adjustments'!$J$571:$Y$611,AN$17 + 1 + $H36*$H$39, AN$15)</f>
        <v>0</v>
      </c>
      <c r="AO36" s="330">
        <f>INDEX('Volume adjustments'!$J$571:$Y$611,AO$17 + 1 + $H36*$H$39, AO$15)</f>
        <v>0</v>
      </c>
    </row>
    <row r="37" spans="1:43" x14ac:dyDescent="0.3">
      <c r="A37" s="312"/>
      <c r="E37" s="28"/>
      <c r="F37" s="72" t="s">
        <v>249</v>
      </c>
      <c r="G37" s="72" t="s">
        <v>250</v>
      </c>
      <c r="H37" s="365">
        <v>4</v>
      </c>
      <c r="J37" s="330">
        <f>INDEX('Volume adjustments'!$J$571:$Y$611,J$17 + 1 + $H37*$H$39, J$15)</f>
        <v>0</v>
      </c>
      <c r="K37" s="330">
        <f>INDEX('Volume adjustments'!$J$571:$Y$611,K$17 + 1 + $H37*$H$39, K$15)</f>
        <v>0</v>
      </c>
      <c r="L37" s="330">
        <f>INDEX('Volume adjustments'!$J$571:$Y$611,L$17 + 1 + $H37*$H$39, L$15)</f>
        <v>0</v>
      </c>
      <c r="M37" s="330">
        <f>INDEX('Volume adjustments'!$J$571:$Y$611,M$17 + 1 + $H37*$H$39, M$15)</f>
        <v>0</v>
      </c>
      <c r="N37" s="330">
        <f>INDEX('Volume adjustments'!$J$571:$Y$611,N$17 + 1 + $H37*$H$39, N$15)</f>
        <v>0</v>
      </c>
      <c r="O37" s="330">
        <f>INDEX('Volume adjustments'!$J$571:$Y$611,O$17 + 1 + $H37*$H$39, O$15)</f>
        <v>0</v>
      </c>
      <c r="P37" s="330">
        <f>INDEX('Volume adjustments'!$J$571:$Y$611,P$17 + 1 + $H37*$H$39, P$15)</f>
        <v>0</v>
      </c>
      <c r="Q37" s="330">
        <f>INDEX('Volume adjustments'!$J$571:$Y$611,Q$17 + 1 + $H37*$H$39, Q$15)</f>
        <v>0</v>
      </c>
      <c r="R37" s="330">
        <f>INDEX('Volume adjustments'!$J$571:$Y$611,R$17 + 1 + $H37*$H$39, R$15)</f>
        <v>0</v>
      </c>
      <c r="S37" s="330">
        <f>INDEX('Volume adjustments'!$J$571:$Y$611,S$17 + 1 + $H37*$H$39, S$15)</f>
        <v>726.76374638232608</v>
      </c>
      <c r="T37" s="330">
        <f>INDEX('Volume adjustments'!$J$571:$Y$611,T$17 + 1 + $H37*$H$39, T$15)</f>
        <v>1665.7569877072781</v>
      </c>
      <c r="U37" s="330">
        <f>INDEX('Volume adjustments'!$J$571:$Y$611,U$17 + 1 + $H37*$H$39, U$15)</f>
        <v>962.51096202961401</v>
      </c>
      <c r="V37" s="330">
        <f>INDEX('Volume adjustments'!$J$571:$Y$611,V$17 + 1 + $H37*$H$39, V$15)</f>
        <v>2124.830792566795</v>
      </c>
      <c r="W37" s="330">
        <f>INDEX('Volume adjustments'!$J$571:$Y$611,W$17 + 1 + $H37*$H$39, W$15)</f>
        <v>0</v>
      </c>
      <c r="X37" s="330">
        <f>INDEX('Volume adjustments'!$J$571:$Y$611,X$17 + 1 + $H37*$H$39, X$15)</f>
        <v>0</v>
      </c>
      <c r="Y37" s="330">
        <f>INDEX('Volume adjustments'!$J$571:$Y$611,Y$17 + 1 + $H37*$H$39, Y$15)</f>
        <v>0</v>
      </c>
      <c r="Z37" s="330">
        <f>INDEX('Volume adjustments'!$J$571:$Y$611,Z$17 + 1 + $H37*$H$39, Z$15)</f>
        <v>0</v>
      </c>
      <c r="AA37" s="330">
        <f>INDEX('Volume adjustments'!$J$571:$Y$611,AA$17 + 1 + $H37*$H$39, AA$15)</f>
        <v>0</v>
      </c>
      <c r="AB37" s="330">
        <f>INDEX('Volume adjustments'!$J$571:$Y$611,AB$17 + 1 + $H37*$H$39, AB$15)</f>
        <v>0</v>
      </c>
      <c r="AC37" s="330">
        <f>INDEX('Volume adjustments'!$J$571:$Y$611,AC$17 + 1 + $H37*$H$39, AC$15)</f>
        <v>0</v>
      </c>
      <c r="AD37" s="330">
        <f>INDEX('Volume adjustments'!$J$571:$Y$611,AD$17 + 1 + $H37*$H$39, AD$15)</f>
        <v>0</v>
      </c>
      <c r="AE37" s="330">
        <f>INDEX('Volume adjustments'!$J$571:$Y$611,AE$17 + 1 + $H37*$H$39, AE$15)</f>
        <v>0</v>
      </c>
      <c r="AF37" s="330">
        <f>INDEX('Volume adjustments'!$J$571:$Y$611,AF$17 + 1 + $H37*$H$39, AF$15)</f>
        <v>0</v>
      </c>
      <c r="AG37" s="330">
        <f>INDEX('Volume adjustments'!$J$571:$Y$611,AG$17 + 1 + $H37*$H$39, AG$15)</f>
        <v>0</v>
      </c>
      <c r="AH37" s="330">
        <f>INDEX('Volume adjustments'!$J$571:$Y$611,AH$17 + 1 + $H37*$H$39, AH$15)</f>
        <v>0</v>
      </c>
      <c r="AI37" s="330">
        <f>INDEX('Volume adjustments'!$J$571:$Y$611,AI$17 + 1 + $H37*$H$39, AI$15)</f>
        <v>0</v>
      </c>
      <c r="AJ37" s="330">
        <f>INDEX('Volume adjustments'!$J$571:$Y$611,AJ$17 + 1 + $H37*$H$39, AJ$15)</f>
        <v>0</v>
      </c>
      <c r="AK37" s="330">
        <f>INDEX('Volume adjustments'!$J$571:$Y$611,AK$17 + 1 + $H37*$H$39, AK$15)</f>
        <v>0</v>
      </c>
      <c r="AL37" s="330">
        <f>INDEX('Volume adjustments'!$J$571:$Y$611,AL$17 + 1 + $H37*$H$39, AL$15)</f>
        <v>0</v>
      </c>
      <c r="AM37" s="330">
        <f>INDEX('Volume adjustments'!$J$571:$Y$611,AM$17 + 1 + $H37*$H$39, AM$15)</f>
        <v>0</v>
      </c>
      <c r="AN37" s="330">
        <f>INDEX('Volume adjustments'!$J$571:$Y$611,AN$17 + 1 + $H37*$H$39, AN$15)</f>
        <v>0</v>
      </c>
      <c r="AO37" s="330">
        <f>INDEX('Volume adjustments'!$J$571:$Y$611,AO$17 + 1 + $H37*$H$39, AO$15)</f>
        <v>0</v>
      </c>
    </row>
    <row r="38" spans="1:43" x14ac:dyDescent="0.3">
      <c r="A38" s="312"/>
      <c r="E38" s="28"/>
      <c r="F38" s="72" t="s">
        <v>251</v>
      </c>
      <c r="G38" s="72" t="s">
        <v>250</v>
      </c>
      <c r="H38" s="365">
        <v>5</v>
      </c>
      <c r="J38" s="330">
        <f>INDEX('Volume adjustments'!$J$571:$Y$611,J$17 + 1 + $H38*$H$39, J$15)</f>
        <v>0</v>
      </c>
      <c r="K38" s="330">
        <f>INDEX('Volume adjustments'!$J$571:$Y$611,K$17 + 1 + $H38*$H$39, K$15)</f>
        <v>0</v>
      </c>
      <c r="L38" s="330">
        <f>INDEX('Volume adjustments'!$J$571:$Y$611,L$17 + 1 + $H38*$H$39, L$15)</f>
        <v>0</v>
      </c>
      <c r="M38" s="330">
        <f>INDEX('Volume adjustments'!$J$571:$Y$611,M$17 + 1 + $H38*$H$39, M$15)</f>
        <v>0</v>
      </c>
      <c r="N38" s="330">
        <f>INDEX('Volume adjustments'!$J$571:$Y$611,N$17 + 1 + $H38*$H$39, N$15)</f>
        <v>0</v>
      </c>
      <c r="O38" s="330">
        <f>INDEX('Volume adjustments'!$J$571:$Y$611,O$17 + 1 + $H38*$H$39, O$15)</f>
        <v>0</v>
      </c>
      <c r="P38" s="330">
        <f>INDEX('Volume adjustments'!$J$571:$Y$611,P$17 + 1 + $H38*$H$39, P$15)</f>
        <v>0</v>
      </c>
      <c r="Q38" s="330">
        <f>INDEX('Volume adjustments'!$J$571:$Y$611,Q$17 + 1 + $H38*$H$39, Q$15)</f>
        <v>0</v>
      </c>
      <c r="R38" s="330">
        <f>INDEX('Volume adjustments'!$J$571:$Y$611,R$17 + 1 + $H38*$H$39, R$15)</f>
        <v>0</v>
      </c>
      <c r="S38" s="330">
        <f>INDEX('Volume adjustments'!$J$571:$Y$611,S$17 + 1 + $H38*$H$39, S$15)</f>
        <v>7.4961176122136077</v>
      </c>
      <c r="T38" s="330">
        <f>INDEX('Volume adjustments'!$J$571:$Y$611,T$17 + 1 + $H38*$H$39, T$15)</f>
        <v>17.181250929723141</v>
      </c>
      <c r="U38" s="330">
        <f>INDEX('Volume adjustments'!$J$571:$Y$611,U$17 + 1 + $H38*$H$39, U$15)</f>
        <v>9.9277040308271403</v>
      </c>
      <c r="V38" s="330">
        <f>INDEX('Volume adjustments'!$J$571:$Y$611,V$17 + 1 + $H38*$H$39, V$15)</f>
        <v>21.916312703295706</v>
      </c>
      <c r="W38" s="330">
        <f>INDEX('Volume adjustments'!$J$571:$Y$611,W$17 + 1 + $H38*$H$39, W$15)</f>
        <v>0</v>
      </c>
      <c r="X38" s="330">
        <f>INDEX('Volume adjustments'!$J$571:$Y$611,X$17 + 1 + $H38*$H$39, X$15)</f>
        <v>0</v>
      </c>
      <c r="Y38" s="330">
        <f>INDEX('Volume adjustments'!$J$571:$Y$611,Y$17 + 1 + $H38*$H$39, Y$15)</f>
        <v>0</v>
      </c>
      <c r="Z38" s="330">
        <f>INDEX('Volume adjustments'!$J$571:$Y$611,Z$17 + 1 + $H38*$H$39, Z$15)</f>
        <v>0</v>
      </c>
      <c r="AA38" s="330">
        <f>INDEX('Volume adjustments'!$J$571:$Y$611,AA$17 + 1 + $H38*$H$39, AA$15)</f>
        <v>0</v>
      </c>
      <c r="AB38" s="330">
        <f>INDEX('Volume adjustments'!$J$571:$Y$611,AB$17 + 1 + $H38*$H$39, AB$15)</f>
        <v>0</v>
      </c>
      <c r="AC38" s="330">
        <f>INDEX('Volume adjustments'!$J$571:$Y$611,AC$17 + 1 + $H38*$H$39, AC$15)</f>
        <v>0</v>
      </c>
      <c r="AD38" s="330">
        <f>INDEX('Volume adjustments'!$J$571:$Y$611,AD$17 + 1 + $H38*$H$39, AD$15)</f>
        <v>0</v>
      </c>
      <c r="AE38" s="330">
        <f>INDEX('Volume adjustments'!$J$571:$Y$611,AE$17 + 1 + $H38*$H$39, AE$15)</f>
        <v>0</v>
      </c>
      <c r="AF38" s="330">
        <f>INDEX('Volume adjustments'!$J$571:$Y$611,AF$17 + 1 + $H38*$H$39, AF$15)</f>
        <v>0</v>
      </c>
      <c r="AG38" s="330">
        <f>INDEX('Volume adjustments'!$J$571:$Y$611,AG$17 + 1 + $H38*$H$39, AG$15)</f>
        <v>0</v>
      </c>
      <c r="AH38" s="330">
        <f>INDEX('Volume adjustments'!$J$571:$Y$611,AH$17 + 1 + $H38*$H$39, AH$15)</f>
        <v>0</v>
      </c>
      <c r="AI38" s="330">
        <f>INDEX('Volume adjustments'!$J$571:$Y$611,AI$17 + 1 + $H38*$H$39, AI$15)</f>
        <v>0</v>
      </c>
      <c r="AJ38" s="330">
        <f>INDEX('Volume adjustments'!$J$571:$Y$611,AJ$17 + 1 + $H38*$H$39, AJ$15)</f>
        <v>0</v>
      </c>
      <c r="AK38" s="330">
        <f>INDEX('Volume adjustments'!$J$571:$Y$611,AK$17 + 1 + $H38*$H$39, AK$15)</f>
        <v>0</v>
      </c>
      <c r="AL38" s="330">
        <f>INDEX('Volume adjustments'!$J$571:$Y$611,AL$17 + 1 + $H38*$H$39, AL$15)</f>
        <v>0</v>
      </c>
      <c r="AM38" s="330">
        <f>INDEX('Volume adjustments'!$J$571:$Y$611,AM$17 + 1 + $H38*$H$39, AM$15)</f>
        <v>0</v>
      </c>
      <c r="AN38" s="330">
        <f>INDEX('Volume adjustments'!$J$571:$Y$611,AN$17 + 1 + $H38*$H$39, AN$15)</f>
        <v>0</v>
      </c>
      <c r="AO38" s="330">
        <f>INDEX('Volume adjustments'!$J$571:$Y$611,AO$17 + 1 + $H38*$H$39, AO$15)</f>
        <v>0</v>
      </c>
    </row>
    <row r="39" spans="1:43" x14ac:dyDescent="0.3">
      <c r="A39" s="312"/>
      <c r="E39" s="28"/>
      <c r="F39" s="80" t="s">
        <v>252</v>
      </c>
      <c r="G39" s="80" t="s">
        <v>253</v>
      </c>
      <c r="H39" s="318">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65.399025966558455</v>
      </c>
      <c r="T39" s="195">
        <f>INDEX('Volume adjustments'!$J$571:$Y$611,T$17 + 1 + $H39*$H$39, T$15)</f>
        <v>149.89587061176186</v>
      </c>
      <c r="U39" s="195">
        <f>INDEX('Volume adjustments'!$J$571:$Y$611,U$17 + 1 + $H39*$H$39, U$15)</f>
        <v>86.613125258668887</v>
      </c>
      <c r="V39" s="195">
        <f>INDEX('Volume adjustments'!$J$571:$Y$611,V$17 + 1 + $H39*$H$39, V$15)</f>
        <v>191.20637878449654</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52" customFormat="1" x14ac:dyDescent="0.3">
      <c r="A40" s="366"/>
      <c r="E40" s="256"/>
      <c r="F40" s="235"/>
      <c r="G40" s="235"/>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row>
    <row r="41" spans="1:43" x14ac:dyDescent="0.3">
      <c r="A41" s="312"/>
      <c r="E41" s="32" t="s">
        <v>255</v>
      </c>
      <c r="F41" s="342"/>
      <c r="G41" s="342"/>
      <c r="H41" s="303"/>
      <c r="I41" s="303" t="s">
        <v>153</v>
      </c>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03"/>
      <c r="AQ41" t="s">
        <v>245</v>
      </c>
    </row>
    <row r="42" spans="1:43" x14ac:dyDescent="0.3">
      <c r="A42" s="312"/>
      <c r="E42" s="32"/>
      <c r="F42" s="391" t="s">
        <v>1038</v>
      </c>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row>
    <row r="43" spans="1:43" x14ac:dyDescent="0.3">
      <c r="A43" s="312"/>
      <c r="E43" s="32"/>
      <c r="F43" s="390" t="s">
        <v>1034</v>
      </c>
      <c r="G43" s="37"/>
    </row>
    <row r="44" spans="1:43" x14ac:dyDescent="0.3">
      <c r="A44" s="312"/>
      <c r="E44" s="28"/>
      <c r="F44" s="72" t="s">
        <v>246</v>
      </c>
      <c r="G44" s="72" t="s">
        <v>206</v>
      </c>
      <c r="H44" s="317">
        <v>0</v>
      </c>
      <c r="I44" s="23"/>
      <c r="J44" s="193">
        <f>INDEX('Volume adjustments'!$J$615:$Y$655,J$17 + 1 + $H44*$H$50, J$15)</f>
        <v>20406.995946034098</v>
      </c>
      <c r="K44" s="193">
        <f>INDEX('Volume adjustments'!$J$615:$Y$655,K$17 + 1 + $H44*$H$50, K$15)</f>
        <v>0</v>
      </c>
      <c r="L44" s="193">
        <f>INDEX('Volume adjustments'!$J$615:$Y$655,L$17 + 1 + $H44*$H$50, L$15)</f>
        <v>0</v>
      </c>
      <c r="M44" s="193">
        <f>INDEX('Volume adjustments'!$J$615:$Y$655,M$17 + 1 + $H44*$H$50, M$15)</f>
        <v>53.032577897376015</v>
      </c>
      <c r="N44" s="193">
        <f>INDEX('Volume adjustments'!$J$615:$Y$655,N$17 + 1 + $H44*$H$50, N$15)</f>
        <v>232.97654200551398</v>
      </c>
      <c r="O44" s="193">
        <f>INDEX('Volume adjustments'!$J$615:$Y$655,O$17 + 1 + $H44*$H$50, O$15)</f>
        <v>297.45308921739843</v>
      </c>
      <c r="P44" s="193">
        <f>INDEX('Volume adjustments'!$J$615:$Y$655,P$17 + 1 + $H44*$H$50, P$15)</f>
        <v>888.197915842322</v>
      </c>
      <c r="Q44" s="193">
        <f>INDEX('Volume adjustments'!$J$615:$Y$655,Q$17 + 1 + $H44*$H$50, Q$15)</f>
        <v>0</v>
      </c>
      <c r="R44" s="193">
        <f>INDEX('Volume adjustments'!$J$615:$Y$655,R$17 + 1 + $H44*$H$50, R$15)</f>
        <v>0</v>
      </c>
      <c r="S44" s="193">
        <f>INDEX('Volume adjustments'!$J$615:$Y$655,S$17 + 1 + $H44*$H$50, S$15)</f>
        <v>2005.8837928996877</v>
      </c>
      <c r="T44" s="193">
        <f>INDEX('Volume adjustments'!$J$615:$Y$655,T$17 + 1 + $H44*$H$50, T$15)</f>
        <v>4597.5256211991609</v>
      </c>
      <c r="U44" s="193">
        <f>INDEX('Volume adjustments'!$J$615:$Y$655,U$17 + 1 + $H44*$H$50, U$15)</f>
        <v>2656.5512504359572</v>
      </c>
      <c r="V44" s="193">
        <f>INDEX('Volume adjustments'!$J$615:$Y$655,V$17 + 1 + $H44*$H$50, V$15)</f>
        <v>5864.5793363800385</v>
      </c>
      <c r="W44" s="193">
        <f>INDEX('Volume adjustments'!$J$615:$Y$655,W$17 + 1 + $H44*$H$50, W$15)</f>
        <v>0</v>
      </c>
      <c r="X44" s="193">
        <f>INDEX('Volume adjustments'!$J$615:$Y$655,X$17 + 1 + $H44*$H$50, X$15)</f>
        <v>225.17186397576623</v>
      </c>
      <c r="Y44" s="193">
        <f>INDEX('Volume adjustments'!$J$615:$Y$655,Y$17 + 1 + $H44*$H$50, Y$15)</f>
        <v>516.09839885352153</v>
      </c>
      <c r="Z44" s="193">
        <f>INDEX('Volume adjustments'!$J$615:$Y$655,Z$17 + 1 + $H44*$H$50, Z$15)</f>
        <v>298.21298667710585</v>
      </c>
      <c r="AA44" s="193">
        <f>INDEX('Volume adjustments'!$J$615:$Y$655,AA$17 + 1 + $H44*$H$50, AA$15)</f>
        <v>658.33238459816118</v>
      </c>
      <c r="AB44" s="193">
        <f>INDEX('Volume adjustments'!$J$615:$Y$655,AB$17 + 1 + $H44*$H$50, AB$15)</f>
        <v>0</v>
      </c>
      <c r="AC44" s="193">
        <f>INDEX('Volume adjustments'!$J$615:$Y$655,AC$17 + 1 + $H44*$H$50, AC$15)</f>
        <v>339.68738876924675</v>
      </c>
      <c r="AD44" s="193">
        <f>INDEX('Volume adjustments'!$J$615:$Y$655,AD$17 + 1 + $H44*$H$50, AD$15)</f>
        <v>898.17967324229562</v>
      </c>
      <c r="AE44" s="193">
        <f>INDEX('Volume adjustments'!$J$615:$Y$655,AE$17 + 1 + $H44*$H$50, AE$15)</f>
        <v>772.29570489430557</v>
      </c>
      <c r="AF44" s="193">
        <f>INDEX('Volume adjustments'!$J$615:$Y$655,AF$17 + 1 + $H44*$H$50, AF$15)</f>
        <v>1465.6503004968586</v>
      </c>
      <c r="AG44" s="193">
        <f>INDEX('Volume adjustments'!$J$615:$Y$655,AG$17 + 1 + $H44*$H$50, AG$15)</f>
        <v>0.80750664611319134</v>
      </c>
      <c r="AH44" s="193">
        <f>INDEX('Volume adjustments'!$J$615:$Y$655,AH$17 + 1 + $H44*$H$50, AH$15)</f>
        <v>0</v>
      </c>
      <c r="AI44" s="193">
        <f>INDEX('Volume adjustments'!$J$615:$Y$655,AI$17 + 1 + $H44*$H$50, AI$15)</f>
        <v>0</v>
      </c>
      <c r="AJ44" s="193">
        <f>INDEX('Volume adjustments'!$J$615:$Y$655,AJ$17 + 1 + $H44*$H$50, AJ$15)</f>
        <v>0</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0</v>
      </c>
      <c r="AO44" s="193">
        <f>INDEX('Volume adjustments'!$J$615:$Y$655,AO$17 + 1 + $H44*$H$50, AO$15)</f>
        <v>0</v>
      </c>
    </row>
    <row r="45" spans="1:43" x14ac:dyDescent="0.3">
      <c r="A45" s="312"/>
      <c r="E45" s="28"/>
      <c r="F45" s="72" t="s">
        <v>247</v>
      </c>
      <c r="G45" s="72" t="s">
        <v>206</v>
      </c>
      <c r="H45" s="365">
        <v>1</v>
      </c>
      <c r="J45" s="330">
        <f>INDEX('Volume adjustments'!$J$615:$Y$655,J$17 + 1 + $H45*$H$50, J$15)</f>
        <v>51412.47224607876</v>
      </c>
      <c r="K45" s="330">
        <f>INDEX('Volume adjustments'!$J$615:$Y$655,K$17 + 1 + $H45*$H$50, K$15)</f>
        <v>0</v>
      </c>
      <c r="L45" s="330">
        <f>INDEX('Volume adjustments'!$J$615:$Y$655,L$17 + 1 + $H45*$H$50, L$15)</f>
        <v>0</v>
      </c>
      <c r="M45" s="330">
        <f>INDEX('Volume adjustments'!$J$615:$Y$655,M$17 + 1 + $H45*$H$50, M$15)</f>
        <v>190.48398888402818</v>
      </c>
      <c r="N45" s="330">
        <f>INDEX('Volume adjustments'!$J$615:$Y$655,N$17 + 1 + $H45*$H$50, N$15)</f>
        <v>836.8120652836194</v>
      </c>
      <c r="O45" s="330">
        <f>INDEX('Volume adjustments'!$J$615:$Y$655,O$17 + 1 + $H45*$H$50, O$15)</f>
        <v>1068.4008431506068</v>
      </c>
      <c r="P45" s="330">
        <f>INDEX('Volume adjustments'!$J$615:$Y$655,P$17 + 1 + $H45*$H$50, P$15)</f>
        <v>3190.255662387799</v>
      </c>
      <c r="Q45" s="330">
        <f>INDEX('Volume adjustments'!$J$615:$Y$655,Q$17 + 1 + $H45*$H$50, Q$15)</f>
        <v>0</v>
      </c>
      <c r="R45" s="330">
        <f>INDEX('Volume adjustments'!$J$615:$Y$655,R$17 + 1 + $H45*$H$50, R$15)</f>
        <v>0</v>
      </c>
      <c r="S45" s="330">
        <f>INDEX('Volume adjustments'!$J$615:$Y$655,S$17 + 1 + $H45*$H$50, S$15)</f>
        <v>6871.0443364567927</v>
      </c>
      <c r="T45" s="330">
        <f>INDEX('Volume adjustments'!$J$615:$Y$655,T$17 + 1 + $H45*$H$50, T$15)</f>
        <v>15748.570526904532</v>
      </c>
      <c r="U45" s="330">
        <f>INDEX('Volume adjustments'!$J$615:$Y$655,U$17 + 1 + $H45*$H$50, U$15)</f>
        <v>9099.8698371396767</v>
      </c>
      <c r="V45" s="330">
        <f>INDEX('Volume adjustments'!$J$615:$Y$655,V$17 + 1 + $H45*$H$50, V$15)</f>
        <v>20088.793168164731</v>
      </c>
      <c r="W45" s="330">
        <f>INDEX('Volume adjustments'!$J$615:$Y$655,W$17 + 1 + $H45*$H$50, W$15)</f>
        <v>0</v>
      </c>
      <c r="X45" s="330">
        <f>INDEX('Volume adjustments'!$J$615:$Y$655,X$17 + 1 + $H45*$H$50, X$15)</f>
        <v>762.73814117400013</v>
      </c>
      <c r="Y45" s="330">
        <f>INDEX('Volume adjustments'!$J$615:$Y$655,Y$17 + 1 + $H45*$H$50, Y$15)</f>
        <v>1748.2110173710623</v>
      </c>
      <c r="Z45" s="330">
        <f>INDEX('Volume adjustments'!$J$615:$Y$655,Z$17 + 1 + $H45*$H$50, Z$15)</f>
        <v>1010.1547107880335</v>
      </c>
      <c r="AA45" s="330">
        <f>INDEX('Volume adjustments'!$J$615:$Y$655,AA$17 + 1 + $H45*$H$50, AA$15)</f>
        <v>2230.0087161737488</v>
      </c>
      <c r="AB45" s="330">
        <f>INDEX('Volume adjustments'!$J$615:$Y$655,AB$17 + 1 + $H45*$H$50, AB$15)</f>
        <v>0</v>
      </c>
      <c r="AC45" s="330">
        <f>INDEX('Volume adjustments'!$J$615:$Y$655,AC$17 + 1 + $H45*$H$50, AC$15)</f>
        <v>1114.3185927442644</v>
      </c>
      <c r="AD45" s="330">
        <f>INDEX('Volume adjustments'!$J$615:$Y$655,AD$17 + 1 + $H45*$H$50, AD$15)</f>
        <v>2946.4099716658943</v>
      </c>
      <c r="AE45" s="330">
        <f>INDEX('Volume adjustments'!$J$615:$Y$655,AE$17 + 1 + $H45*$H$50, AE$15)</f>
        <v>2533.457206575501</v>
      </c>
      <c r="AF45" s="330">
        <f>INDEX('Volume adjustments'!$J$615:$Y$655,AF$17 + 1 + $H45*$H$50, AF$15)</f>
        <v>4807.9541198814377</v>
      </c>
      <c r="AG45" s="330">
        <f>INDEX('Volume adjustments'!$J$615:$Y$655,AG$17 + 1 + $H45*$H$50, AG$15)</f>
        <v>2.6801943412435212</v>
      </c>
      <c r="AH45" s="330">
        <f>INDEX('Volume adjustments'!$J$615:$Y$655,AH$17 + 1 + $H45*$H$50, AH$15)</f>
        <v>0</v>
      </c>
      <c r="AI45" s="330">
        <f>INDEX('Volume adjustments'!$J$615:$Y$655,AI$17 + 1 + $H45*$H$50, AI$15)</f>
        <v>0</v>
      </c>
      <c r="AJ45" s="330">
        <f>INDEX('Volume adjustments'!$J$615:$Y$655,AJ$17 + 1 + $H45*$H$50, AJ$15)</f>
        <v>0</v>
      </c>
      <c r="AK45" s="330">
        <f>INDEX('Volume adjustments'!$J$615:$Y$655,AK$17 + 1 + $H45*$H$50, AK$15)</f>
        <v>0</v>
      </c>
      <c r="AL45" s="330">
        <f>INDEX('Volume adjustments'!$J$615:$Y$655,AL$17 + 1 + $H45*$H$50, AL$15)</f>
        <v>0</v>
      </c>
      <c r="AM45" s="330">
        <f>INDEX('Volume adjustments'!$J$615:$Y$655,AM$17 + 1 + $H45*$H$50, AM$15)</f>
        <v>0</v>
      </c>
      <c r="AN45" s="330">
        <f>INDEX('Volume adjustments'!$J$615:$Y$655,AN$17 + 1 + $H45*$H$50, AN$15)</f>
        <v>0</v>
      </c>
      <c r="AO45" s="330">
        <f>INDEX('Volume adjustments'!$J$615:$Y$655,AO$17 + 1 + $H45*$H$50, AO$15)</f>
        <v>0</v>
      </c>
    </row>
    <row r="46" spans="1:43" x14ac:dyDescent="0.3">
      <c r="A46" s="312"/>
      <c r="E46" s="28"/>
      <c r="F46" s="72" t="s">
        <v>248</v>
      </c>
      <c r="G46" s="72" t="s">
        <v>206</v>
      </c>
      <c r="H46" s="365">
        <v>2</v>
      </c>
      <c r="J46" s="330">
        <f>INDEX('Volume adjustments'!$J$615:$Y$655,J$17 + 1 + $H46*$H$50, J$15)</f>
        <v>94442.082912749902</v>
      </c>
      <c r="K46" s="330">
        <f>INDEX('Volume adjustments'!$J$615:$Y$655,K$17 + 1 + $H46*$H$50, K$15)</f>
        <v>0</v>
      </c>
      <c r="L46" s="330">
        <f>INDEX('Volume adjustments'!$J$615:$Y$655,L$17 + 1 + $H46*$H$50, L$15)</f>
        <v>0</v>
      </c>
      <c r="M46" s="330">
        <f>INDEX('Volume adjustments'!$J$615:$Y$655,M$17 + 1 + $H46*$H$50, M$15)</f>
        <v>242.99799171845012</v>
      </c>
      <c r="N46" s="330">
        <f>INDEX('Volume adjustments'!$J$615:$Y$655,N$17 + 1 + $H46*$H$50, N$15)</f>
        <v>1067.5104637455343</v>
      </c>
      <c r="O46" s="330">
        <f>INDEX('Volume adjustments'!$J$615:$Y$655,O$17 + 1 + $H46*$H$50, O$15)</f>
        <v>1362.9453097706787</v>
      </c>
      <c r="P46" s="330">
        <f>INDEX('Volume adjustments'!$J$615:$Y$655,P$17 + 1 + $H46*$H$50, P$15)</f>
        <v>4069.7684019029416</v>
      </c>
      <c r="Q46" s="330">
        <f>INDEX('Volume adjustments'!$J$615:$Y$655,Q$17 + 1 + $H46*$H$50, Q$15)</f>
        <v>0</v>
      </c>
      <c r="R46" s="330">
        <f>INDEX('Volume adjustments'!$J$615:$Y$655,R$17 + 1 + $H46*$H$50, R$15)</f>
        <v>0</v>
      </c>
      <c r="S46" s="330">
        <f>INDEX('Volume adjustments'!$J$615:$Y$655,S$17 + 1 + $H46*$H$50, S$15)</f>
        <v>9839.6340631348776</v>
      </c>
      <c r="T46" s="330">
        <f>INDEX('Volume adjustments'!$J$615:$Y$655,T$17 + 1 + $H46*$H$50, T$15)</f>
        <v>22552.637330545949</v>
      </c>
      <c r="U46" s="330">
        <f>INDEX('Volume adjustments'!$J$615:$Y$655,U$17 + 1 + $H46*$H$50, U$15)</f>
        <v>13031.409031161362</v>
      </c>
      <c r="V46" s="330">
        <f>INDEX('Volume adjustments'!$J$615:$Y$655,V$17 + 1 + $H46*$H$50, V$15)</f>
        <v>28768.024752213423</v>
      </c>
      <c r="W46" s="330">
        <f>INDEX('Volume adjustments'!$J$615:$Y$655,W$17 + 1 + $H46*$H$50, W$15)</f>
        <v>0</v>
      </c>
      <c r="X46" s="330">
        <f>INDEX('Volume adjustments'!$J$615:$Y$655,X$17 + 1 + $H46*$H$50, X$15)</f>
        <v>1348.6582903048354</v>
      </c>
      <c r="Y46" s="330">
        <f>INDEX('Volume adjustments'!$J$615:$Y$655,Y$17 + 1 + $H46*$H$50, Y$15)</f>
        <v>3091.1516738244159</v>
      </c>
      <c r="Z46" s="330">
        <f>INDEX('Volume adjustments'!$J$615:$Y$655,Z$17 + 1 + $H46*$H$50, Z$15)</f>
        <v>1786.1353086366466</v>
      </c>
      <c r="AA46" s="330">
        <f>INDEX('Volume adjustments'!$J$615:$Y$655,AA$17 + 1 + $H46*$H$50, AA$15)</f>
        <v>3943.05670605461</v>
      </c>
      <c r="AB46" s="330">
        <f>INDEX('Volume adjustments'!$J$615:$Y$655,AB$17 + 1 + $H46*$H$50, AB$15)</f>
        <v>0</v>
      </c>
      <c r="AC46" s="330">
        <f>INDEX('Volume adjustments'!$J$615:$Y$655,AC$17 + 1 + $H46*$H$50, AC$15)</f>
        <v>2079.3104615419602</v>
      </c>
      <c r="AD46" s="330">
        <f>INDEX('Volume adjustments'!$J$615:$Y$655,AD$17 + 1 + $H46*$H$50, AD$15)</f>
        <v>5497.9797680558622</v>
      </c>
      <c r="AE46" s="330">
        <f>INDEX('Volume adjustments'!$J$615:$Y$655,AE$17 + 1 + $H46*$H$50, AE$15)</f>
        <v>4727.4128851498745</v>
      </c>
      <c r="AF46" s="330">
        <f>INDEX('Volume adjustments'!$J$615:$Y$655,AF$17 + 1 + $H46*$H$50, AF$15)</f>
        <v>8971.6077297631546</v>
      </c>
      <c r="AG46" s="330">
        <f>INDEX('Volume adjustments'!$J$615:$Y$655,AG$17 + 1 + $H46*$H$50, AG$15)</f>
        <v>13.849892407257586</v>
      </c>
      <c r="AH46" s="330">
        <f>INDEX('Volume adjustments'!$J$615:$Y$655,AH$17 + 1 + $H46*$H$50, AH$15)</f>
        <v>0</v>
      </c>
      <c r="AI46" s="330">
        <f>INDEX('Volume adjustments'!$J$615:$Y$655,AI$17 + 1 + $H46*$H$50, AI$15)</f>
        <v>0</v>
      </c>
      <c r="AJ46" s="330">
        <f>INDEX('Volume adjustments'!$J$615:$Y$655,AJ$17 + 1 + $H46*$H$50, AJ$15)</f>
        <v>0</v>
      </c>
      <c r="AK46" s="330">
        <f>INDEX('Volume adjustments'!$J$615:$Y$655,AK$17 + 1 + $H46*$H$50, AK$15)</f>
        <v>0</v>
      </c>
      <c r="AL46" s="330">
        <f>INDEX('Volume adjustments'!$J$615:$Y$655,AL$17 + 1 + $H46*$H$50, AL$15)</f>
        <v>0</v>
      </c>
      <c r="AM46" s="330">
        <f>INDEX('Volume adjustments'!$J$615:$Y$655,AM$17 + 1 + $H46*$H$50, AM$15)</f>
        <v>0</v>
      </c>
      <c r="AN46" s="330">
        <f>INDEX('Volume adjustments'!$J$615:$Y$655,AN$17 + 1 + $H46*$H$50, AN$15)</f>
        <v>0</v>
      </c>
      <c r="AO46" s="330">
        <f>INDEX('Volume adjustments'!$J$615:$Y$655,AO$17 + 1 + $H46*$H$50, AO$15)</f>
        <v>0</v>
      </c>
    </row>
    <row r="47" spans="1:43" x14ac:dyDescent="0.3">
      <c r="A47" s="312"/>
      <c r="E47" s="28"/>
      <c r="F47" s="72" t="s">
        <v>211</v>
      </c>
      <c r="G47" s="72" t="s">
        <v>211</v>
      </c>
      <c r="H47" s="365">
        <v>3</v>
      </c>
      <c r="J47" s="330">
        <f>INDEX('Volume adjustments'!$J$615:$Y$655,J$17 + 1 + $H47*$H$50, J$15)</f>
        <v>58864.02895910322</v>
      </c>
      <c r="K47" s="330">
        <f>INDEX('Volume adjustments'!$J$615:$Y$655,K$17 + 1 + $H47*$H$50, K$15)</f>
        <v>0</v>
      </c>
      <c r="L47" s="330">
        <f>INDEX('Volume adjustments'!$J$615:$Y$655,L$17 + 1 + $H47*$H$50, L$15)</f>
        <v>0</v>
      </c>
      <c r="M47" s="330">
        <f>INDEX('Volume adjustments'!$J$615:$Y$655,M$17 + 1 + $H47*$H$50, M$15)</f>
        <v>328.36872591119032</v>
      </c>
      <c r="N47" s="330">
        <f>INDEX('Volume adjustments'!$J$615:$Y$655,N$17 + 1 + $H47*$H$50, N$15)</f>
        <v>292.39125557039483</v>
      </c>
      <c r="O47" s="330">
        <f>INDEX('Volume adjustments'!$J$615:$Y$655,O$17 + 1 + $H47*$H$50, O$15)</f>
        <v>150.6749774054534</v>
      </c>
      <c r="P47" s="330">
        <f>INDEX('Volume adjustments'!$J$615:$Y$655,P$17 + 1 + $H47*$H$50, P$15)</f>
        <v>144.47463015405725</v>
      </c>
      <c r="Q47" s="330">
        <f>INDEX('Volume adjustments'!$J$615:$Y$655,Q$17 + 1 + $H47*$H$50, Q$15)</f>
        <v>0</v>
      </c>
      <c r="R47" s="330">
        <f>INDEX('Volume adjustments'!$J$615:$Y$655,R$17 + 1 + $H47*$H$50, R$15)</f>
        <v>0</v>
      </c>
      <c r="S47" s="330">
        <f>INDEX('Volume adjustments'!$J$615:$Y$655,S$17 + 1 + $H47*$H$50, S$15)</f>
        <v>226.66499144478075</v>
      </c>
      <c r="T47" s="330">
        <f>INDEX('Volume adjustments'!$J$615:$Y$655,T$17 + 1 + $H47*$H$50, T$15)</f>
        <v>208.34297131034558</v>
      </c>
      <c r="U47" s="330">
        <f>INDEX('Volume adjustments'!$J$615:$Y$655,U$17 + 1 + $H47*$H$50, U$15)</f>
        <v>73.808137877801002</v>
      </c>
      <c r="V47" s="330">
        <f>INDEX('Volume adjustments'!$J$615:$Y$655,V$17 + 1 + $H47*$H$50, V$15)</f>
        <v>77.608556901319218</v>
      </c>
      <c r="W47" s="330">
        <f>INDEX('Volume adjustments'!$J$615:$Y$655,W$17 + 1 + $H47*$H$50, W$15)</f>
        <v>0</v>
      </c>
      <c r="X47" s="330">
        <f>INDEX('Volume adjustments'!$J$615:$Y$655,X$17 + 1 + $H47*$H$50, X$15)</f>
        <v>10.436046115014667</v>
      </c>
      <c r="Y47" s="330">
        <f>INDEX('Volume adjustments'!$J$615:$Y$655,Y$17 + 1 + $H47*$H$50, Y$15)</f>
        <v>9.5924687905041264</v>
      </c>
      <c r="Z47" s="330">
        <f>INDEX('Volume adjustments'!$J$615:$Y$655,Z$17 + 1 + $H47*$H$50, Z$15)</f>
        <v>3.3982536325806674</v>
      </c>
      <c r="AA47" s="330">
        <f>INDEX('Volume adjustments'!$J$615:$Y$655,AA$17 + 1 + $H47*$H$50, AA$15)</f>
        <v>3.573231461900539</v>
      </c>
      <c r="AB47" s="330">
        <f>INDEX('Volume adjustments'!$J$615:$Y$655,AB$17 + 1 + $H47*$H$50, AB$15)</f>
        <v>0</v>
      </c>
      <c r="AC47" s="330">
        <f>INDEX('Volume adjustments'!$J$615:$Y$655,AC$17 + 1 + $H47*$H$50, AC$15)</f>
        <v>8.2961556715709541</v>
      </c>
      <c r="AD47" s="330">
        <f>INDEX('Volume adjustments'!$J$615:$Y$655,AD$17 + 1 + $H47*$H$50, AD$15)</f>
        <v>6.7109634551495017</v>
      </c>
      <c r="AE47" s="330">
        <f>INDEX('Volume adjustments'!$J$615:$Y$655,AE$17 + 1 + $H47*$H$50, AE$15)</f>
        <v>2.7527289985761749</v>
      </c>
      <c r="AF47" s="330">
        <f>INDEX('Volume adjustments'!$J$615:$Y$655,AF$17 + 1 + $H47*$H$50, AF$15)</f>
        <v>2.2401518747033697</v>
      </c>
      <c r="AG47" s="330">
        <f>INDEX('Volume adjustments'!$J$615:$Y$655,AG$17 + 1 + $H47*$H$50, AG$15)</f>
        <v>7</v>
      </c>
      <c r="AH47" s="330">
        <f>INDEX('Volume adjustments'!$J$615:$Y$655,AH$17 + 1 + $H47*$H$50, AH$15)</f>
        <v>0</v>
      </c>
      <c r="AI47" s="330">
        <f>INDEX('Volume adjustments'!$J$615:$Y$655,AI$17 + 1 + $H47*$H$50, AI$15)</f>
        <v>0</v>
      </c>
      <c r="AJ47" s="330">
        <f>INDEX('Volume adjustments'!$J$615:$Y$655,AJ$17 + 1 + $H47*$H$50, AJ$15)</f>
        <v>0</v>
      </c>
      <c r="AK47" s="330">
        <f>INDEX('Volume adjustments'!$J$615:$Y$655,AK$17 + 1 + $H47*$H$50, AK$15)</f>
        <v>0</v>
      </c>
      <c r="AL47" s="330">
        <f>INDEX('Volume adjustments'!$J$615:$Y$655,AL$17 + 1 + $H47*$H$50, AL$15)</f>
        <v>0</v>
      </c>
      <c r="AM47" s="330">
        <f>INDEX('Volume adjustments'!$J$615:$Y$655,AM$17 + 1 + $H47*$H$50, AM$15)</f>
        <v>0</v>
      </c>
      <c r="AN47" s="330">
        <f>INDEX('Volume adjustments'!$J$615:$Y$655,AN$17 + 1 + $H47*$H$50, AN$15)</f>
        <v>0</v>
      </c>
      <c r="AO47" s="330">
        <f>INDEX('Volume adjustments'!$J$615:$Y$655,AO$17 + 1 + $H47*$H$50, AO$15)</f>
        <v>0</v>
      </c>
    </row>
    <row r="48" spans="1:43" x14ac:dyDescent="0.3">
      <c r="A48" s="312"/>
      <c r="E48" s="28"/>
      <c r="F48" s="72" t="s">
        <v>249</v>
      </c>
      <c r="G48" s="72" t="s">
        <v>250</v>
      </c>
      <c r="H48" s="365">
        <v>4</v>
      </c>
      <c r="J48" s="330">
        <f>INDEX('Volume adjustments'!$J$615:$Y$655,J$17 + 1 + $H48*$H$50, J$15)</f>
        <v>0</v>
      </c>
      <c r="K48" s="330">
        <f>INDEX('Volume adjustments'!$J$615:$Y$655,K$17 + 1 + $H48*$H$50, K$15)</f>
        <v>0</v>
      </c>
      <c r="L48" s="330">
        <f>INDEX('Volume adjustments'!$J$615:$Y$655,L$17 + 1 + $H48*$H$50, L$15)</f>
        <v>0</v>
      </c>
      <c r="M48" s="330">
        <f>INDEX('Volume adjustments'!$J$615:$Y$655,M$17 + 1 + $H48*$H$50, M$15)</f>
        <v>0</v>
      </c>
      <c r="N48" s="330">
        <f>INDEX('Volume adjustments'!$J$615:$Y$655,N$17 + 1 + $H48*$H$50, N$15)</f>
        <v>0</v>
      </c>
      <c r="O48" s="330">
        <f>INDEX('Volume adjustments'!$J$615:$Y$655,O$17 + 1 + $H48*$H$50, O$15)</f>
        <v>0</v>
      </c>
      <c r="P48" s="330">
        <f>INDEX('Volume adjustments'!$J$615:$Y$655,P$17 + 1 + $H48*$H$50, P$15)</f>
        <v>0</v>
      </c>
      <c r="Q48" s="330">
        <f>INDEX('Volume adjustments'!$J$615:$Y$655,Q$17 + 1 + $H48*$H$50, Q$15)</f>
        <v>0</v>
      </c>
      <c r="R48" s="330">
        <f>INDEX('Volume adjustments'!$J$615:$Y$655,R$17 + 1 + $H48*$H$50, R$15)</f>
        <v>0</v>
      </c>
      <c r="S48" s="330">
        <f>INDEX('Volume adjustments'!$J$615:$Y$655,S$17 + 1 + $H48*$H$50, S$15)</f>
        <v>17018.460305805136</v>
      </c>
      <c r="T48" s="330">
        <f>INDEX('Volume adjustments'!$J$615:$Y$655,T$17 + 1 + $H48*$H$50, T$15)</f>
        <v>39006.6501191442</v>
      </c>
      <c r="U48" s="330">
        <f>INDEX('Volume adjustments'!$J$615:$Y$655,U$17 + 1 + $H48*$H$50, U$15)</f>
        <v>22538.898896294271</v>
      </c>
      <c r="V48" s="330">
        <f>INDEX('Volume adjustments'!$J$615:$Y$655,V$17 + 1 + $H48*$H$50, V$15)</f>
        <v>49756.676333752061</v>
      </c>
      <c r="W48" s="330">
        <f>INDEX('Volume adjustments'!$J$615:$Y$655,W$17 + 1 + $H48*$H$50, W$15)</f>
        <v>0</v>
      </c>
      <c r="X48" s="330">
        <f>INDEX('Volume adjustments'!$J$615:$Y$655,X$17 + 1 + $H48*$H$50, X$15)</f>
        <v>1839.728974436614</v>
      </c>
      <c r="Y48" s="330">
        <f>INDEX('Volume adjustments'!$J$615:$Y$655,Y$17 + 1 + $H48*$H$50, Y$15)</f>
        <v>4216.6954665941485</v>
      </c>
      <c r="Z48" s="330">
        <f>INDEX('Volume adjustments'!$J$615:$Y$655,Z$17 + 1 + $H48*$H$50, Z$15)</f>
        <v>2436.4992253303772</v>
      </c>
      <c r="AA48" s="330">
        <f>INDEX('Volume adjustments'!$J$615:$Y$655,AA$17 + 1 + $H48*$H$50, AA$15)</f>
        <v>5378.7944078374467</v>
      </c>
      <c r="AB48" s="330">
        <f>INDEX('Volume adjustments'!$J$615:$Y$655,AB$17 + 1 + $H48*$H$50, AB$15)</f>
        <v>0</v>
      </c>
      <c r="AC48" s="330">
        <f>INDEX('Volume adjustments'!$J$615:$Y$655,AC$17 + 1 + $H48*$H$50, AC$15)</f>
        <v>2487.4867868715646</v>
      </c>
      <c r="AD48" s="330">
        <f>INDEX('Volume adjustments'!$J$615:$Y$655,AD$17 + 1 + $H48*$H$50, AD$15)</f>
        <v>6577.2535080616499</v>
      </c>
      <c r="AE48" s="330">
        <f>INDEX('Volume adjustments'!$J$615:$Y$655,AE$17 + 1 + $H48*$H$50, AE$15)</f>
        <v>5655.4214992869602</v>
      </c>
      <c r="AF48" s="330">
        <f>INDEX('Volume adjustments'!$J$615:$Y$655,AF$17 + 1 + $H48*$H$50, AF$15)</f>
        <v>10732.767471496843</v>
      </c>
      <c r="AG48" s="330">
        <f>INDEX('Volume adjustments'!$J$615:$Y$655,AG$17 + 1 + $H48*$H$50, AG$15)</f>
        <v>0</v>
      </c>
      <c r="AH48" s="330">
        <f>INDEX('Volume adjustments'!$J$615:$Y$655,AH$17 + 1 + $H48*$H$50, AH$15)</f>
        <v>0</v>
      </c>
      <c r="AI48" s="330">
        <f>INDEX('Volume adjustments'!$J$615:$Y$655,AI$17 + 1 + $H48*$H$50, AI$15)</f>
        <v>0</v>
      </c>
      <c r="AJ48" s="330">
        <f>INDEX('Volume adjustments'!$J$615:$Y$655,AJ$17 + 1 + $H48*$H$50, AJ$15)</f>
        <v>0</v>
      </c>
      <c r="AK48" s="330">
        <f>INDEX('Volume adjustments'!$J$615:$Y$655,AK$17 + 1 + $H48*$H$50, AK$15)</f>
        <v>0</v>
      </c>
      <c r="AL48" s="330">
        <f>INDEX('Volume adjustments'!$J$615:$Y$655,AL$17 + 1 + $H48*$H$50, AL$15)</f>
        <v>0</v>
      </c>
      <c r="AM48" s="330">
        <f>INDEX('Volume adjustments'!$J$615:$Y$655,AM$17 + 1 + $H48*$H$50, AM$15)</f>
        <v>0</v>
      </c>
      <c r="AN48" s="330">
        <f>INDEX('Volume adjustments'!$J$615:$Y$655,AN$17 + 1 + $H48*$H$50, AN$15)</f>
        <v>0</v>
      </c>
      <c r="AO48" s="330">
        <f>INDEX('Volume adjustments'!$J$615:$Y$655,AO$17 + 1 + $H48*$H$50, AO$15)</f>
        <v>0</v>
      </c>
    </row>
    <row r="49" spans="1:43" x14ac:dyDescent="0.3">
      <c r="A49" s="312"/>
      <c r="E49" s="28"/>
      <c r="F49" s="72" t="s">
        <v>251</v>
      </c>
      <c r="G49" s="72" t="s">
        <v>250</v>
      </c>
      <c r="H49" s="365">
        <v>5</v>
      </c>
      <c r="J49" s="330">
        <f>INDEX('Volume adjustments'!$J$615:$Y$655,J$17 + 1 + $H49*$H$50, J$15)</f>
        <v>0</v>
      </c>
      <c r="K49" s="330">
        <f>INDEX('Volume adjustments'!$J$615:$Y$655,K$17 + 1 + $H49*$H$50, K$15)</f>
        <v>0</v>
      </c>
      <c r="L49" s="330">
        <f>INDEX('Volume adjustments'!$J$615:$Y$655,L$17 + 1 + $H49*$H$50, L$15)</f>
        <v>0</v>
      </c>
      <c r="M49" s="330">
        <f>INDEX('Volume adjustments'!$J$615:$Y$655,M$17 + 1 + $H49*$H$50, M$15)</f>
        <v>0</v>
      </c>
      <c r="N49" s="330">
        <f>INDEX('Volume adjustments'!$J$615:$Y$655,N$17 + 1 + $H49*$H$50, N$15)</f>
        <v>0</v>
      </c>
      <c r="O49" s="330">
        <f>INDEX('Volume adjustments'!$J$615:$Y$655,O$17 + 1 + $H49*$H$50, O$15)</f>
        <v>0</v>
      </c>
      <c r="P49" s="330">
        <f>INDEX('Volume adjustments'!$J$615:$Y$655,P$17 + 1 + $H49*$H$50, P$15)</f>
        <v>0</v>
      </c>
      <c r="Q49" s="330">
        <f>INDEX('Volume adjustments'!$J$615:$Y$655,Q$17 + 1 + $H49*$H$50, Q$15)</f>
        <v>0</v>
      </c>
      <c r="R49" s="330">
        <f>INDEX('Volume adjustments'!$J$615:$Y$655,R$17 + 1 + $H49*$H$50, R$15)</f>
        <v>0</v>
      </c>
      <c r="S49" s="330">
        <f>INDEX('Volume adjustments'!$J$615:$Y$655,S$17 + 1 + $H49*$H$50, S$15)</f>
        <v>26.384236197306283</v>
      </c>
      <c r="T49" s="330">
        <f>INDEX('Volume adjustments'!$J$615:$Y$655,T$17 + 1 + $H49*$H$50, T$15)</f>
        <v>60.473195078530736</v>
      </c>
      <c r="U49" s="330">
        <f>INDEX('Volume adjustments'!$J$615:$Y$655,U$17 + 1 + $H49*$H$50, U$15)</f>
        <v>34.942739908391509</v>
      </c>
      <c r="V49" s="330">
        <f>INDEX('Volume adjustments'!$J$615:$Y$655,V$17 + 1 + $H49*$H$50, V$15)</f>
        <v>77.139287408675273</v>
      </c>
      <c r="W49" s="330">
        <f>INDEX('Volume adjustments'!$J$615:$Y$655,W$17 + 1 + $H49*$H$50, W$15)</f>
        <v>0</v>
      </c>
      <c r="X49" s="330">
        <f>INDEX('Volume adjustments'!$J$615:$Y$655,X$17 + 1 + $H49*$H$50, X$15)</f>
        <v>1.9735225106147678</v>
      </c>
      <c r="Y49" s="330">
        <f>INDEX('Volume adjustments'!$J$615:$Y$655,Y$17 + 1 + $H49*$H$50, Y$15)</f>
        <v>4.5233529173932743</v>
      </c>
      <c r="Z49" s="330">
        <f>INDEX('Volume adjustments'!$J$615:$Y$655,Z$17 + 1 + $H49*$H$50, Z$15)</f>
        <v>2.6136926335888475</v>
      </c>
      <c r="AA49" s="330">
        <f>INDEX('Volume adjustments'!$J$615:$Y$655,AA$17 + 1 + $H49*$H$50, AA$15)</f>
        <v>5.7699650281839734</v>
      </c>
      <c r="AB49" s="330">
        <f>INDEX('Volume adjustments'!$J$615:$Y$655,AB$17 + 1 + $H49*$H$50, AB$15)</f>
        <v>0</v>
      </c>
      <c r="AC49" s="330">
        <f>INDEX('Volume adjustments'!$J$615:$Y$655,AC$17 + 1 + $H49*$H$50, AC$15)</f>
        <v>6.1253145410581782</v>
      </c>
      <c r="AD49" s="330">
        <f>INDEX('Volume adjustments'!$J$615:$Y$655,AD$17 + 1 + $H49*$H$50, AD$15)</f>
        <v>16.196165047302458</v>
      </c>
      <c r="AE49" s="330">
        <f>INDEX('Volume adjustments'!$J$615:$Y$655,AE$17 + 1 + $H49*$H$50, AE$15)</f>
        <v>13.926198815698102</v>
      </c>
      <c r="AF49" s="330">
        <f>INDEX('Volume adjustments'!$J$615:$Y$655,AF$17 + 1 + $H49*$H$50, AF$15)</f>
        <v>26.428914921649486</v>
      </c>
      <c r="AG49" s="330">
        <f>INDEX('Volume adjustments'!$J$615:$Y$655,AG$17 + 1 + $H49*$H$50, AG$15)</f>
        <v>0</v>
      </c>
      <c r="AH49" s="330">
        <f>INDEX('Volume adjustments'!$J$615:$Y$655,AH$17 + 1 + $H49*$H$50, AH$15)</f>
        <v>0</v>
      </c>
      <c r="AI49" s="330">
        <f>INDEX('Volume adjustments'!$J$615:$Y$655,AI$17 + 1 + $H49*$H$50, AI$15)</f>
        <v>0</v>
      </c>
      <c r="AJ49" s="330">
        <f>INDEX('Volume adjustments'!$J$615:$Y$655,AJ$17 + 1 + $H49*$H$50, AJ$15)</f>
        <v>0</v>
      </c>
      <c r="AK49" s="330">
        <f>INDEX('Volume adjustments'!$J$615:$Y$655,AK$17 + 1 + $H49*$H$50, AK$15)</f>
        <v>0</v>
      </c>
      <c r="AL49" s="330">
        <f>INDEX('Volume adjustments'!$J$615:$Y$655,AL$17 + 1 + $H49*$H$50, AL$15)</f>
        <v>0</v>
      </c>
      <c r="AM49" s="330">
        <f>INDEX('Volume adjustments'!$J$615:$Y$655,AM$17 + 1 + $H49*$H$50, AM$15)</f>
        <v>0</v>
      </c>
      <c r="AN49" s="330">
        <f>INDEX('Volume adjustments'!$J$615:$Y$655,AN$17 + 1 + $H49*$H$50, AN$15)</f>
        <v>0</v>
      </c>
      <c r="AO49" s="330">
        <f>INDEX('Volume adjustments'!$J$615:$Y$655,AO$17 + 1 + $H49*$H$50, AO$15)</f>
        <v>0</v>
      </c>
    </row>
    <row r="50" spans="1:43" x14ac:dyDescent="0.3">
      <c r="A50" s="312"/>
      <c r="E50" s="28"/>
      <c r="F50" s="80" t="s">
        <v>252</v>
      </c>
      <c r="G50" s="80" t="s">
        <v>253</v>
      </c>
      <c r="H50" s="318">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1075.5292877710742</v>
      </c>
      <c r="T50" s="195">
        <f>INDEX('Volume adjustments'!$J$615:$Y$655,T$17 + 1 + $H50*$H$50, T$15)</f>
        <v>2465.1345578347182</v>
      </c>
      <c r="U50" s="195">
        <f>INDEX('Volume adjustments'!$J$615:$Y$655,U$17 + 1 + $H50*$H$50, U$15)</f>
        <v>1424.4088737455727</v>
      </c>
      <c r="V50" s="195">
        <f>INDEX('Volume adjustments'!$J$615:$Y$655,V$17 + 1 + $H50*$H$50, V$15)</f>
        <v>3144.5125879479178</v>
      </c>
      <c r="W50" s="195">
        <f>INDEX('Volume adjustments'!$J$615:$Y$655,W$17 + 1 + $H50*$H$50, W$15)</f>
        <v>0</v>
      </c>
      <c r="X50" s="195">
        <f>INDEX('Volume adjustments'!$J$615:$Y$655,X$17 + 1 + $H50*$H$50, X$15)</f>
        <v>192.61389199590087</v>
      </c>
      <c r="Y50" s="195">
        <f>INDEX('Volume adjustments'!$J$615:$Y$655,Y$17 + 1 + $H50*$H$50, Y$15)</f>
        <v>441.47487834771471</v>
      </c>
      <c r="Z50" s="195">
        <f>INDEX('Volume adjustments'!$J$615:$Y$655,Z$17 + 1 + $H50*$H$50, Z$15)</f>
        <v>255.09387804233378</v>
      </c>
      <c r="AA50" s="195">
        <f>INDEX('Volume adjustments'!$J$615:$Y$655,AA$17 + 1 + $H50*$H$50, AA$15)</f>
        <v>563.14301700696126</v>
      </c>
      <c r="AB50" s="195">
        <f>INDEX('Volume adjustments'!$J$615:$Y$655,AB$17 + 1 + $H50*$H$50, AB$15)</f>
        <v>0</v>
      </c>
      <c r="AC50" s="195">
        <f>INDEX('Volume adjustments'!$J$615:$Y$655,AC$17 + 1 + $H50*$H$50, AC$15)</f>
        <v>304.33853779489351</v>
      </c>
      <c r="AD50" s="195">
        <f>INDEX('Volume adjustments'!$J$615:$Y$655,AD$17 + 1 + $H50*$H$50, AD$15)</f>
        <v>804.71250175656508</v>
      </c>
      <c r="AE50" s="195">
        <f>INDEX('Volume adjustments'!$J$615:$Y$655,AE$17 + 1 + $H50*$H$50, AE$15)</f>
        <v>691.92838281221634</v>
      </c>
      <c r="AF50" s="195">
        <f>INDEX('Volume adjustments'!$J$615:$Y$655,AF$17 + 1 + $H50*$H$50, AF$15)</f>
        <v>1313.130496213003</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0</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x14ac:dyDescent="0.3">
      <c r="A51" s="312"/>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3">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3">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3">
      <c r="E54" s="32" t="s">
        <v>758</v>
      </c>
      <c r="G54" s="13"/>
      <c r="I54" t="s">
        <v>153</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154</v>
      </c>
    </row>
    <row r="55" spans="1:43" x14ac:dyDescent="0.3">
      <c r="F55" s="23" t="s">
        <v>155</v>
      </c>
      <c r="G55" s="85" t="s">
        <v>268</v>
      </c>
      <c r="H55" s="270"/>
      <c r="I55" s="258"/>
      <c r="J55" s="270">
        <f>Rounding!J150</f>
        <v>8.3510000000000009</v>
      </c>
      <c r="K55" s="270">
        <f>Rounding!K150</f>
        <v>8.3510000000000009</v>
      </c>
      <c r="L55" s="270">
        <f>Rounding!L150</f>
        <v>9.6319999999999997</v>
      </c>
      <c r="M55" s="270">
        <f>Rounding!M150</f>
        <v>9.6319999999999997</v>
      </c>
      <c r="N55" s="270">
        <f>Rounding!N150</f>
        <v>9.6319999999999997</v>
      </c>
      <c r="O55" s="270">
        <f>Rounding!O150</f>
        <v>9.6319999999999997</v>
      </c>
      <c r="P55" s="270">
        <f>Rounding!P150</f>
        <v>9.6319999999999997</v>
      </c>
      <c r="Q55" s="270">
        <f>Rounding!Q150</f>
        <v>9.6319999999999997</v>
      </c>
      <c r="R55" s="270">
        <f>Rounding!R150</f>
        <v>7.0439999999999996</v>
      </c>
      <c r="S55" s="270">
        <f>Rounding!S150</f>
        <v>7.0439999999999996</v>
      </c>
      <c r="T55" s="270">
        <f>Rounding!T150</f>
        <v>7.0439999999999996</v>
      </c>
      <c r="U55" s="270">
        <f>Rounding!U150</f>
        <v>7.0439999999999996</v>
      </c>
      <c r="V55" s="270">
        <f>Rounding!V150</f>
        <v>7.0439999999999996</v>
      </c>
      <c r="W55" s="270">
        <f>Rounding!W150</f>
        <v>5.6829999999999998</v>
      </c>
      <c r="X55" s="270">
        <f>Rounding!X150</f>
        <v>5.6829999999999998</v>
      </c>
      <c r="Y55" s="270">
        <f>Rounding!Y150</f>
        <v>5.6829999999999998</v>
      </c>
      <c r="Z55" s="270">
        <f>Rounding!Z150</f>
        <v>5.6829999999999998</v>
      </c>
      <c r="AA55" s="270">
        <f>Rounding!AA150</f>
        <v>5.6829999999999998</v>
      </c>
      <c r="AB55" s="270">
        <f>Rounding!AB150</f>
        <v>3.9129999999999998</v>
      </c>
      <c r="AC55" s="270">
        <f>Rounding!AC150</f>
        <v>3.9129999999999998</v>
      </c>
      <c r="AD55" s="270">
        <f>Rounding!AD150</f>
        <v>3.9129999999999998</v>
      </c>
      <c r="AE55" s="270">
        <f>Rounding!AE150</f>
        <v>3.9129999999999998</v>
      </c>
      <c r="AF55" s="270">
        <f>Rounding!AF150</f>
        <v>3.9129999999999998</v>
      </c>
      <c r="AG55" s="270">
        <f>Rounding!AG150</f>
        <v>16.736000000000001</v>
      </c>
      <c r="AH55" s="270">
        <f>Rounding!AH150</f>
        <v>-6.5190000000000001</v>
      </c>
      <c r="AI55" s="270">
        <f>Rounding!AI150</f>
        <v>-5.43</v>
      </c>
      <c r="AJ55" s="270">
        <f>Rounding!AJ150</f>
        <v>-6.5190000000000001</v>
      </c>
      <c r="AK55" s="270">
        <f>Rounding!AK150</f>
        <v>-6.5190000000000001</v>
      </c>
      <c r="AL55" s="270">
        <f>Rounding!AL150</f>
        <v>-5.43</v>
      </c>
      <c r="AM55" s="270">
        <f>Rounding!AM150</f>
        <v>-5.43</v>
      </c>
      <c r="AN55" s="270">
        <f>Rounding!AN150</f>
        <v>-4.1420000000000003</v>
      </c>
      <c r="AO55" s="270">
        <f>Rounding!AO150</f>
        <v>-4.1420000000000003</v>
      </c>
      <c r="AP55" s="259"/>
      <c r="AQ55" s="259"/>
    </row>
    <row r="56" spans="1:43" x14ac:dyDescent="0.3">
      <c r="E56" s="28"/>
      <c r="F56" t="s">
        <v>156</v>
      </c>
      <c r="G56" s="13" t="s">
        <v>268</v>
      </c>
      <c r="H56" s="271"/>
      <c r="I56" s="259"/>
      <c r="J56" s="271">
        <f>Rounding!J151</f>
        <v>1.5169999999999999</v>
      </c>
      <c r="K56" s="271">
        <f>Rounding!K151</f>
        <v>1.5169999999999999</v>
      </c>
      <c r="L56" s="271">
        <f>Rounding!L151</f>
        <v>1.7490000000000001</v>
      </c>
      <c r="M56" s="271">
        <f>Rounding!M151</f>
        <v>1.7490000000000001</v>
      </c>
      <c r="N56" s="271">
        <f>Rounding!N151</f>
        <v>1.7490000000000001</v>
      </c>
      <c r="O56" s="271">
        <f>Rounding!O151</f>
        <v>1.7490000000000001</v>
      </c>
      <c r="P56" s="271">
        <f>Rounding!P151</f>
        <v>1.7490000000000001</v>
      </c>
      <c r="Q56" s="271">
        <f>Rounding!Q151</f>
        <v>1.7490000000000001</v>
      </c>
      <c r="R56" s="271">
        <f>Rounding!R151</f>
        <v>1.1739999999999999</v>
      </c>
      <c r="S56" s="271">
        <f>Rounding!S151</f>
        <v>1.1739999999999999</v>
      </c>
      <c r="T56" s="271">
        <f>Rounding!T151</f>
        <v>1.1739999999999999</v>
      </c>
      <c r="U56" s="271">
        <f>Rounding!U151</f>
        <v>1.1739999999999999</v>
      </c>
      <c r="V56" s="271">
        <f>Rounding!V151</f>
        <v>1.1739999999999999</v>
      </c>
      <c r="W56" s="271">
        <f>Rounding!W151</f>
        <v>0.86</v>
      </c>
      <c r="X56" s="271">
        <f>Rounding!X151</f>
        <v>0.86</v>
      </c>
      <c r="Y56" s="271">
        <f>Rounding!Y151</f>
        <v>0.86</v>
      </c>
      <c r="Z56" s="271">
        <f>Rounding!Z151</f>
        <v>0.86</v>
      </c>
      <c r="AA56" s="271">
        <f>Rounding!AA151</f>
        <v>0.86</v>
      </c>
      <c r="AB56" s="271">
        <f>Rounding!AB151</f>
        <v>0.49299999999999999</v>
      </c>
      <c r="AC56" s="271">
        <f>Rounding!AC151</f>
        <v>0.49299999999999999</v>
      </c>
      <c r="AD56" s="271">
        <f>Rounding!AD151</f>
        <v>0.49299999999999999</v>
      </c>
      <c r="AE56" s="271">
        <f>Rounding!AE151</f>
        <v>0.49299999999999999</v>
      </c>
      <c r="AF56" s="271">
        <f>Rounding!AF151</f>
        <v>0.49299999999999999</v>
      </c>
      <c r="AG56" s="271">
        <f>Rounding!AG151</f>
        <v>3.9470000000000001</v>
      </c>
      <c r="AH56" s="271">
        <f>Rounding!AH151</f>
        <v>-1.1839999999999999</v>
      </c>
      <c r="AI56" s="271">
        <f>Rounding!AI151</f>
        <v>-0.92200000000000004</v>
      </c>
      <c r="AJ56" s="271">
        <f>Rounding!AJ151</f>
        <v>-1.1839999999999999</v>
      </c>
      <c r="AK56" s="271">
        <f>Rounding!AK151</f>
        <v>-1.1839999999999999</v>
      </c>
      <c r="AL56" s="271">
        <f>Rounding!AL151</f>
        <v>-0.92200000000000004</v>
      </c>
      <c r="AM56" s="271">
        <f>Rounding!AM151</f>
        <v>-0.92200000000000004</v>
      </c>
      <c r="AN56" s="271">
        <f>Rounding!AN151</f>
        <v>-0.60099999999999998</v>
      </c>
      <c r="AO56" s="271">
        <f>Rounding!AO151</f>
        <v>-0.60099999999999998</v>
      </c>
      <c r="AP56" s="259"/>
      <c r="AQ56" s="259"/>
    </row>
    <row r="57" spans="1:43" x14ac:dyDescent="0.3">
      <c r="E57" s="28"/>
      <c r="F57" t="s">
        <v>157</v>
      </c>
      <c r="G57" s="13" t="s">
        <v>268</v>
      </c>
      <c r="H57" s="271"/>
      <c r="I57" s="259"/>
      <c r="J57" s="271">
        <f>Rounding!J152</f>
        <v>0.214</v>
      </c>
      <c r="K57" s="271">
        <f>Rounding!K152</f>
        <v>0.214</v>
      </c>
      <c r="L57" s="271">
        <f>Rounding!L152</f>
        <v>0.247</v>
      </c>
      <c r="M57" s="271">
        <f>Rounding!M152</f>
        <v>0.247</v>
      </c>
      <c r="N57" s="271">
        <f>Rounding!N152</f>
        <v>0.247</v>
      </c>
      <c r="O57" s="271">
        <f>Rounding!O152</f>
        <v>0.247</v>
      </c>
      <c r="P57" s="271">
        <f>Rounding!P152</f>
        <v>0.247</v>
      </c>
      <c r="Q57" s="271">
        <f>Rounding!Q152</f>
        <v>0.247</v>
      </c>
      <c r="R57" s="271">
        <f>Rounding!R152</f>
        <v>0.17</v>
      </c>
      <c r="S57" s="271">
        <f>Rounding!S152</f>
        <v>0.17</v>
      </c>
      <c r="T57" s="271">
        <f>Rounding!T152</f>
        <v>0.17</v>
      </c>
      <c r="U57" s="271">
        <f>Rounding!U152</f>
        <v>0.17</v>
      </c>
      <c r="V57" s="271">
        <f>Rounding!V152</f>
        <v>0.17</v>
      </c>
      <c r="W57" s="271">
        <f>Rounding!W152</f>
        <v>0.129</v>
      </c>
      <c r="X57" s="271">
        <f>Rounding!X152</f>
        <v>0.129</v>
      </c>
      <c r="Y57" s="271">
        <f>Rounding!Y152</f>
        <v>0.129</v>
      </c>
      <c r="Z57" s="271">
        <f>Rounding!Z152</f>
        <v>0.129</v>
      </c>
      <c r="AA57" s="271">
        <f>Rounding!AA152</f>
        <v>0.129</v>
      </c>
      <c r="AB57" s="271">
        <f>Rounding!AB152</f>
        <v>7.9000000000000001E-2</v>
      </c>
      <c r="AC57" s="271">
        <f>Rounding!AC152</f>
        <v>7.9000000000000001E-2</v>
      </c>
      <c r="AD57" s="271">
        <f>Rounding!AD152</f>
        <v>7.9000000000000001E-2</v>
      </c>
      <c r="AE57" s="271">
        <f>Rounding!AE152</f>
        <v>7.9000000000000001E-2</v>
      </c>
      <c r="AF57" s="271">
        <f>Rounding!AF152</f>
        <v>7.9000000000000001E-2</v>
      </c>
      <c r="AG57" s="271">
        <f>Rounding!AG152</f>
        <v>3.03</v>
      </c>
      <c r="AH57" s="271">
        <f>Rounding!AH152</f>
        <v>-0.16700000000000001</v>
      </c>
      <c r="AI57" s="271">
        <f>Rounding!AI152</f>
        <v>-0.13300000000000001</v>
      </c>
      <c r="AJ57" s="271">
        <f>Rounding!AJ152</f>
        <v>-0.16700000000000001</v>
      </c>
      <c r="AK57" s="271">
        <f>Rounding!AK152</f>
        <v>-0.16700000000000001</v>
      </c>
      <c r="AL57" s="271">
        <f>Rounding!AL152</f>
        <v>-0.13300000000000001</v>
      </c>
      <c r="AM57" s="271">
        <f>Rounding!AM152</f>
        <v>-0.13300000000000001</v>
      </c>
      <c r="AN57" s="271">
        <f>Rounding!AN152</f>
        <v>-9.0999999999999998E-2</v>
      </c>
      <c r="AO57" s="271">
        <f>Rounding!AO152</f>
        <v>-9.0999999999999998E-2</v>
      </c>
      <c r="AP57" s="259"/>
      <c r="AQ57" s="259"/>
    </row>
    <row r="58" spans="1:43" x14ac:dyDescent="0.3">
      <c r="E58" s="28"/>
      <c r="F58" t="s">
        <v>158</v>
      </c>
      <c r="G58" s="13" t="s">
        <v>269</v>
      </c>
      <c r="H58" s="51"/>
      <c r="J58" s="120">
        <f>Rounding!J153</f>
        <v>20.25</v>
      </c>
      <c r="K58" s="120">
        <f>Rounding!K153</f>
        <v>0</v>
      </c>
      <c r="L58" s="120">
        <f>Rounding!L153</f>
        <v>4.33</v>
      </c>
      <c r="M58" s="120">
        <f>Rounding!M153</f>
        <v>7.41</v>
      </c>
      <c r="N58" s="120">
        <f>Rounding!N153</f>
        <v>19.52</v>
      </c>
      <c r="O58" s="120">
        <f>Rounding!O153</f>
        <v>41.95</v>
      </c>
      <c r="P58" s="120">
        <f>Rounding!P153</f>
        <v>121.47</v>
      </c>
      <c r="Q58" s="120">
        <f>Rounding!Q153</f>
        <v>0</v>
      </c>
      <c r="R58" s="120">
        <f>Rounding!R153</f>
        <v>17.53</v>
      </c>
      <c r="S58" s="120">
        <f>Rounding!S153</f>
        <v>171.54</v>
      </c>
      <c r="T58" s="120">
        <f>Rounding!T153</f>
        <v>401.55</v>
      </c>
      <c r="U58" s="120">
        <f>Rounding!U153</f>
        <v>643.89</v>
      </c>
      <c r="V58" s="120">
        <f>Rounding!V153</f>
        <v>1332.55</v>
      </c>
      <c r="W58" s="120">
        <f>Rounding!W153</f>
        <v>56.51</v>
      </c>
      <c r="X58" s="120">
        <f>Rounding!X153</f>
        <v>210.51</v>
      </c>
      <c r="Y58" s="120">
        <f>Rounding!Y153</f>
        <v>440.52</v>
      </c>
      <c r="Z58" s="120">
        <f>Rounding!Z153</f>
        <v>682.86</v>
      </c>
      <c r="AA58" s="120">
        <f>Rounding!AA153</f>
        <v>1371.53</v>
      </c>
      <c r="AB58" s="120">
        <f>Rounding!AB153</f>
        <v>124.2</v>
      </c>
      <c r="AC58" s="120">
        <f>Rounding!AC153</f>
        <v>1106.3900000000001</v>
      </c>
      <c r="AD58" s="120">
        <f>Rounding!AD153</f>
        <v>3334.67</v>
      </c>
      <c r="AE58" s="120">
        <f>Rounding!AE153</f>
        <v>6854.13</v>
      </c>
      <c r="AF58" s="120">
        <f>Rounding!AF153</f>
        <v>15818.55</v>
      </c>
      <c r="AG58" s="120">
        <f>Rounding!AG153</f>
        <v>0</v>
      </c>
      <c r="AH58" s="120">
        <f>Rounding!AH153</f>
        <v>0</v>
      </c>
      <c r="AI58" s="120">
        <f>Rounding!AI153</f>
        <v>0</v>
      </c>
      <c r="AJ58" s="120">
        <f>Rounding!AJ153</f>
        <v>0</v>
      </c>
      <c r="AK58" s="120">
        <f>Rounding!AK153</f>
        <v>0</v>
      </c>
      <c r="AL58" s="120">
        <f>Rounding!AL153</f>
        <v>0</v>
      </c>
      <c r="AM58" s="120">
        <f>Rounding!AM153</f>
        <v>0</v>
      </c>
      <c r="AN58" s="120">
        <f>Rounding!AN153</f>
        <v>8.36</v>
      </c>
      <c r="AO58" s="120">
        <f>Rounding!AO153</f>
        <v>8.36</v>
      </c>
    </row>
    <row r="59" spans="1:43" x14ac:dyDescent="0.3">
      <c r="E59" s="28"/>
      <c r="F59" t="s">
        <v>159</v>
      </c>
      <c r="G59" s="13" t="s">
        <v>270</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3.14</v>
      </c>
      <c r="S59" s="120">
        <f>Rounding!S154</f>
        <v>3.14</v>
      </c>
      <c r="T59" s="120">
        <f>Rounding!T154</f>
        <v>3.14</v>
      </c>
      <c r="U59" s="120">
        <f>Rounding!U154</f>
        <v>3.14</v>
      </c>
      <c r="V59" s="120">
        <f>Rounding!V154</f>
        <v>3.14</v>
      </c>
      <c r="W59" s="120">
        <f>Rounding!W154</f>
        <v>3.21</v>
      </c>
      <c r="X59" s="120">
        <f>Rounding!X154</f>
        <v>3.21</v>
      </c>
      <c r="Y59" s="120">
        <f>Rounding!Y154</f>
        <v>3.21</v>
      </c>
      <c r="Z59" s="120">
        <f>Rounding!Z154</f>
        <v>3.21</v>
      </c>
      <c r="AA59" s="120">
        <f>Rounding!AA154</f>
        <v>3.21</v>
      </c>
      <c r="AB59" s="120">
        <f>Rounding!AB154</f>
        <v>3.15</v>
      </c>
      <c r="AC59" s="120">
        <f>Rounding!AC154</f>
        <v>3.15</v>
      </c>
      <c r="AD59" s="120">
        <f>Rounding!AD154</f>
        <v>3.15</v>
      </c>
      <c r="AE59" s="120">
        <f>Rounding!AE154</f>
        <v>3.15</v>
      </c>
      <c r="AF59" s="120">
        <f>Rounding!AF154</f>
        <v>3.15</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3">
      <c r="E60" s="28"/>
      <c r="F60" t="s">
        <v>160</v>
      </c>
      <c r="G60" s="13" t="s">
        <v>270</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4.75</v>
      </c>
      <c r="S60" s="120">
        <f>Rounding!S155</f>
        <v>4.75</v>
      </c>
      <c r="T60" s="120">
        <f>Rounding!T155</f>
        <v>4.75</v>
      </c>
      <c r="U60" s="120">
        <f>Rounding!U155</f>
        <v>4.75</v>
      </c>
      <c r="V60" s="120">
        <f>Rounding!V155</f>
        <v>4.75</v>
      </c>
      <c r="W60" s="120">
        <f>Rounding!W155</f>
        <v>5.51</v>
      </c>
      <c r="X60" s="120">
        <f>Rounding!X155</f>
        <v>5.51</v>
      </c>
      <c r="Y60" s="120">
        <f>Rounding!Y155</f>
        <v>5.51</v>
      </c>
      <c r="Z60" s="120">
        <f>Rounding!Z155</f>
        <v>5.51</v>
      </c>
      <c r="AA60" s="120">
        <f>Rounding!AA155</f>
        <v>5.51</v>
      </c>
      <c r="AB60" s="120">
        <f>Rounding!AB155</f>
        <v>5.74</v>
      </c>
      <c r="AC60" s="120">
        <f>Rounding!AC155</f>
        <v>5.74</v>
      </c>
      <c r="AD60" s="120">
        <f>Rounding!AD155</f>
        <v>5.74</v>
      </c>
      <c r="AE60" s="120">
        <f>Rounding!AE155</f>
        <v>5.74</v>
      </c>
      <c r="AF60" s="120">
        <f>Rounding!AF155</f>
        <v>5.74</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3">
      <c r="E61" s="28"/>
      <c r="F61" s="37" t="s">
        <v>161</v>
      </c>
      <c r="G61" s="86" t="s">
        <v>271</v>
      </c>
      <c r="H61" s="275"/>
      <c r="I61" s="261"/>
      <c r="J61" s="275">
        <f>Rounding!J156</f>
        <v>0</v>
      </c>
      <c r="K61" s="275">
        <f>Rounding!K156</f>
        <v>0</v>
      </c>
      <c r="L61" s="275">
        <f>Rounding!L156</f>
        <v>0</v>
      </c>
      <c r="M61" s="275">
        <f>Rounding!M156</f>
        <v>0</v>
      </c>
      <c r="N61" s="275">
        <f>Rounding!N156</f>
        <v>0</v>
      </c>
      <c r="O61" s="275">
        <f>Rounding!O156</f>
        <v>0</v>
      </c>
      <c r="P61" s="275">
        <f>Rounding!P156</f>
        <v>0</v>
      </c>
      <c r="Q61" s="275">
        <f>Rounding!Q156</f>
        <v>0</v>
      </c>
      <c r="R61" s="275">
        <f>Rounding!R156</f>
        <v>0.152</v>
      </c>
      <c r="S61" s="275">
        <f>Rounding!S156</f>
        <v>0.152</v>
      </c>
      <c r="T61" s="275">
        <f>Rounding!T156</f>
        <v>0.152</v>
      </c>
      <c r="U61" s="275">
        <f>Rounding!U156</f>
        <v>0.152</v>
      </c>
      <c r="V61" s="275">
        <f>Rounding!V156</f>
        <v>0.152</v>
      </c>
      <c r="W61" s="275">
        <f>Rounding!W156</f>
        <v>0.112</v>
      </c>
      <c r="X61" s="275">
        <f>Rounding!X156</f>
        <v>0.112</v>
      </c>
      <c r="Y61" s="275">
        <f>Rounding!Y156</f>
        <v>0.112</v>
      </c>
      <c r="Z61" s="275">
        <f>Rounding!Z156</f>
        <v>0.112</v>
      </c>
      <c r="AA61" s="275">
        <f>Rounding!AA156</f>
        <v>0.112</v>
      </c>
      <c r="AB61" s="275">
        <f>Rounding!AB156</f>
        <v>6.9000000000000006E-2</v>
      </c>
      <c r="AC61" s="275">
        <f>Rounding!AC156</f>
        <v>6.9000000000000006E-2</v>
      </c>
      <c r="AD61" s="275">
        <f>Rounding!AD156</f>
        <v>6.9000000000000006E-2</v>
      </c>
      <c r="AE61" s="275">
        <f>Rounding!AE156</f>
        <v>6.9000000000000006E-2</v>
      </c>
      <c r="AF61" s="275">
        <f>Rounding!AF156</f>
        <v>6.9000000000000006E-2</v>
      </c>
      <c r="AG61" s="275">
        <f>Rounding!AG156</f>
        <v>0</v>
      </c>
      <c r="AH61" s="275">
        <f>Rounding!AH156</f>
        <v>0</v>
      </c>
      <c r="AI61" s="275">
        <f>Rounding!AI156</f>
        <v>0</v>
      </c>
      <c r="AJ61" s="275">
        <f>Rounding!AJ156</f>
        <v>0.126</v>
      </c>
      <c r="AK61" s="275">
        <f>Rounding!AK156</f>
        <v>0</v>
      </c>
      <c r="AL61" s="275">
        <f>Rounding!AL156</f>
        <v>0.106</v>
      </c>
      <c r="AM61" s="275">
        <f>Rounding!AM156</f>
        <v>0</v>
      </c>
      <c r="AN61" s="275">
        <f>Rounding!AN156</f>
        <v>0.08</v>
      </c>
      <c r="AO61" s="275">
        <f>Rounding!AO156</f>
        <v>0</v>
      </c>
      <c r="AP61" s="259"/>
      <c r="AQ61" s="259"/>
    </row>
    <row r="62" spans="1:43" x14ac:dyDescent="0.3">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3">
      <c r="E63" s="32" t="s">
        <v>759</v>
      </c>
      <c r="G63" s="13"/>
      <c r="I63" t="s">
        <v>153</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154</v>
      </c>
    </row>
    <row r="64" spans="1:43" x14ac:dyDescent="0.3">
      <c r="F64" s="23" t="s">
        <v>155</v>
      </c>
      <c r="G64" s="85" t="s">
        <v>268</v>
      </c>
      <c r="H64" s="270"/>
      <c r="I64" s="258"/>
      <c r="J64" s="270">
        <f>Rounding!J159</f>
        <v>5.44</v>
      </c>
      <c r="K64" s="270">
        <f>Rounding!K159</f>
        <v>5.44</v>
      </c>
      <c r="L64" s="270">
        <f>Rounding!L159</f>
        <v>6.2729999999999997</v>
      </c>
      <c r="M64" s="270">
        <f>Rounding!M159</f>
        <v>6.2729999999999997</v>
      </c>
      <c r="N64" s="270">
        <f>Rounding!N159</f>
        <v>6.2729999999999997</v>
      </c>
      <c r="O64" s="270">
        <f>Rounding!O159</f>
        <v>6.2729999999999997</v>
      </c>
      <c r="P64" s="270">
        <f>Rounding!P159</f>
        <v>6.2729999999999997</v>
      </c>
      <c r="Q64" s="270">
        <f>Rounding!Q159</f>
        <v>6.2729999999999997</v>
      </c>
      <c r="R64" s="270">
        <f>Rounding!R159</f>
        <v>4.5880000000000001</v>
      </c>
      <c r="S64" s="270">
        <f>Rounding!S159</f>
        <v>4.5880000000000001</v>
      </c>
      <c r="T64" s="270">
        <f>Rounding!T159</f>
        <v>4.5880000000000001</v>
      </c>
      <c r="U64" s="270">
        <f>Rounding!U159</f>
        <v>4.5880000000000001</v>
      </c>
      <c r="V64" s="270">
        <f>Rounding!V159</f>
        <v>4.5880000000000001</v>
      </c>
      <c r="W64" s="270">
        <f>Rounding!W159</f>
        <v>0</v>
      </c>
      <c r="X64" s="270">
        <f>Rounding!X159</f>
        <v>0</v>
      </c>
      <c r="Y64" s="270">
        <f>Rounding!Y159</f>
        <v>0</v>
      </c>
      <c r="Z64" s="270">
        <f>Rounding!Z159</f>
        <v>0</v>
      </c>
      <c r="AA64" s="270">
        <f>Rounding!AA159</f>
        <v>0</v>
      </c>
      <c r="AB64" s="270">
        <f>Rounding!AB159</f>
        <v>0</v>
      </c>
      <c r="AC64" s="270">
        <f>Rounding!AC159</f>
        <v>0</v>
      </c>
      <c r="AD64" s="270">
        <f>Rounding!AD159</f>
        <v>0</v>
      </c>
      <c r="AE64" s="270">
        <f>Rounding!AE159</f>
        <v>0</v>
      </c>
      <c r="AF64" s="270">
        <f>Rounding!AF159</f>
        <v>0</v>
      </c>
      <c r="AG64" s="270">
        <f>Rounding!AG159</f>
        <v>10.901</v>
      </c>
      <c r="AH64" s="270">
        <f>Rounding!AH159</f>
        <v>-6.5190000000000001</v>
      </c>
      <c r="AI64" s="270">
        <f>Rounding!AI159</f>
        <v>0</v>
      </c>
      <c r="AJ64" s="270">
        <f>Rounding!AJ159</f>
        <v>-6.5190000000000001</v>
      </c>
      <c r="AK64" s="270">
        <f>Rounding!AK159</f>
        <v>0</v>
      </c>
      <c r="AL64" s="270">
        <f>Rounding!AL159</f>
        <v>0</v>
      </c>
      <c r="AM64" s="270">
        <f>Rounding!AM159</f>
        <v>0</v>
      </c>
      <c r="AN64" s="270">
        <f>Rounding!AN159</f>
        <v>0</v>
      </c>
      <c r="AO64" s="270">
        <f>Rounding!AO159</f>
        <v>0</v>
      </c>
      <c r="AP64" s="259"/>
      <c r="AQ64" s="259"/>
    </row>
    <row r="65" spans="3:43" x14ac:dyDescent="0.3">
      <c r="E65" s="28"/>
      <c r="F65" t="s">
        <v>156</v>
      </c>
      <c r="G65" s="13" t="s">
        <v>268</v>
      </c>
      <c r="H65" s="271"/>
      <c r="I65" s="259"/>
      <c r="J65" s="271">
        <f>Rounding!J160</f>
        <v>0.98799999999999999</v>
      </c>
      <c r="K65" s="271">
        <f>Rounding!K160</f>
        <v>0.98799999999999999</v>
      </c>
      <c r="L65" s="271">
        <f>Rounding!L160</f>
        <v>1.139</v>
      </c>
      <c r="M65" s="271">
        <f>Rounding!M160</f>
        <v>1.139</v>
      </c>
      <c r="N65" s="271">
        <f>Rounding!N160</f>
        <v>1.139</v>
      </c>
      <c r="O65" s="271">
        <f>Rounding!O160</f>
        <v>1.139</v>
      </c>
      <c r="P65" s="271">
        <f>Rounding!P160</f>
        <v>1.139</v>
      </c>
      <c r="Q65" s="271">
        <f>Rounding!Q160</f>
        <v>1.139</v>
      </c>
      <c r="R65" s="271">
        <f>Rounding!R160</f>
        <v>0.76500000000000001</v>
      </c>
      <c r="S65" s="271">
        <f>Rounding!S160</f>
        <v>0.76500000000000001</v>
      </c>
      <c r="T65" s="271">
        <f>Rounding!T160</f>
        <v>0.76500000000000001</v>
      </c>
      <c r="U65" s="271">
        <f>Rounding!U160</f>
        <v>0.76500000000000001</v>
      </c>
      <c r="V65" s="271">
        <f>Rounding!V160</f>
        <v>0.76500000000000001</v>
      </c>
      <c r="W65" s="271">
        <f>Rounding!W160</f>
        <v>0</v>
      </c>
      <c r="X65" s="271">
        <f>Rounding!X160</f>
        <v>0</v>
      </c>
      <c r="Y65" s="271">
        <f>Rounding!Y160</f>
        <v>0</v>
      </c>
      <c r="Z65" s="271">
        <f>Rounding!Z160</f>
        <v>0</v>
      </c>
      <c r="AA65" s="271">
        <f>Rounding!AA160</f>
        <v>0</v>
      </c>
      <c r="AB65" s="271">
        <f>Rounding!AB160</f>
        <v>0</v>
      </c>
      <c r="AC65" s="271">
        <f>Rounding!AC160</f>
        <v>0</v>
      </c>
      <c r="AD65" s="271">
        <f>Rounding!AD160</f>
        <v>0</v>
      </c>
      <c r="AE65" s="271">
        <f>Rounding!AE160</f>
        <v>0</v>
      </c>
      <c r="AF65" s="271">
        <f>Rounding!AF160</f>
        <v>0</v>
      </c>
      <c r="AG65" s="271">
        <f>Rounding!AG160</f>
        <v>2.5710000000000002</v>
      </c>
      <c r="AH65" s="271">
        <f>Rounding!AH160</f>
        <v>-1.1839999999999999</v>
      </c>
      <c r="AI65" s="271">
        <f>Rounding!AI160</f>
        <v>0</v>
      </c>
      <c r="AJ65" s="271">
        <f>Rounding!AJ160</f>
        <v>-1.1839999999999999</v>
      </c>
      <c r="AK65" s="271">
        <f>Rounding!AK160</f>
        <v>0</v>
      </c>
      <c r="AL65" s="271">
        <f>Rounding!AL160</f>
        <v>0</v>
      </c>
      <c r="AM65" s="271">
        <f>Rounding!AM160</f>
        <v>0</v>
      </c>
      <c r="AN65" s="271">
        <f>Rounding!AN160</f>
        <v>0</v>
      </c>
      <c r="AO65" s="271">
        <f>Rounding!AO160</f>
        <v>0</v>
      </c>
      <c r="AP65" s="259"/>
      <c r="AQ65" s="259"/>
    </row>
    <row r="66" spans="3:43" x14ac:dyDescent="0.3">
      <c r="E66" s="28"/>
      <c r="F66" t="s">
        <v>157</v>
      </c>
      <c r="G66" s="13" t="s">
        <v>268</v>
      </c>
      <c r="H66" s="271"/>
      <c r="I66" s="259"/>
      <c r="J66" s="271">
        <f>Rounding!J161</f>
        <v>0.13900000000000001</v>
      </c>
      <c r="K66" s="271">
        <f>Rounding!K161</f>
        <v>0.13900000000000001</v>
      </c>
      <c r="L66" s="271">
        <f>Rounding!L161</f>
        <v>0.161</v>
      </c>
      <c r="M66" s="271">
        <f>Rounding!M161</f>
        <v>0.161</v>
      </c>
      <c r="N66" s="271">
        <f>Rounding!N161</f>
        <v>0.161</v>
      </c>
      <c r="O66" s="271">
        <f>Rounding!O161</f>
        <v>0.161</v>
      </c>
      <c r="P66" s="271">
        <f>Rounding!P161</f>
        <v>0.161</v>
      </c>
      <c r="Q66" s="271">
        <f>Rounding!Q161</f>
        <v>0.161</v>
      </c>
      <c r="R66" s="271">
        <f>Rounding!R161</f>
        <v>0.111</v>
      </c>
      <c r="S66" s="271">
        <f>Rounding!S161</f>
        <v>0.111</v>
      </c>
      <c r="T66" s="271">
        <f>Rounding!T161</f>
        <v>0.111</v>
      </c>
      <c r="U66" s="271">
        <f>Rounding!U161</f>
        <v>0.111</v>
      </c>
      <c r="V66" s="271">
        <f>Rounding!V161</f>
        <v>0.111</v>
      </c>
      <c r="W66" s="271">
        <f>Rounding!W161</f>
        <v>0</v>
      </c>
      <c r="X66" s="271">
        <f>Rounding!X161</f>
        <v>0</v>
      </c>
      <c r="Y66" s="271">
        <f>Rounding!Y161</f>
        <v>0</v>
      </c>
      <c r="Z66" s="271">
        <f>Rounding!Z161</f>
        <v>0</v>
      </c>
      <c r="AA66" s="271">
        <f>Rounding!AA161</f>
        <v>0</v>
      </c>
      <c r="AB66" s="271">
        <f>Rounding!AB161</f>
        <v>0</v>
      </c>
      <c r="AC66" s="271">
        <f>Rounding!AC161</f>
        <v>0</v>
      </c>
      <c r="AD66" s="271">
        <f>Rounding!AD161</f>
        <v>0</v>
      </c>
      <c r="AE66" s="271">
        <f>Rounding!AE161</f>
        <v>0</v>
      </c>
      <c r="AF66" s="271">
        <f>Rounding!AF161</f>
        <v>0</v>
      </c>
      <c r="AG66" s="271">
        <f>Rounding!AG161</f>
        <v>1.9730000000000001</v>
      </c>
      <c r="AH66" s="271">
        <f>Rounding!AH161</f>
        <v>-0.16700000000000001</v>
      </c>
      <c r="AI66" s="271">
        <f>Rounding!AI161</f>
        <v>0</v>
      </c>
      <c r="AJ66" s="271">
        <f>Rounding!AJ161</f>
        <v>-0.16700000000000001</v>
      </c>
      <c r="AK66" s="271">
        <f>Rounding!AK161</f>
        <v>0</v>
      </c>
      <c r="AL66" s="271">
        <f>Rounding!AL161</f>
        <v>0</v>
      </c>
      <c r="AM66" s="271">
        <f>Rounding!AM161</f>
        <v>0</v>
      </c>
      <c r="AN66" s="271">
        <f>Rounding!AN161</f>
        <v>0</v>
      </c>
      <c r="AO66" s="271">
        <f>Rounding!AO161</f>
        <v>0</v>
      </c>
      <c r="AP66" s="259"/>
      <c r="AQ66" s="259"/>
    </row>
    <row r="67" spans="3:43" x14ac:dyDescent="0.3">
      <c r="E67" s="28"/>
      <c r="F67" t="s">
        <v>158</v>
      </c>
      <c r="G67" s="13" t="s">
        <v>269</v>
      </c>
      <c r="H67" s="51"/>
      <c r="J67" s="120">
        <f>Rounding!J162</f>
        <v>16.489999999999998</v>
      </c>
      <c r="K67" s="120">
        <f>Rounding!K162</f>
        <v>0</v>
      </c>
      <c r="L67" s="120">
        <f>Rounding!L162</f>
        <v>2.84</v>
      </c>
      <c r="M67" s="120">
        <f>Rounding!M162</f>
        <v>4.84</v>
      </c>
      <c r="N67" s="120">
        <f>Rounding!N162</f>
        <v>12.72</v>
      </c>
      <c r="O67" s="120">
        <f>Rounding!O162</f>
        <v>27.34</v>
      </c>
      <c r="P67" s="120">
        <f>Rounding!P162</f>
        <v>79.13</v>
      </c>
      <c r="Q67" s="120">
        <f>Rounding!Q162</f>
        <v>0</v>
      </c>
      <c r="R67" s="120">
        <f>Rounding!R162</f>
        <v>11.43</v>
      </c>
      <c r="S67" s="120">
        <f>Rounding!S162</f>
        <v>111.74</v>
      </c>
      <c r="T67" s="120">
        <f>Rounding!T162</f>
        <v>261.56</v>
      </c>
      <c r="U67" s="120">
        <f>Rounding!U162</f>
        <v>419.4</v>
      </c>
      <c r="V67" s="120">
        <f>Rounding!V162</f>
        <v>867.96</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3">
      <c r="E68" s="28"/>
      <c r="F68" t="s">
        <v>159</v>
      </c>
      <c r="G68" s="13" t="s">
        <v>270</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2.04</v>
      </c>
      <c r="S68" s="120">
        <f>Rounding!S163</f>
        <v>2.04</v>
      </c>
      <c r="T68" s="120">
        <f>Rounding!T163</f>
        <v>2.04</v>
      </c>
      <c r="U68" s="120">
        <f>Rounding!U163</f>
        <v>2.04</v>
      </c>
      <c r="V68" s="120">
        <f>Rounding!V163</f>
        <v>2.04</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3">
      <c r="E69" s="28"/>
      <c r="F69" t="s">
        <v>160</v>
      </c>
      <c r="G69" s="13" t="s">
        <v>270</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3.09</v>
      </c>
      <c r="S69" s="120">
        <f>Rounding!S164</f>
        <v>3.09</v>
      </c>
      <c r="T69" s="120">
        <f>Rounding!T164</f>
        <v>3.09</v>
      </c>
      <c r="U69" s="120">
        <f>Rounding!U164</f>
        <v>3.09</v>
      </c>
      <c r="V69" s="120">
        <f>Rounding!V164</f>
        <v>3.09</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3">
      <c r="E70" s="28"/>
      <c r="F70" s="37" t="s">
        <v>161</v>
      </c>
      <c r="G70" s="86" t="s">
        <v>271</v>
      </c>
      <c r="H70" s="275"/>
      <c r="I70" s="261"/>
      <c r="J70" s="275">
        <f>Rounding!J165</f>
        <v>0</v>
      </c>
      <c r="K70" s="275">
        <f>Rounding!K165</f>
        <v>0</v>
      </c>
      <c r="L70" s="275">
        <f>Rounding!L165</f>
        <v>0</v>
      </c>
      <c r="M70" s="275">
        <f>Rounding!M165</f>
        <v>0</v>
      </c>
      <c r="N70" s="275">
        <f>Rounding!N165</f>
        <v>0</v>
      </c>
      <c r="O70" s="275">
        <f>Rounding!O165</f>
        <v>0</v>
      </c>
      <c r="P70" s="275">
        <f>Rounding!P165</f>
        <v>0</v>
      </c>
      <c r="Q70" s="275">
        <f>Rounding!Q165</f>
        <v>0</v>
      </c>
      <c r="R70" s="275">
        <f>Rounding!R165</f>
        <v>9.9000000000000005E-2</v>
      </c>
      <c r="S70" s="275">
        <f>Rounding!S165</f>
        <v>9.9000000000000005E-2</v>
      </c>
      <c r="T70" s="275">
        <f>Rounding!T165</f>
        <v>9.9000000000000005E-2</v>
      </c>
      <c r="U70" s="275">
        <f>Rounding!U165</f>
        <v>9.9000000000000005E-2</v>
      </c>
      <c r="V70" s="275">
        <f>Rounding!V165</f>
        <v>9.9000000000000005E-2</v>
      </c>
      <c r="W70" s="275">
        <f>Rounding!W165</f>
        <v>0</v>
      </c>
      <c r="X70" s="275">
        <f>Rounding!X165</f>
        <v>0</v>
      </c>
      <c r="Y70" s="275">
        <f>Rounding!Y165</f>
        <v>0</v>
      </c>
      <c r="Z70" s="275">
        <f>Rounding!Z165</f>
        <v>0</v>
      </c>
      <c r="AA70" s="275">
        <f>Rounding!AA165</f>
        <v>0</v>
      </c>
      <c r="AB70" s="275">
        <f>Rounding!AB165</f>
        <v>0</v>
      </c>
      <c r="AC70" s="275">
        <f>Rounding!AC165</f>
        <v>0</v>
      </c>
      <c r="AD70" s="275">
        <f>Rounding!AD165</f>
        <v>0</v>
      </c>
      <c r="AE70" s="275">
        <f>Rounding!AE165</f>
        <v>0</v>
      </c>
      <c r="AF70" s="275">
        <f>Rounding!AF165</f>
        <v>0</v>
      </c>
      <c r="AG70" s="275">
        <f>Rounding!AG165</f>
        <v>0</v>
      </c>
      <c r="AH70" s="275">
        <f>Rounding!AH165</f>
        <v>0</v>
      </c>
      <c r="AI70" s="275">
        <f>Rounding!AI165</f>
        <v>0</v>
      </c>
      <c r="AJ70" s="275">
        <f>Rounding!AJ165</f>
        <v>0.126</v>
      </c>
      <c r="AK70" s="275">
        <f>Rounding!AK165</f>
        <v>0</v>
      </c>
      <c r="AL70" s="275">
        <f>Rounding!AL165</f>
        <v>0</v>
      </c>
      <c r="AM70" s="275">
        <f>Rounding!AM165</f>
        <v>0</v>
      </c>
      <c r="AN70" s="275">
        <f>Rounding!AN165</f>
        <v>0</v>
      </c>
      <c r="AO70" s="275">
        <f>Rounding!AO165</f>
        <v>0</v>
      </c>
      <c r="AP70" s="259"/>
      <c r="AQ70" s="259"/>
    </row>
    <row r="71" spans="3:43" x14ac:dyDescent="0.3">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3">
      <c r="E72" s="32" t="s">
        <v>760</v>
      </c>
      <c r="G72" s="13"/>
      <c r="I72" t="s">
        <v>153</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154</v>
      </c>
    </row>
    <row r="73" spans="3:43" x14ac:dyDescent="0.3">
      <c r="C73" s="88"/>
      <c r="F73" s="23" t="s">
        <v>155</v>
      </c>
      <c r="G73" s="85" t="s">
        <v>268</v>
      </c>
      <c r="H73" s="270"/>
      <c r="I73" s="258"/>
      <c r="J73" s="270">
        <f>Rounding!J168</f>
        <v>3.8149999999999999</v>
      </c>
      <c r="K73" s="270">
        <f>Rounding!K168</f>
        <v>3.8149999999999999</v>
      </c>
      <c r="L73" s="270">
        <f>Rounding!L168</f>
        <v>4.4000000000000004</v>
      </c>
      <c r="M73" s="270">
        <f>Rounding!M168</f>
        <v>4.4000000000000004</v>
      </c>
      <c r="N73" s="270">
        <f>Rounding!N168</f>
        <v>4.4000000000000004</v>
      </c>
      <c r="O73" s="270">
        <f>Rounding!O168</f>
        <v>4.4000000000000004</v>
      </c>
      <c r="P73" s="270">
        <f>Rounding!P168</f>
        <v>4.4000000000000004</v>
      </c>
      <c r="Q73" s="270">
        <f>Rounding!Q168</f>
        <v>4.4000000000000004</v>
      </c>
      <c r="R73" s="270">
        <f>Rounding!R168</f>
        <v>3.218</v>
      </c>
      <c r="S73" s="270">
        <f>Rounding!S168</f>
        <v>3.218</v>
      </c>
      <c r="T73" s="270">
        <f>Rounding!T168</f>
        <v>3.218</v>
      </c>
      <c r="U73" s="270">
        <f>Rounding!U168</f>
        <v>3.218</v>
      </c>
      <c r="V73" s="270">
        <f>Rounding!V168</f>
        <v>3.218</v>
      </c>
      <c r="W73" s="270">
        <f>Rounding!W168</f>
        <v>4.1130000000000004</v>
      </c>
      <c r="X73" s="270">
        <f>Rounding!X168</f>
        <v>4.1130000000000004</v>
      </c>
      <c r="Y73" s="270">
        <f>Rounding!Y168</f>
        <v>4.1130000000000004</v>
      </c>
      <c r="Z73" s="270">
        <f>Rounding!Z168</f>
        <v>4.1130000000000004</v>
      </c>
      <c r="AA73" s="270">
        <f>Rounding!AA168</f>
        <v>4.1130000000000004</v>
      </c>
      <c r="AB73" s="270">
        <f>Rounding!AB168</f>
        <v>3.3490000000000002</v>
      </c>
      <c r="AC73" s="270">
        <f>Rounding!AC168</f>
        <v>3.3490000000000002</v>
      </c>
      <c r="AD73" s="270">
        <f>Rounding!AD168</f>
        <v>3.3490000000000002</v>
      </c>
      <c r="AE73" s="270">
        <f>Rounding!AE168</f>
        <v>3.3490000000000002</v>
      </c>
      <c r="AF73" s="270">
        <f>Rounding!AF168</f>
        <v>3.3490000000000002</v>
      </c>
      <c r="AG73" s="270">
        <f>Rounding!AG168</f>
        <v>7.6449999999999996</v>
      </c>
      <c r="AH73" s="270">
        <f>Rounding!AH168</f>
        <v>-6.5190000000000001</v>
      </c>
      <c r="AI73" s="270">
        <f>Rounding!AI168</f>
        <v>-5.43</v>
      </c>
      <c r="AJ73" s="270">
        <f>Rounding!AJ168</f>
        <v>-6.5190000000000001</v>
      </c>
      <c r="AK73" s="270">
        <f>Rounding!AK168</f>
        <v>0</v>
      </c>
      <c r="AL73" s="270">
        <f>Rounding!AL168</f>
        <v>-5.43</v>
      </c>
      <c r="AM73" s="270">
        <f>Rounding!AM168</f>
        <v>0</v>
      </c>
      <c r="AN73" s="270">
        <f>Rounding!AN168</f>
        <v>-4.1420000000000003</v>
      </c>
      <c r="AO73" s="270">
        <f>Rounding!AO168</f>
        <v>0</v>
      </c>
      <c r="AP73" s="259"/>
      <c r="AQ73" s="259"/>
    </row>
    <row r="74" spans="3:43" x14ac:dyDescent="0.3">
      <c r="C74" s="88"/>
      <c r="F74" t="s">
        <v>156</v>
      </c>
      <c r="G74" s="13" t="s">
        <v>268</v>
      </c>
      <c r="H74" s="271"/>
      <c r="I74" s="259"/>
      <c r="J74" s="271">
        <f>Rounding!J169</f>
        <v>0.69299999999999995</v>
      </c>
      <c r="K74" s="271">
        <f>Rounding!K169</f>
        <v>0.69299999999999995</v>
      </c>
      <c r="L74" s="271">
        <f>Rounding!L169</f>
        <v>0.79900000000000004</v>
      </c>
      <c r="M74" s="271">
        <f>Rounding!M169</f>
        <v>0.79900000000000004</v>
      </c>
      <c r="N74" s="271">
        <f>Rounding!N169</f>
        <v>0.79900000000000004</v>
      </c>
      <c r="O74" s="271">
        <f>Rounding!O169</f>
        <v>0.79900000000000004</v>
      </c>
      <c r="P74" s="271">
        <f>Rounding!P169</f>
        <v>0.79900000000000004</v>
      </c>
      <c r="Q74" s="271">
        <f>Rounding!Q169</f>
        <v>0.79900000000000004</v>
      </c>
      <c r="R74" s="271">
        <f>Rounding!R169</f>
        <v>0.53600000000000003</v>
      </c>
      <c r="S74" s="271">
        <f>Rounding!S169</f>
        <v>0.53600000000000003</v>
      </c>
      <c r="T74" s="271">
        <f>Rounding!T169</f>
        <v>0.53600000000000003</v>
      </c>
      <c r="U74" s="271">
        <f>Rounding!U169</f>
        <v>0.53600000000000003</v>
      </c>
      <c r="V74" s="271">
        <f>Rounding!V169</f>
        <v>0.53600000000000003</v>
      </c>
      <c r="W74" s="271">
        <f>Rounding!W169</f>
        <v>0.623</v>
      </c>
      <c r="X74" s="271">
        <f>Rounding!X169</f>
        <v>0.623</v>
      </c>
      <c r="Y74" s="271">
        <f>Rounding!Y169</f>
        <v>0.623</v>
      </c>
      <c r="Z74" s="271">
        <f>Rounding!Z169</f>
        <v>0.623</v>
      </c>
      <c r="AA74" s="271">
        <f>Rounding!AA169</f>
        <v>0.623</v>
      </c>
      <c r="AB74" s="271">
        <f>Rounding!AB169</f>
        <v>0.42199999999999999</v>
      </c>
      <c r="AC74" s="271">
        <f>Rounding!AC169</f>
        <v>0.42199999999999999</v>
      </c>
      <c r="AD74" s="271">
        <f>Rounding!AD169</f>
        <v>0.42199999999999999</v>
      </c>
      <c r="AE74" s="271">
        <f>Rounding!AE169</f>
        <v>0.42199999999999999</v>
      </c>
      <c r="AF74" s="271">
        <f>Rounding!AF169</f>
        <v>0.42199999999999999</v>
      </c>
      <c r="AG74" s="271">
        <f>Rounding!AG169</f>
        <v>1.8029999999999999</v>
      </c>
      <c r="AH74" s="271">
        <f>Rounding!AH169</f>
        <v>-1.1839999999999999</v>
      </c>
      <c r="AI74" s="271">
        <f>Rounding!AI169</f>
        <v>-0.92200000000000004</v>
      </c>
      <c r="AJ74" s="271">
        <f>Rounding!AJ169</f>
        <v>-1.1839999999999999</v>
      </c>
      <c r="AK74" s="271">
        <f>Rounding!AK169</f>
        <v>0</v>
      </c>
      <c r="AL74" s="271">
        <f>Rounding!AL169</f>
        <v>-0.92200000000000004</v>
      </c>
      <c r="AM74" s="271">
        <f>Rounding!AM169</f>
        <v>0</v>
      </c>
      <c r="AN74" s="271">
        <f>Rounding!AN169</f>
        <v>-0.60099999999999998</v>
      </c>
      <c r="AO74" s="271">
        <f>Rounding!AO169</f>
        <v>0</v>
      </c>
      <c r="AP74" s="259"/>
      <c r="AQ74" s="259"/>
    </row>
    <row r="75" spans="3:43" x14ac:dyDescent="0.3">
      <c r="C75" s="88"/>
      <c r="F75" t="s">
        <v>157</v>
      </c>
      <c r="G75" s="13" t="s">
        <v>268</v>
      </c>
      <c r="H75" s="271"/>
      <c r="I75" s="259"/>
      <c r="J75" s="271">
        <f>Rounding!J170</f>
        <v>9.8000000000000004E-2</v>
      </c>
      <c r="K75" s="271">
        <f>Rounding!K170</f>
        <v>9.8000000000000004E-2</v>
      </c>
      <c r="L75" s="271">
        <f>Rounding!L170</f>
        <v>0.113</v>
      </c>
      <c r="M75" s="271">
        <f>Rounding!M170</f>
        <v>0.113</v>
      </c>
      <c r="N75" s="271">
        <f>Rounding!N170</f>
        <v>0.113</v>
      </c>
      <c r="O75" s="271">
        <f>Rounding!O170</f>
        <v>0.113</v>
      </c>
      <c r="P75" s="271">
        <f>Rounding!P170</f>
        <v>0.113</v>
      </c>
      <c r="Q75" s="271">
        <f>Rounding!Q170</f>
        <v>0.113</v>
      </c>
      <c r="R75" s="271">
        <f>Rounding!R170</f>
        <v>7.8E-2</v>
      </c>
      <c r="S75" s="271">
        <f>Rounding!S170</f>
        <v>7.8E-2</v>
      </c>
      <c r="T75" s="271">
        <f>Rounding!T170</f>
        <v>7.8E-2</v>
      </c>
      <c r="U75" s="271">
        <f>Rounding!U170</f>
        <v>7.8E-2</v>
      </c>
      <c r="V75" s="271">
        <f>Rounding!V170</f>
        <v>7.8E-2</v>
      </c>
      <c r="W75" s="271">
        <f>Rounding!W170</f>
        <v>9.2999999999999999E-2</v>
      </c>
      <c r="X75" s="271">
        <f>Rounding!X170</f>
        <v>9.2999999999999999E-2</v>
      </c>
      <c r="Y75" s="271">
        <f>Rounding!Y170</f>
        <v>9.2999999999999999E-2</v>
      </c>
      <c r="Z75" s="271">
        <f>Rounding!Z170</f>
        <v>9.2999999999999999E-2</v>
      </c>
      <c r="AA75" s="271">
        <f>Rounding!AA170</f>
        <v>9.2999999999999999E-2</v>
      </c>
      <c r="AB75" s="271">
        <f>Rounding!AB170</f>
        <v>6.8000000000000005E-2</v>
      </c>
      <c r="AC75" s="271">
        <f>Rounding!AC170</f>
        <v>6.8000000000000005E-2</v>
      </c>
      <c r="AD75" s="271">
        <f>Rounding!AD170</f>
        <v>6.8000000000000005E-2</v>
      </c>
      <c r="AE75" s="271">
        <f>Rounding!AE170</f>
        <v>6.8000000000000005E-2</v>
      </c>
      <c r="AF75" s="271">
        <f>Rounding!AF170</f>
        <v>6.8000000000000005E-2</v>
      </c>
      <c r="AG75" s="271">
        <f>Rounding!AG170</f>
        <v>1.3839999999999999</v>
      </c>
      <c r="AH75" s="271">
        <f>Rounding!AH170</f>
        <v>-0.16700000000000001</v>
      </c>
      <c r="AI75" s="271">
        <f>Rounding!AI170</f>
        <v>-0.13300000000000001</v>
      </c>
      <c r="AJ75" s="271">
        <f>Rounding!AJ170</f>
        <v>-0.16700000000000001</v>
      </c>
      <c r="AK75" s="271">
        <f>Rounding!AK170</f>
        <v>0</v>
      </c>
      <c r="AL75" s="271">
        <f>Rounding!AL170</f>
        <v>-0.13300000000000001</v>
      </c>
      <c r="AM75" s="271">
        <f>Rounding!AM170</f>
        <v>0</v>
      </c>
      <c r="AN75" s="271">
        <f>Rounding!AN170</f>
        <v>-9.0999999999999998E-2</v>
      </c>
      <c r="AO75" s="271">
        <f>Rounding!AO170</f>
        <v>0</v>
      </c>
      <c r="AP75" s="259"/>
      <c r="AQ75" s="259"/>
    </row>
    <row r="76" spans="3:43" x14ac:dyDescent="0.3">
      <c r="C76" s="88"/>
      <c r="F76" t="s">
        <v>158</v>
      </c>
      <c r="G76" s="13" t="s">
        <v>269</v>
      </c>
      <c r="H76" s="51"/>
      <c r="J76" s="120">
        <f>Rounding!J171</f>
        <v>14.39</v>
      </c>
      <c r="K76" s="120">
        <f>Rounding!K171</f>
        <v>0</v>
      </c>
      <c r="L76" s="120">
        <f>Rounding!L171</f>
        <v>2</v>
      </c>
      <c r="M76" s="120">
        <f>Rounding!M171</f>
        <v>3.41</v>
      </c>
      <c r="N76" s="120">
        <f>Rounding!N171</f>
        <v>8.94</v>
      </c>
      <c r="O76" s="120">
        <f>Rounding!O171</f>
        <v>19.18</v>
      </c>
      <c r="P76" s="120">
        <f>Rounding!P171</f>
        <v>55.51</v>
      </c>
      <c r="Q76" s="120">
        <f>Rounding!Q171</f>
        <v>0</v>
      </c>
      <c r="R76" s="120">
        <f>Rounding!R171</f>
        <v>8.0299999999999994</v>
      </c>
      <c r="S76" s="120">
        <f>Rounding!S171</f>
        <v>78.38</v>
      </c>
      <c r="T76" s="120">
        <f>Rounding!T171</f>
        <v>183.45</v>
      </c>
      <c r="U76" s="120">
        <f>Rounding!U171</f>
        <v>294.14999999999998</v>
      </c>
      <c r="V76" s="120">
        <f>Rounding!V171</f>
        <v>608.74</v>
      </c>
      <c r="W76" s="120">
        <f>Rounding!W171</f>
        <v>40.909999999999997</v>
      </c>
      <c r="X76" s="120">
        <f>Rounding!X171</f>
        <v>152.37</v>
      </c>
      <c r="Y76" s="120">
        <f>Rounding!Y171</f>
        <v>318.83999999999997</v>
      </c>
      <c r="Z76" s="120">
        <f>Rounding!Z171</f>
        <v>494.23</v>
      </c>
      <c r="AA76" s="120">
        <f>Rounding!AA171</f>
        <v>992.66</v>
      </c>
      <c r="AB76" s="120">
        <f>Rounding!AB171</f>
        <v>106.31</v>
      </c>
      <c r="AC76" s="120">
        <f>Rounding!AC171</f>
        <v>946.99</v>
      </c>
      <c r="AD76" s="120">
        <f>Rounding!AD171</f>
        <v>2854.22</v>
      </c>
      <c r="AE76" s="120">
        <f>Rounding!AE171</f>
        <v>5866.6</v>
      </c>
      <c r="AF76" s="120">
        <f>Rounding!AF171</f>
        <v>13539.42</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3">
      <c r="C77" s="88"/>
      <c r="F77" t="s">
        <v>159</v>
      </c>
      <c r="G77" s="13" t="s">
        <v>270</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1.43</v>
      </c>
      <c r="S77" s="120">
        <f>Rounding!S172</f>
        <v>1.43</v>
      </c>
      <c r="T77" s="120">
        <f>Rounding!T172</f>
        <v>1.43</v>
      </c>
      <c r="U77" s="120">
        <f>Rounding!U172</f>
        <v>1.43</v>
      </c>
      <c r="V77" s="120">
        <f>Rounding!V172</f>
        <v>1.43</v>
      </c>
      <c r="W77" s="120">
        <f>Rounding!W172</f>
        <v>2.33</v>
      </c>
      <c r="X77" s="120">
        <f>Rounding!X172</f>
        <v>2.33</v>
      </c>
      <c r="Y77" s="120">
        <f>Rounding!Y172</f>
        <v>2.33</v>
      </c>
      <c r="Z77" s="120">
        <f>Rounding!Z172</f>
        <v>2.33</v>
      </c>
      <c r="AA77" s="120">
        <f>Rounding!AA172</f>
        <v>2.33</v>
      </c>
      <c r="AB77" s="120">
        <f>Rounding!AB172</f>
        <v>2.7</v>
      </c>
      <c r="AC77" s="120">
        <f>Rounding!AC172</f>
        <v>2.7</v>
      </c>
      <c r="AD77" s="120">
        <f>Rounding!AD172</f>
        <v>2.7</v>
      </c>
      <c r="AE77" s="120">
        <f>Rounding!AE172</f>
        <v>2.7</v>
      </c>
      <c r="AF77" s="120">
        <f>Rounding!AF172</f>
        <v>2.7</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3">
      <c r="C78" s="88"/>
      <c r="F78" t="s">
        <v>160</v>
      </c>
      <c r="G78" s="13" t="s">
        <v>270</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2.17</v>
      </c>
      <c r="S78" s="120">
        <f>Rounding!S173</f>
        <v>2.17</v>
      </c>
      <c r="T78" s="120">
        <f>Rounding!T173</f>
        <v>2.17</v>
      </c>
      <c r="U78" s="120">
        <f>Rounding!U173</f>
        <v>2.17</v>
      </c>
      <c r="V78" s="120">
        <f>Rounding!V173</f>
        <v>2.17</v>
      </c>
      <c r="W78" s="120">
        <f>Rounding!W173</f>
        <v>3.99</v>
      </c>
      <c r="X78" s="120">
        <f>Rounding!X173</f>
        <v>3.99</v>
      </c>
      <c r="Y78" s="120">
        <f>Rounding!Y173</f>
        <v>3.99</v>
      </c>
      <c r="Z78" s="120">
        <f>Rounding!Z173</f>
        <v>3.99</v>
      </c>
      <c r="AA78" s="120">
        <f>Rounding!AA173</f>
        <v>3.99</v>
      </c>
      <c r="AB78" s="120">
        <f>Rounding!AB173</f>
        <v>4.91</v>
      </c>
      <c r="AC78" s="120">
        <f>Rounding!AC173</f>
        <v>4.91</v>
      </c>
      <c r="AD78" s="120">
        <f>Rounding!AD173</f>
        <v>4.91</v>
      </c>
      <c r="AE78" s="120">
        <f>Rounding!AE173</f>
        <v>4.91</v>
      </c>
      <c r="AF78" s="120">
        <f>Rounding!AF173</f>
        <v>4.91</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3">
      <c r="C79" s="88"/>
      <c r="F79" s="37" t="s">
        <v>161</v>
      </c>
      <c r="G79" s="86" t="s">
        <v>271</v>
      </c>
      <c r="H79" s="275"/>
      <c r="I79" s="261"/>
      <c r="J79" s="275">
        <f>Rounding!J174</f>
        <v>0</v>
      </c>
      <c r="K79" s="275">
        <f>Rounding!K174</f>
        <v>0</v>
      </c>
      <c r="L79" s="275">
        <f>Rounding!L174</f>
        <v>0</v>
      </c>
      <c r="M79" s="275">
        <f>Rounding!M174</f>
        <v>0</v>
      </c>
      <c r="N79" s="275">
        <f>Rounding!N174</f>
        <v>0</v>
      </c>
      <c r="O79" s="275">
        <f>Rounding!O174</f>
        <v>0</v>
      </c>
      <c r="P79" s="275">
        <f>Rounding!P174</f>
        <v>0</v>
      </c>
      <c r="Q79" s="275">
        <f>Rounding!Q174</f>
        <v>0</v>
      </c>
      <c r="R79" s="275">
        <f>Rounding!R174</f>
        <v>6.9000000000000006E-2</v>
      </c>
      <c r="S79" s="275">
        <f>Rounding!S174</f>
        <v>6.9000000000000006E-2</v>
      </c>
      <c r="T79" s="275">
        <f>Rounding!T174</f>
        <v>6.9000000000000006E-2</v>
      </c>
      <c r="U79" s="275">
        <f>Rounding!U174</f>
        <v>6.9000000000000006E-2</v>
      </c>
      <c r="V79" s="275">
        <f>Rounding!V174</f>
        <v>6.9000000000000006E-2</v>
      </c>
      <c r="W79" s="275">
        <f>Rounding!W174</f>
        <v>8.1000000000000003E-2</v>
      </c>
      <c r="X79" s="275">
        <f>Rounding!X174</f>
        <v>8.1000000000000003E-2</v>
      </c>
      <c r="Y79" s="275">
        <f>Rounding!Y174</f>
        <v>8.1000000000000003E-2</v>
      </c>
      <c r="Z79" s="275">
        <f>Rounding!Z174</f>
        <v>8.1000000000000003E-2</v>
      </c>
      <c r="AA79" s="275">
        <f>Rounding!AA174</f>
        <v>8.1000000000000003E-2</v>
      </c>
      <c r="AB79" s="275">
        <f>Rounding!AB174</f>
        <v>5.8999999999999997E-2</v>
      </c>
      <c r="AC79" s="275">
        <f>Rounding!AC174</f>
        <v>5.8999999999999997E-2</v>
      </c>
      <c r="AD79" s="275">
        <f>Rounding!AD174</f>
        <v>5.8999999999999997E-2</v>
      </c>
      <c r="AE79" s="275">
        <f>Rounding!AE174</f>
        <v>5.8999999999999997E-2</v>
      </c>
      <c r="AF79" s="275">
        <f>Rounding!AF174</f>
        <v>5.8999999999999997E-2</v>
      </c>
      <c r="AG79" s="275">
        <f>Rounding!AG174</f>
        <v>0</v>
      </c>
      <c r="AH79" s="275">
        <f>Rounding!AH174</f>
        <v>0</v>
      </c>
      <c r="AI79" s="275">
        <f>Rounding!AI174</f>
        <v>0</v>
      </c>
      <c r="AJ79" s="275">
        <f>Rounding!AJ174</f>
        <v>0.126</v>
      </c>
      <c r="AK79" s="275">
        <f>Rounding!AK174</f>
        <v>0</v>
      </c>
      <c r="AL79" s="275">
        <f>Rounding!AL174</f>
        <v>0.106</v>
      </c>
      <c r="AM79" s="275">
        <f>Rounding!AM174</f>
        <v>0</v>
      </c>
      <c r="AN79" s="275">
        <f>Rounding!AN174</f>
        <v>0.08</v>
      </c>
      <c r="AO79" s="275">
        <f>Rounding!AO174</f>
        <v>0</v>
      </c>
      <c r="AP79" s="259"/>
      <c r="AQ79" s="259"/>
    </row>
    <row r="80" spans="3:43" x14ac:dyDescent="0.3">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3">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3">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3">
      <c r="E83" t="s">
        <v>736</v>
      </c>
      <c r="G83" s="13" t="s">
        <v>276</v>
      </c>
      <c r="H83" s="120">
        <f>'General inputs'!$H$87</f>
        <v>533178915.77627659</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3">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3">
      <c r="E85" t="s">
        <v>761</v>
      </c>
      <c r="G85" s="13" t="s">
        <v>276</v>
      </c>
      <c r="H85" s="120">
        <f>'Revenue matching'!H82</f>
        <v>320798773.13380682</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3">
      <c r="E86" t="s">
        <v>892</v>
      </c>
      <c r="G86" s="13" t="s">
        <v>276</v>
      </c>
      <c r="H86" s="124">
        <f>'SoLR &amp; bad debt adders'!H52</f>
        <v>80219950.277666256</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3">
      <c r="E87" t="s">
        <v>893</v>
      </c>
      <c r="G87" s="13" t="s">
        <v>276</v>
      </c>
      <c r="H87" s="124">
        <f>'SoLR &amp; bad debt adders'!H56</f>
        <v>54789.438231026717</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3">
      <c r="E88" t="s">
        <v>1016</v>
      </c>
      <c r="G88" s="13" t="s">
        <v>276</v>
      </c>
      <c r="H88" s="124">
        <f>'Revenue matching'!H84</f>
        <v>132105402.92657244</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3">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3">
      <c r="B90" s="30" t="s">
        <v>762</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3">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3">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3">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3">
      <c r="E94" s="32" t="s">
        <v>763</v>
      </c>
      <c r="G94" s="13"/>
      <c r="H94" s="213" t="s">
        <v>544</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3">
      <c r="E95" s="28"/>
      <c r="F95" s="23" t="s">
        <v>155</v>
      </c>
      <c r="G95" s="85" t="s">
        <v>276</v>
      </c>
      <c r="H95" s="126">
        <f t="shared" ref="H95:H101" si="0">SUM(J95:AO95)</f>
        <v>136641891.45214608</v>
      </c>
      <c r="I95" s="23"/>
      <c r="J95" s="126">
        <f t="shared" ref="J95:AO95" si="1">J22 * thousand * J55 / hundred</f>
        <v>73563485.353724942</v>
      </c>
      <c r="K95" s="126">
        <f t="shared" si="1"/>
        <v>1532.4462410576252</v>
      </c>
      <c r="L95" s="126">
        <f t="shared" si="1"/>
        <v>16.032886342440882</v>
      </c>
      <c r="M95" s="126">
        <f t="shared" si="1"/>
        <v>929028.48593184876</v>
      </c>
      <c r="N95" s="126">
        <f t="shared" si="1"/>
        <v>4081299.6964971167</v>
      </c>
      <c r="O95" s="126">
        <f t="shared" si="1"/>
        <v>5210804.4539366793</v>
      </c>
      <c r="P95" s="126">
        <f t="shared" si="1"/>
        <v>15559514.503699888</v>
      </c>
      <c r="Q95" s="126">
        <f t="shared" si="1"/>
        <v>2982.8386321298331</v>
      </c>
      <c r="R95" s="126">
        <f t="shared" si="1"/>
        <v>442.83537150059857</v>
      </c>
      <c r="S95" s="126">
        <f t="shared" si="1"/>
        <v>2310968.3397946968</v>
      </c>
      <c r="T95" s="126">
        <f t="shared" si="1"/>
        <v>5296785.4815892307</v>
      </c>
      <c r="U95" s="126">
        <f t="shared" si="1"/>
        <v>3060598.9512107912</v>
      </c>
      <c r="V95" s="126">
        <f t="shared" si="1"/>
        <v>6756551.5113896858</v>
      </c>
      <c r="W95" s="126">
        <f t="shared" si="1"/>
        <v>1095.5958020398134</v>
      </c>
      <c r="X95" s="126">
        <f t="shared" si="1"/>
        <v>931477.45868664014</v>
      </c>
      <c r="Y95" s="126">
        <f t="shared" si="1"/>
        <v>2134964.8952946472</v>
      </c>
      <c r="Z95" s="126">
        <f t="shared" si="1"/>
        <v>1233629.5932925213</v>
      </c>
      <c r="AA95" s="126">
        <f t="shared" si="1"/>
        <v>2723349.9148126608</v>
      </c>
      <c r="AB95" s="126">
        <f t="shared" si="1"/>
        <v>1908.7507645472672</v>
      </c>
      <c r="AC95" s="126">
        <f t="shared" si="1"/>
        <v>1673481.6208707464</v>
      </c>
      <c r="AD95" s="126">
        <f t="shared" si="1"/>
        <v>4424913.0968819596</v>
      </c>
      <c r="AE95" s="126">
        <f t="shared" si="1"/>
        <v>3804741.3909027819</v>
      </c>
      <c r="AF95" s="126">
        <f t="shared" si="1"/>
        <v>7220576.6878538756</v>
      </c>
      <c r="AG95" s="126">
        <f t="shared" si="1"/>
        <v>1512918.6214563323</v>
      </c>
      <c r="AH95" s="126">
        <f t="shared" si="1"/>
        <v>-10617.162987957128</v>
      </c>
      <c r="AI95" s="126">
        <f t="shared" si="1"/>
        <v>0</v>
      </c>
      <c r="AJ95" s="126">
        <f t="shared" si="1"/>
        <v>-183501.41356833841</v>
      </c>
      <c r="AK95" s="126">
        <f t="shared" si="1"/>
        <v>0</v>
      </c>
      <c r="AL95" s="126">
        <f t="shared" si="1"/>
        <v>-19527.315128822531</v>
      </c>
      <c r="AM95" s="126">
        <f t="shared" si="1"/>
        <v>0</v>
      </c>
      <c r="AN95" s="126">
        <f t="shared" si="1"/>
        <v>-5581531.2136934064</v>
      </c>
      <c r="AO95" s="126">
        <f t="shared" si="1"/>
        <v>0</v>
      </c>
    </row>
    <row r="96" spans="2:43" x14ac:dyDescent="0.3">
      <c r="E96" s="28"/>
      <c r="F96" t="s">
        <v>156</v>
      </c>
      <c r="G96" s="13" t="s">
        <v>276</v>
      </c>
      <c r="H96" s="98">
        <f t="shared" si="0"/>
        <v>71253586.457058251</v>
      </c>
      <c r="J96" s="98">
        <f t="shared" ref="J96:AO96" si="2">J23 * thousand * J56 / hundred</f>
        <v>33666564.753538199</v>
      </c>
      <c r="K96" s="98">
        <f t="shared" si="2"/>
        <v>6706.4313874173258</v>
      </c>
      <c r="L96" s="98">
        <f t="shared" si="2"/>
        <v>10.456847822644729</v>
      </c>
      <c r="M96" s="98">
        <f t="shared" si="2"/>
        <v>605923.92990246764</v>
      </c>
      <c r="N96" s="98">
        <f t="shared" si="2"/>
        <v>2661874.4082220658</v>
      </c>
      <c r="O96" s="98">
        <f t="shared" si="2"/>
        <v>3398551.4550887626</v>
      </c>
      <c r="P96" s="98">
        <f t="shared" si="2"/>
        <v>10148108.823595194</v>
      </c>
      <c r="Q96" s="98">
        <f t="shared" si="2"/>
        <v>16164.68222434153</v>
      </c>
      <c r="R96" s="98">
        <f t="shared" si="2"/>
        <v>266.20526815528007</v>
      </c>
      <c r="S96" s="98">
        <f t="shared" si="2"/>
        <v>1389211.400409956</v>
      </c>
      <c r="T96" s="98">
        <f t="shared" si="2"/>
        <v>3184100.210218979</v>
      </c>
      <c r="U96" s="98">
        <f t="shared" si="2"/>
        <v>1839843.0138088835</v>
      </c>
      <c r="V96" s="98">
        <f t="shared" si="2"/>
        <v>4061621.3668740843</v>
      </c>
      <c r="W96" s="98">
        <f t="shared" si="2"/>
        <v>609.89750405380869</v>
      </c>
      <c r="X96" s="98">
        <f t="shared" si="2"/>
        <v>518535.91997856327</v>
      </c>
      <c r="Y96" s="98">
        <f t="shared" si="2"/>
        <v>1188494.6605841303</v>
      </c>
      <c r="Z96" s="98">
        <f t="shared" si="2"/>
        <v>686738.31031043176</v>
      </c>
      <c r="AA96" s="98">
        <f t="shared" si="2"/>
        <v>1516037.495412962</v>
      </c>
      <c r="AB96" s="98">
        <f t="shared" si="2"/>
        <v>816.45657199644859</v>
      </c>
      <c r="AC96" s="98">
        <f t="shared" si="2"/>
        <v>715821.62158256758</v>
      </c>
      <c r="AD96" s="98">
        <f t="shared" si="2"/>
        <v>1892729.761037888</v>
      </c>
      <c r="AE96" s="98">
        <f t="shared" si="2"/>
        <v>1627455.0722112155</v>
      </c>
      <c r="AF96" s="98">
        <f t="shared" si="2"/>
        <v>3088557.9196092361</v>
      </c>
      <c r="AG96" s="98">
        <f t="shared" si="2"/>
        <v>1184271.3093995855</v>
      </c>
      <c r="AH96" s="98">
        <f t="shared" si="2"/>
        <v>-7132.4202957320495</v>
      </c>
      <c r="AI96" s="98">
        <f t="shared" si="2"/>
        <v>0</v>
      </c>
      <c r="AJ96" s="98">
        <f t="shared" si="2"/>
        <v>-123272.96923998416</v>
      </c>
      <c r="AK96" s="98">
        <f t="shared" si="2"/>
        <v>0</v>
      </c>
      <c r="AL96" s="98">
        <f t="shared" si="2"/>
        <v>-14334.062810836933</v>
      </c>
      <c r="AM96" s="98">
        <f t="shared" si="2"/>
        <v>0</v>
      </c>
      <c r="AN96" s="98">
        <f t="shared" si="2"/>
        <v>-2000689.6521841679</v>
      </c>
      <c r="AO96" s="98">
        <f t="shared" si="2"/>
        <v>0</v>
      </c>
    </row>
    <row r="97" spans="5:41" x14ac:dyDescent="0.3">
      <c r="E97" s="28"/>
      <c r="F97" t="s">
        <v>157</v>
      </c>
      <c r="G97" s="13" t="s">
        <v>276</v>
      </c>
      <c r="H97" s="98">
        <f t="shared" si="0"/>
        <v>20758402.994878545</v>
      </c>
      <c r="J97" s="98">
        <f t="shared" ref="J97:AO97" si="3">J24 * thousand * J57 / hundred</f>
        <v>8724168.9160202891</v>
      </c>
      <c r="K97" s="98">
        <f t="shared" si="3"/>
        <v>8804.5735667671725</v>
      </c>
      <c r="L97" s="98">
        <f t="shared" si="3"/>
        <v>1.883875243539274</v>
      </c>
      <c r="M97" s="98">
        <f t="shared" si="3"/>
        <v>109161.49019012718</v>
      </c>
      <c r="N97" s="98">
        <f t="shared" si="3"/>
        <v>479555.53950024018</v>
      </c>
      <c r="O97" s="98">
        <f t="shared" si="3"/>
        <v>612273.13036643201</v>
      </c>
      <c r="P97" s="98">
        <f t="shared" si="3"/>
        <v>1828253.7248092247</v>
      </c>
      <c r="Q97" s="98">
        <f t="shared" si="3"/>
        <v>36071.370989836323</v>
      </c>
      <c r="R97" s="98">
        <f t="shared" si="3"/>
        <v>50.061093805459315</v>
      </c>
      <c r="S97" s="98">
        <f t="shared" si="3"/>
        <v>261247.43027613484</v>
      </c>
      <c r="T97" s="98">
        <f t="shared" si="3"/>
        <v>598784.31563110824</v>
      </c>
      <c r="U97" s="98">
        <f t="shared" si="3"/>
        <v>345990.72490135708</v>
      </c>
      <c r="V97" s="98">
        <f t="shared" si="3"/>
        <v>763806.10217953171</v>
      </c>
      <c r="W97" s="98">
        <f t="shared" si="3"/>
        <v>125.83106855936443</v>
      </c>
      <c r="X97" s="98">
        <f t="shared" si="3"/>
        <v>106981.79360242006</v>
      </c>
      <c r="Y97" s="98">
        <f t="shared" si="3"/>
        <v>245204.4025830382</v>
      </c>
      <c r="Z97" s="98">
        <f t="shared" si="3"/>
        <v>141684.4876928537</v>
      </c>
      <c r="AA97" s="98">
        <f t="shared" si="3"/>
        <v>312781.43746435997</v>
      </c>
      <c r="AB97" s="98">
        <f t="shared" si="3"/>
        <v>217.70096671008417</v>
      </c>
      <c r="AC97" s="98">
        <f t="shared" si="3"/>
        <v>190867.54195565812</v>
      </c>
      <c r="AD97" s="98">
        <f t="shared" si="3"/>
        <v>504679.75007087947</v>
      </c>
      <c r="AE97" s="98">
        <f t="shared" si="3"/>
        <v>433946.58656645915</v>
      </c>
      <c r="AF97" s="98">
        <f t="shared" si="3"/>
        <v>823536.81494028284</v>
      </c>
      <c r="AG97" s="98">
        <f t="shared" si="3"/>
        <v>4697933.0547242798</v>
      </c>
      <c r="AH97" s="98">
        <f t="shared" si="3"/>
        <v>-1690.5277998718509</v>
      </c>
      <c r="AI97" s="98">
        <f t="shared" si="3"/>
        <v>0</v>
      </c>
      <c r="AJ97" s="98">
        <f t="shared" si="3"/>
        <v>-29218.185809611154</v>
      </c>
      <c r="AK97" s="98">
        <f t="shared" si="3"/>
        <v>0</v>
      </c>
      <c r="AL97" s="98">
        <f t="shared" si="3"/>
        <v>-2811.4627068551108</v>
      </c>
      <c r="AM97" s="98">
        <f t="shared" si="3"/>
        <v>0</v>
      </c>
      <c r="AN97" s="98">
        <f t="shared" si="3"/>
        <v>-434005.4938407127</v>
      </c>
      <c r="AO97" s="98">
        <f t="shared" si="3"/>
        <v>0</v>
      </c>
    </row>
    <row r="98" spans="5:41" x14ac:dyDescent="0.3">
      <c r="E98" s="28"/>
      <c r="F98" s="23" t="s">
        <v>158</v>
      </c>
      <c r="G98" s="85" t="s">
        <v>276</v>
      </c>
      <c r="H98" s="126">
        <f t="shared" si="0"/>
        <v>244115612.67439482</v>
      </c>
      <c r="I98" s="23"/>
      <c r="J98" s="126">
        <f t="shared" ref="J98:AO98" si="4" xml:space="preserve"> J25 * J58 * days_in_year / hundred</f>
        <v>163329511.63894546</v>
      </c>
      <c r="K98" s="126">
        <f t="shared" si="4"/>
        <v>0</v>
      </c>
      <c r="L98" s="126">
        <f t="shared" si="4"/>
        <v>15.804500000000001</v>
      </c>
      <c r="M98" s="126">
        <f t="shared" si="4"/>
        <v>1567214.3123875197</v>
      </c>
      <c r="N98" s="126">
        <f t="shared" si="4"/>
        <v>3676144.6079283608</v>
      </c>
      <c r="O98" s="126">
        <f t="shared" si="4"/>
        <v>4071191.146951003</v>
      </c>
      <c r="P98" s="126">
        <f t="shared" si="4"/>
        <v>11303397.90856898</v>
      </c>
      <c r="Q98" s="126">
        <f t="shared" si="4"/>
        <v>0</v>
      </c>
      <c r="R98" s="126">
        <f t="shared" si="4"/>
        <v>63.984500000000004</v>
      </c>
      <c r="S98" s="126">
        <f t="shared" si="4"/>
        <v>3267457.6174379499</v>
      </c>
      <c r="T98" s="126">
        <f t="shared" si="4"/>
        <v>7030376.6510210838</v>
      </c>
      <c r="U98" s="126">
        <f t="shared" si="4"/>
        <v>3993705.5135758049</v>
      </c>
      <c r="V98" s="126">
        <f t="shared" si="4"/>
        <v>8690669.4260667339</v>
      </c>
      <c r="W98" s="126">
        <f t="shared" si="4"/>
        <v>206.26149999999998</v>
      </c>
      <c r="X98" s="126">
        <f t="shared" si="4"/>
        <v>653262.28526991582</v>
      </c>
      <c r="Y98" s="126">
        <f t="shared" si="4"/>
        <v>1256535.8691715696</v>
      </c>
      <c r="Z98" s="126">
        <f t="shared" si="4"/>
        <v>690027.38780937507</v>
      </c>
      <c r="AA98" s="126">
        <f t="shared" si="4"/>
        <v>1457287.7890449539</v>
      </c>
      <c r="AB98" s="126">
        <f t="shared" si="4"/>
        <v>453.33</v>
      </c>
      <c r="AC98" s="126">
        <f t="shared" si="4"/>
        <v>3540567.0985983117</v>
      </c>
      <c r="AD98" s="126">
        <f t="shared" si="4"/>
        <v>8632278.2560264282</v>
      </c>
      <c r="AE98" s="126">
        <f t="shared" si="4"/>
        <v>7277856.5308453096</v>
      </c>
      <c r="AF98" s="126">
        <f t="shared" si="4"/>
        <v>13668845.334246106</v>
      </c>
      <c r="AG98" s="126">
        <f t="shared" si="4"/>
        <v>0</v>
      </c>
      <c r="AH98" s="126">
        <f t="shared" si="4"/>
        <v>0</v>
      </c>
      <c r="AI98" s="126">
        <f t="shared" si="4"/>
        <v>0</v>
      </c>
      <c r="AJ98" s="126">
        <f t="shared" si="4"/>
        <v>0</v>
      </c>
      <c r="AK98" s="126">
        <f t="shared" si="4"/>
        <v>0</v>
      </c>
      <c r="AL98" s="126">
        <f t="shared" si="4"/>
        <v>0</v>
      </c>
      <c r="AM98" s="126">
        <f t="shared" si="4"/>
        <v>0</v>
      </c>
      <c r="AN98" s="126">
        <f t="shared" si="4"/>
        <v>8543.9199999999983</v>
      </c>
      <c r="AO98" s="126">
        <f t="shared" si="4"/>
        <v>0</v>
      </c>
    </row>
    <row r="99" spans="5:41" x14ac:dyDescent="0.3">
      <c r="E99" s="28"/>
      <c r="F99" t="s">
        <v>159</v>
      </c>
      <c r="G99" s="13" t="s">
        <v>276</v>
      </c>
      <c r="H99" s="98">
        <f t="shared" si="0"/>
        <v>46235602.658698075</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433.80062864837129</v>
      </c>
      <c r="S99" s="98">
        <f t="shared" si="5"/>
        <v>2263819.8823014908</v>
      </c>
      <c r="T99" s="98">
        <f t="shared" si="5"/>
        <v>5188720.2775667813</v>
      </c>
      <c r="U99" s="98">
        <f t="shared" si="5"/>
        <v>2998156.5035709725</v>
      </c>
      <c r="V99" s="98">
        <f t="shared" si="5"/>
        <v>6618704.1093938174</v>
      </c>
      <c r="W99" s="98">
        <f t="shared" si="5"/>
        <v>1255.8434025962199</v>
      </c>
      <c r="X99" s="98">
        <f t="shared" si="5"/>
        <v>1067720.2477234397</v>
      </c>
      <c r="Y99" s="98">
        <f t="shared" si="5"/>
        <v>2447236.0824479312</v>
      </c>
      <c r="Z99" s="98">
        <f t="shared" si="5"/>
        <v>1414066.7416755692</v>
      </c>
      <c r="AA99" s="98">
        <f t="shared" si="5"/>
        <v>3121681.387525226</v>
      </c>
      <c r="AB99" s="98">
        <f t="shared" si="5"/>
        <v>2353.2574649060134</v>
      </c>
      <c r="AC99" s="98">
        <f t="shared" si="5"/>
        <v>2063199.2347262674</v>
      </c>
      <c r="AD99" s="98">
        <f t="shared" si="5"/>
        <v>5455379.4922867743</v>
      </c>
      <c r="AE99" s="98">
        <f t="shared" si="5"/>
        <v>4690783.2318812627</v>
      </c>
      <c r="AF99" s="98">
        <f t="shared" si="5"/>
        <v>8902092.5661023855</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3">
      <c r="E100" s="28"/>
      <c r="F100" t="s">
        <v>160</v>
      </c>
      <c r="G100" s="13" t="s">
        <v>276</v>
      </c>
      <c r="H100" s="98">
        <f t="shared" si="0"/>
        <v>1020242.353425835</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14.025860983367748</v>
      </c>
      <c r="S100" s="98">
        <f t="shared" si="6"/>
        <v>73194.967604074438</v>
      </c>
      <c r="T100" s="98">
        <f t="shared" si="6"/>
        <v>167764.32418156718</v>
      </c>
      <c r="U100" s="98">
        <f t="shared" si="6"/>
        <v>96937.910063640142</v>
      </c>
      <c r="V100" s="98">
        <f t="shared" si="6"/>
        <v>213999.28353642568</v>
      </c>
      <c r="W100" s="98">
        <f t="shared" si="6"/>
        <v>19.969995803758636</v>
      </c>
      <c r="X100" s="98">
        <f t="shared" si="6"/>
        <v>16978.52520668201</v>
      </c>
      <c r="Y100" s="98">
        <f t="shared" si="6"/>
        <v>38915.11807623443</v>
      </c>
      <c r="Z100" s="98">
        <f t="shared" si="6"/>
        <v>22486.009672159078</v>
      </c>
      <c r="AA100" s="98">
        <f t="shared" si="6"/>
        <v>49639.918544520799</v>
      </c>
      <c r="AB100" s="98">
        <f t="shared" si="6"/>
        <v>37.927568777965831</v>
      </c>
      <c r="AC100" s="98">
        <f t="shared" si="6"/>
        <v>33252.685711060636</v>
      </c>
      <c r="AD100" s="98">
        <f t="shared" si="6"/>
        <v>87924.625328607901</v>
      </c>
      <c r="AE100" s="98">
        <f t="shared" si="6"/>
        <v>75601.588990098448</v>
      </c>
      <c r="AF100" s="98">
        <f t="shared" si="6"/>
        <v>143475.47308519908</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3">
      <c r="E101" s="28"/>
      <c r="F101" s="23" t="s">
        <v>161</v>
      </c>
      <c r="G101" s="85" t="s">
        <v>276</v>
      </c>
      <c r="H101" s="126">
        <f t="shared" si="0"/>
        <v>631847.80593657261</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7.2184761828573096</v>
      </c>
      <c r="S101" s="126">
        <f t="shared" si="7"/>
        <v>37670.138822961584</v>
      </c>
      <c r="T101" s="126">
        <f t="shared" si="7"/>
        <v>86340.708771734979</v>
      </c>
      <c r="U101" s="126">
        <f t="shared" si="7"/>
        <v>49889.557285654402</v>
      </c>
      <c r="V101" s="126">
        <f t="shared" si="7"/>
        <v>110135.75089529423</v>
      </c>
      <c r="W101" s="126">
        <f t="shared" si="7"/>
        <v>15.868153953329371</v>
      </c>
      <c r="X101" s="126">
        <f t="shared" si="7"/>
        <v>13491.132122792196</v>
      </c>
      <c r="Y101" s="126">
        <f t="shared" si="7"/>
        <v>30921.943640541696</v>
      </c>
      <c r="Z101" s="126">
        <f t="shared" si="7"/>
        <v>17867.377979454384</v>
      </c>
      <c r="AA101" s="126">
        <f t="shared" si="7"/>
        <v>39443.86756190157</v>
      </c>
      <c r="AB101" s="126">
        <f t="shared" si="7"/>
        <v>25.838832242066825</v>
      </c>
      <c r="AC101" s="126">
        <f t="shared" si="7"/>
        <v>22653.984828719891</v>
      </c>
      <c r="AD101" s="126">
        <f t="shared" si="7"/>
        <v>59900.21815298454</v>
      </c>
      <c r="AE101" s="126">
        <f t="shared" si="7"/>
        <v>51504.930004469679</v>
      </c>
      <c r="AF101" s="126">
        <f t="shared" si="7"/>
        <v>97745.223312425092</v>
      </c>
      <c r="AG101" s="126">
        <f t="shared" si="7"/>
        <v>0</v>
      </c>
      <c r="AH101" s="126">
        <f t="shared" si="7"/>
        <v>0</v>
      </c>
      <c r="AI101" s="126">
        <f t="shared" si="7"/>
        <v>0</v>
      </c>
      <c r="AJ101" s="126">
        <f t="shared" si="7"/>
        <v>3703.8726905031126</v>
      </c>
      <c r="AK101" s="126">
        <f t="shared" si="7"/>
        <v>0</v>
      </c>
      <c r="AL101" s="126">
        <f t="shared" si="7"/>
        <v>697.58295813092229</v>
      </c>
      <c r="AM101" s="126">
        <f t="shared" si="7"/>
        <v>0</v>
      </c>
      <c r="AN101" s="126">
        <f t="shared" si="7"/>
        <v>9832.5914466261165</v>
      </c>
      <c r="AO101" s="126">
        <f t="shared" si="7"/>
        <v>0</v>
      </c>
    </row>
    <row r="102" spans="5:41" x14ac:dyDescent="0.3">
      <c r="E102" s="28"/>
      <c r="F102" s="108" t="s">
        <v>99</v>
      </c>
      <c r="G102" s="214" t="s">
        <v>276</v>
      </c>
      <c r="H102" s="153">
        <f>SUM(H95:H101)</f>
        <v>520657186.39653826</v>
      </c>
      <c r="I102" s="54"/>
      <c r="J102" s="153">
        <f t="shared" ref="J102" si="8">SUM(J95:J101)</f>
        <v>279283730.66222888</v>
      </c>
      <c r="K102" s="153">
        <f t="shared" ref="K102:AO102" si="9">SUM(K95:K101)</f>
        <v>17043.451195242124</v>
      </c>
      <c r="L102" s="153">
        <f t="shared" si="9"/>
        <v>44.178109408624891</v>
      </c>
      <c r="M102" s="153">
        <f t="shared" si="9"/>
        <v>3211328.2184119634</v>
      </c>
      <c r="N102" s="153">
        <f t="shared" si="9"/>
        <v>10898874.252147783</v>
      </c>
      <c r="O102" s="153">
        <f t="shared" si="9"/>
        <v>13292820.186342876</v>
      </c>
      <c r="P102" s="153">
        <f t="shared" si="9"/>
        <v>38839274.960673288</v>
      </c>
      <c r="Q102" s="153">
        <f t="shared" si="9"/>
        <v>55218.891846307684</v>
      </c>
      <c r="R102" s="153">
        <f t="shared" si="9"/>
        <v>1278.1311992759343</v>
      </c>
      <c r="S102" s="153">
        <f t="shared" si="9"/>
        <v>9603569.7766472641</v>
      </c>
      <c r="T102" s="153">
        <f t="shared" si="9"/>
        <v>21552871.968980487</v>
      </c>
      <c r="U102" s="153">
        <f t="shared" si="9"/>
        <v>12385122.174417103</v>
      </c>
      <c r="V102" s="153">
        <f t="shared" si="9"/>
        <v>27215487.550335571</v>
      </c>
      <c r="W102" s="153">
        <f t="shared" si="9"/>
        <v>3329.2674270062944</v>
      </c>
      <c r="X102" s="153">
        <f t="shared" si="9"/>
        <v>3308447.3625904531</v>
      </c>
      <c r="Y102" s="153">
        <f t="shared" si="9"/>
        <v>7342272.9717980912</v>
      </c>
      <c r="Z102" s="153">
        <f t="shared" si="9"/>
        <v>4206499.9084323645</v>
      </c>
      <c r="AA102" s="153">
        <f t="shared" si="9"/>
        <v>9220221.8103665859</v>
      </c>
      <c r="AB102" s="153">
        <f t="shared" si="9"/>
        <v>5813.2621691798458</v>
      </c>
      <c r="AC102" s="153">
        <f t="shared" si="9"/>
        <v>8239843.7882733317</v>
      </c>
      <c r="AD102" s="153">
        <f t="shared" si="9"/>
        <v>21057805.199785523</v>
      </c>
      <c r="AE102" s="153">
        <f t="shared" si="9"/>
        <v>17961889.331401601</v>
      </c>
      <c r="AF102" s="153">
        <f t="shared" si="9"/>
        <v>33944830.019149512</v>
      </c>
      <c r="AG102" s="153">
        <f t="shared" si="9"/>
        <v>7395122.9855801975</v>
      </c>
      <c r="AH102" s="153">
        <f t="shared" si="9"/>
        <v>-19440.111083561031</v>
      </c>
      <c r="AI102" s="153">
        <f t="shared" si="9"/>
        <v>0</v>
      </c>
      <c r="AJ102" s="153">
        <f t="shared" si="9"/>
        <v>-332288.69592743058</v>
      </c>
      <c r="AK102" s="153">
        <f t="shared" si="9"/>
        <v>0</v>
      </c>
      <c r="AL102" s="153">
        <f t="shared" si="9"/>
        <v>-35975.257688383652</v>
      </c>
      <c r="AM102" s="153">
        <f t="shared" si="9"/>
        <v>0</v>
      </c>
      <c r="AN102" s="153">
        <f t="shared" si="9"/>
        <v>-7997849.8482716614</v>
      </c>
      <c r="AO102" s="153">
        <f t="shared" si="9"/>
        <v>0</v>
      </c>
    </row>
    <row r="103" spans="5:41" x14ac:dyDescent="0.3">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3">
      <c r="E104" s="32" t="s">
        <v>764</v>
      </c>
      <c r="G104" s="13"/>
      <c r="H104" s="213" t="s">
        <v>544</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3">
      <c r="E105" s="28"/>
      <c r="F105" s="23" t="s">
        <v>155</v>
      </c>
      <c r="G105" s="85" t="s">
        <v>276</v>
      </c>
      <c r="H105" s="126">
        <f t="shared" ref="H105:H111" si="10">SUM(J105:AO105)</f>
        <v>1034854.9046176216</v>
      </c>
      <c r="I105" s="23"/>
      <c r="J105" s="126">
        <f t="shared" ref="J105:AO105" si="11">J33 * thousand * J64 / hundred</f>
        <v>958412.7185246594</v>
      </c>
      <c r="K105" s="126">
        <f t="shared" si="11"/>
        <v>0</v>
      </c>
      <c r="L105" s="126">
        <f t="shared" si="11"/>
        <v>0</v>
      </c>
      <c r="M105" s="126">
        <f t="shared" si="11"/>
        <v>1865.2719559788457</v>
      </c>
      <c r="N105" s="126">
        <f t="shared" si="11"/>
        <v>8194.2954205383739</v>
      </c>
      <c r="O105" s="126">
        <f t="shared" si="11"/>
        <v>10462.076850387075</v>
      </c>
      <c r="P105" s="126">
        <f t="shared" si="11"/>
        <v>31239.866690725499</v>
      </c>
      <c r="Q105" s="126">
        <f t="shared" si="11"/>
        <v>0</v>
      </c>
      <c r="R105" s="126">
        <f t="shared" si="11"/>
        <v>0</v>
      </c>
      <c r="S105" s="126">
        <f t="shared" si="11"/>
        <v>3104.008645325775</v>
      </c>
      <c r="T105" s="126">
        <f t="shared" si="11"/>
        <v>7114.449663446987</v>
      </c>
      <c r="U105" s="126">
        <f t="shared" si="11"/>
        <v>4110.8852254017802</v>
      </c>
      <c r="V105" s="126">
        <f t="shared" si="11"/>
        <v>9075.1543163960778</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1276.1773247617823</v>
      </c>
      <c r="AH105" s="126">
        <f t="shared" si="11"/>
        <v>0</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3">
      <c r="E106" s="28"/>
      <c r="F106" t="s">
        <v>156</v>
      </c>
      <c r="G106" s="13" t="s">
        <v>276</v>
      </c>
      <c r="H106" s="98">
        <f t="shared" si="10"/>
        <v>486694.69528646138</v>
      </c>
      <c r="J106" s="98">
        <f t="shared" ref="J106:AO106" si="12">J34 * thousand * J65 / hundred</f>
        <v>438530.72110412142</v>
      </c>
      <c r="K106" s="98">
        <f t="shared" si="12"/>
        <v>0</v>
      </c>
      <c r="L106" s="98">
        <f t="shared" si="12"/>
        <v>0</v>
      </c>
      <c r="M106" s="98">
        <f t="shared" si="12"/>
        <v>1216.4838165597585</v>
      </c>
      <c r="N106" s="98">
        <f t="shared" si="12"/>
        <v>5344.114961490217</v>
      </c>
      <c r="O106" s="98">
        <f t="shared" si="12"/>
        <v>6823.1054111471913</v>
      </c>
      <c r="P106" s="98">
        <f t="shared" si="12"/>
        <v>20373.861376588895</v>
      </c>
      <c r="Q106" s="98">
        <f t="shared" si="12"/>
        <v>0</v>
      </c>
      <c r="R106" s="98">
        <f t="shared" si="12"/>
        <v>0</v>
      </c>
      <c r="S106" s="98">
        <f t="shared" si="12"/>
        <v>1778.1497448979644</v>
      </c>
      <c r="T106" s="98">
        <f t="shared" si="12"/>
        <v>4075.5546455058134</v>
      </c>
      <c r="U106" s="98">
        <f t="shared" si="12"/>
        <v>2354.9449599183713</v>
      </c>
      <c r="V106" s="98">
        <f t="shared" si="12"/>
        <v>5198.755923863002</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999.00334236879746</v>
      </c>
      <c r="AH106" s="98">
        <f t="shared" si="12"/>
        <v>0</v>
      </c>
      <c r="AI106" s="98">
        <f t="shared" si="12"/>
        <v>0</v>
      </c>
      <c r="AJ106" s="98">
        <f t="shared" si="12"/>
        <v>0</v>
      </c>
      <c r="AK106" s="98">
        <f t="shared" si="12"/>
        <v>0</v>
      </c>
      <c r="AL106" s="98">
        <f t="shared" si="12"/>
        <v>0</v>
      </c>
      <c r="AM106" s="98">
        <f t="shared" si="12"/>
        <v>0</v>
      </c>
      <c r="AN106" s="98">
        <f t="shared" si="12"/>
        <v>0</v>
      </c>
      <c r="AO106" s="98">
        <f t="shared" si="12"/>
        <v>0</v>
      </c>
    </row>
    <row r="107" spans="5:41" x14ac:dyDescent="0.3">
      <c r="E107" s="28"/>
      <c r="F107" t="s">
        <v>157</v>
      </c>
      <c r="G107" s="13" t="s">
        <v>276</v>
      </c>
      <c r="H107" s="98">
        <f t="shared" si="10"/>
        <v>126261.85600333419</v>
      </c>
      <c r="J107" s="98">
        <f t="shared" ref="J107:AO107" si="13">J35 * thousand * J66 / hundred</f>
        <v>113332.62488701915</v>
      </c>
      <c r="K107" s="98">
        <f t="shared" si="13"/>
        <v>0</v>
      </c>
      <c r="L107" s="98">
        <f t="shared" si="13"/>
        <v>0</v>
      </c>
      <c r="M107" s="98">
        <f t="shared" si="13"/>
        <v>219.35760463914073</v>
      </c>
      <c r="N107" s="98">
        <f t="shared" si="13"/>
        <v>963.65626974298618</v>
      </c>
      <c r="O107" s="98">
        <f t="shared" si="13"/>
        <v>1230.3493386556563</v>
      </c>
      <c r="P107" s="98">
        <f t="shared" si="13"/>
        <v>3673.8354986565523</v>
      </c>
      <c r="Q107" s="98">
        <f t="shared" si="13"/>
        <v>0</v>
      </c>
      <c r="R107" s="98">
        <f t="shared" si="13"/>
        <v>0</v>
      </c>
      <c r="S107" s="98">
        <f t="shared" si="13"/>
        <v>382.01401949180041</v>
      </c>
      <c r="T107" s="98">
        <f t="shared" si="13"/>
        <v>875.5837444261457</v>
      </c>
      <c r="U107" s="98">
        <f t="shared" si="13"/>
        <v>505.93151246212778</v>
      </c>
      <c r="V107" s="98">
        <f t="shared" si="13"/>
        <v>1116.8899877696613</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3961.6131404709786</v>
      </c>
      <c r="AH107" s="98">
        <f t="shared" si="13"/>
        <v>0</v>
      </c>
      <c r="AI107" s="98">
        <f t="shared" si="13"/>
        <v>0</v>
      </c>
      <c r="AJ107" s="98">
        <f t="shared" si="13"/>
        <v>0</v>
      </c>
      <c r="AK107" s="98">
        <f t="shared" si="13"/>
        <v>0</v>
      </c>
      <c r="AL107" s="98">
        <f t="shared" si="13"/>
        <v>0</v>
      </c>
      <c r="AM107" s="98">
        <f t="shared" si="13"/>
        <v>0</v>
      </c>
      <c r="AN107" s="98">
        <f t="shared" si="13"/>
        <v>0</v>
      </c>
      <c r="AO107" s="98">
        <f t="shared" si="13"/>
        <v>0</v>
      </c>
    </row>
    <row r="108" spans="5:41" x14ac:dyDescent="0.3">
      <c r="E108" s="28"/>
      <c r="F108" s="23" t="s">
        <v>158</v>
      </c>
      <c r="G108" s="85" t="s">
        <v>276</v>
      </c>
      <c r="H108" s="126">
        <f t="shared" si="10"/>
        <v>3310130.3596053091</v>
      </c>
      <c r="I108" s="23"/>
      <c r="J108" s="126">
        <f t="shared" ref="J108:AO108" si="14" xml:space="preserve"> J36 * J67 * days_in_year / hundred</f>
        <v>3178484.963549735</v>
      </c>
      <c r="K108" s="126">
        <f t="shared" si="14"/>
        <v>0</v>
      </c>
      <c r="L108" s="126">
        <f t="shared" si="14"/>
        <v>0</v>
      </c>
      <c r="M108" s="126">
        <f t="shared" si="14"/>
        <v>6397.4264333638384</v>
      </c>
      <c r="N108" s="126">
        <f t="shared" si="14"/>
        <v>14970.959739938082</v>
      </c>
      <c r="O108" s="126">
        <f t="shared" si="14"/>
        <v>16582.033804858798</v>
      </c>
      <c r="P108" s="126">
        <f t="shared" si="14"/>
        <v>46018.335712859007</v>
      </c>
      <c r="Q108" s="126">
        <f t="shared" si="14"/>
        <v>0</v>
      </c>
      <c r="R108" s="126">
        <f t="shared" si="14"/>
        <v>0</v>
      </c>
      <c r="S108" s="126">
        <f t="shared" si="14"/>
        <v>6778.6344183095707</v>
      </c>
      <c r="T108" s="126">
        <f t="shared" si="14"/>
        <v>14584.759747322463</v>
      </c>
      <c r="U108" s="126">
        <f t="shared" si="14"/>
        <v>8284.7950985742536</v>
      </c>
      <c r="V108" s="126">
        <f t="shared" si="14"/>
        <v>18028.451100347909</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3">
      <c r="E109" s="28"/>
      <c r="F109" t="s">
        <v>159</v>
      </c>
      <c r="G109" s="13" t="s">
        <v>276</v>
      </c>
      <c r="H109" s="98">
        <f t="shared" si="10"/>
        <v>40803.056090756058</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5411.482855562801</v>
      </c>
      <c r="T109" s="98">
        <f t="shared" si="15"/>
        <v>12403.226530468392</v>
      </c>
      <c r="U109" s="98">
        <f t="shared" si="15"/>
        <v>7166.8566232725061</v>
      </c>
      <c r="V109" s="98">
        <f t="shared" si="15"/>
        <v>15821.490081452355</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3">
      <c r="E110" s="28"/>
      <c r="F110" t="s">
        <v>160</v>
      </c>
      <c r="G110" s="13" t="s">
        <v>276</v>
      </c>
      <c r="H110" s="98">
        <f t="shared" si="10"/>
        <v>637.47644383603813</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84.544962489351164</v>
      </c>
      <c r="T110" s="98">
        <f t="shared" si="16"/>
        <v>193.77873861088247</v>
      </c>
      <c r="U110" s="98">
        <f t="shared" si="16"/>
        <v>111.9696099116839</v>
      </c>
      <c r="V110" s="98">
        <f t="shared" si="16"/>
        <v>247.18313282412063</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3">
      <c r="E111" s="28"/>
      <c r="F111" s="23" t="s">
        <v>161</v>
      </c>
      <c r="G111" s="85" t="s">
        <v>276</v>
      </c>
      <c r="H111" s="126">
        <f t="shared" si="10"/>
        <v>488.18325661527092</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64.745035706892864</v>
      </c>
      <c r="T111" s="126">
        <f t="shared" si="17"/>
        <v>148.39691190564426</v>
      </c>
      <c r="U111" s="126">
        <f t="shared" si="17"/>
        <v>85.746994006082204</v>
      </c>
      <c r="V111" s="126">
        <f t="shared" si="17"/>
        <v>189.29431499665159</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3">
      <c r="E112" s="28"/>
      <c r="F112" s="108" t="s">
        <v>99</v>
      </c>
      <c r="G112" s="214" t="s">
        <v>276</v>
      </c>
      <c r="H112" s="153">
        <f>SUM(H105:H111)</f>
        <v>4999870.5313039338</v>
      </c>
      <c r="I112" s="108"/>
      <c r="J112" s="153">
        <f t="shared" ref="J112" si="18">SUM(J105:J111)</f>
        <v>4688761.0280655352</v>
      </c>
      <c r="K112" s="153">
        <f t="shared" ref="K112:AO112" si="19">SUM(K105:K111)</f>
        <v>0</v>
      </c>
      <c r="L112" s="153">
        <f t="shared" si="19"/>
        <v>0</v>
      </c>
      <c r="M112" s="153">
        <f t="shared" si="19"/>
        <v>9698.5398105415843</v>
      </c>
      <c r="N112" s="153">
        <f t="shared" si="19"/>
        <v>29473.02639170966</v>
      </c>
      <c r="O112" s="153">
        <f t="shared" si="19"/>
        <v>35097.565405048721</v>
      </c>
      <c r="P112" s="153">
        <f t="shared" si="19"/>
        <v>101305.89927882995</v>
      </c>
      <c r="Q112" s="153">
        <f t="shared" si="19"/>
        <v>0</v>
      </c>
      <c r="R112" s="153">
        <f t="shared" si="19"/>
        <v>0</v>
      </c>
      <c r="S112" s="153">
        <f t="shared" si="19"/>
        <v>17603.579681784155</v>
      </c>
      <c r="T112" s="153">
        <f t="shared" si="19"/>
        <v>39395.749981686327</v>
      </c>
      <c r="U112" s="153">
        <f t="shared" si="19"/>
        <v>22621.130023546808</v>
      </c>
      <c r="V112" s="153">
        <f t="shared" si="19"/>
        <v>49677.218857649779</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6236.793807601558</v>
      </c>
      <c r="AH112" s="153">
        <f t="shared" si="19"/>
        <v>0</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3">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3">
      <c r="E114" s="32" t="s">
        <v>765</v>
      </c>
      <c r="G114" s="13"/>
      <c r="H114" s="213" t="s">
        <v>544</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3">
      <c r="C115" s="88"/>
      <c r="F115" s="23" t="s">
        <v>155</v>
      </c>
      <c r="G115" s="85" t="s">
        <v>276</v>
      </c>
      <c r="H115" s="126">
        <f t="shared" ref="H115:H121" si="20">SUM(J115:AO115)</f>
        <v>1516285.5086101282</v>
      </c>
      <c r="I115" s="23"/>
      <c r="J115" s="126">
        <f t="shared" ref="J115:AO115" si="21">J44 * thousand * J73 / hundred</f>
        <v>778526.89534120087</v>
      </c>
      <c r="K115" s="126">
        <f t="shared" si="21"/>
        <v>0</v>
      </c>
      <c r="L115" s="126">
        <f t="shared" si="21"/>
        <v>0</v>
      </c>
      <c r="M115" s="126">
        <f t="shared" si="21"/>
        <v>2333.4334274845446</v>
      </c>
      <c r="N115" s="126">
        <f t="shared" si="21"/>
        <v>10250.967848242615</v>
      </c>
      <c r="O115" s="126">
        <f t="shared" si="21"/>
        <v>13087.935925565533</v>
      </c>
      <c r="P115" s="126">
        <f t="shared" si="21"/>
        <v>39080.70829706217</v>
      </c>
      <c r="Q115" s="126">
        <f t="shared" si="21"/>
        <v>0</v>
      </c>
      <c r="R115" s="126">
        <f t="shared" si="21"/>
        <v>0</v>
      </c>
      <c r="S115" s="126">
        <f t="shared" si="21"/>
        <v>64549.340455511949</v>
      </c>
      <c r="T115" s="126">
        <f t="shared" si="21"/>
        <v>147948.37449018899</v>
      </c>
      <c r="U115" s="126">
        <f t="shared" si="21"/>
        <v>85487.819239029108</v>
      </c>
      <c r="V115" s="126">
        <f t="shared" si="21"/>
        <v>188722.16304470962</v>
      </c>
      <c r="W115" s="126">
        <f t="shared" si="21"/>
        <v>0</v>
      </c>
      <c r="X115" s="126">
        <f t="shared" si="21"/>
        <v>9261.3187653232653</v>
      </c>
      <c r="Y115" s="126">
        <f t="shared" si="21"/>
        <v>21227.127144845341</v>
      </c>
      <c r="Z115" s="126">
        <f t="shared" si="21"/>
        <v>12265.500142029363</v>
      </c>
      <c r="AA115" s="126">
        <f t="shared" si="21"/>
        <v>27077.210978522377</v>
      </c>
      <c r="AB115" s="126">
        <f t="shared" si="21"/>
        <v>0</v>
      </c>
      <c r="AC115" s="126">
        <f t="shared" si="21"/>
        <v>11376.130649882076</v>
      </c>
      <c r="AD115" s="126">
        <f t="shared" si="21"/>
        <v>30080.037256884483</v>
      </c>
      <c r="AE115" s="126">
        <f t="shared" si="21"/>
        <v>25864.183156910298</v>
      </c>
      <c r="AF115" s="126">
        <f t="shared" si="21"/>
        <v>49084.628563639795</v>
      </c>
      <c r="AG115" s="126">
        <f t="shared" si="21"/>
        <v>61.733883095353477</v>
      </c>
      <c r="AH115" s="126">
        <f t="shared" si="21"/>
        <v>0</v>
      </c>
      <c r="AI115" s="126">
        <f t="shared" si="21"/>
        <v>0</v>
      </c>
      <c r="AJ115" s="126">
        <f t="shared" si="21"/>
        <v>0</v>
      </c>
      <c r="AK115" s="126">
        <f t="shared" si="21"/>
        <v>0</v>
      </c>
      <c r="AL115" s="126">
        <f t="shared" si="21"/>
        <v>0</v>
      </c>
      <c r="AM115" s="126">
        <f t="shared" si="21"/>
        <v>0</v>
      </c>
      <c r="AN115" s="126">
        <f t="shared" si="21"/>
        <v>0</v>
      </c>
      <c r="AO115" s="126">
        <f t="shared" si="21"/>
        <v>0</v>
      </c>
    </row>
    <row r="116" spans="3:43" x14ac:dyDescent="0.3">
      <c r="C116" s="88"/>
      <c r="F116" t="s">
        <v>156</v>
      </c>
      <c r="G116" s="13" t="s">
        <v>276</v>
      </c>
      <c r="H116" s="98">
        <f t="shared" si="20"/>
        <v>760210.34864456498</v>
      </c>
      <c r="J116" s="98">
        <f t="shared" ref="J116:AO116" si="22">J45 * thousand * J74 / hundred</f>
        <v>356288.43266532576</v>
      </c>
      <c r="K116" s="98">
        <f t="shared" si="22"/>
        <v>0</v>
      </c>
      <c r="L116" s="98">
        <f t="shared" si="22"/>
        <v>0</v>
      </c>
      <c r="M116" s="98">
        <f t="shared" si="22"/>
        <v>1521.9670711833853</v>
      </c>
      <c r="N116" s="98">
        <f t="shared" si="22"/>
        <v>6686.1284016161198</v>
      </c>
      <c r="O116" s="98">
        <f t="shared" si="22"/>
        <v>8536.5227367733496</v>
      </c>
      <c r="P116" s="98">
        <f t="shared" si="22"/>
        <v>25490.142742478518</v>
      </c>
      <c r="Q116" s="98">
        <f t="shared" si="22"/>
        <v>0</v>
      </c>
      <c r="R116" s="98">
        <f t="shared" si="22"/>
        <v>0</v>
      </c>
      <c r="S116" s="98">
        <f t="shared" si="22"/>
        <v>36828.797643408405</v>
      </c>
      <c r="T116" s="98">
        <f t="shared" si="22"/>
        <v>84412.338024208308</v>
      </c>
      <c r="U116" s="98">
        <f t="shared" si="22"/>
        <v>48775.302327068668</v>
      </c>
      <c r="V116" s="98">
        <f t="shared" si="22"/>
        <v>107675.93138136296</v>
      </c>
      <c r="W116" s="98">
        <f t="shared" si="22"/>
        <v>0</v>
      </c>
      <c r="X116" s="98">
        <f t="shared" si="22"/>
        <v>4751.8586195140206</v>
      </c>
      <c r="Y116" s="98">
        <f t="shared" si="22"/>
        <v>10891.354638221717</v>
      </c>
      <c r="Z116" s="98">
        <f t="shared" si="22"/>
        <v>6293.263848209449</v>
      </c>
      <c r="AA116" s="98">
        <f t="shared" si="22"/>
        <v>13892.954301762455</v>
      </c>
      <c r="AB116" s="98">
        <f t="shared" si="22"/>
        <v>0</v>
      </c>
      <c r="AC116" s="98">
        <f t="shared" si="22"/>
        <v>4702.424461380795</v>
      </c>
      <c r="AD116" s="98">
        <f t="shared" si="22"/>
        <v>12433.850080430073</v>
      </c>
      <c r="AE116" s="98">
        <f t="shared" si="22"/>
        <v>10691.189411748614</v>
      </c>
      <c r="AF116" s="98">
        <f t="shared" si="22"/>
        <v>20289.566385899667</v>
      </c>
      <c r="AG116" s="98">
        <f t="shared" si="22"/>
        <v>48.323903972620684</v>
      </c>
      <c r="AH116" s="98">
        <f t="shared" si="22"/>
        <v>0</v>
      </c>
      <c r="AI116" s="98">
        <f t="shared" si="22"/>
        <v>0</v>
      </c>
      <c r="AJ116" s="98">
        <f t="shared" si="22"/>
        <v>0</v>
      </c>
      <c r="AK116" s="98">
        <f t="shared" si="22"/>
        <v>0</v>
      </c>
      <c r="AL116" s="98">
        <f t="shared" si="22"/>
        <v>0</v>
      </c>
      <c r="AM116" s="98">
        <f t="shared" si="22"/>
        <v>0</v>
      </c>
      <c r="AN116" s="98">
        <f t="shared" si="22"/>
        <v>0</v>
      </c>
      <c r="AO116" s="98">
        <f t="shared" si="22"/>
        <v>0</v>
      </c>
    </row>
    <row r="117" spans="3:43" x14ac:dyDescent="0.3">
      <c r="C117" s="88"/>
      <c r="F117" t="s">
        <v>157</v>
      </c>
      <c r="G117" s="13" t="s">
        <v>276</v>
      </c>
      <c r="H117" s="98">
        <f t="shared" si="20"/>
        <v>182159.35806695066</v>
      </c>
      <c r="J117" s="98">
        <f t="shared" ref="J117:AO117" si="23">J46 * thousand * J75 / hundred</f>
        <v>92553.241254494904</v>
      </c>
      <c r="K117" s="98">
        <f t="shared" si="23"/>
        <v>0</v>
      </c>
      <c r="L117" s="98">
        <f t="shared" si="23"/>
        <v>0</v>
      </c>
      <c r="M117" s="98">
        <f t="shared" si="23"/>
        <v>274.58773064184862</v>
      </c>
      <c r="N117" s="98">
        <f t="shared" si="23"/>
        <v>1206.2868240324538</v>
      </c>
      <c r="O117" s="98">
        <f t="shared" si="23"/>
        <v>1540.1282000408669</v>
      </c>
      <c r="P117" s="98">
        <f t="shared" si="23"/>
        <v>4598.8382941503241</v>
      </c>
      <c r="Q117" s="98">
        <f t="shared" si="23"/>
        <v>0</v>
      </c>
      <c r="R117" s="98">
        <f t="shared" si="23"/>
        <v>0</v>
      </c>
      <c r="S117" s="98">
        <f t="shared" si="23"/>
        <v>7674.9145692452039</v>
      </c>
      <c r="T117" s="98">
        <f t="shared" si="23"/>
        <v>17591.057117825843</v>
      </c>
      <c r="U117" s="98">
        <f t="shared" si="23"/>
        <v>10164.499044305863</v>
      </c>
      <c r="V117" s="98">
        <f t="shared" si="23"/>
        <v>22439.059306726471</v>
      </c>
      <c r="W117" s="98">
        <f t="shared" si="23"/>
        <v>0</v>
      </c>
      <c r="X117" s="98">
        <f t="shared" si="23"/>
        <v>1254.2522099834969</v>
      </c>
      <c r="Y117" s="98">
        <f t="shared" si="23"/>
        <v>2874.7710566567071</v>
      </c>
      <c r="Z117" s="98">
        <f t="shared" si="23"/>
        <v>1661.1058370320814</v>
      </c>
      <c r="AA117" s="98">
        <f t="shared" si="23"/>
        <v>3667.0427366307872</v>
      </c>
      <c r="AB117" s="98">
        <f t="shared" si="23"/>
        <v>0</v>
      </c>
      <c r="AC117" s="98">
        <f t="shared" si="23"/>
        <v>1413.9311138485332</v>
      </c>
      <c r="AD117" s="98">
        <f t="shared" si="23"/>
        <v>3738.626242277986</v>
      </c>
      <c r="AE117" s="98">
        <f t="shared" si="23"/>
        <v>3214.6407619019151</v>
      </c>
      <c r="AF117" s="98">
        <f t="shared" si="23"/>
        <v>6100.6932562389447</v>
      </c>
      <c r="AG117" s="98">
        <f t="shared" si="23"/>
        <v>191.68251091644498</v>
      </c>
      <c r="AH117" s="98">
        <f t="shared" si="23"/>
        <v>0</v>
      </c>
      <c r="AI117" s="98">
        <f t="shared" si="23"/>
        <v>0</v>
      </c>
      <c r="AJ117" s="98">
        <f t="shared" si="23"/>
        <v>0</v>
      </c>
      <c r="AK117" s="98">
        <f t="shared" si="23"/>
        <v>0</v>
      </c>
      <c r="AL117" s="98">
        <f t="shared" si="23"/>
        <v>0</v>
      </c>
      <c r="AM117" s="98">
        <f t="shared" si="23"/>
        <v>0</v>
      </c>
      <c r="AN117" s="98">
        <f t="shared" si="23"/>
        <v>0</v>
      </c>
      <c r="AO117" s="98">
        <f t="shared" si="23"/>
        <v>0</v>
      </c>
    </row>
    <row r="118" spans="3:43" x14ac:dyDescent="0.3">
      <c r="C118" s="88"/>
      <c r="F118" s="23" t="s">
        <v>158</v>
      </c>
      <c r="G118" s="85" t="s">
        <v>276</v>
      </c>
      <c r="H118" s="126">
        <f t="shared" si="20"/>
        <v>3905511.0486655599</v>
      </c>
      <c r="I118" s="23"/>
      <c r="J118" s="126">
        <f t="shared" ref="J118:AO118" si="24" xml:space="preserve"> J47 * J76 * days_in_year / hundred</f>
        <v>3091744.8250334584</v>
      </c>
      <c r="K118" s="126">
        <f t="shared" si="24"/>
        <v>0</v>
      </c>
      <c r="L118" s="126">
        <f t="shared" si="24"/>
        <v>0</v>
      </c>
      <c r="M118" s="126">
        <f t="shared" si="24"/>
        <v>4087.04134705363</v>
      </c>
      <c r="N118" s="126">
        <f t="shared" si="24"/>
        <v>9541.0190605175521</v>
      </c>
      <c r="O118" s="126">
        <f t="shared" si="24"/>
        <v>10548.303143223575</v>
      </c>
      <c r="P118" s="126">
        <f t="shared" si="24"/>
        <v>29272.221527458769</v>
      </c>
      <c r="Q118" s="126">
        <f t="shared" si="24"/>
        <v>0</v>
      </c>
      <c r="R118" s="126">
        <f t="shared" si="24"/>
        <v>0</v>
      </c>
      <c r="S118" s="126">
        <f t="shared" si="24"/>
        <v>64845.90740746299</v>
      </c>
      <c r="T118" s="126">
        <f t="shared" si="24"/>
        <v>139504.89101712254</v>
      </c>
      <c r="U118" s="126">
        <f t="shared" si="24"/>
        <v>79243.922712156345</v>
      </c>
      <c r="V118" s="126">
        <f t="shared" si="24"/>
        <v>172438.53018759805</v>
      </c>
      <c r="W118" s="126">
        <f t="shared" si="24"/>
        <v>0</v>
      </c>
      <c r="X118" s="126">
        <f t="shared" si="24"/>
        <v>5804.0122648884644</v>
      </c>
      <c r="Y118" s="126">
        <f t="shared" si="24"/>
        <v>11163.389034449823</v>
      </c>
      <c r="Z118" s="126">
        <f t="shared" si="24"/>
        <v>6130.2439588307534</v>
      </c>
      <c r="AA118" s="126">
        <f t="shared" si="24"/>
        <v>12946.56439184119</v>
      </c>
      <c r="AB118" s="126">
        <f t="shared" si="24"/>
        <v>0</v>
      </c>
      <c r="AC118" s="126">
        <f t="shared" si="24"/>
        <v>28675.77407688657</v>
      </c>
      <c r="AD118" s="126">
        <f t="shared" si="24"/>
        <v>69914.166312292364</v>
      </c>
      <c r="AE118" s="126">
        <f t="shared" si="24"/>
        <v>58944.433792121512</v>
      </c>
      <c r="AF118" s="126">
        <f t="shared" si="24"/>
        <v>110705.8033981965</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3">
      <c r="C119" s="88"/>
      <c r="F119" t="s">
        <v>159</v>
      </c>
      <c r="G119" s="13" t="s">
        <v>276</v>
      </c>
      <c r="H119" s="98">
        <f t="shared" si="20"/>
        <v>1038580.4630519131</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88827.853566149905</v>
      </c>
      <c r="T119" s="98">
        <f t="shared" si="25"/>
        <v>203595.21029687315</v>
      </c>
      <c r="U119" s="98">
        <f t="shared" si="25"/>
        <v>117641.78278920794</v>
      </c>
      <c r="V119" s="98">
        <f t="shared" si="25"/>
        <v>259704.97212401888</v>
      </c>
      <c r="W119" s="98">
        <f t="shared" si="25"/>
        <v>0</v>
      </c>
      <c r="X119" s="98">
        <f t="shared" si="25"/>
        <v>15645.975063096184</v>
      </c>
      <c r="Y119" s="98">
        <f t="shared" si="25"/>
        <v>35860.886595649936</v>
      </c>
      <c r="Z119" s="98">
        <f t="shared" si="25"/>
        <v>20721.207661822194</v>
      </c>
      <c r="AA119" s="98">
        <f t="shared" si="25"/>
        <v>45743.95704145357</v>
      </c>
      <c r="AB119" s="98">
        <f t="shared" si="25"/>
        <v>0</v>
      </c>
      <c r="AC119" s="98">
        <f t="shared" si="25"/>
        <v>24514.182284619274</v>
      </c>
      <c r="AD119" s="98">
        <f t="shared" si="25"/>
        <v>64818.833321947561</v>
      </c>
      <c r="AE119" s="98">
        <f t="shared" si="25"/>
        <v>55734.178875473001</v>
      </c>
      <c r="AF119" s="98">
        <f t="shared" si="25"/>
        <v>105771.42343160139</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3">
      <c r="C120" s="88"/>
      <c r="F120" t="s">
        <v>160</v>
      </c>
      <c r="G120" s="13" t="s">
        <v>276</v>
      </c>
      <c r="H120" s="98">
        <f t="shared" si="20"/>
        <v>2915.6711927247979</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208.97634280076443</v>
      </c>
      <c r="T120" s="98">
        <f t="shared" si="26"/>
        <v>478.97794161950264</v>
      </c>
      <c r="U120" s="98">
        <f t="shared" si="26"/>
        <v>276.76397144441495</v>
      </c>
      <c r="V120" s="98">
        <f t="shared" si="26"/>
        <v>610.98172592041249</v>
      </c>
      <c r="W120" s="98">
        <f t="shared" si="26"/>
        <v>0</v>
      </c>
      <c r="X120" s="98">
        <f t="shared" si="26"/>
        <v>28.741395083338176</v>
      </c>
      <c r="Y120" s="98">
        <f t="shared" si="26"/>
        <v>65.875850212456953</v>
      </c>
      <c r="Z120" s="98">
        <f t="shared" si="26"/>
        <v>38.064512669271181</v>
      </c>
      <c r="AA120" s="98">
        <f t="shared" si="26"/>
        <v>84.030885687957309</v>
      </c>
      <c r="AB120" s="98">
        <f t="shared" si="26"/>
        <v>0</v>
      </c>
      <c r="AC120" s="98">
        <f t="shared" si="26"/>
        <v>109.77482454757414</v>
      </c>
      <c r="AD120" s="98">
        <f t="shared" si="26"/>
        <v>290.25957189523103</v>
      </c>
      <c r="AE120" s="98">
        <f t="shared" si="26"/>
        <v>249.57837207553359</v>
      </c>
      <c r="AF120" s="98">
        <f t="shared" si="26"/>
        <v>473.64579876834125</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3">
      <c r="C121" s="88"/>
      <c r="F121" s="23" t="s">
        <v>161</v>
      </c>
      <c r="G121" s="85" t="s">
        <v>276</v>
      </c>
      <c r="H121" s="126">
        <f t="shared" si="20"/>
        <v>8609.3225029650021</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742.1152085620414</v>
      </c>
      <c r="T121" s="126">
        <f t="shared" si="27"/>
        <v>1700.9428449059558</v>
      </c>
      <c r="U121" s="126">
        <f t="shared" si="27"/>
        <v>982.8421228844453</v>
      </c>
      <c r="V121" s="126">
        <f t="shared" si="27"/>
        <v>2169.7136856840634</v>
      </c>
      <c r="W121" s="126">
        <f t="shared" si="27"/>
        <v>0</v>
      </c>
      <c r="X121" s="126">
        <f t="shared" si="27"/>
        <v>156.01725251667972</v>
      </c>
      <c r="Y121" s="126">
        <f t="shared" si="27"/>
        <v>357.59465146164888</v>
      </c>
      <c r="Z121" s="126">
        <f t="shared" si="27"/>
        <v>206.62604121429038</v>
      </c>
      <c r="AA121" s="126">
        <f t="shared" si="27"/>
        <v>456.14584377563864</v>
      </c>
      <c r="AB121" s="126">
        <f t="shared" si="27"/>
        <v>0</v>
      </c>
      <c r="AC121" s="126">
        <f t="shared" si="27"/>
        <v>179.55973729898716</v>
      </c>
      <c r="AD121" s="126">
        <f t="shared" si="27"/>
        <v>474.78037603637335</v>
      </c>
      <c r="AE121" s="126">
        <f t="shared" si="27"/>
        <v>408.23774585920756</v>
      </c>
      <c r="AF121" s="126">
        <f t="shared" si="27"/>
        <v>774.74699276567173</v>
      </c>
      <c r="AG121" s="126">
        <f t="shared" si="27"/>
        <v>0</v>
      </c>
      <c r="AH121" s="126">
        <f t="shared" si="27"/>
        <v>0</v>
      </c>
      <c r="AI121" s="126">
        <f t="shared" si="27"/>
        <v>0</v>
      </c>
      <c r="AJ121" s="126">
        <f t="shared" si="27"/>
        <v>0</v>
      </c>
      <c r="AK121" s="126">
        <f t="shared" si="27"/>
        <v>0</v>
      </c>
      <c r="AL121" s="126">
        <f t="shared" si="27"/>
        <v>0</v>
      </c>
      <c r="AM121" s="126">
        <f t="shared" si="27"/>
        <v>0</v>
      </c>
      <c r="AN121" s="126">
        <f t="shared" si="27"/>
        <v>0</v>
      </c>
      <c r="AO121" s="126">
        <f t="shared" si="27"/>
        <v>0</v>
      </c>
    </row>
    <row r="122" spans="3:43" x14ac:dyDescent="0.3">
      <c r="C122" s="88"/>
      <c r="F122" s="108" t="s">
        <v>99</v>
      </c>
      <c r="G122" s="214" t="s">
        <v>276</v>
      </c>
      <c r="H122" s="153">
        <f>SUM(H115:H121)</f>
        <v>7414271.7207348077</v>
      </c>
      <c r="I122" s="108"/>
      <c r="J122" s="153">
        <f t="shared" ref="J122" si="28">SUM(J115:J121)</f>
        <v>4319113.3942944799</v>
      </c>
      <c r="K122" s="153">
        <f t="shared" ref="K122:AO122" si="29">SUM(K115:K121)</f>
        <v>0</v>
      </c>
      <c r="L122" s="153">
        <f t="shared" si="29"/>
        <v>0</v>
      </c>
      <c r="M122" s="153">
        <f t="shared" si="29"/>
        <v>8217.0295763634094</v>
      </c>
      <c r="N122" s="153">
        <f t="shared" si="29"/>
        <v>27684.402134408741</v>
      </c>
      <c r="O122" s="153">
        <f t="shared" si="29"/>
        <v>33712.890005603324</v>
      </c>
      <c r="P122" s="153">
        <f t="shared" si="29"/>
        <v>98441.91086114978</v>
      </c>
      <c r="Q122" s="153">
        <f t="shared" si="29"/>
        <v>0</v>
      </c>
      <c r="R122" s="153">
        <f t="shared" si="29"/>
        <v>0</v>
      </c>
      <c r="S122" s="153">
        <f t="shared" si="29"/>
        <v>263677.90519314125</v>
      </c>
      <c r="T122" s="153">
        <f t="shared" si="29"/>
        <v>595231.79173274431</v>
      </c>
      <c r="U122" s="153">
        <f t="shared" si="29"/>
        <v>342572.93220609677</v>
      </c>
      <c r="V122" s="153">
        <f t="shared" si="29"/>
        <v>753761.35145602038</v>
      </c>
      <c r="W122" s="153">
        <f t="shared" si="29"/>
        <v>0</v>
      </c>
      <c r="X122" s="153">
        <f t="shared" si="29"/>
        <v>36902.175570405445</v>
      </c>
      <c r="Y122" s="153">
        <f t="shared" si="29"/>
        <v>82440.998971497625</v>
      </c>
      <c r="Z122" s="153">
        <f t="shared" si="29"/>
        <v>47316.012001807394</v>
      </c>
      <c r="AA122" s="153">
        <f t="shared" si="29"/>
        <v>103867.90617967397</v>
      </c>
      <c r="AB122" s="153">
        <f t="shared" si="29"/>
        <v>0</v>
      </c>
      <c r="AC122" s="153">
        <f t="shared" si="29"/>
        <v>70971.777148463822</v>
      </c>
      <c r="AD122" s="153">
        <f t="shared" si="29"/>
        <v>181750.55316176405</v>
      </c>
      <c r="AE122" s="153">
        <f t="shared" si="29"/>
        <v>155106.44211609007</v>
      </c>
      <c r="AF122" s="153">
        <f t="shared" si="29"/>
        <v>293200.5078271103</v>
      </c>
      <c r="AG122" s="153">
        <f t="shared" si="29"/>
        <v>301.74029798441916</v>
      </c>
      <c r="AH122" s="153">
        <f t="shared" si="29"/>
        <v>0</v>
      </c>
      <c r="AI122" s="153">
        <f t="shared" si="29"/>
        <v>0</v>
      </c>
      <c r="AJ122" s="153">
        <f t="shared" si="29"/>
        <v>0</v>
      </c>
      <c r="AK122" s="153">
        <f t="shared" si="29"/>
        <v>0</v>
      </c>
      <c r="AL122" s="153">
        <f t="shared" si="29"/>
        <v>0</v>
      </c>
      <c r="AM122" s="153">
        <f t="shared" si="29"/>
        <v>0</v>
      </c>
      <c r="AN122" s="153">
        <f t="shared" si="29"/>
        <v>0</v>
      </c>
      <c r="AO122" s="153">
        <f t="shared" si="29"/>
        <v>0</v>
      </c>
    </row>
    <row r="123" spans="3:43" x14ac:dyDescent="0.3">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3">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3">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3">
      <c r="E126" t="s">
        <v>736</v>
      </c>
      <c r="G126" s="13" t="s">
        <v>276</v>
      </c>
      <c r="H126" s="215">
        <f>H83</f>
        <v>533178915.77627659</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3">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3">
      <c r="E128" s="303" t="s">
        <v>766</v>
      </c>
      <c r="F128" s="303"/>
      <c r="G128" s="386" t="s">
        <v>276</v>
      </c>
      <c r="H128" s="387">
        <f>H85</f>
        <v>320798773.13380682</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3">
      <c r="E129" s="303" t="s">
        <v>892</v>
      </c>
      <c r="F129" s="303"/>
      <c r="G129" s="386" t="s">
        <v>276</v>
      </c>
      <c r="H129" s="387">
        <f>H86</f>
        <v>80219950.277666256</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3">
      <c r="E130" s="303" t="s">
        <v>893</v>
      </c>
      <c r="F130" s="303"/>
      <c r="G130" s="386" t="s">
        <v>276</v>
      </c>
      <c r="H130" s="387">
        <f>H87</f>
        <v>54789.438231026717</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3">
      <c r="E131" s="303" t="s">
        <v>1017</v>
      </c>
      <c r="F131" s="303"/>
      <c r="G131" s="386" t="s">
        <v>276</v>
      </c>
      <c r="H131" s="387">
        <f>H88</f>
        <v>132105402.92657244</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3">
      <c r="E132" s="37" t="s">
        <v>767</v>
      </c>
      <c r="F132" s="37"/>
      <c r="G132" s="86" t="s">
        <v>276</v>
      </c>
      <c r="H132" s="216">
        <f>SUM(H102,H112,H122) - SUM(H128:H129, H131)</f>
        <v>-52797.689468502998</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3">
      <c r="E133" s="108" t="s">
        <v>768</v>
      </c>
      <c r="F133" s="108"/>
      <c r="G133" s="214" t="s">
        <v>276</v>
      </c>
      <c r="H133" s="216">
        <f>SUM(H128:H132)</f>
        <v>533126118.08680809</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3">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3">
      <c r="E135" t="s">
        <v>769</v>
      </c>
      <c r="G135" s="13" t="s">
        <v>276</v>
      </c>
      <c r="H135" s="310">
        <f>H133 - H126</f>
        <v>-52797.689468502998</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3">
      <c r="E136" t="s">
        <v>769</v>
      </c>
      <c r="G136" s="13" t="s">
        <v>166</v>
      </c>
      <c r="H136" s="311">
        <f>(H133 - H126) / H126</f>
        <v>-9.9024338559285905E-5</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3">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3">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3">
      <c r="E140" t="s">
        <v>770</v>
      </c>
      <c r="G140" s="13" t="s">
        <v>771</v>
      </c>
      <c r="H140" t="s">
        <v>772</v>
      </c>
      <c r="J140" s="199">
        <f t="shared" ref="J140:AO140" si="30" xml:space="preserve"> IF( J25 &lt;&gt; 0, J102 / J25, 0)</f>
        <v>126.38596990484011</v>
      </c>
      <c r="K140" s="199">
        <f t="shared" si="30"/>
        <v>9.7958976233679849</v>
      </c>
      <c r="L140" s="199">
        <f t="shared" si="30"/>
        <v>44.178109408624891</v>
      </c>
      <c r="M140" s="199">
        <f t="shared" si="30"/>
        <v>55.420109408624889</v>
      </c>
      <c r="N140" s="199">
        <f t="shared" si="30"/>
        <v>211.23298333865702</v>
      </c>
      <c r="O140" s="199">
        <f t="shared" si="30"/>
        <v>499.94297035320483</v>
      </c>
      <c r="P140" s="199">
        <f t="shared" si="30"/>
        <v>1523.435227341869</v>
      </c>
      <c r="Q140" s="199">
        <f t="shared" si="30"/>
        <v>18.84580917028406</v>
      </c>
      <c r="R140" s="199">
        <f t="shared" si="30"/>
        <v>1278.1311992759343</v>
      </c>
      <c r="S140" s="199">
        <f t="shared" si="30"/>
        <v>1840.2676992759341</v>
      </c>
      <c r="T140" s="199">
        <f t="shared" si="30"/>
        <v>4493.2341488827706</v>
      </c>
      <c r="U140" s="199">
        <f t="shared" si="30"/>
        <v>7288.3429831485291</v>
      </c>
      <c r="V140" s="199">
        <f t="shared" si="30"/>
        <v>15231.380458040025</v>
      </c>
      <c r="W140" s="199">
        <f t="shared" si="30"/>
        <v>3329.2674270062944</v>
      </c>
      <c r="X140" s="199">
        <f t="shared" si="30"/>
        <v>3891.3674270062938</v>
      </c>
      <c r="Y140" s="199">
        <f t="shared" si="30"/>
        <v>9395.3752665983357</v>
      </c>
      <c r="Z140" s="199">
        <f t="shared" si="30"/>
        <v>15194.243895967873</v>
      </c>
      <c r="AA140" s="199">
        <f t="shared" si="30"/>
        <v>31673.365987433153</v>
      </c>
      <c r="AB140" s="199">
        <f t="shared" si="30"/>
        <v>5813.2621691798458</v>
      </c>
      <c r="AC140" s="199">
        <f t="shared" si="30"/>
        <v>9398.2556691798472</v>
      </c>
      <c r="AD140" s="199">
        <f t="shared" si="30"/>
        <v>29691.586220635541</v>
      </c>
      <c r="AE140" s="199">
        <f t="shared" si="30"/>
        <v>61743.853098036008</v>
      </c>
      <c r="AF140" s="199">
        <f t="shared" si="30"/>
        <v>143384.21562738169</v>
      </c>
      <c r="AG140" s="199">
        <f t="shared" si="30"/>
        <v>12130.780143529604</v>
      </c>
      <c r="AH140" s="199">
        <f t="shared" si="30"/>
        <v>-48.85559840467495</v>
      </c>
      <c r="AI140" s="199">
        <f t="shared" si="30"/>
        <v>0</v>
      </c>
      <c r="AJ140" s="199">
        <f t="shared" si="30"/>
        <v>-1285.5244365322922</v>
      </c>
      <c r="AK140" s="199">
        <f t="shared" si="30"/>
        <v>0</v>
      </c>
      <c r="AL140" s="199">
        <f t="shared" si="30"/>
        <v>-856.55375448532504</v>
      </c>
      <c r="AM140" s="199">
        <f t="shared" si="30"/>
        <v>0</v>
      </c>
      <c r="AN140" s="199">
        <f t="shared" si="30"/>
        <v>-28563.749458113078</v>
      </c>
      <c r="AO140" s="199">
        <f t="shared" si="30"/>
        <v>0</v>
      </c>
    </row>
    <row r="141" spans="3:43" x14ac:dyDescent="0.3">
      <c r="E141" t="s">
        <v>773</v>
      </c>
      <c r="G141" s="13" t="s">
        <v>771</v>
      </c>
      <c r="H141" t="s">
        <v>447</v>
      </c>
      <c r="J141" s="98">
        <f t="shared" ref="J141:AO141" si="31" xml:space="preserve"> IF( J36 &lt;&gt; 0, J112 / J36, 0)</f>
        <v>88.787424315058132</v>
      </c>
      <c r="K141" s="98">
        <f t="shared" si="31"/>
        <v>0</v>
      </c>
      <c r="L141" s="98">
        <f t="shared" si="31"/>
        <v>0</v>
      </c>
      <c r="M141" s="98">
        <f t="shared" si="31"/>
        <v>26.78177015049129</v>
      </c>
      <c r="N141" s="98">
        <f t="shared" si="31"/>
        <v>91.401866886588508</v>
      </c>
      <c r="O141" s="98">
        <f t="shared" si="31"/>
        <v>211.21782711050511</v>
      </c>
      <c r="P141" s="98">
        <f t="shared" si="31"/>
        <v>635.82537814557122</v>
      </c>
      <c r="Q141" s="98">
        <f t="shared" si="31"/>
        <v>0</v>
      </c>
      <c r="R141" s="98">
        <f t="shared" si="31"/>
        <v>0</v>
      </c>
      <c r="S141" s="98">
        <f t="shared" si="31"/>
        <v>1059.1569236132043</v>
      </c>
      <c r="T141" s="98">
        <f t="shared" si="31"/>
        <v>2578.779958300021</v>
      </c>
      <c r="U141" s="98">
        <f t="shared" si="31"/>
        <v>4179.7837652382004</v>
      </c>
      <c r="V141" s="98">
        <f t="shared" si="31"/>
        <v>8729.5414916601294</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84.28099740002105</v>
      </c>
      <c r="AH141" s="98">
        <f t="shared" si="31"/>
        <v>0</v>
      </c>
      <c r="AI141" s="98">
        <f t="shared" si="31"/>
        <v>0</v>
      </c>
      <c r="AJ141" s="98">
        <f t="shared" si="31"/>
        <v>0</v>
      </c>
      <c r="AK141" s="98">
        <f t="shared" si="31"/>
        <v>0</v>
      </c>
      <c r="AL141" s="98">
        <f t="shared" si="31"/>
        <v>0</v>
      </c>
      <c r="AM141" s="98">
        <f t="shared" si="31"/>
        <v>0</v>
      </c>
      <c r="AN141" s="98">
        <f t="shared" si="31"/>
        <v>0</v>
      </c>
      <c r="AO141" s="98">
        <f t="shared" si="31"/>
        <v>0</v>
      </c>
    </row>
    <row r="142" spans="3:43" x14ac:dyDescent="0.3">
      <c r="E142" t="s">
        <v>774</v>
      </c>
      <c r="G142" s="13" t="s">
        <v>771</v>
      </c>
      <c r="H142" t="s">
        <v>448</v>
      </c>
      <c r="J142" s="98">
        <f t="shared" ref="J142:AO142" si="32" xml:space="preserve"> IF( J47 &lt;&gt; 0, J122 / J47, 0)</f>
        <v>73.374409986364626</v>
      </c>
      <c r="K142" s="98">
        <f t="shared" si="32"/>
        <v>0</v>
      </c>
      <c r="L142" s="98">
        <f t="shared" si="32"/>
        <v>0</v>
      </c>
      <c r="M142" s="98">
        <f t="shared" si="32"/>
        <v>25.023788588763974</v>
      </c>
      <c r="N142" s="98">
        <f t="shared" si="32"/>
        <v>94.682729414743278</v>
      </c>
      <c r="O142" s="98">
        <f t="shared" si="32"/>
        <v>223.74577774041961</v>
      </c>
      <c r="P142" s="98">
        <f t="shared" si="32"/>
        <v>681.37852823141668</v>
      </c>
      <c r="Q142" s="98">
        <f t="shared" si="32"/>
        <v>0</v>
      </c>
      <c r="R142" s="98">
        <f t="shared" si="32"/>
        <v>0</v>
      </c>
      <c r="S142" s="98">
        <f t="shared" si="32"/>
        <v>1163.2934733874747</v>
      </c>
      <c r="T142" s="98">
        <f t="shared" si="32"/>
        <v>2856.980429860977</v>
      </c>
      <c r="U142" s="98">
        <f t="shared" si="32"/>
        <v>4641.3978465798846</v>
      </c>
      <c r="V142" s="98">
        <f t="shared" si="32"/>
        <v>9712.3485031997498</v>
      </c>
      <c r="W142" s="98">
        <f t="shared" si="32"/>
        <v>0</v>
      </c>
      <c r="X142" s="98">
        <f t="shared" si="32"/>
        <v>3536.0303283168828</v>
      </c>
      <c r="Y142" s="98">
        <f t="shared" si="32"/>
        <v>8594.3463327301579</v>
      </c>
      <c r="Z142" s="98">
        <f t="shared" si="32"/>
        <v>13923.62581420244</v>
      </c>
      <c r="AA142" s="98">
        <f t="shared" si="32"/>
        <v>29068.339761127161</v>
      </c>
      <c r="AB142" s="98">
        <f t="shared" si="32"/>
        <v>0</v>
      </c>
      <c r="AC142" s="98">
        <f t="shared" si="32"/>
        <v>8554.7788587993855</v>
      </c>
      <c r="AD142" s="98">
        <f t="shared" si="32"/>
        <v>27082.631931530188</v>
      </c>
      <c r="AE142" s="98">
        <f t="shared" si="32"/>
        <v>56346.426472172716</v>
      </c>
      <c r="AF142" s="98">
        <f t="shared" si="32"/>
        <v>130884.20974400877</v>
      </c>
      <c r="AG142" s="98">
        <f t="shared" si="32"/>
        <v>43.105756854917026</v>
      </c>
      <c r="AH142" s="98">
        <f t="shared" si="32"/>
        <v>0</v>
      </c>
      <c r="AI142" s="98">
        <f t="shared" si="32"/>
        <v>0</v>
      </c>
      <c r="AJ142" s="98">
        <f t="shared" si="32"/>
        <v>0</v>
      </c>
      <c r="AK142" s="98">
        <f t="shared" si="32"/>
        <v>0</v>
      </c>
      <c r="AL142" s="98">
        <f t="shared" si="32"/>
        <v>0</v>
      </c>
      <c r="AM142" s="98">
        <f t="shared" si="32"/>
        <v>0</v>
      </c>
      <c r="AN142" s="98">
        <f t="shared" si="32"/>
        <v>0</v>
      </c>
      <c r="AO142" s="98">
        <f t="shared" si="32"/>
        <v>0</v>
      </c>
    </row>
    <row r="143" spans="3:43" x14ac:dyDescent="0.3">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3">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3">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3">
      <c r="E146" t="s">
        <v>775</v>
      </c>
      <c r="G146" s="13" t="s">
        <v>268</v>
      </c>
      <c r="H146" s="259" t="s">
        <v>772</v>
      </c>
      <c r="I146" s="259"/>
      <c r="J146" s="267">
        <f t="shared" ref="J146:AO146" si="33" xml:space="preserve"> IF( SUM(J$22:J$24) &lt;&gt; 0, J$102 / SUM(J$22:J$24) * hundred / thousand, 0)</f>
        <v>3.8914286656828865</v>
      </c>
      <c r="K146" s="267">
        <f t="shared" si="33"/>
        <v>0.3725570669280267</v>
      </c>
      <c r="L146" s="267">
        <f t="shared" si="33"/>
        <v>2.8930689508243628</v>
      </c>
      <c r="M146" s="267">
        <f t="shared" si="33"/>
        <v>3.6292679774585319</v>
      </c>
      <c r="N146" s="267">
        <f t="shared" si="33"/>
        <v>2.8037967420320355</v>
      </c>
      <c r="O146" s="267">
        <f t="shared" si="33"/>
        <v>2.6784017875225792</v>
      </c>
      <c r="P146" s="267">
        <f t="shared" si="33"/>
        <v>2.6208275420614942</v>
      </c>
      <c r="Q146" s="267">
        <f t="shared" si="33"/>
        <v>0.35490032050624448</v>
      </c>
      <c r="R146" s="267">
        <f t="shared" si="33"/>
        <v>2.1882259518026985</v>
      </c>
      <c r="S146" s="267">
        <f t="shared" si="33"/>
        <v>3.1506323764736419</v>
      </c>
      <c r="T146" s="267">
        <f t="shared" si="33"/>
        <v>3.0849760424070967</v>
      </c>
      <c r="U146" s="267">
        <f t="shared" si="33"/>
        <v>3.0679826629203726</v>
      </c>
      <c r="V146" s="267">
        <f t="shared" si="33"/>
        <v>3.0538665696895797</v>
      </c>
      <c r="W146" s="267">
        <f t="shared" si="33"/>
        <v>1.7733370149061796</v>
      </c>
      <c r="X146" s="267">
        <f t="shared" si="33"/>
        <v>2.0727400391249602</v>
      </c>
      <c r="Y146" s="267">
        <f t="shared" si="33"/>
        <v>2.0069324045744357</v>
      </c>
      <c r="Z146" s="267">
        <f t="shared" si="33"/>
        <v>1.9898899643871559</v>
      </c>
      <c r="AA146" s="267">
        <f t="shared" si="33"/>
        <v>1.9757449469209347</v>
      </c>
      <c r="AB146" s="267">
        <f t="shared" si="33"/>
        <v>1.1864758618940154</v>
      </c>
      <c r="AC146" s="267">
        <f t="shared" si="33"/>
        <v>1.9181662844157721</v>
      </c>
      <c r="AD146" s="267">
        <f t="shared" si="33"/>
        <v>1.8539438637379018</v>
      </c>
      <c r="AE146" s="267">
        <f t="shared" si="33"/>
        <v>1.8391412913265868</v>
      </c>
      <c r="AF146" s="267">
        <f t="shared" si="33"/>
        <v>1.8314285293391082</v>
      </c>
      <c r="AG146" s="267">
        <f t="shared" si="33"/>
        <v>3.810121207984333</v>
      </c>
      <c r="AH146" s="267">
        <f t="shared" si="33"/>
        <v>-1.0936418430470096</v>
      </c>
      <c r="AI146" s="267">
        <f t="shared" si="33"/>
        <v>0</v>
      </c>
      <c r="AJ146" s="267">
        <f t="shared" si="33"/>
        <v>-1.0815858914159495</v>
      </c>
      <c r="AK146" s="267">
        <f t="shared" si="33"/>
        <v>0</v>
      </c>
      <c r="AL146" s="267">
        <f t="shared" si="33"/>
        <v>-0.89309153595034996</v>
      </c>
      <c r="AM146" s="267">
        <f t="shared" si="33"/>
        <v>0</v>
      </c>
      <c r="AN146" s="267">
        <f t="shared" si="33"/>
        <v>-0.84671226555012158</v>
      </c>
      <c r="AO146" s="267">
        <f t="shared" si="33"/>
        <v>0</v>
      </c>
      <c r="AP146" s="259"/>
      <c r="AQ146" s="259"/>
    </row>
    <row r="147" spans="1:43" x14ac:dyDescent="0.3">
      <c r="E147" t="s">
        <v>776</v>
      </c>
      <c r="G147" s="13" t="s">
        <v>268</v>
      </c>
      <c r="H147" s="259" t="s">
        <v>447</v>
      </c>
      <c r="I147" s="259"/>
      <c r="J147" s="274">
        <f t="shared" ref="J147:AO147" si="34" xml:space="preserve"> IF( SUM(J$33:J$35) &lt;&gt; 0, J$112 / SUM(J$33:J$35) * hundred / thousand, 0)</f>
        <v>3.2665678272061665</v>
      </c>
      <c r="K147" s="274">
        <f t="shared" si="34"/>
        <v>0</v>
      </c>
      <c r="L147" s="274">
        <f t="shared" si="34"/>
        <v>0</v>
      </c>
      <c r="M147" s="274">
        <f t="shared" si="34"/>
        <v>3.5553828854021994</v>
      </c>
      <c r="N147" s="274">
        <f t="shared" si="34"/>
        <v>2.4594347292882137</v>
      </c>
      <c r="O147" s="274">
        <f t="shared" si="34"/>
        <v>2.2939358654186623</v>
      </c>
      <c r="P147" s="274">
        <f t="shared" si="34"/>
        <v>2.217418923845484</v>
      </c>
      <c r="Q147" s="274">
        <f t="shared" si="34"/>
        <v>0</v>
      </c>
      <c r="R147" s="274">
        <f t="shared" si="34"/>
        <v>0</v>
      </c>
      <c r="S147" s="274">
        <f t="shared" si="34"/>
        <v>2.7324161273372631</v>
      </c>
      <c r="T147" s="274">
        <f t="shared" si="34"/>
        <v>2.6679447608539784</v>
      </c>
      <c r="U147" s="274">
        <f t="shared" si="34"/>
        <v>2.6512318974150677</v>
      </c>
      <c r="V147" s="274">
        <f t="shared" si="34"/>
        <v>2.6373758633012097</v>
      </c>
      <c r="W147" s="274">
        <f t="shared" si="34"/>
        <v>0</v>
      </c>
      <c r="X147" s="274">
        <f t="shared" si="34"/>
        <v>0</v>
      </c>
      <c r="Y147" s="274">
        <f t="shared" si="34"/>
        <v>0</v>
      </c>
      <c r="Z147" s="274">
        <f t="shared" si="34"/>
        <v>0</v>
      </c>
      <c r="AA147" s="274">
        <f t="shared" si="34"/>
        <v>0</v>
      </c>
      <c r="AB147" s="274">
        <f t="shared" si="34"/>
        <v>0</v>
      </c>
      <c r="AC147" s="274">
        <f t="shared" si="34"/>
        <v>0</v>
      </c>
      <c r="AD147" s="274">
        <f t="shared" si="34"/>
        <v>0</v>
      </c>
      <c r="AE147" s="274">
        <f t="shared" si="34"/>
        <v>0</v>
      </c>
      <c r="AF147" s="274">
        <f t="shared" si="34"/>
        <v>0</v>
      </c>
      <c r="AG147" s="274">
        <f t="shared" si="34"/>
        <v>2.4812698245362927</v>
      </c>
      <c r="AH147" s="274">
        <f t="shared" si="34"/>
        <v>0</v>
      </c>
      <c r="AI147" s="274">
        <f t="shared" si="34"/>
        <v>0</v>
      </c>
      <c r="AJ147" s="274">
        <f t="shared" si="34"/>
        <v>0</v>
      </c>
      <c r="AK147" s="274">
        <f t="shared" si="34"/>
        <v>0</v>
      </c>
      <c r="AL147" s="274">
        <f t="shared" si="34"/>
        <v>0</v>
      </c>
      <c r="AM147" s="274">
        <f t="shared" si="34"/>
        <v>0</v>
      </c>
      <c r="AN147" s="274">
        <f t="shared" si="34"/>
        <v>0</v>
      </c>
      <c r="AO147" s="274">
        <f t="shared" si="34"/>
        <v>0</v>
      </c>
      <c r="AP147" s="259"/>
      <c r="AQ147" s="259"/>
    </row>
    <row r="148" spans="1:43" x14ac:dyDescent="0.3">
      <c r="E148" t="s">
        <v>777</v>
      </c>
      <c r="G148" s="13" t="s">
        <v>268</v>
      </c>
      <c r="H148" s="259" t="s">
        <v>448</v>
      </c>
      <c r="I148" s="259"/>
      <c r="J148" s="274">
        <f t="shared" ref="J148:AO148" si="35" xml:space="preserve"> IF( SUM(J$44:J$46) &lt;&gt; 0, J$122 / SUM(J$44:J$46) * hundred / thousand, 0)</f>
        <v>2.5977824491546899</v>
      </c>
      <c r="K148" s="274">
        <f t="shared" si="35"/>
        <v>0</v>
      </c>
      <c r="L148" s="274">
        <f t="shared" si="35"/>
        <v>0</v>
      </c>
      <c r="M148" s="274">
        <f t="shared" si="35"/>
        <v>1.6889586206218059</v>
      </c>
      <c r="N148" s="274">
        <f t="shared" si="35"/>
        <v>1.2952984685014957</v>
      </c>
      <c r="O148" s="274">
        <f t="shared" si="35"/>
        <v>1.2354477927508145</v>
      </c>
      <c r="P148" s="274">
        <f t="shared" si="35"/>
        <v>1.2081397770111091</v>
      </c>
      <c r="Q148" s="274">
        <f t="shared" si="35"/>
        <v>0</v>
      </c>
      <c r="R148" s="274">
        <f t="shared" si="35"/>
        <v>0</v>
      </c>
      <c r="S148" s="274">
        <f t="shared" si="35"/>
        <v>1.4087945343879582</v>
      </c>
      <c r="T148" s="274">
        <f t="shared" si="35"/>
        <v>1.3875276574982951</v>
      </c>
      <c r="U148" s="274">
        <f t="shared" si="35"/>
        <v>1.3820206551566916</v>
      </c>
      <c r="V148" s="274">
        <f t="shared" si="35"/>
        <v>1.3774526770931996</v>
      </c>
      <c r="W148" s="274">
        <f t="shared" si="35"/>
        <v>0</v>
      </c>
      <c r="X148" s="274">
        <f t="shared" si="35"/>
        <v>1.5793322045065998</v>
      </c>
      <c r="Y148" s="274">
        <f t="shared" si="35"/>
        <v>1.53938190541019</v>
      </c>
      <c r="Z148" s="274">
        <f t="shared" si="35"/>
        <v>1.5290342878487755</v>
      </c>
      <c r="AA148" s="274">
        <f t="shared" si="35"/>
        <v>1.520448802965042</v>
      </c>
      <c r="AB148" s="274">
        <f t="shared" si="35"/>
        <v>0</v>
      </c>
      <c r="AC148" s="274">
        <f t="shared" si="35"/>
        <v>2.0086448041741272</v>
      </c>
      <c r="AD148" s="274">
        <f t="shared" si="35"/>
        <v>1.9454022242485145</v>
      </c>
      <c r="AE148" s="274">
        <f t="shared" si="35"/>
        <v>1.9308258542523564</v>
      </c>
      <c r="AF148" s="274">
        <f t="shared" si="35"/>
        <v>1.9232300930911601</v>
      </c>
      <c r="AG148" s="274">
        <f t="shared" si="35"/>
        <v>1.7403816730305308</v>
      </c>
      <c r="AH148" s="274">
        <f t="shared" si="35"/>
        <v>0</v>
      </c>
      <c r="AI148" s="274">
        <f t="shared" si="35"/>
        <v>0</v>
      </c>
      <c r="AJ148" s="274">
        <f t="shared" si="35"/>
        <v>0</v>
      </c>
      <c r="AK148" s="274">
        <f t="shared" si="35"/>
        <v>0</v>
      </c>
      <c r="AL148" s="274">
        <f t="shared" si="35"/>
        <v>0</v>
      </c>
      <c r="AM148" s="274">
        <f t="shared" si="35"/>
        <v>0</v>
      </c>
      <c r="AN148" s="274">
        <f t="shared" si="35"/>
        <v>0</v>
      </c>
      <c r="AO148" s="274">
        <f t="shared" si="35"/>
        <v>0</v>
      </c>
      <c r="AP148" s="259"/>
      <c r="AQ148" s="259"/>
    </row>
    <row r="149" spans="1:43" x14ac:dyDescent="0.3">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3">
      <c r="B150" s="30" t="s">
        <v>778</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3">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3">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3">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3">
      <c r="A154" s="312"/>
      <c r="B154" s="312"/>
      <c r="E154" s="32" t="s">
        <v>779</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3">
      <c r="A155" s="312"/>
      <c r="B155" s="312"/>
      <c r="F155" s="23" t="s">
        <v>155</v>
      </c>
      <c r="G155" s="23" t="s">
        <v>268</v>
      </c>
      <c r="H155" s="382"/>
      <c r="I155" s="258"/>
      <c r="J155" s="270">
        <f>'Inputs by customer type'!J198</f>
        <v>9.1803814083127246</v>
      </c>
      <c r="K155" s="270">
        <f>'Inputs by customer type'!K198</f>
        <v>9.1803814083127246</v>
      </c>
      <c r="L155" s="270">
        <f>'Inputs by customer type'!L198</f>
        <v>10.248716565721606</v>
      </c>
      <c r="M155" s="270">
        <f>'Inputs by customer type'!M198</f>
        <v>10.248716565721606</v>
      </c>
      <c r="N155" s="270">
        <f>'Inputs by customer type'!N198</f>
        <v>10.248716565721606</v>
      </c>
      <c r="O155" s="270">
        <f>'Inputs by customer type'!O198</f>
        <v>10.248716565721606</v>
      </c>
      <c r="P155" s="270">
        <f>'Inputs by customer type'!P198</f>
        <v>10.248716565721606</v>
      </c>
      <c r="Q155" s="270">
        <f>'Inputs by customer type'!Q198</f>
        <v>10.248716565721606</v>
      </c>
      <c r="R155" s="270">
        <f>'Inputs by customer type'!R198</f>
        <v>7.7649879930657857</v>
      </c>
      <c r="S155" s="270">
        <f>'Inputs by customer type'!S198</f>
        <v>7.7649879930657857</v>
      </c>
      <c r="T155" s="270">
        <f>'Inputs by customer type'!T198</f>
        <v>7.7649879930657857</v>
      </c>
      <c r="U155" s="270">
        <f>'Inputs by customer type'!U198</f>
        <v>7.7649879930657857</v>
      </c>
      <c r="V155" s="270">
        <f>'Inputs by customer type'!V198</f>
        <v>7.7649879930657857</v>
      </c>
      <c r="W155" s="270">
        <f>'Inputs by customer type'!W198</f>
        <v>6.2532285920667201</v>
      </c>
      <c r="X155" s="270">
        <f>'Inputs by customer type'!X198</f>
        <v>6.2532285920667201</v>
      </c>
      <c r="Y155" s="270">
        <f>'Inputs by customer type'!Y198</f>
        <v>6.2532285920667201</v>
      </c>
      <c r="Z155" s="270">
        <f>'Inputs by customer type'!Z198</f>
        <v>6.2532285920667201</v>
      </c>
      <c r="AA155" s="270">
        <f>'Inputs by customer type'!AA198</f>
        <v>6.2532285920667201</v>
      </c>
      <c r="AB155" s="270">
        <f>'Inputs by customer type'!AB198</f>
        <v>4.5041150978009261</v>
      </c>
      <c r="AC155" s="270">
        <f>'Inputs by customer type'!AC198</f>
        <v>4.5041150978009261</v>
      </c>
      <c r="AD155" s="270">
        <f>'Inputs by customer type'!AD198</f>
        <v>4.5041150978009261</v>
      </c>
      <c r="AE155" s="270">
        <f>'Inputs by customer type'!AE198</f>
        <v>4.5041150978009261</v>
      </c>
      <c r="AF155" s="270">
        <f>'Inputs by customer type'!AF198</f>
        <v>4.5041150978009261</v>
      </c>
      <c r="AG155" s="270">
        <f>'Inputs by customer type'!AG198</f>
        <v>17.522107696624005</v>
      </c>
      <c r="AH155" s="270">
        <f>'Inputs by customer type'!AH198</f>
        <v>-6.7741813067944729</v>
      </c>
      <c r="AI155" s="270">
        <f>'Inputs by customer type'!AI198</f>
        <v>-5.5987083011732972</v>
      </c>
      <c r="AJ155" s="270">
        <f>'Inputs by customer type'!AJ198</f>
        <v>-6.7741813067944729</v>
      </c>
      <c r="AK155" s="270">
        <f>'Inputs by customer type'!AK198</f>
        <v>-6.7741813067944729</v>
      </c>
      <c r="AL155" s="270">
        <f>'Inputs by customer type'!AL198</f>
        <v>-5.5987083011732972</v>
      </c>
      <c r="AM155" s="270">
        <f>'Inputs by customer type'!AM198</f>
        <v>-5.5987083011732972</v>
      </c>
      <c r="AN155" s="270">
        <f>'Inputs by customer type'!AN198</f>
        <v>-4.2519221851466371</v>
      </c>
      <c r="AO155" s="270">
        <f>'Inputs by customer type'!AO198</f>
        <v>-4.2519221851466371</v>
      </c>
      <c r="AP155" s="259"/>
      <c r="AQ155" s="259"/>
    </row>
    <row r="156" spans="1:43" x14ac:dyDescent="0.3">
      <c r="A156" s="312"/>
      <c r="B156" s="312"/>
      <c r="E156" s="28"/>
      <c r="F156" t="s">
        <v>156</v>
      </c>
      <c r="G156" t="s">
        <v>268</v>
      </c>
      <c r="H156" s="383"/>
      <c r="I156" s="259"/>
      <c r="J156" s="271">
        <f>'Inputs by customer type'!J199</f>
        <v>1.8805456221506318</v>
      </c>
      <c r="K156" s="271">
        <f>'Inputs by customer type'!K199</f>
        <v>1.8805456221506318</v>
      </c>
      <c r="L156" s="271">
        <f>'Inputs by customer type'!L199</f>
        <v>2.0522743010683651</v>
      </c>
      <c r="M156" s="271">
        <f>'Inputs by customer type'!M199</f>
        <v>2.0522743010683651</v>
      </c>
      <c r="N156" s="271">
        <f>'Inputs by customer type'!N199</f>
        <v>2.0522743010683651</v>
      </c>
      <c r="O156" s="271">
        <f>'Inputs by customer type'!O199</f>
        <v>2.0522743010683651</v>
      </c>
      <c r="P156" s="271">
        <f>'Inputs by customer type'!P199</f>
        <v>2.0522743010683651</v>
      </c>
      <c r="Q156" s="271">
        <f>'Inputs by customer type'!Q199</f>
        <v>2.0522743010683651</v>
      </c>
      <c r="R156" s="271">
        <f>'Inputs by customer type'!R199</f>
        <v>1.5653444654355066</v>
      </c>
      <c r="S156" s="271">
        <f>'Inputs by customer type'!S199</f>
        <v>1.5653444654355066</v>
      </c>
      <c r="T156" s="271">
        <f>'Inputs by customer type'!T199</f>
        <v>1.5653444654355066</v>
      </c>
      <c r="U156" s="271">
        <f>'Inputs by customer type'!U199</f>
        <v>1.5653444654355066</v>
      </c>
      <c r="V156" s="271">
        <f>'Inputs by customer type'!V199</f>
        <v>1.5653444654355066</v>
      </c>
      <c r="W156" s="271">
        <f>'Inputs by customer type'!W199</f>
        <v>1.2692633037069587</v>
      </c>
      <c r="X156" s="271">
        <f>'Inputs by customer type'!X199</f>
        <v>1.2692633037069587</v>
      </c>
      <c r="Y156" s="271">
        <f>'Inputs by customer type'!Y199</f>
        <v>1.2692633037069587</v>
      </c>
      <c r="Z156" s="271">
        <f>'Inputs by customer type'!Z199</f>
        <v>1.2692633037069587</v>
      </c>
      <c r="AA156" s="271">
        <f>'Inputs by customer type'!AA199</f>
        <v>1.2692633037069587</v>
      </c>
      <c r="AB156" s="271">
        <f>'Inputs by customer type'!AB199</f>
        <v>0.94753377621146961</v>
      </c>
      <c r="AC156" s="271">
        <f>'Inputs by customer type'!AC199</f>
        <v>0.94753377621146961</v>
      </c>
      <c r="AD156" s="271">
        <f>'Inputs by customer type'!AD199</f>
        <v>0.94753377621146961</v>
      </c>
      <c r="AE156" s="271">
        <f>'Inputs by customer type'!AE199</f>
        <v>0.94753377621146961</v>
      </c>
      <c r="AF156" s="271">
        <f>'Inputs by customer type'!AF199</f>
        <v>0.94753377621146961</v>
      </c>
      <c r="AG156" s="271">
        <f>'Inputs by customer type'!AG199</f>
        <v>3.6041670136886585</v>
      </c>
      <c r="AH156" s="271">
        <f>'Inputs by customer type'!AH199</f>
        <v>-1.08891034662429</v>
      </c>
      <c r="AI156" s="271">
        <f>'Inputs by customer type'!AI199</f>
        <v>-0.84671422114183248</v>
      </c>
      <c r="AJ156" s="271">
        <f>'Inputs by customer type'!AJ199</f>
        <v>-1.08891034662429</v>
      </c>
      <c r="AK156" s="271">
        <f>'Inputs by customer type'!AK199</f>
        <v>-1.08891034662429</v>
      </c>
      <c r="AL156" s="271">
        <f>'Inputs by customer type'!AL199</f>
        <v>-0.84671422114183248</v>
      </c>
      <c r="AM156" s="271">
        <f>'Inputs by customer type'!AM199</f>
        <v>-0.84671422114183248</v>
      </c>
      <c r="AN156" s="271">
        <f>'Inputs by customer type'!AN199</f>
        <v>-0.55783163000939984</v>
      </c>
      <c r="AO156" s="271">
        <f>'Inputs by customer type'!AO199</f>
        <v>-0.55783163000939984</v>
      </c>
      <c r="AP156" s="259"/>
      <c r="AQ156" s="259"/>
    </row>
    <row r="157" spans="1:43" x14ac:dyDescent="0.3">
      <c r="A157" s="312"/>
      <c r="B157" s="312"/>
      <c r="E157" s="28"/>
      <c r="F157" t="s">
        <v>157</v>
      </c>
      <c r="G157" t="s">
        <v>268</v>
      </c>
      <c r="H157" s="383"/>
      <c r="I157" s="259"/>
      <c r="J157" s="271">
        <f>'Inputs by customer type'!J200</f>
        <v>0.68593056534985286</v>
      </c>
      <c r="K157" s="271">
        <f>'Inputs by customer type'!K200</f>
        <v>0.68593056534985286</v>
      </c>
      <c r="L157" s="271">
        <f>'Inputs by customer type'!L200</f>
        <v>0.71092997108844502</v>
      </c>
      <c r="M157" s="271">
        <f>'Inputs by customer type'!M200</f>
        <v>0.71092997108844502</v>
      </c>
      <c r="N157" s="271">
        <f>'Inputs by customer type'!N200</f>
        <v>0.71092997108844502</v>
      </c>
      <c r="O157" s="271">
        <f>'Inputs by customer type'!O200</f>
        <v>0.71092997108844502</v>
      </c>
      <c r="P157" s="271">
        <f>'Inputs by customer type'!P200</f>
        <v>0.71092997108844502</v>
      </c>
      <c r="Q157" s="271">
        <f>'Inputs by customer type'!Q200</f>
        <v>0.71092997108844502</v>
      </c>
      <c r="R157" s="271">
        <f>'Inputs by customer type'!R200</f>
        <v>0.6418161528592663</v>
      </c>
      <c r="S157" s="271">
        <f>'Inputs by customer type'!S200</f>
        <v>0.6418161528592663</v>
      </c>
      <c r="T157" s="271">
        <f>'Inputs by customer type'!T200</f>
        <v>0.6418161528592663</v>
      </c>
      <c r="U157" s="271">
        <f>'Inputs by customer type'!U200</f>
        <v>0.6418161528592663</v>
      </c>
      <c r="V157" s="271">
        <f>'Inputs by customer type'!V200</f>
        <v>0.6418161528592663</v>
      </c>
      <c r="W157" s="271">
        <f>'Inputs by customer type'!W200</f>
        <v>0.59978609837429864</v>
      </c>
      <c r="X157" s="271">
        <f>'Inputs by customer type'!X200</f>
        <v>0.59978609837429864</v>
      </c>
      <c r="Y157" s="271">
        <f>'Inputs by customer type'!Y200</f>
        <v>0.59978609837429864</v>
      </c>
      <c r="Z157" s="271">
        <f>'Inputs by customer type'!Z200</f>
        <v>0.59978609837429864</v>
      </c>
      <c r="AA157" s="271">
        <f>'Inputs by customer type'!AA200</f>
        <v>0.59978609837429864</v>
      </c>
      <c r="AB157" s="271">
        <f>'Inputs by customer type'!AB200</f>
        <v>0.55376971617018966</v>
      </c>
      <c r="AC157" s="271">
        <f>'Inputs by customer type'!AC200</f>
        <v>0.55376971617018966</v>
      </c>
      <c r="AD157" s="271">
        <f>'Inputs by customer type'!AD200</f>
        <v>0.55376971617018966</v>
      </c>
      <c r="AE157" s="271">
        <f>'Inputs by customer type'!AE200</f>
        <v>0.55376971617018966</v>
      </c>
      <c r="AF157" s="271">
        <f>'Inputs by customer type'!AF200</f>
        <v>0.55376971617018966</v>
      </c>
      <c r="AG157" s="271">
        <f>'Inputs by customer type'!AG200</f>
        <v>2.7138435387353521</v>
      </c>
      <c r="AH157" s="271">
        <f>'Inputs by customer type'!AH200</f>
        <v>-0.15851814466733588</v>
      </c>
      <c r="AI157" s="271">
        <f>'Inputs by customer type'!AI200</f>
        <v>-0.1243358601464169</v>
      </c>
      <c r="AJ157" s="271">
        <f>'Inputs by customer type'!AJ200</f>
        <v>-0.15851814466733588</v>
      </c>
      <c r="AK157" s="271">
        <f>'Inputs by customer type'!AK200</f>
        <v>-0.15851814466733588</v>
      </c>
      <c r="AL157" s="271">
        <f>'Inputs by customer type'!AL200</f>
        <v>-0.1243358601464169</v>
      </c>
      <c r="AM157" s="271">
        <f>'Inputs by customer type'!AM200</f>
        <v>-0.1243358601464169</v>
      </c>
      <c r="AN157" s="271">
        <f>'Inputs by customer type'!AN200</f>
        <v>-8.3743949023261655E-2</v>
      </c>
      <c r="AO157" s="271">
        <f>'Inputs by customer type'!AO200</f>
        <v>-8.3743949023261655E-2</v>
      </c>
      <c r="AP157" s="259"/>
      <c r="AQ157" s="259"/>
    </row>
    <row r="158" spans="1:43" x14ac:dyDescent="0.3">
      <c r="A158" s="312"/>
      <c r="B158" s="312"/>
      <c r="E158" s="28"/>
      <c r="F158" t="s">
        <v>158</v>
      </c>
      <c r="G158" t="s">
        <v>269</v>
      </c>
      <c r="H158" s="383"/>
      <c r="J158" s="120">
        <f>'Inputs by customer type'!J201</f>
        <v>4.1686809374723941</v>
      </c>
      <c r="K158" s="120">
        <f>'Inputs by customer type'!K201</f>
        <v>0</v>
      </c>
      <c r="L158" s="120">
        <f>'Inputs by customer type'!L201</f>
        <v>4.1686809374723941</v>
      </c>
      <c r="M158" s="120">
        <f>'Inputs by customer type'!M201</f>
        <v>4.1686809374723941</v>
      </c>
      <c r="N158" s="120">
        <f>'Inputs by customer type'!N201</f>
        <v>4.1686809374723941</v>
      </c>
      <c r="O158" s="120">
        <f>'Inputs by customer type'!O201</f>
        <v>4.1686809374723941</v>
      </c>
      <c r="P158" s="120">
        <f>'Inputs by customer type'!P201</f>
        <v>4.1686809374723941</v>
      </c>
      <c r="Q158" s="120">
        <f>'Inputs by customer type'!Q201</f>
        <v>0</v>
      </c>
      <c r="R158" s="120">
        <f>'Inputs by customer type'!R201</f>
        <v>16.980486651355562</v>
      </c>
      <c r="S158" s="120">
        <f>'Inputs by customer type'!S201</f>
        <v>16.980486651355562</v>
      </c>
      <c r="T158" s="120">
        <f>'Inputs by customer type'!T201</f>
        <v>16.980486651355562</v>
      </c>
      <c r="U158" s="120">
        <f>'Inputs by customer type'!U201</f>
        <v>16.980486651355562</v>
      </c>
      <c r="V158" s="120">
        <f>'Inputs by customer type'!V201</f>
        <v>16.980486651355562</v>
      </c>
      <c r="W158" s="120">
        <f>'Inputs by customer type'!W201</f>
        <v>54.806085807126372</v>
      </c>
      <c r="X158" s="120">
        <f>'Inputs by customer type'!X201</f>
        <v>54.806085807126372</v>
      </c>
      <c r="Y158" s="120">
        <f>'Inputs by customer type'!Y201</f>
        <v>54.806085807126372</v>
      </c>
      <c r="Z158" s="120">
        <f>'Inputs by customer type'!Z201</f>
        <v>54.806085807126372</v>
      </c>
      <c r="AA158" s="120">
        <f>'Inputs by customer type'!AA201</f>
        <v>54.806085807126372</v>
      </c>
      <c r="AB158" s="120">
        <f>'Inputs by customer type'!AB201</f>
        <v>120.51127523921377</v>
      </c>
      <c r="AC158" s="120">
        <f>'Inputs by customer type'!AC201</f>
        <v>120.51127523921377</v>
      </c>
      <c r="AD158" s="120">
        <f>'Inputs by customer type'!AD201</f>
        <v>120.51127523921377</v>
      </c>
      <c r="AE158" s="120">
        <f>'Inputs by customer type'!AE201</f>
        <v>120.51127523921377</v>
      </c>
      <c r="AF158" s="120">
        <f>'Inputs by customer type'!AF201</f>
        <v>120.51127523921377</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8.1148348199477542</v>
      </c>
      <c r="AO158" s="120">
        <f>'Inputs by customer type'!AO201</f>
        <v>8.1148348199477542</v>
      </c>
    </row>
    <row r="159" spans="1:43" x14ac:dyDescent="0.3">
      <c r="A159" s="312"/>
      <c r="B159" s="312"/>
      <c r="E159" s="28"/>
      <c r="F159" t="s">
        <v>159</v>
      </c>
      <c r="G159" t="s">
        <v>270</v>
      </c>
      <c r="H159" s="383"/>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3.2611547930687497</v>
      </c>
      <c r="S159" s="120">
        <f>'Inputs by customer type'!S202</f>
        <v>3.2611547930687497</v>
      </c>
      <c r="T159" s="120">
        <f>'Inputs by customer type'!T202</f>
        <v>3.2611547930687497</v>
      </c>
      <c r="U159" s="120">
        <f>'Inputs by customer type'!U202</f>
        <v>3.2611547930687497</v>
      </c>
      <c r="V159" s="120">
        <f>'Inputs by customer type'!V202</f>
        <v>3.2611547930687497</v>
      </c>
      <c r="W159" s="120">
        <f>'Inputs by customer type'!W202</f>
        <v>3.3426854960088237</v>
      </c>
      <c r="X159" s="120">
        <f>'Inputs by customer type'!X202</f>
        <v>3.3426854960088237</v>
      </c>
      <c r="Y159" s="120">
        <f>'Inputs by customer type'!Y202</f>
        <v>3.3426854960088237</v>
      </c>
      <c r="Z159" s="120">
        <f>'Inputs by customer type'!Z202</f>
        <v>3.3426854960088237</v>
      </c>
      <c r="AA159" s="120">
        <f>'Inputs by customer type'!AA202</f>
        <v>3.3426854960088237</v>
      </c>
      <c r="AB159" s="120">
        <f>'Inputs by customer type'!AB202</f>
        <v>3.1858038920470904</v>
      </c>
      <c r="AC159" s="120">
        <f>'Inputs by customer type'!AC202</f>
        <v>3.1858038920470904</v>
      </c>
      <c r="AD159" s="120">
        <f>'Inputs by customer type'!AD202</f>
        <v>3.1858038920470904</v>
      </c>
      <c r="AE159" s="120">
        <f>'Inputs by customer type'!AE202</f>
        <v>3.1858038920470904</v>
      </c>
      <c r="AF159" s="120">
        <f>'Inputs by customer type'!AF202</f>
        <v>3.1858038920470904</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3">
      <c r="A160" s="312"/>
      <c r="B160" s="312"/>
      <c r="E160" s="28"/>
      <c r="F160" t="s">
        <v>160</v>
      </c>
      <c r="G160" t="s">
        <v>270</v>
      </c>
      <c r="H160" s="383"/>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4.9134964790022604</v>
      </c>
      <c r="S160" s="120">
        <f>'Inputs by customer type'!S203</f>
        <v>4.9134964790022604</v>
      </c>
      <c r="T160" s="120">
        <f>'Inputs by customer type'!T203</f>
        <v>4.9134964790022604</v>
      </c>
      <c r="U160" s="120">
        <f>'Inputs by customer type'!U203</f>
        <v>4.9134964790022604</v>
      </c>
      <c r="V160" s="120">
        <f>'Inputs by customer type'!V203</f>
        <v>4.9134964790022604</v>
      </c>
      <c r="W160" s="120">
        <f>'Inputs by customer type'!W203</f>
        <v>5.7591581281844411</v>
      </c>
      <c r="X160" s="120">
        <f>'Inputs by customer type'!X203</f>
        <v>5.7591581281844411</v>
      </c>
      <c r="Y160" s="120">
        <f>'Inputs by customer type'!Y203</f>
        <v>5.7591581281844411</v>
      </c>
      <c r="Z160" s="120">
        <f>'Inputs by customer type'!Z203</f>
        <v>5.7591581281844411</v>
      </c>
      <c r="AA160" s="120">
        <f>'Inputs by customer type'!AA203</f>
        <v>5.7591581281844411</v>
      </c>
      <c r="AB160" s="120">
        <f>'Inputs by customer type'!AB203</f>
        <v>5.8703965715134308</v>
      </c>
      <c r="AC160" s="120">
        <f>'Inputs by customer type'!AC203</f>
        <v>5.8703965715134308</v>
      </c>
      <c r="AD160" s="120">
        <f>'Inputs by customer type'!AD203</f>
        <v>5.8703965715134308</v>
      </c>
      <c r="AE160" s="120">
        <f>'Inputs by customer type'!AE203</f>
        <v>5.8703965715134308</v>
      </c>
      <c r="AF160" s="120">
        <f>'Inputs by customer type'!AF203</f>
        <v>5.8703965715134308</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3">
      <c r="A161" s="312"/>
      <c r="B161" s="312"/>
      <c r="E161" s="28"/>
      <c r="F161" s="37" t="s">
        <v>161</v>
      </c>
      <c r="G161" s="37" t="s">
        <v>271</v>
      </c>
      <c r="H161" s="384"/>
      <c r="I161" s="261"/>
      <c r="J161" s="275">
        <f>'Inputs by customer type'!J204</f>
        <v>0</v>
      </c>
      <c r="K161" s="275">
        <f>'Inputs by customer type'!K204</f>
        <v>0</v>
      </c>
      <c r="L161" s="275">
        <f>'Inputs by customer type'!L204</f>
        <v>0</v>
      </c>
      <c r="M161" s="275">
        <f>'Inputs by customer type'!M204</f>
        <v>0</v>
      </c>
      <c r="N161" s="275">
        <f>'Inputs by customer type'!N204</f>
        <v>0</v>
      </c>
      <c r="O161" s="275">
        <f>'Inputs by customer type'!O204</f>
        <v>0</v>
      </c>
      <c r="P161" s="275">
        <f>'Inputs by customer type'!P204</f>
        <v>0</v>
      </c>
      <c r="Q161" s="275">
        <f>'Inputs by customer type'!Q204</f>
        <v>0</v>
      </c>
      <c r="R161" s="275">
        <f>'Inputs by customer type'!R204</f>
        <v>0.21400363187384594</v>
      </c>
      <c r="S161" s="275">
        <f>'Inputs by customer type'!S204</f>
        <v>0.21400363187384594</v>
      </c>
      <c r="T161" s="275">
        <f>'Inputs by customer type'!T204</f>
        <v>0.21400363187384594</v>
      </c>
      <c r="U161" s="275">
        <f>'Inputs by customer type'!U204</f>
        <v>0.21400363187384594</v>
      </c>
      <c r="V161" s="275">
        <f>'Inputs by customer type'!V204</f>
        <v>0.21400363187384594</v>
      </c>
      <c r="W161" s="275">
        <f>'Inputs by customer type'!W204</f>
        <v>0.16716345734997168</v>
      </c>
      <c r="X161" s="275">
        <f>'Inputs by customer type'!X204</f>
        <v>0.16716345734997168</v>
      </c>
      <c r="Y161" s="275">
        <f>'Inputs by customer type'!Y204</f>
        <v>0.16716345734997168</v>
      </c>
      <c r="Z161" s="275">
        <f>'Inputs by customer type'!Z204</f>
        <v>0.16716345734997168</v>
      </c>
      <c r="AA161" s="275">
        <f>'Inputs by customer type'!AA204</f>
        <v>0.16716345734997168</v>
      </c>
      <c r="AB161" s="275">
        <f>'Inputs by customer type'!AB204</f>
        <v>0.11237638198294203</v>
      </c>
      <c r="AC161" s="275">
        <f>'Inputs by customer type'!AC204</f>
        <v>0.11237638198294203</v>
      </c>
      <c r="AD161" s="275">
        <f>'Inputs by customer type'!AD204</f>
        <v>0.11237638198294203</v>
      </c>
      <c r="AE161" s="275">
        <f>'Inputs by customer type'!AE204</f>
        <v>0.11237638198294203</v>
      </c>
      <c r="AF161" s="275">
        <f>'Inputs by customer type'!AF204</f>
        <v>0.11237638198294203</v>
      </c>
      <c r="AG161" s="275">
        <f>'Inputs by customer type'!AG204</f>
        <v>0</v>
      </c>
      <c r="AH161" s="275">
        <f>'Inputs by customer type'!AH204</f>
        <v>0</v>
      </c>
      <c r="AI161" s="275">
        <f>'Inputs by customer type'!AI204</f>
        <v>0</v>
      </c>
      <c r="AJ161" s="275">
        <f>'Inputs by customer type'!AJ204</f>
        <v>0.1634095540344169</v>
      </c>
      <c r="AK161" s="275">
        <f>'Inputs by customer type'!AK204</f>
        <v>0</v>
      </c>
      <c r="AL161" s="275">
        <f>'Inputs by customer type'!AL204</f>
        <v>0.142353520419847</v>
      </c>
      <c r="AM161" s="275">
        <f>'Inputs by customer type'!AM204</f>
        <v>0</v>
      </c>
      <c r="AN161" s="275">
        <f>'Inputs by customer type'!AN204</f>
        <v>0.11676034184459015</v>
      </c>
      <c r="AO161" s="275">
        <f>'Inputs by customer type'!AO204</f>
        <v>0</v>
      </c>
      <c r="AP161" s="259"/>
      <c r="AQ161" s="259"/>
    </row>
    <row r="162" spans="1:43" x14ac:dyDescent="0.3">
      <c r="A162" s="312"/>
      <c r="B162" s="312"/>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3">
      <c r="A163" s="312"/>
      <c r="B163" s="312"/>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3">
      <c r="A164" s="312"/>
      <c r="B164" s="312"/>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3">
      <c r="A165" s="312"/>
      <c r="B165" s="312"/>
      <c r="D165" s="29" t="s">
        <v>780</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3">
      <c r="A166" s="312"/>
      <c r="B166" s="312"/>
      <c r="D166" s="91" t="s">
        <v>781</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3">
      <c r="A167" s="312"/>
      <c r="B167" s="312"/>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3">
      <c r="A168" s="312"/>
      <c r="B168" s="312"/>
      <c r="E168" s="108" t="s">
        <v>782</v>
      </c>
      <c r="F168" s="108"/>
      <c r="G168" s="108" t="s">
        <v>276</v>
      </c>
      <c r="H168" s="108"/>
      <c r="I168" s="108"/>
      <c r="J168" s="217">
        <f>'Inputs by customer type'!J213</f>
        <v>183984361.67358157</v>
      </c>
      <c r="K168" s="217">
        <f>'Inputs by customer type'!K213</f>
        <v>57201.09603714454</v>
      </c>
      <c r="L168" s="217">
        <f>'Inputs by customer type'!L213</f>
        <v>0</v>
      </c>
      <c r="M168" s="217">
        <f>'Inputs by customer type'!M213</f>
        <v>14924224.482243927</v>
      </c>
      <c r="N168" s="217">
        <f>'Inputs by customer type'!N213</f>
        <v>14924224.482243927</v>
      </c>
      <c r="O168" s="217">
        <f>'Inputs by customer type'!O213</f>
        <v>14924224.482243927</v>
      </c>
      <c r="P168" s="217">
        <f>'Inputs by customer type'!P213</f>
        <v>14924224.482243927</v>
      </c>
      <c r="Q168" s="217">
        <f>'Inputs by customer type'!Q213</f>
        <v>126146.24657700799</v>
      </c>
      <c r="R168" s="217">
        <f>'Inputs by customer type'!R213</f>
        <v>0</v>
      </c>
      <c r="S168" s="217">
        <f>'Inputs by customer type'!S213</f>
        <v>15596332.73372785</v>
      </c>
      <c r="T168" s="217">
        <f>'Inputs by customer type'!T213</f>
        <v>15596332.73372785</v>
      </c>
      <c r="U168" s="217">
        <f>'Inputs by customer type'!U213</f>
        <v>15596332.73372785</v>
      </c>
      <c r="V168" s="217">
        <f>'Inputs by customer type'!V213</f>
        <v>15596332.73372785</v>
      </c>
      <c r="W168" s="217">
        <f>'Inputs by customer type'!W213</f>
        <v>0</v>
      </c>
      <c r="X168" s="217">
        <f>'Inputs by customer type'!X213</f>
        <v>6755348.2883451479</v>
      </c>
      <c r="Y168" s="217">
        <f>'Inputs by customer type'!Y213</f>
        <v>6755348.2883451479</v>
      </c>
      <c r="Z168" s="217">
        <f>'Inputs by customer type'!Z213</f>
        <v>6755348.2883451479</v>
      </c>
      <c r="AA168" s="217">
        <f>'Inputs by customer type'!AA213</f>
        <v>6755348.2883451479</v>
      </c>
      <c r="AB168" s="217">
        <f>'Inputs by customer type'!AB213</f>
        <v>0</v>
      </c>
      <c r="AC168" s="217">
        <f>'Inputs by customer type'!AC213</f>
        <v>18434782.263666593</v>
      </c>
      <c r="AD168" s="217">
        <f>'Inputs by customer type'!AD213</f>
        <v>18434782.263666593</v>
      </c>
      <c r="AE168" s="217">
        <f>'Inputs by customer type'!AE213</f>
        <v>18434782.263666593</v>
      </c>
      <c r="AF168" s="217">
        <f>'Inputs by customer type'!AF213</f>
        <v>18434782.263666593</v>
      </c>
      <c r="AG168" s="217">
        <f>'Inputs by customer type'!AG213</f>
        <v>7730487.0598167591</v>
      </c>
      <c r="AH168" s="217">
        <f>'Inputs by customer type'!AH213</f>
        <v>-18283.121980659518</v>
      </c>
      <c r="AI168" s="217">
        <f>'Inputs by customer type'!AI213</f>
        <v>-47.626482033856242</v>
      </c>
      <c r="AJ168" s="217">
        <f>'Inputs by customer type'!AJ213</f>
        <v>-306632.33136619668</v>
      </c>
      <c r="AK168" s="217">
        <f>'Inputs by customer type'!AK213</f>
        <v>0</v>
      </c>
      <c r="AL168" s="217">
        <f>'Inputs by customer type'!AL213</f>
        <v>-37298.192981983782</v>
      </c>
      <c r="AM168" s="217">
        <f>'Inputs by customer type'!AM213</f>
        <v>0</v>
      </c>
      <c r="AN168" s="217">
        <f>'Inputs by customer type'!AN213</f>
        <v>-7240820.2577991802</v>
      </c>
      <c r="AO168" s="217">
        <f>'Inputs by customer type'!AO213</f>
        <v>0</v>
      </c>
    </row>
    <row r="169" spans="1:43" x14ac:dyDescent="0.3">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3">
      <c r="E170" t="s">
        <v>783</v>
      </c>
      <c r="G170" t="s">
        <v>276</v>
      </c>
      <c r="J170" s="98">
        <f t="shared" ref="J170:AO170" si="36">IF(J168 = 0, SUMPRODUCT(J25:J27, J158:J160) / hundred * days_in_year + ( SUMPRODUCT(J22:J24, J155:J157)  + J161*J28) * ten, J168)</f>
        <v>183984361.67358157</v>
      </c>
      <c r="K170" s="98">
        <f t="shared" si="36"/>
        <v>57201.09603714454</v>
      </c>
      <c r="L170" s="98">
        <f t="shared" si="36"/>
        <v>49.967455879900925</v>
      </c>
      <c r="M170" s="98">
        <f t="shared" si="36"/>
        <v>14924224.482243927</v>
      </c>
      <c r="N170" s="98">
        <f t="shared" si="36"/>
        <v>14924224.482243927</v>
      </c>
      <c r="O170" s="98">
        <f t="shared" si="36"/>
        <v>14924224.482243927</v>
      </c>
      <c r="P170" s="98">
        <f t="shared" si="36"/>
        <v>14924224.482243927</v>
      </c>
      <c r="Q170" s="98">
        <f t="shared" si="36"/>
        <v>126146.24657700799</v>
      </c>
      <c r="R170" s="98">
        <f t="shared" si="36"/>
        <v>1569.2937115938003</v>
      </c>
      <c r="S170" s="98">
        <f t="shared" si="36"/>
        <v>15596332.73372785</v>
      </c>
      <c r="T170" s="98">
        <f t="shared" si="36"/>
        <v>15596332.73372785</v>
      </c>
      <c r="U170" s="98">
        <f t="shared" si="36"/>
        <v>15596332.73372785</v>
      </c>
      <c r="V170" s="98">
        <f t="shared" si="36"/>
        <v>15596332.73372785</v>
      </c>
      <c r="W170" s="98">
        <f t="shared" si="36"/>
        <v>4243.0721567806067</v>
      </c>
      <c r="X170" s="98">
        <f t="shared" si="36"/>
        <v>6755348.2883451479</v>
      </c>
      <c r="Y170" s="98">
        <f t="shared" si="36"/>
        <v>6755348.2883451479</v>
      </c>
      <c r="Z170" s="98">
        <f t="shared" si="36"/>
        <v>6755348.2883451479</v>
      </c>
      <c r="AA170" s="98">
        <f t="shared" si="36"/>
        <v>6755348.2883451479</v>
      </c>
      <c r="AB170" s="98">
        <f t="shared" si="36"/>
        <v>8193.0751702908947</v>
      </c>
      <c r="AC170" s="98">
        <f t="shared" si="36"/>
        <v>18434782.263666593</v>
      </c>
      <c r="AD170" s="98">
        <f t="shared" si="36"/>
        <v>18434782.263666593</v>
      </c>
      <c r="AE170" s="98">
        <f t="shared" si="36"/>
        <v>18434782.263666593</v>
      </c>
      <c r="AF170" s="98">
        <f t="shared" si="36"/>
        <v>18434782.263666593</v>
      </c>
      <c r="AG170" s="98">
        <f t="shared" si="36"/>
        <v>7730487.0598167591</v>
      </c>
      <c r="AH170" s="98">
        <f t="shared" si="36"/>
        <v>-18283.121980659518</v>
      </c>
      <c r="AI170" s="98">
        <f t="shared" si="36"/>
        <v>-47.626482033856242</v>
      </c>
      <c r="AJ170" s="98">
        <f t="shared" si="36"/>
        <v>-306632.33136619668</v>
      </c>
      <c r="AK170" s="98">
        <f t="shared" si="36"/>
        <v>0</v>
      </c>
      <c r="AL170" s="98">
        <f t="shared" si="36"/>
        <v>-37298.192981983782</v>
      </c>
      <c r="AM170" s="98">
        <f t="shared" si="36"/>
        <v>0</v>
      </c>
      <c r="AN170" s="98">
        <f t="shared" si="36"/>
        <v>-7240820.2577991802</v>
      </c>
      <c r="AO170" s="98">
        <f t="shared" si="36"/>
        <v>0</v>
      </c>
    </row>
    <row r="171" spans="1:43" x14ac:dyDescent="0.3">
      <c r="F171" s="3"/>
      <c r="G171" s="212"/>
      <c r="H171" s="3"/>
      <c r="I171" s="3"/>
    </row>
    <row r="172" spans="1:43" x14ac:dyDescent="0.3">
      <c r="E172" t="s">
        <v>784</v>
      </c>
      <c r="G172" s="13" t="s">
        <v>166</v>
      </c>
      <c r="J172" s="413">
        <f t="shared" ref="J172:AH172" si="37">IF( J170 &lt;&gt; 0, (J102 - J170) / J170, "-")</f>
        <v>0.51797537639489177</v>
      </c>
      <c r="K172" s="413">
        <f t="shared" si="37"/>
        <v>-0.70204327581110237</v>
      </c>
      <c r="L172" s="413">
        <f t="shared" si="37"/>
        <v>-0.11586234218510132</v>
      </c>
      <c r="M172" s="413">
        <f t="shared" si="37"/>
        <v>-0.78482444952281194</v>
      </c>
      <c r="N172" s="413">
        <f t="shared" si="37"/>
        <v>-0.26971922292413242</v>
      </c>
      <c r="O172" s="413">
        <f t="shared" si="37"/>
        <v>-0.10931250048148307</v>
      </c>
      <c r="P172" s="413">
        <f t="shared" si="37"/>
        <v>1.6024317047014573</v>
      </c>
      <c r="Q172" s="413">
        <f t="shared" si="37"/>
        <v>-0.56226290242731536</v>
      </c>
      <c r="R172" s="413">
        <f t="shared" si="37"/>
        <v>-0.18553729627971083</v>
      </c>
      <c r="S172" s="413">
        <f t="shared" si="37"/>
        <v>-0.38424179962004379</v>
      </c>
      <c r="T172" s="413">
        <f t="shared" si="37"/>
        <v>0.38191922017483787</v>
      </c>
      <c r="U172" s="413">
        <f t="shared" si="37"/>
        <v>-0.20589523281754202</v>
      </c>
      <c r="V172" s="413">
        <f t="shared" si="37"/>
        <v>0.74499275021753786</v>
      </c>
      <c r="W172" s="413">
        <f t="shared" si="37"/>
        <v>-0.21536393820548497</v>
      </c>
      <c r="X172" s="413">
        <f t="shared" si="37"/>
        <v>-0.51024769984125851</v>
      </c>
      <c r="Y172" s="413">
        <f t="shared" si="37"/>
        <v>8.6882964193800552E-2</v>
      </c>
      <c r="Z172" s="413">
        <f t="shared" si="37"/>
        <v>-0.37730821137827264</v>
      </c>
      <c r="AA172" s="413">
        <f t="shared" si="37"/>
        <v>0.36487734115412368</v>
      </c>
      <c r="AB172" s="413">
        <f t="shared" si="37"/>
        <v>-0.29046639407637143</v>
      </c>
      <c r="AC172" s="413">
        <f t="shared" si="37"/>
        <v>-0.55302733330822296</v>
      </c>
      <c r="AD172" s="413">
        <f t="shared" si="37"/>
        <v>0.14228662419781807</v>
      </c>
      <c r="AE172" s="413">
        <f t="shared" si="37"/>
        <v>-2.5652211428448674E-2</v>
      </c>
      <c r="AF172" s="413">
        <f t="shared" si="37"/>
        <v>0.84134694587914505</v>
      </c>
      <c r="AG172" s="413">
        <f t="shared" si="37"/>
        <v>-4.338201094466497E-2</v>
      </c>
      <c r="AH172" s="413">
        <f t="shared" si="37"/>
        <v>6.3281812817603755E-2</v>
      </c>
      <c r="AI172" s="413">
        <f>IF( AI170 &lt;&gt; 0, (AI102 - AI170) / AI170, "-")</f>
        <v>-1</v>
      </c>
      <c r="AJ172" s="413">
        <f t="shared" ref="AJ172:AO172" si="38">IF( AJ170 &lt;&gt; 0, (AJ102 - AJ170) / AJ170, "-")</f>
        <v>8.3671426450440747E-2</v>
      </c>
      <c r="AK172" s="413" t="str">
        <f t="shared" si="38"/>
        <v>-</v>
      </c>
      <c r="AL172" s="413">
        <f t="shared" si="38"/>
        <v>-3.5469152466425131E-2</v>
      </c>
      <c r="AM172" s="413" t="str">
        <f t="shared" si="38"/>
        <v>-</v>
      </c>
      <c r="AN172" s="413">
        <f t="shared" si="38"/>
        <v>0.10455025308176583</v>
      </c>
      <c r="AO172" s="413" t="str">
        <f t="shared" si="38"/>
        <v>-</v>
      </c>
    </row>
    <row r="173" spans="1:43" x14ac:dyDescent="0.3">
      <c r="C173" s="88"/>
      <c r="D173" s="2"/>
      <c r="E173" s="2"/>
      <c r="G173" s="13"/>
    </row>
    <row r="174" spans="1:43" x14ac:dyDescent="0.3">
      <c r="E174" t="s">
        <v>785</v>
      </c>
      <c r="G174" s="13" t="s">
        <v>268</v>
      </c>
      <c r="H174" s="259"/>
      <c r="I174" s="259"/>
      <c r="J174" s="267">
        <f t="shared" ref="J174:AO174" si="39" xml:space="preserve"> IF( SUM(J22:J24) = 0, "-", (J102 - J170) / SUM(J22:J24)/ ten)</f>
        <v>1.3278635866993154</v>
      </c>
      <c r="K174" s="267">
        <f t="shared" si="39"/>
        <v>-0.87781601306272439</v>
      </c>
      <c r="L174" s="267">
        <f t="shared" si="39"/>
        <v>-0.37912393141801981</v>
      </c>
      <c r="M174" s="267">
        <f t="shared" si="39"/>
        <v>-13.237276429701197</v>
      </c>
      <c r="N174" s="267">
        <f t="shared" si="39"/>
        <v>-1.0355440020291409</v>
      </c>
      <c r="O174" s="267">
        <f t="shared" si="39"/>
        <v>-0.3287155111601297</v>
      </c>
      <c r="P174" s="267">
        <f t="shared" si="39"/>
        <v>1.6137588311605306</v>
      </c>
      <c r="Q174" s="267">
        <f t="shared" si="39"/>
        <v>-0.45586103025478986</v>
      </c>
      <c r="R174" s="267">
        <f t="shared" si="39"/>
        <v>-0.49848510544689251</v>
      </c>
      <c r="S174" s="267">
        <f t="shared" si="39"/>
        <v>-1.9660390288434626</v>
      </c>
      <c r="T174" s="267">
        <f t="shared" si="39"/>
        <v>0.85259082236739625</v>
      </c>
      <c r="U174" s="267">
        <f t="shared" si="39"/>
        <v>-0.79546557427608744</v>
      </c>
      <c r="V174" s="267">
        <f t="shared" si="39"/>
        <v>1.3037924967119856</v>
      </c>
      <c r="W174" s="267">
        <f t="shared" si="39"/>
        <v>-0.48673883586524613</v>
      </c>
      <c r="X174" s="267">
        <f t="shared" si="39"/>
        <v>-2.1594811029771419</v>
      </c>
      <c r="Y174" s="267">
        <f t="shared" si="39"/>
        <v>0.16042963409161262</v>
      </c>
      <c r="Z174" s="267">
        <f t="shared" si="39"/>
        <v>-1.2057358664779012</v>
      </c>
      <c r="AA174" s="267">
        <f t="shared" si="39"/>
        <v>0.52818267348596892</v>
      </c>
      <c r="AB174" s="267">
        <f t="shared" si="39"/>
        <v>-0.48571535214937278</v>
      </c>
      <c r="AC174" s="267">
        <f t="shared" si="39"/>
        <v>-2.3732958727959552</v>
      </c>
      <c r="AD174" s="267">
        <f t="shared" si="39"/>
        <v>0.23093276961793699</v>
      </c>
      <c r="AE174" s="267">
        <f t="shared" si="39"/>
        <v>-4.8420124523570154E-2</v>
      </c>
      <c r="AF174" s="267">
        <f t="shared" si="39"/>
        <v>0.83681502999952628</v>
      </c>
      <c r="AG174" s="267">
        <f t="shared" si="39"/>
        <v>-0.17278654785543165</v>
      </c>
      <c r="AH174" s="267">
        <f t="shared" si="39"/>
        <v>-6.508870702660273E-2</v>
      </c>
      <c r="AI174" s="267" t="str">
        <f t="shared" si="39"/>
        <v>-</v>
      </c>
      <c r="AJ174" s="267">
        <f t="shared" si="39"/>
        <v>-8.3510400066438173E-2</v>
      </c>
      <c r="AK174" s="267" t="str">
        <f t="shared" si="39"/>
        <v>-</v>
      </c>
      <c r="AL174" s="267">
        <f t="shared" si="39"/>
        <v>3.2842080619919306E-2</v>
      </c>
      <c r="AM174" s="267" t="str">
        <f t="shared" si="39"/>
        <v>-</v>
      </c>
      <c r="AN174" s="267">
        <f t="shared" si="39"/>
        <v>-8.0144820395190677E-2</v>
      </c>
      <c r="AO174" s="267" t="str">
        <f t="shared" si="39"/>
        <v>-</v>
      </c>
      <c r="AP174" s="259"/>
      <c r="AQ174" s="259"/>
    </row>
    <row r="175" spans="1:43" x14ac:dyDescent="0.3">
      <c r="C175" s="88"/>
      <c r="D175" s="2"/>
      <c r="E175" s="2"/>
      <c r="G175" s="13"/>
    </row>
    <row r="176" spans="1:43" x14ac:dyDescent="0.3">
      <c r="B176" s="30" t="s">
        <v>786</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3">
      <c r="F177" s="3"/>
      <c r="G177" s="212"/>
      <c r="H177" s="3"/>
      <c r="I177" s="3"/>
    </row>
    <row r="178" spans="3:43" x14ac:dyDescent="0.3">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3">
      <c r="C179" s="88"/>
      <c r="D179" s="2"/>
      <c r="E179" s="2"/>
      <c r="G179" s="13"/>
    </row>
    <row r="180" spans="3:43" x14ac:dyDescent="0.3">
      <c r="E180" s="32" t="s">
        <v>787</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3">
      <c r="E181" s="29" t="s">
        <v>788</v>
      </c>
    </row>
    <row r="182" spans="3:43" x14ac:dyDescent="0.3">
      <c r="E182" s="28"/>
      <c r="F182" s="23" t="s">
        <v>155</v>
      </c>
      <c r="G182" s="85" t="s">
        <v>789</v>
      </c>
      <c r="H182" s="218"/>
      <c r="I182" s="23"/>
      <c r="J182" s="126">
        <f t="shared" ref="J182:AO182" si="40" xml:space="preserve"> IF( J$25 &lt;&gt; 0, J$22 * thousand * J64 / hundred / J$25, 0)</f>
        <v>21.685824657983211</v>
      </c>
      <c r="K182" s="126">
        <f t="shared" si="40"/>
        <v>0.5737627647146688</v>
      </c>
      <c r="L182" s="126">
        <f t="shared" si="40"/>
        <v>10.441683557530279</v>
      </c>
      <c r="M182" s="126">
        <f t="shared" si="40"/>
        <v>10.441683557530279</v>
      </c>
      <c r="N182" s="126">
        <f t="shared" si="40"/>
        <v>51.515437383306285</v>
      </c>
      <c r="O182" s="126">
        <f t="shared" si="40"/>
        <v>127.6341602848362</v>
      </c>
      <c r="P182" s="126">
        <f t="shared" si="40"/>
        <v>397.47309376661985</v>
      </c>
      <c r="Q182" s="126">
        <f t="shared" si="40"/>
        <v>0.66300327738240417</v>
      </c>
      <c r="R182" s="126">
        <f t="shared" si="40"/>
        <v>288.43394157364372</v>
      </c>
      <c r="S182" s="126">
        <f t="shared" si="40"/>
        <v>288.43394157364366</v>
      </c>
      <c r="T182" s="126">
        <f t="shared" si="40"/>
        <v>719.23422991171799</v>
      </c>
      <c r="U182" s="126">
        <f t="shared" si="40"/>
        <v>1173.1106942711976</v>
      </c>
      <c r="V182" s="126">
        <f t="shared" si="40"/>
        <v>2462.9313200975871</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1616.4920442381692</v>
      </c>
      <c r="AH182" s="126">
        <f t="shared" si="40"/>
        <v>-26.682350162867255</v>
      </c>
      <c r="AI182" s="126">
        <f t="shared" si="40"/>
        <v>0</v>
      </c>
      <c r="AJ182" s="126">
        <f t="shared" si="40"/>
        <v>-709.91145402019697</v>
      </c>
      <c r="AK182" s="126">
        <f t="shared" si="40"/>
        <v>0</v>
      </c>
      <c r="AL182" s="126">
        <f t="shared" si="40"/>
        <v>0</v>
      </c>
      <c r="AM182" s="126">
        <f t="shared" si="40"/>
        <v>0</v>
      </c>
      <c r="AN182" s="126">
        <f t="shared" si="40"/>
        <v>0</v>
      </c>
      <c r="AO182" s="126">
        <f t="shared" si="40"/>
        <v>0</v>
      </c>
    </row>
    <row r="183" spans="3:43" x14ac:dyDescent="0.3">
      <c r="E183" s="28"/>
      <c r="F183" t="s">
        <v>156</v>
      </c>
      <c r="G183" s="13" t="s">
        <v>789</v>
      </c>
      <c r="H183" s="102"/>
      <c r="J183" s="98">
        <f t="shared" ref="J183:AO183" si="41" xml:space="preserve"> IF( J$25 &lt;&gt; 0, J$23 * thousand * J65 / hundred / J$25, 0)</f>
        <v>9.9225523004766263</v>
      </c>
      <c r="K183" s="98">
        <f t="shared" si="41"/>
        <v>2.5104382645628456</v>
      </c>
      <c r="L183" s="98">
        <f t="shared" si="41"/>
        <v>6.8098054145182081</v>
      </c>
      <c r="M183" s="98">
        <f t="shared" si="41"/>
        <v>6.8098054145182081</v>
      </c>
      <c r="N183" s="98">
        <f t="shared" si="41"/>
        <v>33.597082548160287</v>
      </c>
      <c r="O183" s="98">
        <f t="shared" si="41"/>
        <v>83.239813866830232</v>
      </c>
      <c r="P183" s="98">
        <f t="shared" si="41"/>
        <v>259.22203169097349</v>
      </c>
      <c r="Q183" s="98">
        <f t="shared" si="41"/>
        <v>3.5927598472247948</v>
      </c>
      <c r="R183" s="98">
        <f t="shared" si="41"/>
        <v>173.46425054411353</v>
      </c>
      <c r="S183" s="98">
        <f t="shared" si="41"/>
        <v>173.46425054411353</v>
      </c>
      <c r="T183" s="98">
        <f t="shared" si="41"/>
        <v>432.54766057223668</v>
      </c>
      <c r="U183" s="98">
        <f t="shared" si="41"/>
        <v>705.50908910656653</v>
      </c>
      <c r="V183" s="98">
        <f t="shared" si="41"/>
        <v>1481.2075626448786</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1265.4048334606971</v>
      </c>
      <c r="AH183" s="98">
        <f t="shared" si="41"/>
        <v>-17.924725847698575</v>
      </c>
      <c r="AI183" s="98">
        <f t="shared" si="41"/>
        <v>0</v>
      </c>
      <c r="AJ183" s="98">
        <f t="shared" si="41"/>
        <v>-476.90582395406551</v>
      </c>
      <c r="AK183" s="98">
        <f t="shared" si="41"/>
        <v>0</v>
      </c>
      <c r="AL183" s="98">
        <f t="shared" si="41"/>
        <v>0</v>
      </c>
      <c r="AM183" s="98">
        <f t="shared" si="41"/>
        <v>0</v>
      </c>
      <c r="AN183" s="98">
        <f t="shared" si="41"/>
        <v>0</v>
      </c>
      <c r="AO183" s="98">
        <f t="shared" si="41"/>
        <v>0</v>
      </c>
    </row>
    <row r="184" spans="3:43" x14ac:dyDescent="0.3">
      <c r="E184" s="28"/>
      <c r="F184" t="s">
        <v>157</v>
      </c>
      <c r="G184" s="13" t="s">
        <v>789</v>
      </c>
      <c r="H184" s="102"/>
      <c r="J184" s="98">
        <f t="shared" ref="J184:AO184" si="42" xml:space="preserve"> IF( J$25 &lt;&gt; 0, J$24 * thousand * J66 / hundred / J$25, 0)</f>
        <v>2.5643560272365549</v>
      </c>
      <c r="K184" s="98">
        <f t="shared" si="42"/>
        <v>3.2869723424650039</v>
      </c>
      <c r="L184" s="98">
        <f t="shared" si="42"/>
        <v>1.2279510696753972</v>
      </c>
      <c r="M184" s="98">
        <f t="shared" si="42"/>
        <v>1.2279510696753972</v>
      </c>
      <c r="N184" s="98">
        <f t="shared" si="42"/>
        <v>6.0582602499964198</v>
      </c>
      <c r="O184" s="98">
        <f t="shared" si="42"/>
        <v>15.009888279544446</v>
      </c>
      <c r="P184" s="98">
        <f t="shared" si="42"/>
        <v>46.743181592198425</v>
      </c>
      <c r="Q184" s="98">
        <f t="shared" si="42"/>
        <v>8.0245128037701061</v>
      </c>
      <c r="R184" s="98">
        <f t="shared" si="42"/>
        <v>32.686949484741078</v>
      </c>
      <c r="S184" s="98">
        <f t="shared" si="42"/>
        <v>32.686949484741071</v>
      </c>
      <c r="T184" s="98">
        <f t="shared" si="42"/>
        <v>81.507650634169394</v>
      </c>
      <c r="U184" s="98">
        <f t="shared" si="42"/>
        <v>132.94347327657249</v>
      </c>
      <c r="V184" s="98">
        <f t="shared" si="42"/>
        <v>279.11316957079271</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5018.0456897838349</v>
      </c>
      <c r="AH184" s="98">
        <f t="shared" si="42"/>
        <v>-4.2485223941091155</v>
      </c>
      <c r="AI184" s="98">
        <f t="shared" si="42"/>
        <v>0</v>
      </c>
      <c r="AJ184" s="98">
        <f t="shared" si="42"/>
        <v>-113.03632145704762</v>
      </c>
      <c r="AK184" s="98">
        <f t="shared" si="42"/>
        <v>0</v>
      </c>
      <c r="AL184" s="98">
        <f t="shared" si="42"/>
        <v>0</v>
      </c>
      <c r="AM184" s="98">
        <f t="shared" si="42"/>
        <v>0</v>
      </c>
      <c r="AN184" s="98">
        <f t="shared" si="42"/>
        <v>0</v>
      </c>
      <c r="AO184" s="98">
        <f t="shared" si="42"/>
        <v>0</v>
      </c>
    </row>
    <row r="185" spans="3:43" x14ac:dyDescent="0.3">
      <c r="E185" s="28"/>
      <c r="F185" s="23" t="s">
        <v>158</v>
      </c>
      <c r="G185" s="85" t="s">
        <v>789</v>
      </c>
      <c r="H185" s="218"/>
      <c r="I185" s="23"/>
      <c r="J185" s="126">
        <f t="shared" ref="J185:AO185" si="43" xml:space="preserve"> IF( J$25 &lt;&gt; 0, J$25 * J67 * days_in_year / hundred / J$25, 0)</f>
        <v>60.188499999999983</v>
      </c>
      <c r="K185" s="126">
        <f t="shared" si="43"/>
        <v>0</v>
      </c>
      <c r="L185" s="126">
        <f t="shared" si="43"/>
        <v>10.366</v>
      </c>
      <c r="M185" s="126">
        <f t="shared" si="43"/>
        <v>17.665999999999997</v>
      </c>
      <c r="N185" s="126">
        <f t="shared" si="43"/>
        <v>46.428000000000011</v>
      </c>
      <c r="O185" s="126">
        <f t="shared" si="43"/>
        <v>99.790999999999997</v>
      </c>
      <c r="P185" s="126">
        <f t="shared" si="43"/>
        <v>288.82449999999994</v>
      </c>
      <c r="Q185" s="126">
        <f t="shared" si="43"/>
        <v>0</v>
      </c>
      <c r="R185" s="126">
        <f t="shared" si="43"/>
        <v>41.719499999999996</v>
      </c>
      <c r="S185" s="126">
        <f t="shared" si="43"/>
        <v>407.85099999999994</v>
      </c>
      <c r="T185" s="126">
        <f t="shared" si="43"/>
        <v>954.69400000000007</v>
      </c>
      <c r="U185" s="126">
        <f t="shared" si="43"/>
        <v>1530.81</v>
      </c>
      <c r="V185" s="126">
        <f t="shared" si="43"/>
        <v>3168.0540000000005</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3">
      <c r="E186" s="28"/>
      <c r="F186" t="s">
        <v>159</v>
      </c>
      <c r="G186" s="13" t="s">
        <v>789</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281.8322555549928</v>
      </c>
      <c r="S186" s="98">
        <f t="shared" si="44"/>
        <v>281.8322555549928</v>
      </c>
      <c r="T186" s="98">
        <f t="shared" si="44"/>
        <v>702.77237201164473</v>
      </c>
      <c r="U186" s="98">
        <f t="shared" si="44"/>
        <v>1146.2604961757606</v>
      </c>
      <c r="V186" s="98">
        <f t="shared" si="44"/>
        <v>2406.5596629615484</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3">
      <c r="E187" s="28"/>
      <c r="F187" t="s">
        <v>160</v>
      </c>
      <c r="G187" s="13" t="s">
        <v>789</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9.1241916712855442</v>
      </c>
      <c r="S187" s="98">
        <f t="shared" si="45"/>
        <v>9.124191671285546</v>
      </c>
      <c r="T187" s="98">
        <f t="shared" si="45"/>
        <v>22.751937356819131</v>
      </c>
      <c r="U187" s="98">
        <f t="shared" si="45"/>
        <v>37.109664583051064</v>
      </c>
      <c r="V187" s="98">
        <f t="shared" si="45"/>
        <v>77.911279494979425</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3">
      <c r="E188" s="28"/>
      <c r="F188" s="23" t="s">
        <v>161</v>
      </c>
      <c r="G188" s="85" t="s">
        <v>789</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4.7015075138346951</v>
      </c>
      <c r="S188" s="126">
        <f t="shared" si="46"/>
        <v>4.7015075138346942</v>
      </c>
      <c r="T188" s="126">
        <f t="shared" si="46"/>
        <v>11.723603393166139</v>
      </c>
      <c r="U188" s="126">
        <f t="shared" si="46"/>
        <v>19.121843683114761</v>
      </c>
      <c r="V188" s="126">
        <f t="shared" si="46"/>
        <v>40.146073115812918</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14.32916289901784</v>
      </c>
      <c r="AK188" s="126">
        <f t="shared" si="46"/>
        <v>0</v>
      </c>
      <c r="AL188" s="126">
        <f t="shared" si="46"/>
        <v>0</v>
      </c>
      <c r="AM188" s="126">
        <f t="shared" si="46"/>
        <v>0</v>
      </c>
      <c r="AN188" s="126">
        <f t="shared" si="46"/>
        <v>0</v>
      </c>
      <c r="AO188" s="126">
        <f t="shared" si="46"/>
        <v>0</v>
      </c>
    </row>
    <row r="189" spans="3:43" x14ac:dyDescent="0.3">
      <c r="E189" s="28"/>
      <c r="F189" s="108" t="s">
        <v>99</v>
      </c>
      <c r="G189" s="214" t="s">
        <v>789</v>
      </c>
      <c r="H189" s="219"/>
      <c r="I189" s="108"/>
      <c r="J189" s="153">
        <f t="shared" ref="J189" si="47">SUM(J182:J188)</f>
        <v>94.361232985696375</v>
      </c>
      <c r="K189" s="153">
        <f t="shared" ref="K189:AO189" si="48">SUM(K182:K188)</f>
        <v>6.3711733717425183</v>
      </c>
      <c r="L189" s="153">
        <f t="shared" si="48"/>
        <v>28.845440041723887</v>
      </c>
      <c r="M189" s="153">
        <f t="shared" si="48"/>
        <v>36.145440041723887</v>
      </c>
      <c r="N189" s="153">
        <f t="shared" si="48"/>
        <v>137.59878018146301</v>
      </c>
      <c r="O189" s="153">
        <f t="shared" si="48"/>
        <v>325.67486243121084</v>
      </c>
      <c r="P189" s="153">
        <f t="shared" si="48"/>
        <v>992.26280704979172</v>
      </c>
      <c r="Q189" s="153">
        <f t="shared" si="48"/>
        <v>12.280275928377305</v>
      </c>
      <c r="R189" s="153">
        <f t="shared" si="48"/>
        <v>831.96259634261139</v>
      </c>
      <c r="S189" s="153">
        <f t="shared" si="48"/>
        <v>1198.0940963426115</v>
      </c>
      <c r="T189" s="153">
        <f t="shared" si="48"/>
        <v>2925.2314538797541</v>
      </c>
      <c r="U189" s="153">
        <f t="shared" si="48"/>
        <v>4744.8652610962636</v>
      </c>
      <c r="V189" s="153">
        <f t="shared" si="48"/>
        <v>9915.9230678856002</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7899.9425674827016</v>
      </c>
      <c r="AH189" s="153">
        <f t="shared" si="48"/>
        <v>-48.85559840467495</v>
      </c>
      <c r="AI189" s="153">
        <f t="shared" si="48"/>
        <v>0</v>
      </c>
      <c r="AJ189" s="153">
        <f t="shared" si="48"/>
        <v>-1285.5244365322924</v>
      </c>
      <c r="AK189" s="153">
        <f t="shared" si="48"/>
        <v>0</v>
      </c>
      <c r="AL189" s="153">
        <f t="shared" si="48"/>
        <v>0</v>
      </c>
      <c r="AM189" s="153">
        <f t="shared" si="48"/>
        <v>0</v>
      </c>
      <c r="AN189" s="153">
        <f t="shared" si="48"/>
        <v>0</v>
      </c>
      <c r="AO189" s="153">
        <f t="shared" si="48"/>
        <v>0</v>
      </c>
    </row>
    <row r="190" spans="3:43" x14ac:dyDescent="0.3">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3">
      <c r="E191" s="32" t="s">
        <v>790</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3">
      <c r="E192" s="29" t="s">
        <v>791</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3">
      <c r="C193" s="88"/>
      <c r="F193" s="23" t="s">
        <v>155</v>
      </c>
      <c r="G193" s="85" t="s">
        <v>789</v>
      </c>
      <c r="H193" s="218"/>
      <c r="I193" s="23"/>
      <c r="J193" s="126">
        <f t="shared" ref="J193:AO193" si="49" xml:space="preserve"> IF( J$25 &lt;&gt; 0, J$22 * thousand * J73 / hundred / J$25,0)</f>
        <v>15.207981814376094</v>
      </c>
      <c r="K193" s="126">
        <f t="shared" si="49"/>
        <v>0.40237223297545249</v>
      </c>
      <c r="L193" s="126">
        <f t="shared" si="49"/>
        <v>7.3239929305170151</v>
      </c>
      <c r="M193" s="126">
        <f t="shared" si="49"/>
        <v>7.3239929305170159</v>
      </c>
      <c r="N193" s="126">
        <f t="shared" si="49"/>
        <v>36.133895183572079</v>
      </c>
      <c r="O193" s="126">
        <f t="shared" si="49"/>
        <v>89.524996852108927</v>
      </c>
      <c r="P193" s="126">
        <f t="shared" si="49"/>
        <v>278.79509207287225</v>
      </c>
      <c r="Q193" s="126">
        <f t="shared" si="49"/>
        <v>0.46504294922406797</v>
      </c>
      <c r="R193" s="126">
        <f t="shared" si="49"/>
        <v>202.30610810461755</v>
      </c>
      <c r="S193" s="126">
        <f t="shared" si="49"/>
        <v>202.30610810461755</v>
      </c>
      <c r="T193" s="126">
        <f t="shared" si="49"/>
        <v>504.46725193023292</v>
      </c>
      <c r="U193" s="126">
        <f t="shared" si="49"/>
        <v>822.81390892866477</v>
      </c>
      <c r="V193" s="126">
        <f t="shared" si="49"/>
        <v>1727.4875736865815</v>
      </c>
      <c r="W193" s="126">
        <f t="shared" si="49"/>
        <v>792.92372581202756</v>
      </c>
      <c r="X193" s="126">
        <f t="shared" si="49"/>
        <v>792.92372581202767</v>
      </c>
      <c r="Y193" s="126">
        <f t="shared" si="49"/>
        <v>1977.2218283385835</v>
      </c>
      <c r="Z193" s="126">
        <f t="shared" si="49"/>
        <v>3224.9578444773797</v>
      </c>
      <c r="AA193" s="126">
        <f t="shared" si="49"/>
        <v>6770.7589061680919</v>
      </c>
      <c r="AB193" s="126">
        <f t="shared" si="49"/>
        <v>1633.6330974875539</v>
      </c>
      <c r="AC193" s="126">
        <f t="shared" si="49"/>
        <v>1633.6330974875539</v>
      </c>
      <c r="AD193" s="126">
        <f t="shared" si="49"/>
        <v>5339.8657832155777</v>
      </c>
      <c r="AE193" s="126">
        <f t="shared" si="49"/>
        <v>11193.661108304832</v>
      </c>
      <c r="AF193" s="126">
        <f t="shared" si="49"/>
        <v>26103.869591046834</v>
      </c>
      <c r="AG193" s="126">
        <f t="shared" si="49"/>
        <v>1133.6649553436202</v>
      </c>
      <c r="AH193" s="126">
        <f t="shared" si="49"/>
        <v>-26.682350162867255</v>
      </c>
      <c r="AI193" s="126">
        <f t="shared" si="49"/>
        <v>0</v>
      </c>
      <c r="AJ193" s="126">
        <f t="shared" si="49"/>
        <v>-709.91145402019697</v>
      </c>
      <c r="AK193" s="126">
        <f t="shared" si="49"/>
        <v>0</v>
      </c>
      <c r="AL193" s="126">
        <f t="shared" si="49"/>
        <v>-464.93607449577456</v>
      </c>
      <c r="AM193" s="126">
        <f t="shared" si="49"/>
        <v>0</v>
      </c>
      <c r="AN193" s="126">
        <f t="shared" si="49"/>
        <v>-19934.040048905023</v>
      </c>
      <c r="AO193" s="126">
        <f t="shared" si="49"/>
        <v>0</v>
      </c>
    </row>
    <row r="194" spans="3:43" x14ac:dyDescent="0.3">
      <c r="C194" s="88"/>
      <c r="F194" t="s">
        <v>156</v>
      </c>
      <c r="G194" s="13" t="s">
        <v>789</v>
      </c>
      <c r="H194" s="102"/>
      <c r="J194" s="98">
        <f t="shared" ref="J194:AO194" si="50" xml:space="preserve"> IF( J$25 &lt;&gt; 0, J$23 * thousand * J74 / hundred / J$25, 0)</f>
        <v>6.959846907115689</v>
      </c>
      <c r="K194" s="98">
        <f t="shared" si="50"/>
        <v>1.7608640863785952</v>
      </c>
      <c r="L194" s="98">
        <f t="shared" si="50"/>
        <v>4.7770276788411312</v>
      </c>
      <c r="M194" s="98">
        <f t="shared" si="50"/>
        <v>4.7770276788411303</v>
      </c>
      <c r="N194" s="98">
        <f t="shared" si="50"/>
        <v>23.568102683037814</v>
      </c>
      <c r="O194" s="98">
        <f t="shared" si="50"/>
        <v>58.392108234940608</v>
      </c>
      <c r="P194" s="98">
        <f t="shared" si="50"/>
        <v>181.84232073844407</v>
      </c>
      <c r="Q194" s="98">
        <f t="shared" si="50"/>
        <v>2.5202942211875432</v>
      </c>
      <c r="R194" s="98">
        <f t="shared" si="50"/>
        <v>121.53835070803248</v>
      </c>
      <c r="S194" s="98">
        <f t="shared" si="50"/>
        <v>121.53835070803248</v>
      </c>
      <c r="T194" s="98">
        <f t="shared" si="50"/>
        <v>303.06607328982858</v>
      </c>
      <c r="U194" s="98">
        <f t="shared" si="50"/>
        <v>494.31747942630017</v>
      </c>
      <c r="V194" s="98">
        <f t="shared" si="50"/>
        <v>1037.8134033694837</v>
      </c>
      <c r="W194" s="98">
        <f t="shared" si="50"/>
        <v>441.82109886688698</v>
      </c>
      <c r="X194" s="98">
        <f t="shared" si="50"/>
        <v>441.82109886688687</v>
      </c>
      <c r="Y194" s="98">
        <f t="shared" si="50"/>
        <v>1101.7179742042943</v>
      </c>
      <c r="Z194" s="98">
        <f t="shared" si="50"/>
        <v>1796.9627749342467</v>
      </c>
      <c r="AA194" s="98">
        <f t="shared" si="50"/>
        <v>3772.7010085647398</v>
      </c>
      <c r="AB194" s="98">
        <f t="shared" si="50"/>
        <v>698.87357684077347</v>
      </c>
      <c r="AC194" s="98">
        <f t="shared" si="50"/>
        <v>698.87357684077358</v>
      </c>
      <c r="AD194" s="98">
        <f t="shared" si="50"/>
        <v>2284.4120295462862</v>
      </c>
      <c r="AE194" s="98">
        <f t="shared" si="50"/>
        <v>4788.6847963204018</v>
      </c>
      <c r="AF194" s="98">
        <f t="shared" si="50"/>
        <v>11167.320702878324</v>
      </c>
      <c r="AG194" s="98">
        <f t="shared" si="50"/>
        <v>887.40759032658002</v>
      </c>
      <c r="AH194" s="98">
        <f t="shared" si="50"/>
        <v>-17.924725847698575</v>
      </c>
      <c r="AI194" s="98">
        <f t="shared" si="50"/>
        <v>0</v>
      </c>
      <c r="AJ194" s="98">
        <f t="shared" si="50"/>
        <v>-476.90582395406551</v>
      </c>
      <c r="AK194" s="98">
        <f t="shared" si="50"/>
        <v>0</v>
      </c>
      <c r="AL194" s="98">
        <f t="shared" si="50"/>
        <v>-341.28720978183173</v>
      </c>
      <c r="AM194" s="98">
        <f t="shared" si="50"/>
        <v>0</v>
      </c>
      <c r="AN194" s="98">
        <f t="shared" si="50"/>
        <v>-7145.3201863720278</v>
      </c>
      <c r="AO194" s="98">
        <f t="shared" si="50"/>
        <v>0</v>
      </c>
    </row>
    <row r="195" spans="3:43" x14ac:dyDescent="0.3">
      <c r="C195" s="88"/>
      <c r="F195" t="s">
        <v>157</v>
      </c>
      <c r="G195" s="13" t="s">
        <v>789</v>
      </c>
      <c r="H195" s="102"/>
      <c r="J195" s="98">
        <f t="shared" ref="J195:AO195" si="51" xml:space="preserve"> IF( J$25 &lt;&gt; 0, J$24 * thousand * J75 / hundred / J$25, 0)</f>
        <v>1.8079632422243335</v>
      </c>
      <c r="K195" s="98">
        <f t="shared" si="51"/>
        <v>2.3174337378530243</v>
      </c>
      <c r="L195" s="98">
        <f t="shared" si="51"/>
        <v>0.86185385635602418</v>
      </c>
      <c r="M195" s="98">
        <f t="shared" si="51"/>
        <v>0.86185385635602407</v>
      </c>
      <c r="N195" s="98">
        <f t="shared" si="51"/>
        <v>4.2520708586931386</v>
      </c>
      <c r="O195" s="98">
        <f t="shared" si="51"/>
        <v>10.534890531605729</v>
      </c>
      <c r="P195" s="98">
        <f t="shared" si="51"/>
        <v>32.80732621067343</v>
      </c>
      <c r="Q195" s="98">
        <f t="shared" si="51"/>
        <v>5.6321114709690807</v>
      </c>
      <c r="R195" s="98">
        <f t="shared" si="51"/>
        <v>22.969207746034272</v>
      </c>
      <c r="S195" s="98">
        <f t="shared" si="51"/>
        <v>22.969207746034268</v>
      </c>
      <c r="T195" s="98">
        <f t="shared" si="51"/>
        <v>57.275646391578498</v>
      </c>
      <c r="U195" s="98">
        <f t="shared" si="51"/>
        <v>93.419737978132019</v>
      </c>
      <c r="V195" s="98">
        <f t="shared" si="51"/>
        <v>196.13357861731379</v>
      </c>
      <c r="W195" s="98">
        <f t="shared" si="51"/>
        <v>90.715421519541792</v>
      </c>
      <c r="X195" s="98">
        <f t="shared" si="51"/>
        <v>90.715421519541806</v>
      </c>
      <c r="Y195" s="98">
        <f t="shared" si="51"/>
        <v>226.20651363621107</v>
      </c>
      <c r="Z195" s="98">
        <f t="shared" si="51"/>
        <v>368.95529887810653</v>
      </c>
      <c r="AA195" s="98">
        <f t="shared" si="51"/>
        <v>774.61706364154986</v>
      </c>
      <c r="AB195" s="98">
        <f t="shared" si="51"/>
        <v>187.38817387703449</v>
      </c>
      <c r="AC195" s="98">
        <f t="shared" si="51"/>
        <v>187.38817387703446</v>
      </c>
      <c r="AD195" s="98">
        <f t="shared" si="51"/>
        <v>612.51678813568526</v>
      </c>
      <c r="AE195" s="98">
        <f t="shared" si="51"/>
        <v>1283.9845846105629</v>
      </c>
      <c r="AF195" s="98">
        <f t="shared" si="51"/>
        <v>2994.2809443035198</v>
      </c>
      <c r="AG195" s="98">
        <f t="shared" si="51"/>
        <v>3520.0077215716301</v>
      </c>
      <c r="AH195" s="98">
        <f t="shared" si="51"/>
        <v>-4.2485223941091155</v>
      </c>
      <c r="AI195" s="98">
        <f t="shared" si="51"/>
        <v>0</v>
      </c>
      <c r="AJ195" s="98">
        <f t="shared" si="51"/>
        <v>-113.03632145704762</v>
      </c>
      <c r="AK195" s="98">
        <f t="shared" si="51"/>
        <v>0</v>
      </c>
      <c r="AL195" s="98">
        <f t="shared" si="51"/>
        <v>-66.939588258455018</v>
      </c>
      <c r="AM195" s="98">
        <f t="shared" si="51"/>
        <v>0</v>
      </c>
      <c r="AN195" s="98">
        <f t="shared" si="51"/>
        <v>-1550.0196208596883</v>
      </c>
      <c r="AO195" s="98">
        <f t="shared" si="51"/>
        <v>0</v>
      </c>
    </row>
    <row r="196" spans="3:43" x14ac:dyDescent="0.3">
      <c r="C196" s="88"/>
      <c r="F196" s="23" t="s">
        <v>158</v>
      </c>
      <c r="G196" s="85" t="s">
        <v>789</v>
      </c>
      <c r="H196" s="218"/>
      <c r="I196" s="23"/>
      <c r="J196" s="126">
        <f t="shared" ref="J196:AO196" si="52" xml:space="preserve"> IF( J$25 &lt;&gt; 0, J$25 * J76 * days_in_year / hundred / J$25, 0)</f>
        <v>52.523500000000006</v>
      </c>
      <c r="K196" s="126">
        <f t="shared" si="52"/>
        <v>0</v>
      </c>
      <c r="L196" s="126">
        <f t="shared" si="52"/>
        <v>7.3</v>
      </c>
      <c r="M196" s="126">
        <f t="shared" si="52"/>
        <v>12.446499999999999</v>
      </c>
      <c r="N196" s="126">
        <f t="shared" si="52"/>
        <v>32.630999999999993</v>
      </c>
      <c r="O196" s="126">
        <f t="shared" si="52"/>
        <v>70.006999999999991</v>
      </c>
      <c r="P196" s="126">
        <f t="shared" si="52"/>
        <v>202.61149999999998</v>
      </c>
      <c r="Q196" s="126">
        <f t="shared" si="52"/>
        <v>0</v>
      </c>
      <c r="R196" s="126">
        <f t="shared" si="52"/>
        <v>29.3095</v>
      </c>
      <c r="S196" s="126">
        <f t="shared" si="52"/>
        <v>286.08699999999999</v>
      </c>
      <c r="T196" s="126">
        <f t="shared" si="52"/>
        <v>669.59249999999986</v>
      </c>
      <c r="U196" s="126">
        <f t="shared" si="52"/>
        <v>1073.6474999999998</v>
      </c>
      <c r="V196" s="126">
        <f t="shared" si="52"/>
        <v>2221.9010000000003</v>
      </c>
      <c r="W196" s="126">
        <f t="shared" si="52"/>
        <v>149.32149999999999</v>
      </c>
      <c r="X196" s="126">
        <f t="shared" si="52"/>
        <v>556.15050000000008</v>
      </c>
      <c r="Y196" s="126">
        <f t="shared" si="52"/>
        <v>1163.7659999999998</v>
      </c>
      <c r="Z196" s="126">
        <f t="shared" si="52"/>
        <v>1803.9395</v>
      </c>
      <c r="AA196" s="126">
        <f t="shared" si="52"/>
        <v>3623.2089999999998</v>
      </c>
      <c r="AB196" s="126">
        <f t="shared" si="52"/>
        <v>388.03149999999999</v>
      </c>
      <c r="AC196" s="126">
        <f t="shared" si="52"/>
        <v>3456.5135000000005</v>
      </c>
      <c r="AD196" s="126">
        <f t="shared" si="52"/>
        <v>10417.902999999998</v>
      </c>
      <c r="AE196" s="126">
        <f t="shared" si="52"/>
        <v>21413.09</v>
      </c>
      <c r="AF196" s="126">
        <f t="shared" si="52"/>
        <v>49418.882999999994</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3">
      <c r="C197" s="88"/>
      <c r="F197" t="s">
        <v>159</v>
      </c>
      <c r="G197" s="13" t="s">
        <v>789</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197.55888502139197</v>
      </c>
      <c r="S197" s="98">
        <f t="shared" si="53"/>
        <v>197.55888502139197</v>
      </c>
      <c r="T197" s="98">
        <f t="shared" si="53"/>
        <v>492.62965292973144</v>
      </c>
      <c r="U197" s="98">
        <f t="shared" si="53"/>
        <v>803.50613212320457</v>
      </c>
      <c r="V197" s="98">
        <f t="shared" si="53"/>
        <v>1686.9511362916735</v>
      </c>
      <c r="W197" s="98">
        <f t="shared" si="53"/>
        <v>911.56234518666417</v>
      </c>
      <c r="X197" s="98">
        <f t="shared" si="53"/>
        <v>911.56234518666406</v>
      </c>
      <c r="Y197" s="98">
        <f t="shared" si="53"/>
        <v>2273.0571782913898</v>
      </c>
      <c r="Z197" s="98">
        <f t="shared" si="53"/>
        <v>3707.4816153714569</v>
      </c>
      <c r="AA197" s="98">
        <f t="shared" si="53"/>
        <v>7783.8115650775962</v>
      </c>
      <c r="AB197" s="98">
        <f t="shared" si="53"/>
        <v>2017.0778270622977</v>
      </c>
      <c r="AC197" s="98">
        <f t="shared" si="53"/>
        <v>2017.0778270622975</v>
      </c>
      <c r="AD197" s="98">
        <f t="shared" si="53"/>
        <v>6593.2337483722258</v>
      </c>
      <c r="AE197" s="98">
        <f t="shared" si="53"/>
        <v>13821.02606756428</v>
      </c>
      <c r="AF197" s="98">
        <f t="shared" si="53"/>
        <v>32230.943798582957</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3">
      <c r="C198" s="88"/>
      <c r="F198" t="s">
        <v>160</v>
      </c>
      <c r="G198" s="13" t="s">
        <v>789</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6.4076038597701075</v>
      </c>
      <c r="S198" s="98">
        <f t="shared" si="54"/>
        <v>6.4076038597701084</v>
      </c>
      <c r="T198" s="98">
        <f t="shared" si="54"/>
        <v>15.977897755436089</v>
      </c>
      <c r="U198" s="98">
        <f t="shared" si="54"/>
        <v>26.060832409456573</v>
      </c>
      <c r="V198" s="98">
        <f t="shared" si="54"/>
        <v>54.714393690648976</v>
      </c>
      <c r="W198" s="98">
        <f t="shared" si="54"/>
        <v>14.461031444101083</v>
      </c>
      <c r="X198" s="98">
        <f t="shared" si="54"/>
        <v>14.461031444101083</v>
      </c>
      <c r="Y198" s="98">
        <f t="shared" si="54"/>
        <v>36.05979503550072</v>
      </c>
      <c r="Z198" s="98">
        <f t="shared" si="54"/>
        <v>58.815514376402376</v>
      </c>
      <c r="AA198" s="98">
        <f t="shared" si="54"/>
        <v>123.4824413183665</v>
      </c>
      <c r="AB198" s="98">
        <f t="shared" si="54"/>
        <v>32.443268763033487</v>
      </c>
      <c r="AC198" s="98">
        <f t="shared" si="54"/>
        <v>32.443268763033494</v>
      </c>
      <c r="AD198" s="98">
        <f t="shared" si="54"/>
        <v>106.04749685215604</v>
      </c>
      <c r="AE198" s="98">
        <f t="shared" si="54"/>
        <v>222.30141905031755</v>
      </c>
      <c r="AF198" s="98">
        <f t="shared" si="54"/>
        <v>518.41191158528295</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3">
      <c r="C199" s="88"/>
      <c r="F199" s="23" t="s">
        <v>161</v>
      </c>
      <c r="G199" s="85" t="s">
        <v>789</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3.2768082672181209</v>
      </c>
      <c r="S199" s="126">
        <f t="shared" si="55"/>
        <v>3.2768082672181209</v>
      </c>
      <c r="T199" s="126">
        <f t="shared" si="55"/>
        <v>8.1709963043279146</v>
      </c>
      <c r="U199" s="126">
        <f t="shared" si="55"/>
        <v>13.327345597322411</v>
      </c>
      <c r="V199" s="126">
        <f t="shared" si="55"/>
        <v>27.98059641405143</v>
      </c>
      <c r="W199" s="126">
        <f t="shared" si="55"/>
        <v>11.476075626961419</v>
      </c>
      <c r="X199" s="126">
        <f t="shared" si="55"/>
        <v>11.476075626961421</v>
      </c>
      <c r="Y199" s="126">
        <f t="shared" si="55"/>
        <v>28.616557298818474</v>
      </c>
      <c r="Z199" s="126">
        <f t="shared" si="55"/>
        <v>46.675183138306728</v>
      </c>
      <c r="AA199" s="126">
        <f t="shared" si="55"/>
        <v>97.99396679615532</v>
      </c>
      <c r="AB199" s="126">
        <f t="shared" si="55"/>
        <v>22.094073946115103</v>
      </c>
      <c r="AC199" s="126">
        <f t="shared" si="55"/>
        <v>22.094073946115103</v>
      </c>
      <c r="AD199" s="126">
        <f t="shared" si="55"/>
        <v>72.219024980664997</v>
      </c>
      <c r="AE199" s="126">
        <f t="shared" si="55"/>
        <v>151.38869103166164</v>
      </c>
      <c r="AF199" s="126">
        <f t="shared" si="55"/>
        <v>353.04183412501419</v>
      </c>
      <c r="AG199" s="126">
        <f t="shared" si="55"/>
        <v>0</v>
      </c>
      <c r="AH199" s="126">
        <f t="shared" si="55"/>
        <v>0</v>
      </c>
      <c r="AI199" s="126">
        <f t="shared" si="55"/>
        <v>0</v>
      </c>
      <c r="AJ199" s="126">
        <f t="shared" si="55"/>
        <v>14.32916289901784</v>
      </c>
      <c r="AK199" s="126">
        <f t="shared" si="55"/>
        <v>0</v>
      </c>
      <c r="AL199" s="126">
        <f t="shared" si="55"/>
        <v>16.609118050736246</v>
      </c>
      <c r="AM199" s="126">
        <f t="shared" si="55"/>
        <v>0</v>
      </c>
      <c r="AN199" s="126">
        <f t="shared" si="55"/>
        <v>35.116398023664701</v>
      </c>
      <c r="AO199" s="126">
        <f t="shared" si="55"/>
        <v>0</v>
      </c>
    </row>
    <row r="200" spans="3:43" x14ac:dyDescent="0.3">
      <c r="C200" s="88"/>
      <c r="F200" s="108" t="s">
        <v>99</v>
      </c>
      <c r="G200" s="214" t="s">
        <v>789</v>
      </c>
      <c r="H200" s="219"/>
      <c r="I200" s="108"/>
      <c r="J200" s="153">
        <f t="shared" ref="J200" si="56">SUM(J193:J199)</f>
        <v>76.499291963716118</v>
      </c>
      <c r="K200" s="153">
        <f t="shared" ref="K200:AO200" si="57">SUM(K193:K199)</f>
        <v>4.4806700572070719</v>
      </c>
      <c r="L200" s="153">
        <f t="shared" si="57"/>
        <v>20.26287446571417</v>
      </c>
      <c r="M200" s="153">
        <f t="shared" si="57"/>
        <v>25.409374465714169</v>
      </c>
      <c r="N200" s="153">
        <f t="shared" si="57"/>
        <v>96.585068725303017</v>
      </c>
      <c r="O200" s="153">
        <f t="shared" si="57"/>
        <v>228.45899561865525</v>
      </c>
      <c r="P200" s="153">
        <f t="shared" si="57"/>
        <v>696.05623902198977</v>
      </c>
      <c r="Q200" s="153">
        <f t="shared" si="57"/>
        <v>8.6174486413806921</v>
      </c>
      <c r="R200" s="153">
        <f t="shared" si="57"/>
        <v>583.36646370706455</v>
      </c>
      <c r="S200" s="153">
        <f t="shared" si="57"/>
        <v>840.14396370706459</v>
      </c>
      <c r="T200" s="153">
        <f t="shared" si="57"/>
        <v>2051.1800186011355</v>
      </c>
      <c r="U200" s="153">
        <f t="shared" si="57"/>
        <v>3327.0929364630802</v>
      </c>
      <c r="V200" s="153">
        <f t="shared" si="57"/>
        <v>6952.9816820697524</v>
      </c>
      <c r="W200" s="153">
        <f t="shared" si="57"/>
        <v>2412.2811984561831</v>
      </c>
      <c r="X200" s="153">
        <f t="shared" si="57"/>
        <v>2819.1101984561833</v>
      </c>
      <c r="Y200" s="153">
        <f t="shared" si="57"/>
        <v>6806.6458468047977</v>
      </c>
      <c r="Z200" s="153">
        <f t="shared" si="57"/>
        <v>11007.787731175898</v>
      </c>
      <c r="AA200" s="153">
        <f t="shared" si="57"/>
        <v>22946.573951566501</v>
      </c>
      <c r="AB200" s="153">
        <f t="shared" si="57"/>
        <v>4979.5415179768079</v>
      </c>
      <c r="AC200" s="153">
        <f t="shared" si="57"/>
        <v>8048.0235179768088</v>
      </c>
      <c r="AD200" s="153">
        <f t="shared" si="57"/>
        <v>25426.197871102595</v>
      </c>
      <c r="AE200" s="153">
        <f t="shared" si="57"/>
        <v>52874.136666882056</v>
      </c>
      <c r="AF200" s="153">
        <f t="shared" si="57"/>
        <v>122786.75178252193</v>
      </c>
      <c r="AG200" s="153">
        <f t="shared" si="57"/>
        <v>5541.0802672418304</v>
      </c>
      <c r="AH200" s="153">
        <f t="shared" si="57"/>
        <v>-48.85559840467495</v>
      </c>
      <c r="AI200" s="153">
        <f t="shared" si="57"/>
        <v>0</v>
      </c>
      <c r="AJ200" s="153">
        <f t="shared" si="57"/>
        <v>-1285.5244365322924</v>
      </c>
      <c r="AK200" s="153">
        <f t="shared" si="57"/>
        <v>0</v>
      </c>
      <c r="AL200" s="153">
        <f t="shared" si="57"/>
        <v>-856.55375448532516</v>
      </c>
      <c r="AM200" s="153">
        <f t="shared" si="57"/>
        <v>0</v>
      </c>
      <c r="AN200" s="153">
        <f t="shared" si="57"/>
        <v>-28594.263458113077</v>
      </c>
      <c r="AO200" s="153">
        <f t="shared" si="57"/>
        <v>0</v>
      </c>
    </row>
    <row r="201" spans="3:43" x14ac:dyDescent="0.3">
      <c r="C201" s="88"/>
      <c r="D201" s="2"/>
      <c r="E201" s="2"/>
      <c r="G201" s="13"/>
    </row>
    <row r="202" spans="3:43" x14ac:dyDescent="0.3">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3">
      <c r="C203" s="88"/>
      <c r="D203" s="2"/>
      <c r="E203" s="2"/>
      <c r="G203" s="13"/>
    </row>
    <row r="204" spans="3:43" x14ac:dyDescent="0.3">
      <c r="C204" s="88"/>
      <c r="D204" s="2" t="s">
        <v>792</v>
      </c>
      <c r="E204" s="2"/>
      <c r="G204" s="13"/>
    </row>
    <row r="205" spans="3:43" x14ac:dyDescent="0.3">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3">
      <c r="C206" s="88"/>
      <c r="D206" s="2"/>
      <c r="E206" t="s">
        <v>793</v>
      </c>
      <c r="G206" s="28" t="s">
        <v>166</v>
      </c>
      <c r="J206" s="111">
        <f>IF( AND( ISNUMBER(J$140), J$140 &lt;&gt; 0), ( J$140 - J189 ) / J$140, 0)</f>
        <v>0.25338838593600338</v>
      </c>
      <c r="K206" s="111">
        <f>IF( AND( ISNUMBER(K$140), K$140 &lt;&gt; 0), ( K$140 - K189 ) / K$140, 0)</f>
        <v>0.34960800768842581</v>
      </c>
      <c r="L206" s="111">
        <f t="shared" ref="L206:AK206" si="58">IF( AND( ISNUMBER(L$140), L$140 &lt;&gt; 0), ( L$140 - L189 ) / L$140, 0)</f>
        <v>0.34706486022481553</v>
      </c>
      <c r="M206" s="111">
        <f t="shared" si="58"/>
        <v>0.34779197609994855</v>
      </c>
      <c r="N206" s="111">
        <f t="shared" si="58"/>
        <v>0.3485923551964456</v>
      </c>
      <c r="O206" s="111">
        <f t="shared" si="58"/>
        <v>0.34857597417336478</v>
      </c>
      <c r="P206" s="111">
        <f t="shared" si="58"/>
        <v>0.34866754474286465</v>
      </c>
      <c r="Q206" s="111">
        <f t="shared" si="58"/>
        <v>0.34838160476862101</v>
      </c>
      <c r="R206" s="111">
        <f t="shared" si="58"/>
        <v>0.34907887639866619</v>
      </c>
      <c r="S206" s="111">
        <f t="shared" si="58"/>
        <v>0.34895662364013141</v>
      </c>
      <c r="T206" s="111">
        <f t="shared" si="58"/>
        <v>0.34896972716031183</v>
      </c>
      <c r="U206" s="111">
        <f t="shared" si="58"/>
        <v>0.34897887324088245</v>
      </c>
      <c r="V206" s="111">
        <f t="shared" si="58"/>
        <v>0.34898067215887918</v>
      </c>
      <c r="W206" s="111">
        <f t="shared" si="58"/>
        <v>1</v>
      </c>
      <c r="X206" s="111">
        <f t="shared" si="58"/>
        <v>1</v>
      </c>
      <c r="Y206" s="111">
        <f t="shared" si="58"/>
        <v>1</v>
      </c>
      <c r="Z206" s="111">
        <f t="shared" si="58"/>
        <v>1</v>
      </c>
      <c r="AA206" s="111">
        <f t="shared" si="58"/>
        <v>1</v>
      </c>
      <c r="AB206" s="111">
        <f t="shared" si="58"/>
        <v>1</v>
      </c>
      <c r="AC206" s="111">
        <f t="shared" si="58"/>
        <v>1</v>
      </c>
      <c r="AD206" s="111">
        <f t="shared" si="58"/>
        <v>1</v>
      </c>
      <c r="AE206" s="111">
        <f t="shared" si="58"/>
        <v>1</v>
      </c>
      <c r="AF206" s="111">
        <f t="shared" si="58"/>
        <v>1</v>
      </c>
      <c r="AG206" s="111">
        <f t="shared" si="58"/>
        <v>0.34876879524550403</v>
      </c>
      <c r="AH206" s="111">
        <f t="shared" si="58"/>
        <v>0</v>
      </c>
      <c r="AI206" s="392"/>
      <c r="AJ206" s="111">
        <f t="shared" si="58"/>
        <v>-1.7687230906055241E-16</v>
      </c>
      <c r="AK206" s="111">
        <f t="shared" si="58"/>
        <v>0</v>
      </c>
      <c r="AL206" s="392"/>
      <c r="AM206" s="392"/>
      <c r="AN206" s="392"/>
      <c r="AO206" s="392"/>
    </row>
    <row r="207" spans="3:43" x14ac:dyDescent="0.3">
      <c r="C207" s="88"/>
      <c r="D207" s="2"/>
      <c r="E207" t="s">
        <v>794</v>
      </c>
      <c r="G207" s="28" t="s">
        <v>166</v>
      </c>
      <c r="J207" s="111">
        <f>IF( AND( ISNUMBER(J$140), J$140 &lt;&gt; 0), ( J$140 - J200 ) / J$140, 0)</f>
        <v>0.39471689760093787</v>
      </c>
      <c r="K207" s="111">
        <f>IF( AND( ISNUMBER(K$140), K$140 &lt;&gt; 0), ( K$140 - K200 ) / K$140, 0)</f>
        <v>0.54259729639083887</v>
      </c>
      <c r="L207" s="111">
        <f t="shared" ref="L207:AO207" si="59">IF( AND( ISNUMBER(L$140), L$140 &lt;&gt; 0), ( L$140 - L200 ) / L$140, 0)</f>
        <v>0.54133676753133653</v>
      </c>
      <c r="M207" s="111">
        <f t="shared" si="59"/>
        <v>0.54151345537113327</v>
      </c>
      <c r="N207" s="111">
        <f t="shared" si="59"/>
        <v>0.54275574203080756</v>
      </c>
      <c r="O207" s="111">
        <f t="shared" si="59"/>
        <v>0.54302988707441735</v>
      </c>
      <c r="P207" s="111">
        <f t="shared" si="59"/>
        <v>0.54310086406726488</v>
      </c>
      <c r="Q207" s="111">
        <f t="shared" si="59"/>
        <v>0.54273926030363162</v>
      </c>
      <c r="R207" s="111">
        <f t="shared" si="59"/>
        <v>0.54357857468971604</v>
      </c>
      <c r="S207" s="111">
        <f t="shared" si="59"/>
        <v>0.54346644021539636</v>
      </c>
      <c r="T207" s="111">
        <f t="shared" si="59"/>
        <v>0.54349585384702126</v>
      </c>
      <c r="U207" s="111">
        <f t="shared" si="59"/>
        <v>0.54350488936158825</v>
      </c>
      <c r="V207" s="111">
        <f t="shared" si="59"/>
        <v>0.54350942114379674</v>
      </c>
      <c r="W207" s="111">
        <f t="shared" si="59"/>
        <v>0.27543183257425286</v>
      </c>
      <c r="X207" s="111">
        <f t="shared" si="59"/>
        <v>0.27554767023761084</v>
      </c>
      <c r="Y207" s="111">
        <f t="shared" si="59"/>
        <v>0.27553230672933049</v>
      </c>
      <c r="Z207" s="111">
        <f t="shared" si="59"/>
        <v>0.27552908808466231</v>
      </c>
      <c r="AA207" s="111">
        <f t="shared" si="59"/>
        <v>0.27552461709718912</v>
      </c>
      <c r="AB207" s="111">
        <f t="shared" si="59"/>
        <v>0.14341700527858045</v>
      </c>
      <c r="AC207" s="111">
        <f t="shared" si="59"/>
        <v>0.14366837833864424</v>
      </c>
      <c r="AD207" s="111">
        <f t="shared" si="59"/>
        <v>0.14365646610582622</v>
      </c>
      <c r="AE207" s="111">
        <f t="shared" si="59"/>
        <v>0.14365343246510295</v>
      </c>
      <c r="AF207" s="111">
        <f t="shared" si="59"/>
        <v>0.14365224062310472</v>
      </c>
      <c r="AG207" s="111">
        <f t="shared" si="59"/>
        <v>0.54322144151649077</v>
      </c>
      <c r="AH207" s="111">
        <f t="shared" si="59"/>
        <v>0</v>
      </c>
      <c r="AI207" s="111">
        <f t="shared" si="59"/>
        <v>0</v>
      </c>
      <c r="AJ207" s="111">
        <f t="shared" si="59"/>
        <v>-1.7687230906055241E-16</v>
      </c>
      <c r="AK207" s="111">
        <f t="shared" si="59"/>
        <v>0</v>
      </c>
      <c r="AL207" s="111">
        <f t="shared" si="59"/>
        <v>-1.3272586469476945E-16</v>
      </c>
      <c r="AM207" s="111">
        <f t="shared" si="59"/>
        <v>0</v>
      </c>
      <c r="AN207" s="111">
        <f t="shared" si="59"/>
        <v>-1.0682771197368908E-3</v>
      </c>
      <c r="AO207" s="111">
        <f t="shared" si="59"/>
        <v>0</v>
      </c>
    </row>
    <row r="208" spans="3:43" x14ac:dyDescent="0.3">
      <c r="C208" s="88"/>
      <c r="D208" s="2"/>
      <c r="E208" s="2"/>
      <c r="F208" s="102"/>
      <c r="G208" s="102"/>
    </row>
    <row r="209" spans="2:43" x14ac:dyDescent="0.3">
      <c r="B209" s="30" t="s">
        <v>230</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3">
      <c r="F210" s="3"/>
      <c r="G210" s="212"/>
      <c r="H210" s="3"/>
      <c r="I210" s="3"/>
    </row>
    <row r="211" spans="2:43" x14ac:dyDescent="0.3">
      <c r="D211" t="s">
        <v>231</v>
      </c>
      <c r="G211" s="6" t="s">
        <v>54</v>
      </c>
      <c r="H211" s="103">
        <f t="array" ref="H211">SUM(IF(ISERROR($H$13:$AP$207), 1))</f>
        <v>0</v>
      </c>
      <c r="I211" s="3"/>
    </row>
    <row r="212" spans="2:43" x14ac:dyDescent="0.3">
      <c r="F212" s="3"/>
      <c r="G212" s="3"/>
      <c r="H212" s="3"/>
      <c r="I212" s="3"/>
    </row>
    <row r="213" spans="2:43" x14ac:dyDescent="0.3">
      <c r="B213" s="30" t="s">
        <v>105</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3"/>
  <sheetViews>
    <sheetView showGridLines="0" zoomScale="80" zoomScaleNormal="80" workbookViewId="0">
      <pane xSplit="9" ySplit="5" topLeftCell="J58" activePane="bottomRight" state="frozen"/>
      <selection pane="topRight"/>
      <selection pane="bottomLeft"/>
      <selection pane="bottomRight" activeCell="M16" sqref="M1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16" width="17" customWidth="1"/>
    <col min="17" max="17" width="2.44140625" customWidth="1"/>
    <col min="18" max="18" width="50.5546875" customWidth="1"/>
    <col min="19" max="19" width="2.44140625" customWidth="1"/>
    <col min="20" max="27" width="0" hidden="1" customWidth="1"/>
    <col min="28" max="28" width="24.5546875" hidden="1" customWidth="1"/>
    <col min="29" max="29" width="3.5546875" hidden="1" customWidth="1"/>
    <col min="30" max="30" width="15.44140625" hidden="1" customWidth="1"/>
    <col min="31" max="285" width="24.5546875" hidden="1" customWidth="1"/>
    <col min="286" max="16384" width="8.5546875" hidden="1"/>
  </cols>
  <sheetData>
    <row r="1" spans="1:44" s="1" customFormat="1" x14ac:dyDescent="0.3">
      <c r="A1" s="1" t="str">
        <f ca="1">MID(CELL("filename",A1),FIND("]",CELL("filename",A1))+1,255)</f>
        <v>Tariff summary</v>
      </c>
    </row>
    <row r="2" spans="1:44" s="1" customFormat="1" x14ac:dyDescent="0.3">
      <c r="A2" s="1" t="str">
        <f>Cover!D21&amp;" - "&amp;Cover!D23</f>
        <v>Electricity North West Limited - Working Model</v>
      </c>
    </row>
    <row r="3" spans="1:44" s="5" customFormat="1" x14ac:dyDescent="0.3">
      <c r="A3" s="5" t="str">
        <f>Cover!D2&amp;" - "&amp;Cover!D8&amp;" v"&amp;Cover!D10&amp;" - "&amp;Cover!D19</f>
        <v>CDCM charging model - Release for charge setting v7 - 2022/23</v>
      </c>
    </row>
    <row r="4" spans="1:44" x14ac:dyDescent="0.3">
      <c r="A4" s="12" t="str">
        <f>H119 &amp; IF(H119 = 1, " issue", " issues") &amp;" identified in checks on this sheet"</f>
        <v>0 issues identified in checks on this sheet</v>
      </c>
      <c r="B4" s="13"/>
      <c r="C4" s="13"/>
      <c r="D4" s="13"/>
      <c r="E4" s="13"/>
      <c r="F4" s="13"/>
      <c r="G4" s="13"/>
      <c r="H4" s="14"/>
      <c r="I4" s="14"/>
      <c r="J4" s="13"/>
    </row>
    <row r="5" spans="1:44" ht="43.2" x14ac:dyDescent="0.3">
      <c r="B5" s="59" t="s">
        <v>141</v>
      </c>
      <c r="C5" s="60"/>
      <c r="D5" s="60"/>
      <c r="E5" s="60"/>
      <c r="F5" s="60"/>
      <c r="G5" s="61"/>
      <c r="H5" s="61" t="s">
        <v>795</v>
      </c>
      <c r="J5" s="62" t="s">
        <v>796</v>
      </c>
      <c r="K5" s="62" t="s">
        <v>797</v>
      </c>
      <c r="L5" s="62" t="s">
        <v>798</v>
      </c>
      <c r="M5" s="62" t="s">
        <v>799</v>
      </c>
      <c r="N5" s="62" t="s">
        <v>800</v>
      </c>
      <c r="O5" s="62" t="s">
        <v>801</v>
      </c>
      <c r="P5" s="62" t="s">
        <v>802</v>
      </c>
      <c r="R5" s="61" t="s">
        <v>144</v>
      </c>
    </row>
    <row r="7" spans="1:44" x14ac:dyDescent="0.3">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3">
      <c r="C9" s="29" t="s">
        <v>803</v>
      </c>
    </row>
    <row r="11" spans="1:44" x14ac:dyDescent="0.3">
      <c r="B11" s="30" t="s">
        <v>95</v>
      </c>
      <c r="C11" s="30"/>
      <c r="D11" s="30"/>
      <c r="E11" s="30"/>
      <c r="F11" s="30"/>
      <c r="G11" s="30"/>
      <c r="H11" s="30"/>
      <c r="I11" s="30"/>
      <c r="J11" s="30"/>
      <c r="K11" s="30"/>
      <c r="L11" s="105"/>
      <c r="M11" s="105"/>
      <c r="N11" s="105"/>
      <c r="O11" s="105"/>
      <c r="P11" s="105"/>
      <c r="Q11" s="105"/>
      <c r="R11" s="105"/>
    </row>
    <row r="12" spans="1:44" x14ac:dyDescent="0.3">
      <c r="D12"/>
      <c r="E12"/>
    </row>
    <row r="13" spans="1:44" x14ac:dyDescent="0.3">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x14ac:dyDescent="0.3">
      <c r="D14"/>
      <c r="E14"/>
    </row>
    <row r="15" spans="1:44" x14ac:dyDescent="0.3">
      <c r="D15" s="32"/>
      <c r="E15" s="32" t="s">
        <v>804</v>
      </c>
    </row>
    <row r="16" spans="1:44" x14ac:dyDescent="0.3">
      <c r="F16" s="23" t="s">
        <v>912</v>
      </c>
      <c r="G16" s="23"/>
      <c r="H16" s="23" t="s">
        <v>772</v>
      </c>
      <c r="I16" s="23"/>
      <c r="J16" s="220">
        <f t="array" ref="J16:P47">TRANSPOSE(Rounding!J150:AO156)</f>
        <v>8.3510000000000009</v>
      </c>
      <c r="K16" s="220">
        <v>1.5169999999999999</v>
      </c>
      <c r="L16" s="220">
        <v>0.214</v>
      </c>
      <c r="M16" s="377">
        <v>20.25</v>
      </c>
      <c r="N16" s="221">
        <v>0</v>
      </c>
      <c r="O16" s="221">
        <v>0</v>
      </c>
      <c r="P16" s="220">
        <v>0</v>
      </c>
    </row>
    <row r="17" spans="6:16" x14ac:dyDescent="0.3">
      <c r="F17" t="s">
        <v>830</v>
      </c>
      <c r="H17" t="s">
        <v>772</v>
      </c>
      <c r="J17" s="222">
        <v>8.3510000000000009</v>
      </c>
      <c r="K17" s="222">
        <v>1.5169999999999999</v>
      </c>
      <c r="L17" s="222">
        <v>0.214</v>
      </c>
      <c r="M17" s="378">
        <v>0</v>
      </c>
      <c r="N17" s="223">
        <v>0</v>
      </c>
      <c r="O17" s="223">
        <v>0</v>
      </c>
      <c r="P17" s="222">
        <v>0</v>
      </c>
    </row>
    <row r="18" spans="6:16" x14ac:dyDescent="0.3">
      <c r="F18" t="s">
        <v>913</v>
      </c>
      <c r="H18" t="s">
        <v>772</v>
      </c>
      <c r="J18" s="222">
        <v>9.6319999999999997</v>
      </c>
      <c r="K18" s="222">
        <v>1.7490000000000001</v>
      </c>
      <c r="L18" s="222">
        <v>0.247</v>
      </c>
      <c r="M18" s="378">
        <v>4.33</v>
      </c>
      <c r="N18" s="223">
        <v>0</v>
      </c>
      <c r="O18" s="223">
        <v>0</v>
      </c>
      <c r="P18" s="222">
        <v>0</v>
      </c>
    </row>
    <row r="19" spans="6:16" x14ac:dyDescent="0.3">
      <c r="F19" t="s">
        <v>914</v>
      </c>
      <c r="H19" t="s">
        <v>772</v>
      </c>
      <c r="J19" s="222">
        <v>9.6319999999999997</v>
      </c>
      <c r="K19" s="222">
        <v>1.7490000000000001</v>
      </c>
      <c r="L19" s="222">
        <v>0.247</v>
      </c>
      <c r="M19" s="378">
        <v>7.41</v>
      </c>
      <c r="N19" s="223">
        <v>0</v>
      </c>
      <c r="O19" s="223">
        <v>0</v>
      </c>
      <c r="P19" s="222">
        <v>0</v>
      </c>
    </row>
    <row r="20" spans="6:16" x14ac:dyDescent="0.3">
      <c r="F20" t="s">
        <v>915</v>
      </c>
      <c r="H20" t="s">
        <v>772</v>
      </c>
      <c r="J20" s="222">
        <v>9.6319999999999997</v>
      </c>
      <c r="K20" s="222">
        <v>1.7490000000000001</v>
      </c>
      <c r="L20" s="222">
        <v>0.247</v>
      </c>
      <c r="M20" s="378">
        <v>19.52</v>
      </c>
      <c r="N20" s="223">
        <v>0</v>
      </c>
      <c r="O20" s="223">
        <v>0</v>
      </c>
      <c r="P20" s="222">
        <v>0</v>
      </c>
    </row>
    <row r="21" spans="6:16" x14ac:dyDescent="0.3">
      <c r="F21" t="s">
        <v>916</v>
      </c>
      <c r="H21" t="s">
        <v>772</v>
      </c>
      <c r="J21" s="222">
        <v>9.6319999999999997</v>
      </c>
      <c r="K21" s="222">
        <v>1.7490000000000001</v>
      </c>
      <c r="L21" s="222">
        <v>0.247</v>
      </c>
      <c r="M21" s="378">
        <v>41.95</v>
      </c>
      <c r="N21" s="223">
        <v>0</v>
      </c>
      <c r="O21" s="223">
        <v>0</v>
      </c>
      <c r="P21" s="222">
        <v>0</v>
      </c>
    </row>
    <row r="22" spans="6:16" x14ac:dyDescent="0.3">
      <c r="F22" t="s">
        <v>917</v>
      </c>
      <c r="H22" t="s">
        <v>772</v>
      </c>
      <c r="J22" s="222">
        <v>9.6319999999999997</v>
      </c>
      <c r="K22" s="222">
        <v>1.7490000000000001</v>
      </c>
      <c r="L22" s="222">
        <v>0.247</v>
      </c>
      <c r="M22" s="378">
        <v>121.47</v>
      </c>
      <c r="N22" s="223">
        <v>0</v>
      </c>
      <c r="O22" s="223">
        <v>0</v>
      </c>
      <c r="P22" s="222">
        <v>0</v>
      </c>
    </row>
    <row r="23" spans="6:16" x14ac:dyDescent="0.3">
      <c r="F23" t="s">
        <v>831</v>
      </c>
      <c r="H23" t="s">
        <v>772</v>
      </c>
      <c r="J23" s="222">
        <v>9.6319999999999997</v>
      </c>
      <c r="K23" s="222">
        <v>1.7490000000000001</v>
      </c>
      <c r="L23" s="222">
        <v>0.247</v>
      </c>
      <c r="M23" s="378">
        <v>0</v>
      </c>
      <c r="N23" s="223">
        <v>0</v>
      </c>
      <c r="O23" s="223">
        <v>0</v>
      </c>
      <c r="P23" s="222">
        <v>0</v>
      </c>
    </row>
    <row r="24" spans="6:16" x14ac:dyDescent="0.3">
      <c r="F24" t="s">
        <v>918</v>
      </c>
      <c r="H24" t="s">
        <v>772</v>
      </c>
      <c r="J24" s="222">
        <v>7.0439999999999996</v>
      </c>
      <c r="K24" s="222">
        <v>1.1739999999999999</v>
      </c>
      <c r="L24" s="222">
        <v>0.17</v>
      </c>
      <c r="M24" s="378">
        <v>17.53</v>
      </c>
      <c r="N24" s="223">
        <v>3.14</v>
      </c>
      <c r="O24" s="223">
        <v>4.75</v>
      </c>
      <c r="P24" s="222">
        <v>0.152</v>
      </c>
    </row>
    <row r="25" spans="6:16" x14ac:dyDescent="0.3">
      <c r="F25" t="s">
        <v>919</v>
      </c>
      <c r="H25" t="s">
        <v>772</v>
      </c>
      <c r="J25" s="222">
        <v>7.0439999999999996</v>
      </c>
      <c r="K25" s="222">
        <v>1.1739999999999999</v>
      </c>
      <c r="L25" s="222">
        <v>0.17</v>
      </c>
      <c r="M25" s="378">
        <v>171.54</v>
      </c>
      <c r="N25" s="223">
        <v>3.14</v>
      </c>
      <c r="O25" s="223">
        <v>4.75</v>
      </c>
      <c r="P25" s="222">
        <v>0.152</v>
      </c>
    </row>
    <row r="26" spans="6:16" x14ac:dyDescent="0.3">
      <c r="F26" t="s">
        <v>920</v>
      </c>
      <c r="H26" t="s">
        <v>772</v>
      </c>
      <c r="J26" s="222">
        <v>7.0439999999999996</v>
      </c>
      <c r="K26" s="222">
        <v>1.1739999999999999</v>
      </c>
      <c r="L26" s="222">
        <v>0.17</v>
      </c>
      <c r="M26" s="378">
        <v>401.55</v>
      </c>
      <c r="N26" s="223">
        <v>3.14</v>
      </c>
      <c r="O26" s="223">
        <v>4.75</v>
      </c>
      <c r="P26" s="222">
        <v>0.152</v>
      </c>
    </row>
    <row r="27" spans="6:16" x14ac:dyDescent="0.3">
      <c r="F27" t="s">
        <v>921</v>
      </c>
      <c r="H27" t="s">
        <v>772</v>
      </c>
      <c r="J27" s="222">
        <v>7.0439999999999996</v>
      </c>
      <c r="K27" s="222">
        <v>1.1739999999999999</v>
      </c>
      <c r="L27" s="222">
        <v>0.17</v>
      </c>
      <c r="M27" s="378">
        <v>643.89</v>
      </c>
      <c r="N27" s="223">
        <v>3.14</v>
      </c>
      <c r="O27" s="223">
        <v>4.75</v>
      </c>
      <c r="P27" s="222">
        <v>0.152</v>
      </c>
    </row>
    <row r="28" spans="6:16" x14ac:dyDescent="0.3">
      <c r="F28" t="s">
        <v>922</v>
      </c>
      <c r="H28" t="s">
        <v>772</v>
      </c>
      <c r="J28" s="222">
        <v>7.0439999999999996</v>
      </c>
      <c r="K28" s="222">
        <v>1.1739999999999999</v>
      </c>
      <c r="L28" s="222">
        <v>0.17</v>
      </c>
      <c r="M28" s="378">
        <v>1332.55</v>
      </c>
      <c r="N28" s="223">
        <v>3.14</v>
      </c>
      <c r="O28" s="223">
        <v>4.75</v>
      </c>
      <c r="P28" s="222">
        <v>0.152</v>
      </c>
    </row>
    <row r="29" spans="6:16" x14ac:dyDescent="0.3">
      <c r="F29" t="s">
        <v>923</v>
      </c>
      <c r="H29" t="s">
        <v>772</v>
      </c>
      <c r="J29" s="222">
        <v>5.6829999999999998</v>
      </c>
      <c r="K29" s="222">
        <v>0.86</v>
      </c>
      <c r="L29" s="222">
        <v>0.129</v>
      </c>
      <c r="M29" s="378">
        <v>56.51</v>
      </c>
      <c r="N29" s="223">
        <v>3.21</v>
      </c>
      <c r="O29" s="223">
        <v>5.51</v>
      </c>
      <c r="P29" s="222">
        <v>0.112</v>
      </c>
    </row>
    <row r="30" spans="6:16" x14ac:dyDescent="0.3">
      <c r="F30" t="s">
        <v>924</v>
      </c>
      <c r="H30" t="s">
        <v>772</v>
      </c>
      <c r="J30" s="222">
        <v>5.6829999999999998</v>
      </c>
      <c r="K30" s="222">
        <v>0.86</v>
      </c>
      <c r="L30" s="222">
        <v>0.129</v>
      </c>
      <c r="M30" s="378">
        <v>210.51</v>
      </c>
      <c r="N30" s="223">
        <v>3.21</v>
      </c>
      <c r="O30" s="223">
        <v>5.51</v>
      </c>
      <c r="P30" s="222">
        <v>0.112</v>
      </c>
    </row>
    <row r="31" spans="6:16" x14ac:dyDescent="0.3">
      <c r="F31" s="303" t="s">
        <v>925</v>
      </c>
      <c r="G31" s="303"/>
      <c r="H31" s="303" t="s">
        <v>772</v>
      </c>
      <c r="I31" s="303"/>
      <c r="J31" s="336">
        <v>5.6829999999999998</v>
      </c>
      <c r="K31" s="336">
        <v>0.86</v>
      </c>
      <c r="L31" s="336">
        <v>0.129</v>
      </c>
      <c r="M31" s="379">
        <v>440.52</v>
      </c>
      <c r="N31" s="337">
        <v>3.21</v>
      </c>
      <c r="O31" s="337">
        <v>5.51</v>
      </c>
      <c r="P31" s="336">
        <v>0.112</v>
      </c>
    </row>
    <row r="32" spans="6:16" x14ac:dyDescent="0.3">
      <c r="F32" s="303" t="s">
        <v>926</v>
      </c>
      <c r="G32" s="303"/>
      <c r="H32" s="303" t="s">
        <v>772</v>
      </c>
      <c r="I32" s="303"/>
      <c r="J32" s="336">
        <v>5.6829999999999998</v>
      </c>
      <c r="K32" s="336">
        <v>0.86</v>
      </c>
      <c r="L32" s="336">
        <v>0.129</v>
      </c>
      <c r="M32" s="379">
        <v>682.86</v>
      </c>
      <c r="N32" s="337">
        <v>3.21</v>
      </c>
      <c r="O32" s="337">
        <v>5.51</v>
      </c>
      <c r="P32" s="336">
        <v>0.112</v>
      </c>
    </row>
    <row r="33" spans="6:16" x14ac:dyDescent="0.3">
      <c r="F33" s="303" t="s">
        <v>927</v>
      </c>
      <c r="G33" s="303"/>
      <c r="H33" s="303" t="s">
        <v>772</v>
      </c>
      <c r="I33" s="303"/>
      <c r="J33" s="336">
        <v>5.6829999999999998</v>
      </c>
      <c r="K33" s="336">
        <v>0.86</v>
      </c>
      <c r="L33" s="336">
        <v>0.129</v>
      </c>
      <c r="M33" s="379">
        <v>1371.53</v>
      </c>
      <c r="N33" s="337">
        <v>3.21</v>
      </c>
      <c r="O33" s="337">
        <v>5.51</v>
      </c>
      <c r="P33" s="336">
        <v>0.112</v>
      </c>
    </row>
    <row r="34" spans="6:16" x14ac:dyDescent="0.3">
      <c r="F34" s="303" t="s">
        <v>928</v>
      </c>
      <c r="G34" s="303"/>
      <c r="H34" s="303" t="s">
        <v>772</v>
      </c>
      <c r="I34" s="303"/>
      <c r="J34" s="336">
        <v>3.9129999999999998</v>
      </c>
      <c r="K34" s="336">
        <v>0.49299999999999999</v>
      </c>
      <c r="L34" s="336">
        <v>7.9000000000000001E-2</v>
      </c>
      <c r="M34" s="379">
        <v>124.2</v>
      </c>
      <c r="N34" s="337">
        <v>3.15</v>
      </c>
      <c r="O34" s="337">
        <v>5.74</v>
      </c>
      <c r="P34" s="336">
        <v>6.9000000000000006E-2</v>
      </c>
    </row>
    <row r="35" spans="6:16" x14ac:dyDescent="0.3">
      <c r="F35" s="303" t="s">
        <v>929</v>
      </c>
      <c r="G35" s="303"/>
      <c r="H35" s="303" t="s">
        <v>772</v>
      </c>
      <c r="I35" s="303"/>
      <c r="J35" s="336">
        <v>3.9129999999999998</v>
      </c>
      <c r="K35" s="336">
        <v>0.49299999999999999</v>
      </c>
      <c r="L35" s="336">
        <v>7.9000000000000001E-2</v>
      </c>
      <c r="M35" s="379">
        <v>1106.3900000000001</v>
      </c>
      <c r="N35" s="337">
        <v>3.15</v>
      </c>
      <c r="O35" s="337">
        <v>5.74</v>
      </c>
      <c r="P35" s="336">
        <v>6.9000000000000006E-2</v>
      </c>
    </row>
    <row r="36" spans="6:16" x14ac:dyDescent="0.3">
      <c r="F36" s="303" t="s">
        <v>930</v>
      </c>
      <c r="G36" s="303"/>
      <c r="H36" s="303" t="s">
        <v>772</v>
      </c>
      <c r="I36" s="303"/>
      <c r="J36" s="336">
        <v>3.9129999999999998</v>
      </c>
      <c r="K36" s="336">
        <v>0.49299999999999999</v>
      </c>
      <c r="L36" s="336">
        <v>7.9000000000000001E-2</v>
      </c>
      <c r="M36" s="379">
        <v>3334.67</v>
      </c>
      <c r="N36" s="337">
        <v>3.15</v>
      </c>
      <c r="O36" s="337">
        <v>5.74</v>
      </c>
      <c r="P36" s="336">
        <v>6.9000000000000006E-2</v>
      </c>
    </row>
    <row r="37" spans="6:16" x14ac:dyDescent="0.3">
      <c r="F37" s="303" t="s">
        <v>931</v>
      </c>
      <c r="G37" s="303"/>
      <c r="H37" s="303" t="s">
        <v>772</v>
      </c>
      <c r="I37" s="303"/>
      <c r="J37" s="336">
        <v>3.9129999999999998</v>
      </c>
      <c r="K37" s="336">
        <v>0.49299999999999999</v>
      </c>
      <c r="L37" s="336">
        <v>7.9000000000000001E-2</v>
      </c>
      <c r="M37" s="379">
        <v>6854.13</v>
      </c>
      <c r="N37" s="337">
        <v>3.15</v>
      </c>
      <c r="O37" s="337">
        <v>5.74</v>
      </c>
      <c r="P37" s="336">
        <v>6.9000000000000006E-2</v>
      </c>
    </row>
    <row r="38" spans="6:16" x14ac:dyDescent="0.3">
      <c r="F38" s="303" t="s">
        <v>932</v>
      </c>
      <c r="G38" s="303"/>
      <c r="H38" s="303" t="s">
        <v>772</v>
      </c>
      <c r="I38" s="303"/>
      <c r="J38" s="336">
        <v>3.9129999999999998</v>
      </c>
      <c r="K38" s="336">
        <v>0.49299999999999999</v>
      </c>
      <c r="L38" s="336">
        <v>7.9000000000000001E-2</v>
      </c>
      <c r="M38" s="379">
        <v>15818.55</v>
      </c>
      <c r="N38" s="337">
        <v>3.15</v>
      </c>
      <c r="O38" s="337">
        <v>5.74</v>
      </c>
      <c r="P38" s="336">
        <v>6.9000000000000006E-2</v>
      </c>
    </row>
    <row r="39" spans="6:16" x14ac:dyDescent="0.3">
      <c r="F39" s="303" t="s">
        <v>840</v>
      </c>
      <c r="G39" s="303"/>
      <c r="H39" s="303" t="s">
        <v>772</v>
      </c>
      <c r="I39" s="303"/>
      <c r="J39" s="336">
        <v>16.736000000000001</v>
      </c>
      <c r="K39" s="336">
        <v>3.9470000000000001</v>
      </c>
      <c r="L39" s="336">
        <v>3.03</v>
      </c>
      <c r="M39" s="379">
        <v>0</v>
      </c>
      <c r="N39" s="337">
        <v>0</v>
      </c>
      <c r="O39" s="337">
        <v>0</v>
      </c>
      <c r="P39" s="336">
        <v>0</v>
      </c>
    </row>
    <row r="40" spans="6:16" x14ac:dyDescent="0.3">
      <c r="F40" s="303" t="s">
        <v>832</v>
      </c>
      <c r="G40" s="303"/>
      <c r="H40" s="303" t="s">
        <v>772</v>
      </c>
      <c r="I40" s="303"/>
      <c r="J40" s="336">
        <v>-6.5190000000000001</v>
      </c>
      <c r="K40" s="336">
        <v>-1.1839999999999999</v>
      </c>
      <c r="L40" s="336">
        <v>-0.16700000000000001</v>
      </c>
      <c r="M40" s="379">
        <v>0</v>
      </c>
      <c r="N40" s="337">
        <v>0</v>
      </c>
      <c r="O40" s="337">
        <v>0</v>
      </c>
      <c r="P40" s="336">
        <v>0</v>
      </c>
    </row>
    <row r="41" spans="6:16" x14ac:dyDescent="0.3">
      <c r="F41" s="303" t="s">
        <v>833</v>
      </c>
      <c r="G41" s="303"/>
      <c r="H41" s="303" t="s">
        <v>772</v>
      </c>
      <c r="I41" s="303"/>
      <c r="J41" s="336">
        <v>-5.43</v>
      </c>
      <c r="K41" s="336">
        <v>-0.92200000000000004</v>
      </c>
      <c r="L41" s="336">
        <v>-0.13300000000000001</v>
      </c>
      <c r="M41" s="379">
        <v>0</v>
      </c>
      <c r="N41" s="337">
        <v>0</v>
      </c>
      <c r="O41" s="337">
        <v>0</v>
      </c>
      <c r="P41" s="336">
        <v>0</v>
      </c>
    </row>
    <row r="42" spans="6:16" x14ac:dyDescent="0.3">
      <c r="F42" s="303" t="s">
        <v>834</v>
      </c>
      <c r="G42" s="303"/>
      <c r="H42" s="303" t="s">
        <v>772</v>
      </c>
      <c r="I42" s="303"/>
      <c r="J42" s="336">
        <v>-6.5190000000000001</v>
      </c>
      <c r="K42" s="336">
        <v>-1.1839999999999999</v>
      </c>
      <c r="L42" s="336">
        <v>-0.16700000000000001</v>
      </c>
      <c r="M42" s="379">
        <v>0</v>
      </c>
      <c r="N42" s="337">
        <v>0</v>
      </c>
      <c r="O42" s="337">
        <v>0</v>
      </c>
      <c r="P42" s="336">
        <v>0.126</v>
      </c>
    </row>
    <row r="43" spans="6:16" x14ac:dyDescent="0.3">
      <c r="F43" s="303" t="s">
        <v>843</v>
      </c>
      <c r="G43" s="303"/>
      <c r="H43" s="303" t="s">
        <v>772</v>
      </c>
      <c r="I43" s="303"/>
      <c r="J43" s="336">
        <v>-6.5190000000000001</v>
      </c>
      <c r="K43" s="336">
        <v>-1.1839999999999999</v>
      </c>
      <c r="L43" s="336">
        <v>-0.16700000000000001</v>
      </c>
      <c r="M43" s="379">
        <v>0</v>
      </c>
      <c r="N43" s="337">
        <v>0</v>
      </c>
      <c r="O43" s="337">
        <v>0</v>
      </c>
      <c r="P43" s="336">
        <v>0</v>
      </c>
    </row>
    <row r="44" spans="6:16" x14ac:dyDescent="0.3">
      <c r="F44" s="303" t="s">
        <v>835</v>
      </c>
      <c r="G44" s="303"/>
      <c r="H44" s="303" t="s">
        <v>772</v>
      </c>
      <c r="I44" s="303"/>
      <c r="J44" s="336">
        <v>-5.43</v>
      </c>
      <c r="K44" s="336">
        <v>-0.92200000000000004</v>
      </c>
      <c r="L44" s="336">
        <v>-0.13300000000000001</v>
      </c>
      <c r="M44" s="379">
        <v>0</v>
      </c>
      <c r="N44" s="337">
        <v>0</v>
      </c>
      <c r="O44" s="337">
        <v>0</v>
      </c>
      <c r="P44" s="336">
        <v>0.106</v>
      </c>
    </row>
    <row r="45" spans="6:16" x14ac:dyDescent="0.3">
      <c r="F45" s="303" t="s">
        <v>842</v>
      </c>
      <c r="G45" s="303"/>
      <c r="H45" s="303" t="s">
        <v>772</v>
      </c>
      <c r="I45" s="303"/>
      <c r="J45" s="336">
        <v>-5.43</v>
      </c>
      <c r="K45" s="336">
        <v>-0.92200000000000004</v>
      </c>
      <c r="L45" s="336">
        <v>-0.13300000000000001</v>
      </c>
      <c r="M45" s="379">
        <v>0</v>
      </c>
      <c r="N45" s="337">
        <v>0</v>
      </c>
      <c r="O45" s="337">
        <v>0</v>
      </c>
      <c r="P45" s="336">
        <v>0</v>
      </c>
    </row>
    <row r="46" spans="6:16" x14ac:dyDescent="0.3">
      <c r="F46" s="303" t="s">
        <v>836</v>
      </c>
      <c r="G46" s="303"/>
      <c r="H46" s="303" t="s">
        <v>772</v>
      </c>
      <c r="I46" s="303"/>
      <c r="J46" s="336">
        <v>-4.1420000000000003</v>
      </c>
      <c r="K46" s="336">
        <v>-0.60099999999999998</v>
      </c>
      <c r="L46" s="336">
        <v>-9.0999999999999998E-2</v>
      </c>
      <c r="M46" s="379">
        <v>8.36</v>
      </c>
      <c r="N46" s="337">
        <v>0</v>
      </c>
      <c r="O46" s="337">
        <v>0</v>
      </c>
      <c r="P46" s="336">
        <v>0.08</v>
      </c>
    </row>
    <row r="47" spans="6:16" x14ac:dyDescent="0.3">
      <c r="F47" s="37" t="s">
        <v>841</v>
      </c>
      <c r="G47" s="37"/>
      <c r="H47" s="37" t="s">
        <v>772</v>
      </c>
      <c r="I47" s="37"/>
      <c r="J47" s="224">
        <v>-4.1420000000000003</v>
      </c>
      <c r="K47" s="224">
        <v>-0.60099999999999998</v>
      </c>
      <c r="L47" s="224">
        <v>-9.0999999999999998E-2</v>
      </c>
      <c r="M47" s="380">
        <v>8.36</v>
      </c>
      <c r="N47" s="225">
        <v>0</v>
      </c>
      <c r="O47" s="225">
        <v>0</v>
      </c>
      <c r="P47" s="224">
        <v>0</v>
      </c>
    </row>
    <row r="48" spans="6:16" x14ac:dyDescent="0.3">
      <c r="F48" s="2"/>
      <c r="J48" s="14"/>
      <c r="K48" s="14"/>
      <c r="L48" s="14"/>
      <c r="M48" s="226"/>
      <c r="N48" s="226"/>
      <c r="O48" s="226"/>
      <c r="P48" s="14"/>
    </row>
    <row r="49" spans="4:16" x14ac:dyDescent="0.3">
      <c r="D49" s="32"/>
      <c r="E49" s="32" t="s">
        <v>805</v>
      </c>
      <c r="F49" s="2"/>
      <c r="J49" s="14"/>
      <c r="K49" s="14"/>
      <c r="L49" s="14"/>
      <c r="M49" s="226"/>
      <c r="N49" s="226"/>
      <c r="O49" s="226"/>
      <c r="P49" s="14"/>
    </row>
    <row r="50" spans="4:16" x14ac:dyDescent="0.3">
      <c r="F50" s="23" t="s">
        <v>912</v>
      </c>
      <c r="G50" s="23"/>
      <c r="H50" s="23" t="s">
        <v>447</v>
      </c>
      <c r="I50" s="23"/>
      <c r="J50" s="220">
        <f t="array" ref="J50:P81">TRANSPOSE(Rounding!J159:AO165)</f>
        <v>5.44</v>
      </c>
      <c r="K50" s="220">
        <v>0.98799999999999999</v>
      </c>
      <c r="L50" s="220">
        <v>0.13900000000000001</v>
      </c>
      <c r="M50" s="377">
        <v>16.489999999999998</v>
      </c>
      <c r="N50" s="221">
        <v>0</v>
      </c>
      <c r="O50" s="221">
        <v>0</v>
      </c>
      <c r="P50" s="220">
        <v>0</v>
      </c>
    </row>
    <row r="51" spans="4:16" x14ac:dyDescent="0.3">
      <c r="F51" t="s">
        <v>830</v>
      </c>
      <c r="H51" t="s">
        <v>447</v>
      </c>
      <c r="J51" s="222">
        <v>5.44</v>
      </c>
      <c r="K51" s="222">
        <v>0.98799999999999999</v>
      </c>
      <c r="L51" s="222">
        <v>0.13900000000000001</v>
      </c>
      <c r="M51" s="378">
        <v>0</v>
      </c>
      <c r="N51" s="223">
        <v>0</v>
      </c>
      <c r="O51" s="223">
        <v>0</v>
      </c>
      <c r="P51" s="222">
        <v>0</v>
      </c>
    </row>
    <row r="52" spans="4:16" x14ac:dyDescent="0.3">
      <c r="F52" t="s">
        <v>913</v>
      </c>
      <c r="H52" t="s">
        <v>447</v>
      </c>
      <c r="J52" s="222">
        <v>6.2729999999999997</v>
      </c>
      <c r="K52" s="222">
        <v>1.139</v>
      </c>
      <c r="L52" s="222">
        <v>0.161</v>
      </c>
      <c r="M52" s="378">
        <v>2.84</v>
      </c>
      <c r="N52" s="223">
        <v>0</v>
      </c>
      <c r="O52" s="223">
        <v>0</v>
      </c>
      <c r="P52" s="222">
        <v>0</v>
      </c>
    </row>
    <row r="53" spans="4:16" x14ac:dyDescent="0.3">
      <c r="F53" t="s">
        <v>914</v>
      </c>
      <c r="H53" t="s">
        <v>447</v>
      </c>
      <c r="J53" s="222">
        <v>6.2729999999999997</v>
      </c>
      <c r="K53" s="222">
        <v>1.139</v>
      </c>
      <c r="L53" s="222">
        <v>0.161</v>
      </c>
      <c r="M53" s="378">
        <v>4.84</v>
      </c>
      <c r="N53" s="223">
        <v>0</v>
      </c>
      <c r="O53" s="223">
        <v>0</v>
      </c>
      <c r="P53" s="222">
        <v>0</v>
      </c>
    </row>
    <row r="54" spans="4:16" x14ac:dyDescent="0.3">
      <c r="F54" t="s">
        <v>915</v>
      </c>
      <c r="H54" t="s">
        <v>447</v>
      </c>
      <c r="J54" s="222">
        <v>6.2729999999999997</v>
      </c>
      <c r="K54" s="222">
        <v>1.139</v>
      </c>
      <c r="L54" s="222">
        <v>0.161</v>
      </c>
      <c r="M54" s="378">
        <v>12.72</v>
      </c>
      <c r="N54" s="223">
        <v>0</v>
      </c>
      <c r="O54" s="223">
        <v>0</v>
      </c>
      <c r="P54" s="222">
        <v>0</v>
      </c>
    </row>
    <row r="55" spans="4:16" x14ac:dyDescent="0.3">
      <c r="F55" t="s">
        <v>916</v>
      </c>
      <c r="H55" t="s">
        <v>447</v>
      </c>
      <c r="J55" s="222">
        <v>6.2729999999999997</v>
      </c>
      <c r="K55" s="222">
        <v>1.139</v>
      </c>
      <c r="L55" s="222">
        <v>0.161</v>
      </c>
      <c r="M55" s="378">
        <v>27.34</v>
      </c>
      <c r="N55" s="223">
        <v>0</v>
      </c>
      <c r="O55" s="223">
        <v>0</v>
      </c>
      <c r="P55" s="222">
        <v>0</v>
      </c>
    </row>
    <row r="56" spans="4:16" x14ac:dyDescent="0.3">
      <c r="F56" t="s">
        <v>917</v>
      </c>
      <c r="H56" t="s">
        <v>447</v>
      </c>
      <c r="J56" s="222">
        <v>6.2729999999999997</v>
      </c>
      <c r="K56" s="222">
        <v>1.139</v>
      </c>
      <c r="L56" s="222">
        <v>0.161</v>
      </c>
      <c r="M56" s="378">
        <v>79.13</v>
      </c>
      <c r="N56" s="223">
        <v>0</v>
      </c>
      <c r="O56" s="223">
        <v>0</v>
      </c>
      <c r="P56" s="222">
        <v>0</v>
      </c>
    </row>
    <row r="57" spans="4:16" x14ac:dyDescent="0.3">
      <c r="F57" t="s">
        <v>831</v>
      </c>
      <c r="H57" t="s">
        <v>447</v>
      </c>
      <c r="J57" s="222">
        <v>6.2729999999999997</v>
      </c>
      <c r="K57" s="222">
        <v>1.139</v>
      </c>
      <c r="L57" s="222">
        <v>0.161</v>
      </c>
      <c r="M57" s="378">
        <v>0</v>
      </c>
      <c r="N57" s="223">
        <v>0</v>
      </c>
      <c r="O57" s="223">
        <v>0</v>
      </c>
      <c r="P57" s="222">
        <v>0</v>
      </c>
    </row>
    <row r="58" spans="4:16" x14ac:dyDescent="0.3">
      <c r="F58" t="s">
        <v>918</v>
      </c>
      <c r="H58" t="s">
        <v>447</v>
      </c>
      <c r="J58" s="222">
        <v>4.5880000000000001</v>
      </c>
      <c r="K58" s="222">
        <v>0.76500000000000001</v>
      </c>
      <c r="L58" s="222">
        <v>0.111</v>
      </c>
      <c r="M58" s="378">
        <v>11.43</v>
      </c>
      <c r="N58" s="223">
        <v>2.04</v>
      </c>
      <c r="O58" s="223">
        <v>3.09</v>
      </c>
      <c r="P58" s="222">
        <v>9.9000000000000005E-2</v>
      </c>
    </row>
    <row r="59" spans="4:16" x14ac:dyDescent="0.3">
      <c r="F59" t="s">
        <v>919</v>
      </c>
      <c r="H59" t="s">
        <v>447</v>
      </c>
      <c r="J59" s="222">
        <v>4.5880000000000001</v>
      </c>
      <c r="K59" s="222">
        <v>0.76500000000000001</v>
      </c>
      <c r="L59" s="222">
        <v>0.111</v>
      </c>
      <c r="M59" s="378">
        <v>111.74</v>
      </c>
      <c r="N59" s="223">
        <v>2.04</v>
      </c>
      <c r="O59" s="223">
        <v>3.09</v>
      </c>
      <c r="P59" s="222">
        <v>9.9000000000000005E-2</v>
      </c>
    </row>
    <row r="60" spans="4:16" x14ac:dyDescent="0.3">
      <c r="F60" t="s">
        <v>920</v>
      </c>
      <c r="H60" t="s">
        <v>447</v>
      </c>
      <c r="J60" s="222">
        <v>4.5880000000000001</v>
      </c>
      <c r="K60" s="222">
        <v>0.76500000000000001</v>
      </c>
      <c r="L60" s="222">
        <v>0.111</v>
      </c>
      <c r="M60" s="378">
        <v>261.56</v>
      </c>
      <c r="N60" s="223">
        <v>2.04</v>
      </c>
      <c r="O60" s="223">
        <v>3.09</v>
      </c>
      <c r="P60" s="222">
        <v>9.9000000000000005E-2</v>
      </c>
    </row>
    <row r="61" spans="4:16" x14ac:dyDescent="0.3">
      <c r="F61" t="s">
        <v>921</v>
      </c>
      <c r="H61" t="s">
        <v>447</v>
      </c>
      <c r="J61" s="222">
        <v>4.5880000000000001</v>
      </c>
      <c r="K61" s="222">
        <v>0.76500000000000001</v>
      </c>
      <c r="L61" s="222">
        <v>0.111</v>
      </c>
      <c r="M61" s="378">
        <v>419.4</v>
      </c>
      <c r="N61" s="223">
        <v>2.04</v>
      </c>
      <c r="O61" s="223">
        <v>3.09</v>
      </c>
      <c r="P61" s="222">
        <v>9.9000000000000005E-2</v>
      </c>
    </row>
    <row r="62" spans="4:16" x14ac:dyDescent="0.3">
      <c r="F62" t="s">
        <v>922</v>
      </c>
      <c r="H62" t="s">
        <v>447</v>
      </c>
      <c r="J62" s="222">
        <v>4.5880000000000001</v>
      </c>
      <c r="K62" s="222">
        <v>0.76500000000000001</v>
      </c>
      <c r="L62" s="222">
        <v>0.111</v>
      </c>
      <c r="M62" s="378">
        <v>867.96</v>
      </c>
      <c r="N62" s="223">
        <v>2.04</v>
      </c>
      <c r="O62" s="223">
        <v>3.09</v>
      </c>
      <c r="P62" s="222">
        <v>9.9000000000000005E-2</v>
      </c>
    </row>
    <row r="63" spans="4:16" x14ac:dyDescent="0.3">
      <c r="F63" t="s">
        <v>923</v>
      </c>
      <c r="H63" t="s">
        <v>447</v>
      </c>
      <c r="J63" s="227">
        <v>0</v>
      </c>
      <c r="K63" s="227">
        <v>0</v>
      </c>
      <c r="L63" s="227">
        <v>0</v>
      </c>
      <c r="M63" s="393">
        <v>0</v>
      </c>
      <c r="N63" s="339">
        <v>0</v>
      </c>
      <c r="O63" s="339">
        <v>0</v>
      </c>
      <c r="P63" s="227">
        <v>0</v>
      </c>
    </row>
    <row r="64" spans="4:16" x14ac:dyDescent="0.3">
      <c r="F64" t="s">
        <v>924</v>
      </c>
      <c r="H64" t="s">
        <v>447</v>
      </c>
      <c r="J64" s="227">
        <v>0</v>
      </c>
      <c r="K64" s="227">
        <v>0</v>
      </c>
      <c r="L64" s="227">
        <v>0</v>
      </c>
      <c r="M64" s="393">
        <v>0</v>
      </c>
      <c r="N64" s="339">
        <v>0</v>
      </c>
      <c r="O64" s="339">
        <v>0</v>
      </c>
      <c r="P64" s="227">
        <v>0</v>
      </c>
    </row>
    <row r="65" spans="6:16" x14ac:dyDescent="0.3">
      <c r="F65" s="303" t="s">
        <v>925</v>
      </c>
      <c r="H65" t="s">
        <v>447</v>
      </c>
      <c r="J65" s="338">
        <v>0</v>
      </c>
      <c r="K65" s="338">
        <v>0</v>
      </c>
      <c r="L65" s="338">
        <v>0</v>
      </c>
      <c r="M65" s="394">
        <v>0</v>
      </c>
      <c r="N65" s="340">
        <v>0</v>
      </c>
      <c r="O65" s="340">
        <v>0</v>
      </c>
      <c r="P65" s="338">
        <v>0</v>
      </c>
    </row>
    <row r="66" spans="6:16" x14ac:dyDescent="0.3">
      <c r="F66" s="303" t="s">
        <v>926</v>
      </c>
      <c r="H66" t="s">
        <v>447</v>
      </c>
      <c r="J66" s="338">
        <v>0</v>
      </c>
      <c r="K66" s="338">
        <v>0</v>
      </c>
      <c r="L66" s="338">
        <v>0</v>
      </c>
      <c r="M66" s="394">
        <v>0</v>
      </c>
      <c r="N66" s="340">
        <v>0</v>
      </c>
      <c r="O66" s="340">
        <v>0</v>
      </c>
      <c r="P66" s="338">
        <v>0</v>
      </c>
    </row>
    <row r="67" spans="6:16" x14ac:dyDescent="0.3">
      <c r="F67" s="303" t="s">
        <v>927</v>
      </c>
      <c r="H67" t="s">
        <v>447</v>
      </c>
      <c r="J67" s="338">
        <v>0</v>
      </c>
      <c r="K67" s="338">
        <v>0</v>
      </c>
      <c r="L67" s="338">
        <v>0</v>
      </c>
      <c r="M67" s="394">
        <v>0</v>
      </c>
      <c r="N67" s="340">
        <v>0</v>
      </c>
      <c r="O67" s="340">
        <v>0</v>
      </c>
      <c r="P67" s="338">
        <v>0</v>
      </c>
    </row>
    <row r="68" spans="6:16" x14ac:dyDescent="0.3">
      <c r="F68" s="303" t="s">
        <v>928</v>
      </c>
      <c r="H68" t="s">
        <v>447</v>
      </c>
      <c r="J68" s="338">
        <v>0</v>
      </c>
      <c r="K68" s="338">
        <v>0</v>
      </c>
      <c r="L68" s="338">
        <v>0</v>
      </c>
      <c r="M68" s="394">
        <v>0</v>
      </c>
      <c r="N68" s="340">
        <v>0</v>
      </c>
      <c r="O68" s="340">
        <v>0</v>
      </c>
      <c r="P68" s="338">
        <v>0</v>
      </c>
    </row>
    <row r="69" spans="6:16" x14ac:dyDescent="0.3">
      <c r="F69" s="303" t="s">
        <v>929</v>
      </c>
      <c r="H69" t="s">
        <v>447</v>
      </c>
      <c r="J69" s="338">
        <v>0</v>
      </c>
      <c r="K69" s="338">
        <v>0</v>
      </c>
      <c r="L69" s="338">
        <v>0</v>
      </c>
      <c r="M69" s="394">
        <v>0</v>
      </c>
      <c r="N69" s="340">
        <v>0</v>
      </c>
      <c r="O69" s="340">
        <v>0</v>
      </c>
      <c r="P69" s="338">
        <v>0</v>
      </c>
    </row>
    <row r="70" spans="6:16" x14ac:dyDescent="0.3">
      <c r="F70" s="303" t="s">
        <v>930</v>
      </c>
      <c r="H70" t="s">
        <v>447</v>
      </c>
      <c r="J70" s="338">
        <v>0</v>
      </c>
      <c r="K70" s="338">
        <v>0</v>
      </c>
      <c r="L70" s="338">
        <v>0</v>
      </c>
      <c r="M70" s="394">
        <v>0</v>
      </c>
      <c r="N70" s="340">
        <v>0</v>
      </c>
      <c r="O70" s="340">
        <v>0</v>
      </c>
      <c r="P70" s="338">
        <v>0</v>
      </c>
    </row>
    <row r="71" spans="6:16" x14ac:dyDescent="0.3">
      <c r="F71" s="303" t="s">
        <v>931</v>
      </c>
      <c r="H71" t="s">
        <v>447</v>
      </c>
      <c r="J71" s="338">
        <v>0</v>
      </c>
      <c r="K71" s="338">
        <v>0</v>
      </c>
      <c r="L71" s="338">
        <v>0</v>
      </c>
      <c r="M71" s="394">
        <v>0</v>
      </c>
      <c r="N71" s="340">
        <v>0</v>
      </c>
      <c r="O71" s="340">
        <v>0</v>
      </c>
      <c r="P71" s="338">
        <v>0</v>
      </c>
    </row>
    <row r="72" spans="6:16" x14ac:dyDescent="0.3">
      <c r="F72" s="303" t="s">
        <v>932</v>
      </c>
      <c r="H72" t="s">
        <v>447</v>
      </c>
      <c r="J72" s="338">
        <v>0</v>
      </c>
      <c r="K72" s="338">
        <v>0</v>
      </c>
      <c r="L72" s="338">
        <v>0</v>
      </c>
      <c r="M72" s="394">
        <v>0</v>
      </c>
      <c r="N72" s="340">
        <v>0</v>
      </c>
      <c r="O72" s="340">
        <v>0</v>
      </c>
      <c r="P72" s="338">
        <v>0</v>
      </c>
    </row>
    <row r="73" spans="6:16" x14ac:dyDescent="0.3">
      <c r="F73" s="303" t="s">
        <v>840</v>
      </c>
      <c r="H73" t="s">
        <v>447</v>
      </c>
      <c r="J73" s="336">
        <v>10.901</v>
      </c>
      <c r="K73" s="336">
        <v>2.5710000000000002</v>
      </c>
      <c r="L73" s="336">
        <v>1.9730000000000001</v>
      </c>
      <c r="M73" s="379">
        <v>0</v>
      </c>
      <c r="N73" s="337">
        <v>0</v>
      </c>
      <c r="O73" s="337">
        <v>0</v>
      </c>
      <c r="P73" s="336">
        <v>0</v>
      </c>
    </row>
    <row r="74" spans="6:16" x14ac:dyDescent="0.3">
      <c r="F74" s="303" t="s">
        <v>832</v>
      </c>
      <c r="H74" t="s">
        <v>447</v>
      </c>
      <c r="J74" s="336">
        <v>-6.5190000000000001</v>
      </c>
      <c r="K74" s="336">
        <v>-1.1839999999999999</v>
      </c>
      <c r="L74" s="336">
        <v>-0.16700000000000001</v>
      </c>
      <c r="M74" s="379">
        <v>0</v>
      </c>
      <c r="N74" s="337">
        <v>0</v>
      </c>
      <c r="O74" s="337">
        <v>0</v>
      </c>
      <c r="P74" s="336">
        <v>0</v>
      </c>
    </row>
    <row r="75" spans="6:16" x14ac:dyDescent="0.3">
      <c r="F75" s="303" t="s">
        <v>833</v>
      </c>
      <c r="H75" t="s">
        <v>447</v>
      </c>
      <c r="J75" s="338">
        <v>0</v>
      </c>
      <c r="K75" s="338">
        <v>0</v>
      </c>
      <c r="L75" s="338">
        <v>0</v>
      </c>
      <c r="M75" s="394">
        <v>0</v>
      </c>
      <c r="N75" s="340">
        <v>0</v>
      </c>
      <c r="O75" s="340">
        <v>0</v>
      </c>
      <c r="P75" s="338">
        <v>0</v>
      </c>
    </row>
    <row r="76" spans="6:16" x14ac:dyDescent="0.3">
      <c r="F76" s="303" t="s">
        <v>834</v>
      </c>
      <c r="H76" t="s">
        <v>447</v>
      </c>
      <c r="J76" s="336">
        <v>-6.5190000000000001</v>
      </c>
      <c r="K76" s="336">
        <v>-1.1839999999999999</v>
      </c>
      <c r="L76" s="336">
        <v>-0.16700000000000001</v>
      </c>
      <c r="M76" s="379">
        <v>0</v>
      </c>
      <c r="N76" s="337">
        <v>0</v>
      </c>
      <c r="O76" s="337">
        <v>0</v>
      </c>
      <c r="P76" s="336">
        <v>0.126</v>
      </c>
    </row>
    <row r="77" spans="6:16" x14ac:dyDescent="0.3">
      <c r="F77" s="303" t="s">
        <v>843</v>
      </c>
      <c r="H77" t="s">
        <v>447</v>
      </c>
      <c r="J77" s="338">
        <v>0</v>
      </c>
      <c r="K77" s="338">
        <v>0</v>
      </c>
      <c r="L77" s="338">
        <v>0</v>
      </c>
      <c r="M77" s="394">
        <v>0</v>
      </c>
      <c r="N77" s="340">
        <v>0</v>
      </c>
      <c r="O77" s="340">
        <v>0</v>
      </c>
      <c r="P77" s="338">
        <v>0</v>
      </c>
    </row>
    <row r="78" spans="6:16" x14ac:dyDescent="0.3">
      <c r="F78" s="303" t="s">
        <v>835</v>
      </c>
      <c r="H78" t="s">
        <v>447</v>
      </c>
      <c r="J78" s="338">
        <v>0</v>
      </c>
      <c r="K78" s="338">
        <v>0</v>
      </c>
      <c r="L78" s="338">
        <v>0</v>
      </c>
      <c r="M78" s="394">
        <v>0</v>
      </c>
      <c r="N78" s="340">
        <v>0</v>
      </c>
      <c r="O78" s="340">
        <v>0</v>
      </c>
      <c r="P78" s="338">
        <v>0</v>
      </c>
    </row>
    <row r="79" spans="6:16" x14ac:dyDescent="0.3">
      <c r="F79" s="303" t="s">
        <v>842</v>
      </c>
      <c r="H79" t="s">
        <v>447</v>
      </c>
      <c r="J79" s="338">
        <v>0</v>
      </c>
      <c r="K79" s="338">
        <v>0</v>
      </c>
      <c r="L79" s="338">
        <v>0</v>
      </c>
      <c r="M79" s="394">
        <v>0</v>
      </c>
      <c r="N79" s="340">
        <v>0</v>
      </c>
      <c r="O79" s="340">
        <v>0</v>
      </c>
      <c r="P79" s="338">
        <v>0</v>
      </c>
    </row>
    <row r="80" spans="6:16" x14ac:dyDescent="0.3">
      <c r="F80" s="303" t="s">
        <v>836</v>
      </c>
      <c r="H80" t="s">
        <v>447</v>
      </c>
      <c r="J80" s="338">
        <v>0</v>
      </c>
      <c r="K80" s="338">
        <v>0</v>
      </c>
      <c r="L80" s="338">
        <v>0</v>
      </c>
      <c r="M80" s="394">
        <v>0</v>
      </c>
      <c r="N80" s="340">
        <v>0</v>
      </c>
      <c r="O80" s="340">
        <v>0</v>
      </c>
      <c r="P80" s="338">
        <v>0</v>
      </c>
    </row>
    <row r="81" spans="4:16" x14ac:dyDescent="0.3">
      <c r="F81" s="37" t="s">
        <v>841</v>
      </c>
      <c r="G81" s="37"/>
      <c r="H81" s="37" t="s">
        <v>447</v>
      </c>
      <c r="I81" s="37"/>
      <c r="J81" s="228">
        <v>0</v>
      </c>
      <c r="K81" s="228">
        <v>0</v>
      </c>
      <c r="L81" s="228">
        <v>0</v>
      </c>
      <c r="M81" s="395">
        <v>0</v>
      </c>
      <c r="N81" s="341">
        <v>0</v>
      </c>
      <c r="O81" s="341">
        <v>0</v>
      </c>
      <c r="P81" s="228">
        <v>0</v>
      </c>
    </row>
    <row r="82" spans="4:16" x14ac:dyDescent="0.3">
      <c r="D82"/>
      <c r="E82"/>
      <c r="M82" s="229"/>
      <c r="N82" s="229"/>
      <c r="O82" s="229"/>
    </row>
    <row r="83" spans="4:16" x14ac:dyDescent="0.3">
      <c r="D83" s="32"/>
      <c r="E83" s="32" t="s">
        <v>806</v>
      </c>
      <c r="M83" s="229"/>
      <c r="N83" s="229"/>
      <c r="O83" s="229"/>
    </row>
    <row r="84" spans="4:16" x14ac:dyDescent="0.3">
      <c r="F84" s="23" t="s">
        <v>912</v>
      </c>
      <c r="G84" s="23"/>
      <c r="H84" s="23" t="s">
        <v>448</v>
      </c>
      <c r="I84" s="23"/>
      <c r="J84" s="220">
        <f t="array" ref="J84:P115">TRANSPOSE(Rounding!J168:AO174)</f>
        <v>3.8149999999999999</v>
      </c>
      <c r="K84" s="220">
        <v>0.69299999999999995</v>
      </c>
      <c r="L84" s="220">
        <v>9.8000000000000004E-2</v>
      </c>
      <c r="M84" s="377">
        <v>14.39</v>
      </c>
      <c r="N84" s="221">
        <v>0</v>
      </c>
      <c r="O84" s="221">
        <v>0</v>
      </c>
      <c r="P84" s="220">
        <v>0</v>
      </c>
    </row>
    <row r="85" spans="4:16" x14ac:dyDescent="0.3">
      <c r="F85" t="s">
        <v>830</v>
      </c>
      <c r="H85" t="s">
        <v>448</v>
      </c>
      <c r="J85" s="222">
        <v>3.8149999999999999</v>
      </c>
      <c r="K85" s="222">
        <v>0.69299999999999995</v>
      </c>
      <c r="L85" s="222">
        <v>9.8000000000000004E-2</v>
      </c>
      <c r="M85" s="378">
        <v>0</v>
      </c>
      <c r="N85" s="223">
        <v>0</v>
      </c>
      <c r="O85" s="223">
        <v>0</v>
      </c>
      <c r="P85" s="222">
        <v>0</v>
      </c>
    </row>
    <row r="86" spans="4:16" x14ac:dyDescent="0.3">
      <c r="F86" t="s">
        <v>913</v>
      </c>
      <c r="H86" t="s">
        <v>448</v>
      </c>
      <c r="J86" s="222">
        <v>4.4000000000000004</v>
      </c>
      <c r="K86" s="222">
        <v>0.79900000000000004</v>
      </c>
      <c r="L86" s="222">
        <v>0.113</v>
      </c>
      <c r="M86" s="378">
        <v>2</v>
      </c>
      <c r="N86" s="223">
        <v>0</v>
      </c>
      <c r="O86" s="223">
        <v>0</v>
      </c>
      <c r="P86" s="222">
        <v>0</v>
      </c>
    </row>
    <row r="87" spans="4:16" x14ac:dyDescent="0.3">
      <c r="F87" t="s">
        <v>914</v>
      </c>
      <c r="H87" t="s">
        <v>448</v>
      </c>
      <c r="J87" s="222">
        <v>4.4000000000000004</v>
      </c>
      <c r="K87" s="222">
        <v>0.79900000000000004</v>
      </c>
      <c r="L87" s="222">
        <v>0.113</v>
      </c>
      <c r="M87" s="378">
        <v>3.41</v>
      </c>
      <c r="N87" s="223">
        <v>0</v>
      </c>
      <c r="O87" s="223">
        <v>0</v>
      </c>
      <c r="P87" s="222">
        <v>0</v>
      </c>
    </row>
    <row r="88" spans="4:16" x14ac:dyDescent="0.3">
      <c r="F88" t="s">
        <v>915</v>
      </c>
      <c r="H88" t="s">
        <v>448</v>
      </c>
      <c r="J88" s="222">
        <v>4.4000000000000004</v>
      </c>
      <c r="K88" s="222">
        <v>0.79900000000000004</v>
      </c>
      <c r="L88" s="222">
        <v>0.113</v>
      </c>
      <c r="M88" s="378">
        <v>8.94</v>
      </c>
      <c r="N88" s="223">
        <v>0</v>
      </c>
      <c r="O88" s="223">
        <v>0</v>
      </c>
      <c r="P88" s="222">
        <v>0</v>
      </c>
    </row>
    <row r="89" spans="4:16" x14ac:dyDescent="0.3">
      <c r="F89" t="s">
        <v>916</v>
      </c>
      <c r="H89" t="s">
        <v>448</v>
      </c>
      <c r="J89" s="222">
        <v>4.4000000000000004</v>
      </c>
      <c r="K89" s="222">
        <v>0.79900000000000004</v>
      </c>
      <c r="L89" s="222">
        <v>0.113</v>
      </c>
      <c r="M89" s="378">
        <v>19.18</v>
      </c>
      <c r="N89" s="223">
        <v>0</v>
      </c>
      <c r="O89" s="223">
        <v>0</v>
      </c>
      <c r="P89" s="222">
        <v>0</v>
      </c>
    </row>
    <row r="90" spans="4:16" x14ac:dyDescent="0.3">
      <c r="F90" t="s">
        <v>917</v>
      </c>
      <c r="H90" t="s">
        <v>448</v>
      </c>
      <c r="J90" s="222">
        <v>4.4000000000000004</v>
      </c>
      <c r="K90" s="222">
        <v>0.79900000000000004</v>
      </c>
      <c r="L90" s="222">
        <v>0.113</v>
      </c>
      <c r="M90" s="378">
        <v>55.51</v>
      </c>
      <c r="N90" s="223">
        <v>0</v>
      </c>
      <c r="O90" s="223">
        <v>0</v>
      </c>
      <c r="P90" s="222">
        <v>0</v>
      </c>
    </row>
    <row r="91" spans="4:16" x14ac:dyDescent="0.3">
      <c r="F91" t="s">
        <v>831</v>
      </c>
      <c r="H91" t="s">
        <v>448</v>
      </c>
      <c r="J91" s="222">
        <v>4.4000000000000004</v>
      </c>
      <c r="K91" s="222">
        <v>0.79900000000000004</v>
      </c>
      <c r="L91" s="222">
        <v>0.113</v>
      </c>
      <c r="M91" s="378">
        <v>0</v>
      </c>
      <c r="N91" s="223">
        <v>0</v>
      </c>
      <c r="O91" s="223">
        <v>0</v>
      </c>
      <c r="P91" s="222">
        <v>0</v>
      </c>
    </row>
    <row r="92" spans="4:16" x14ac:dyDescent="0.3">
      <c r="F92" t="s">
        <v>918</v>
      </c>
      <c r="H92" t="s">
        <v>448</v>
      </c>
      <c r="J92" s="222">
        <v>3.218</v>
      </c>
      <c r="K92" s="222">
        <v>0.53600000000000003</v>
      </c>
      <c r="L92" s="222">
        <v>7.8E-2</v>
      </c>
      <c r="M92" s="378">
        <v>8.0299999999999994</v>
      </c>
      <c r="N92" s="223">
        <v>1.43</v>
      </c>
      <c r="O92" s="223">
        <v>2.17</v>
      </c>
      <c r="P92" s="222">
        <v>6.9000000000000006E-2</v>
      </c>
    </row>
    <row r="93" spans="4:16" x14ac:dyDescent="0.3">
      <c r="F93" t="s">
        <v>919</v>
      </c>
      <c r="H93" t="s">
        <v>448</v>
      </c>
      <c r="J93" s="222">
        <v>3.218</v>
      </c>
      <c r="K93" s="222">
        <v>0.53600000000000003</v>
      </c>
      <c r="L93" s="222">
        <v>7.8E-2</v>
      </c>
      <c r="M93" s="378">
        <v>78.38</v>
      </c>
      <c r="N93" s="223">
        <v>1.43</v>
      </c>
      <c r="O93" s="223">
        <v>2.17</v>
      </c>
      <c r="P93" s="222">
        <v>6.9000000000000006E-2</v>
      </c>
    </row>
    <row r="94" spans="4:16" x14ac:dyDescent="0.3">
      <c r="F94" t="s">
        <v>920</v>
      </c>
      <c r="H94" t="s">
        <v>448</v>
      </c>
      <c r="J94" s="222">
        <v>3.218</v>
      </c>
      <c r="K94" s="222">
        <v>0.53600000000000003</v>
      </c>
      <c r="L94" s="222">
        <v>7.8E-2</v>
      </c>
      <c r="M94" s="378">
        <v>183.45</v>
      </c>
      <c r="N94" s="223">
        <v>1.43</v>
      </c>
      <c r="O94" s="223">
        <v>2.17</v>
      </c>
      <c r="P94" s="222">
        <v>6.9000000000000006E-2</v>
      </c>
    </row>
    <row r="95" spans="4:16" x14ac:dyDescent="0.3">
      <c r="F95" t="s">
        <v>921</v>
      </c>
      <c r="H95" t="s">
        <v>448</v>
      </c>
      <c r="J95" s="222">
        <v>3.218</v>
      </c>
      <c r="K95" s="222">
        <v>0.53600000000000003</v>
      </c>
      <c r="L95" s="222">
        <v>7.8E-2</v>
      </c>
      <c r="M95" s="378">
        <v>294.14999999999998</v>
      </c>
      <c r="N95" s="223">
        <v>1.43</v>
      </c>
      <c r="O95" s="223">
        <v>2.17</v>
      </c>
      <c r="P95" s="222">
        <v>6.9000000000000006E-2</v>
      </c>
    </row>
    <row r="96" spans="4:16" x14ac:dyDescent="0.3">
      <c r="F96" t="s">
        <v>922</v>
      </c>
      <c r="H96" t="s">
        <v>448</v>
      </c>
      <c r="J96" s="222">
        <v>3.218</v>
      </c>
      <c r="K96" s="222">
        <v>0.53600000000000003</v>
      </c>
      <c r="L96" s="222">
        <v>7.8E-2</v>
      </c>
      <c r="M96" s="378">
        <v>608.74</v>
      </c>
      <c r="N96" s="223">
        <v>1.43</v>
      </c>
      <c r="O96" s="223">
        <v>2.17</v>
      </c>
      <c r="P96" s="222">
        <v>6.9000000000000006E-2</v>
      </c>
    </row>
    <row r="97" spans="6:16" x14ac:dyDescent="0.3">
      <c r="F97" t="s">
        <v>923</v>
      </c>
      <c r="H97" t="s">
        <v>448</v>
      </c>
      <c r="J97" s="222">
        <v>4.1130000000000004</v>
      </c>
      <c r="K97" s="222">
        <v>0.623</v>
      </c>
      <c r="L97" s="222">
        <v>9.2999999999999999E-2</v>
      </c>
      <c r="M97" s="378">
        <v>40.909999999999997</v>
      </c>
      <c r="N97" s="223">
        <v>2.33</v>
      </c>
      <c r="O97" s="223">
        <v>3.99</v>
      </c>
      <c r="P97" s="222">
        <v>8.1000000000000003E-2</v>
      </c>
    </row>
    <row r="98" spans="6:16" x14ac:dyDescent="0.3">
      <c r="F98" t="s">
        <v>924</v>
      </c>
      <c r="H98" t="s">
        <v>448</v>
      </c>
      <c r="J98" s="222">
        <v>4.1130000000000004</v>
      </c>
      <c r="K98" s="222">
        <v>0.623</v>
      </c>
      <c r="L98" s="222">
        <v>9.2999999999999999E-2</v>
      </c>
      <c r="M98" s="378">
        <v>152.37</v>
      </c>
      <c r="N98" s="223">
        <v>2.33</v>
      </c>
      <c r="O98" s="223">
        <v>3.99</v>
      </c>
      <c r="P98" s="222">
        <v>8.1000000000000003E-2</v>
      </c>
    </row>
    <row r="99" spans="6:16" x14ac:dyDescent="0.3">
      <c r="F99" s="303" t="s">
        <v>925</v>
      </c>
      <c r="H99" t="s">
        <v>448</v>
      </c>
      <c r="J99" s="336">
        <v>4.1130000000000004</v>
      </c>
      <c r="K99" s="336">
        <v>0.623</v>
      </c>
      <c r="L99" s="336">
        <v>9.2999999999999999E-2</v>
      </c>
      <c r="M99" s="379">
        <v>318.83999999999997</v>
      </c>
      <c r="N99" s="337">
        <v>2.33</v>
      </c>
      <c r="O99" s="337">
        <v>3.99</v>
      </c>
      <c r="P99" s="336">
        <v>8.1000000000000003E-2</v>
      </c>
    </row>
    <row r="100" spans="6:16" x14ac:dyDescent="0.3">
      <c r="F100" s="303" t="s">
        <v>926</v>
      </c>
      <c r="H100" t="s">
        <v>448</v>
      </c>
      <c r="J100" s="336">
        <v>4.1130000000000004</v>
      </c>
      <c r="K100" s="336">
        <v>0.623</v>
      </c>
      <c r="L100" s="336">
        <v>9.2999999999999999E-2</v>
      </c>
      <c r="M100" s="379">
        <v>494.23</v>
      </c>
      <c r="N100" s="337">
        <v>2.33</v>
      </c>
      <c r="O100" s="337">
        <v>3.99</v>
      </c>
      <c r="P100" s="336">
        <v>8.1000000000000003E-2</v>
      </c>
    </row>
    <row r="101" spans="6:16" x14ac:dyDescent="0.3">
      <c r="F101" s="303" t="s">
        <v>927</v>
      </c>
      <c r="H101" t="s">
        <v>448</v>
      </c>
      <c r="J101" s="336">
        <v>4.1130000000000004</v>
      </c>
      <c r="K101" s="336">
        <v>0.623</v>
      </c>
      <c r="L101" s="336">
        <v>9.2999999999999999E-2</v>
      </c>
      <c r="M101" s="379">
        <v>992.66</v>
      </c>
      <c r="N101" s="337">
        <v>2.33</v>
      </c>
      <c r="O101" s="337">
        <v>3.99</v>
      </c>
      <c r="P101" s="336">
        <v>8.1000000000000003E-2</v>
      </c>
    </row>
    <row r="102" spans="6:16" x14ac:dyDescent="0.3">
      <c r="F102" s="303" t="s">
        <v>928</v>
      </c>
      <c r="H102" t="s">
        <v>448</v>
      </c>
      <c r="J102" s="336">
        <v>3.3490000000000002</v>
      </c>
      <c r="K102" s="336">
        <v>0.42199999999999999</v>
      </c>
      <c r="L102" s="336">
        <v>6.8000000000000005E-2</v>
      </c>
      <c r="M102" s="379">
        <v>106.31</v>
      </c>
      <c r="N102" s="337">
        <v>2.7</v>
      </c>
      <c r="O102" s="337">
        <v>4.91</v>
      </c>
      <c r="P102" s="336">
        <v>5.8999999999999997E-2</v>
      </c>
    </row>
    <row r="103" spans="6:16" x14ac:dyDescent="0.3">
      <c r="F103" s="303" t="s">
        <v>929</v>
      </c>
      <c r="H103" t="s">
        <v>448</v>
      </c>
      <c r="J103" s="336">
        <v>3.3490000000000002</v>
      </c>
      <c r="K103" s="336">
        <v>0.42199999999999999</v>
      </c>
      <c r="L103" s="336">
        <v>6.8000000000000005E-2</v>
      </c>
      <c r="M103" s="379">
        <v>946.99</v>
      </c>
      <c r="N103" s="337">
        <v>2.7</v>
      </c>
      <c r="O103" s="337">
        <v>4.91</v>
      </c>
      <c r="P103" s="336">
        <v>5.8999999999999997E-2</v>
      </c>
    </row>
    <row r="104" spans="6:16" x14ac:dyDescent="0.3">
      <c r="F104" s="303" t="s">
        <v>930</v>
      </c>
      <c r="H104" t="s">
        <v>448</v>
      </c>
      <c r="J104" s="336">
        <v>3.3490000000000002</v>
      </c>
      <c r="K104" s="336">
        <v>0.42199999999999999</v>
      </c>
      <c r="L104" s="336">
        <v>6.8000000000000005E-2</v>
      </c>
      <c r="M104" s="379">
        <v>2854.22</v>
      </c>
      <c r="N104" s="337">
        <v>2.7</v>
      </c>
      <c r="O104" s="337">
        <v>4.91</v>
      </c>
      <c r="P104" s="336">
        <v>5.8999999999999997E-2</v>
      </c>
    </row>
    <row r="105" spans="6:16" x14ac:dyDescent="0.3">
      <c r="F105" s="303" t="s">
        <v>931</v>
      </c>
      <c r="H105" t="s">
        <v>448</v>
      </c>
      <c r="J105" s="336">
        <v>3.3490000000000002</v>
      </c>
      <c r="K105" s="336">
        <v>0.42199999999999999</v>
      </c>
      <c r="L105" s="336">
        <v>6.8000000000000005E-2</v>
      </c>
      <c r="M105" s="379">
        <v>5866.6</v>
      </c>
      <c r="N105" s="337">
        <v>2.7</v>
      </c>
      <c r="O105" s="337">
        <v>4.91</v>
      </c>
      <c r="P105" s="336">
        <v>5.8999999999999997E-2</v>
      </c>
    </row>
    <row r="106" spans="6:16" x14ac:dyDescent="0.3">
      <c r="F106" s="303" t="s">
        <v>932</v>
      </c>
      <c r="H106" t="s">
        <v>448</v>
      </c>
      <c r="J106" s="336">
        <v>3.3490000000000002</v>
      </c>
      <c r="K106" s="336">
        <v>0.42199999999999999</v>
      </c>
      <c r="L106" s="336">
        <v>6.8000000000000005E-2</v>
      </c>
      <c r="M106" s="379">
        <v>13539.42</v>
      </c>
      <c r="N106" s="337">
        <v>2.7</v>
      </c>
      <c r="O106" s="337">
        <v>4.91</v>
      </c>
      <c r="P106" s="336">
        <v>5.8999999999999997E-2</v>
      </c>
    </row>
    <row r="107" spans="6:16" x14ac:dyDescent="0.3">
      <c r="F107" s="303" t="s">
        <v>840</v>
      </c>
      <c r="H107" t="s">
        <v>448</v>
      </c>
      <c r="J107" s="336">
        <v>7.6449999999999996</v>
      </c>
      <c r="K107" s="336">
        <v>1.8029999999999999</v>
      </c>
      <c r="L107" s="336">
        <v>1.3839999999999999</v>
      </c>
      <c r="M107" s="379">
        <v>0</v>
      </c>
      <c r="N107" s="337">
        <v>0</v>
      </c>
      <c r="O107" s="337">
        <v>0</v>
      </c>
      <c r="P107" s="336">
        <v>0</v>
      </c>
    </row>
    <row r="108" spans="6:16" x14ac:dyDescent="0.3">
      <c r="F108" s="303" t="s">
        <v>832</v>
      </c>
      <c r="H108" t="s">
        <v>448</v>
      </c>
      <c r="J108" s="336">
        <v>-6.5190000000000001</v>
      </c>
      <c r="K108" s="336">
        <v>-1.1839999999999999</v>
      </c>
      <c r="L108" s="336">
        <v>-0.16700000000000001</v>
      </c>
      <c r="M108" s="379">
        <v>0</v>
      </c>
      <c r="N108" s="337">
        <v>0</v>
      </c>
      <c r="O108" s="337">
        <v>0</v>
      </c>
      <c r="P108" s="336">
        <v>0</v>
      </c>
    </row>
    <row r="109" spans="6:16" x14ac:dyDescent="0.3">
      <c r="F109" s="303" t="s">
        <v>833</v>
      </c>
      <c r="H109" t="s">
        <v>448</v>
      </c>
      <c r="J109" s="336">
        <v>-5.43</v>
      </c>
      <c r="K109" s="336">
        <v>-0.92200000000000004</v>
      </c>
      <c r="L109" s="336">
        <v>-0.13300000000000001</v>
      </c>
      <c r="M109" s="379">
        <v>0</v>
      </c>
      <c r="N109" s="337">
        <v>0</v>
      </c>
      <c r="O109" s="337">
        <v>0</v>
      </c>
      <c r="P109" s="336">
        <v>0</v>
      </c>
    </row>
    <row r="110" spans="6:16" x14ac:dyDescent="0.3">
      <c r="F110" s="303" t="s">
        <v>834</v>
      </c>
      <c r="H110" t="s">
        <v>448</v>
      </c>
      <c r="J110" s="336">
        <v>-6.5190000000000001</v>
      </c>
      <c r="K110" s="336">
        <v>-1.1839999999999999</v>
      </c>
      <c r="L110" s="336">
        <v>-0.16700000000000001</v>
      </c>
      <c r="M110" s="379">
        <v>0</v>
      </c>
      <c r="N110" s="337">
        <v>0</v>
      </c>
      <c r="O110" s="337">
        <v>0</v>
      </c>
      <c r="P110" s="336">
        <v>0.126</v>
      </c>
    </row>
    <row r="111" spans="6:16" x14ac:dyDescent="0.3">
      <c r="F111" s="303" t="s">
        <v>843</v>
      </c>
      <c r="H111" t="s">
        <v>448</v>
      </c>
      <c r="J111" s="338">
        <v>0</v>
      </c>
      <c r="K111" s="338">
        <v>0</v>
      </c>
      <c r="L111" s="338">
        <v>0</v>
      </c>
      <c r="M111" s="394">
        <v>0</v>
      </c>
      <c r="N111" s="340">
        <v>0</v>
      </c>
      <c r="O111" s="340">
        <v>0</v>
      </c>
      <c r="P111" s="338">
        <v>0</v>
      </c>
    </row>
    <row r="112" spans="6:16" x14ac:dyDescent="0.3">
      <c r="F112" s="303" t="s">
        <v>835</v>
      </c>
      <c r="H112" t="s">
        <v>448</v>
      </c>
      <c r="J112" s="336">
        <v>-5.43</v>
      </c>
      <c r="K112" s="336">
        <v>-0.92200000000000004</v>
      </c>
      <c r="L112" s="336">
        <v>-0.13300000000000001</v>
      </c>
      <c r="M112" s="379">
        <v>0</v>
      </c>
      <c r="N112" s="337">
        <v>0</v>
      </c>
      <c r="O112" s="337">
        <v>0</v>
      </c>
      <c r="P112" s="336">
        <v>0.106</v>
      </c>
    </row>
    <row r="113" spans="2:19" x14ac:dyDescent="0.3">
      <c r="F113" s="303" t="s">
        <v>842</v>
      </c>
      <c r="H113" t="s">
        <v>448</v>
      </c>
      <c r="J113" s="338">
        <v>0</v>
      </c>
      <c r="K113" s="338">
        <v>0</v>
      </c>
      <c r="L113" s="338">
        <v>0</v>
      </c>
      <c r="M113" s="394">
        <v>0</v>
      </c>
      <c r="N113" s="340">
        <v>0</v>
      </c>
      <c r="O113" s="340">
        <v>0</v>
      </c>
      <c r="P113" s="338">
        <v>0</v>
      </c>
    </row>
    <row r="114" spans="2:19" x14ac:dyDescent="0.3">
      <c r="F114" s="303" t="s">
        <v>836</v>
      </c>
      <c r="H114" t="s">
        <v>448</v>
      </c>
      <c r="J114" s="336">
        <v>-4.1420000000000003</v>
      </c>
      <c r="K114" s="336">
        <v>-0.60099999999999998</v>
      </c>
      <c r="L114" s="336">
        <v>-9.0999999999999998E-2</v>
      </c>
      <c r="M114" s="379">
        <v>0</v>
      </c>
      <c r="N114" s="337">
        <v>0</v>
      </c>
      <c r="O114" s="337">
        <v>0</v>
      </c>
      <c r="P114" s="336">
        <v>0.08</v>
      </c>
    </row>
    <row r="115" spans="2:19" x14ac:dyDescent="0.3">
      <c r="F115" s="37" t="s">
        <v>841</v>
      </c>
      <c r="G115" s="37"/>
      <c r="H115" s="37" t="s">
        <v>448</v>
      </c>
      <c r="I115" s="37"/>
      <c r="J115" s="228">
        <v>0</v>
      </c>
      <c r="K115" s="228">
        <v>0</v>
      </c>
      <c r="L115" s="228">
        <v>0</v>
      </c>
      <c r="M115" s="395">
        <v>0</v>
      </c>
      <c r="N115" s="341">
        <v>0</v>
      </c>
      <c r="O115" s="341">
        <v>0</v>
      </c>
      <c r="P115" s="228">
        <v>0</v>
      </c>
    </row>
    <row r="116" spans="2:19" x14ac:dyDescent="0.3">
      <c r="D116" s="32"/>
      <c r="E116" s="32"/>
      <c r="F116" s="32"/>
      <c r="G116" s="32"/>
      <c r="H116" s="32"/>
      <c r="I116" s="32"/>
      <c r="J116" s="32"/>
      <c r="K116" s="32"/>
      <c r="L116" s="32"/>
      <c r="M116" s="230"/>
      <c r="N116" s="230"/>
      <c r="O116" s="230"/>
      <c r="P116" s="32"/>
      <c r="Q116" s="32"/>
      <c r="R116" s="32"/>
      <c r="S116" s="32"/>
    </row>
    <row r="117" spans="2:19" x14ac:dyDescent="0.3">
      <c r="B117" s="30" t="s">
        <v>230</v>
      </c>
      <c r="C117" s="30"/>
      <c r="D117" s="30"/>
      <c r="E117" s="30"/>
      <c r="F117" s="30"/>
      <c r="G117" s="30"/>
      <c r="H117" s="30"/>
      <c r="I117" s="30"/>
      <c r="J117" s="30"/>
      <c r="K117" s="30"/>
      <c r="L117" s="104"/>
      <c r="M117" s="231"/>
      <c r="N117" s="231"/>
      <c r="O117" s="231"/>
      <c r="P117" s="104"/>
      <c r="Q117" s="104"/>
      <c r="R117" s="104"/>
    </row>
    <row r="118" spans="2:19" x14ac:dyDescent="0.3">
      <c r="M118" s="229"/>
      <c r="N118" s="229"/>
      <c r="O118" s="229"/>
    </row>
    <row r="119" spans="2:19" x14ac:dyDescent="0.3">
      <c r="D119"/>
      <c r="E119" t="s">
        <v>231</v>
      </c>
      <c r="G119" s="6" t="s">
        <v>54</v>
      </c>
      <c r="H119" s="103">
        <f t="array" ref="H119">SUM(IF(ISERROR(J16:P99), 1))</f>
        <v>0</v>
      </c>
      <c r="M119" s="229"/>
      <c r="N119" s="229"/>
      <c r="O119" s="229"/>
    </row>
    <row r="120" spans="2:19" x14ac:dyDescent="0.3">
      <c r="M120" s="229"/>
      <c r="N120" s="229"/>
      <c r="O120" s="229"/>
    </row>
    <row r="121" spans="2:19" x14ac:dyDescent="0.3">
      <c r="B121" s="30" t="s">
        <v>105</v>
      </c>
      <c r="C121" s="30"/>
      <c r="D121" s="30"/>
      <c r="E121" s="30"/>
      <c r="F121" s="30"/>
      <c r="G121" s="30"/>
      <c r="H121" s="30"/>
      <c r="I121" s="30"/>
      <c r="J121" s="30"/>
      <c r="K121" s="30"/>
      <c r="L121" s="104"/>
      <c r="M121" s="231"/>
      <c r="N121" s="231"/>
      <c r="O121" s="231"/>
      <c r="P121" s="104"/>
      <c r="Q121" s="104"/>
      <c r="R121" s="104"/>
    </row>
    <row r="122" spans="2:19" x14ac:dyDescent="0.3">
      <c r="M122" s="229"/>
      <c r="N122" s="229"/>
      <c r="O122" s="229"/>
    </row>
    <row r="123" spans="2:19" x14ac:dyDescent="0.3">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AE24" activePane="bottomRight" state="frozen"/>
      <selection pane="topRight"/>
      <selection pane="bottomLeft"/>
      <selection pane="bottomRight" activeCell="J43" sqref="J43:AL43"/>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38" width="17" customWidth="1"/>
    <col min="39" max="39" width="2.44140625" customWidth="1"/>
    <col min="40" max="40" width="50.5546875" customWidth="1"/>
    <col min="41" max="41" width="2.44140625" customWidth="1"/>
    <col min="42" max="44" width="17" hidden="1" customWidth="1"/>
    <col min="45" max="45" width="2.44140625" hidden="1" customWidth="1"/>
    <col min="46" max="46" width="18.44140625" hidden="1" customWidth="1"/>
    <col min="47" max="47" width="4.44140625" hidden="1" customWidth="1"/>
    <col min="48" max="300" width="24.5546875" hidden="1" customWidth="1"/>
    <col min="301" max="16384" width="8.5546875" hidden="1"/>
  </cols>
  <sheetData>
    <row r="1" spans="1:40" s="1" customFormat="1" x14ac:dyDescent="0.3">
      <c r="A1" s="1" t="str">
        <f ca="1">MID(CELL("filename",A1),FIND("]",CELL("filename",A1))+1,255)</f>
        <v>Output to other models</v>
      </c>
    </row>
    <row r="2" spans="1:40" s="1" customFormat="1" x14ac:dyDescent="0.3">
      <c r="A2" s="1" t="str">
        <f>Cover!D21&amp;" - "&amp;Cover!D23</f>
        <v>Electricity North West Limited - Working Model</v>
      </c>
    </row>
    <row r="3" spans="1:40" s="5" customFormat="1" x14ac:dyDescent="0.3">
      <c r="A3" s="5" t="str">
        <f>Cover!D2&amp;" - "&amp;Cover!D8&amp;" v"&amp;Cover!D10&amp;" - "&amp;Cover!D19</f>
        <v>CDCM charging model - Release for charge setting v7 - 2022/23</v>
      </c>
    </row>
    <row r="4" spans="1:40" x14ac:dyDescent="0.3">
      <c r="A4" s="12" t="str">
        <f>H78 &amp; IF(H78 = 1, " issue", " issues") &amp;" identified in checks on this sheet"</f>
        <v>0 issues identified in checks on this sheet</v>
      </c>
      <c r="B4" s="13"/>
      <c r="C4" s="13"/>
      <c r="D4" s="13"/>
      <c r="E4" s="13"/>
      <c r="F4" s="13"/>
      <c r="G4" s="13"/>
      <c r="H4" s="14"/>
      <c r="I4" s="14"/>
      <c r="J4" s="13"/>
    </row>
    <row r="5" spans="1:40" x14ac:dyDescent="0.3">
      <c r="B5" s="59" t="s">
        <v>141</v>
      </c>
      <c r="C5" s="60"/>
      <c r="D5" s="60"/>
      <c r="E5" s="60"/>
      <c r="F5" s="60"/>
      <c r="G5" s="61" t="s">
        <v>142</v>
      </c>
      <c r="H5" s="93" t="s">
        <v>143</v>
      </c>
      <c r="AN5" s="61" t="s">
        <v>144</v>
      </c>
    </row>
    <row r="7" spans="1:40" x14ac:dyDescent="0.3">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x14ac:dyDescent="0.3">
      <c r="C9" s="29" t="s">
        <v>807</v>
      </c>
      <c r="E9"/>
    </row>
    <row r="10" spans="1:40" x14ac:dyDescent="0.3">
      <c r="C10" s="29" t="s">
        <v>808</v>
      </c>
      <c r="E10"/>
    </row>
    <row r="12" spans="1:40" x14ac:dyDescent="0.3">
      <c r="B12" s="30" t="s">
        <v>809</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x14ac:dyDescent="0.3">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x14ac:dyDescent="0.3">
      <c r="D16" s="29" t="s">
        <v>810</v>
      </c>
      <c r="E16"/>
    </row>
    <row r="17" spans="2:40" x14ac:dyDescent="0.3">
      <c r="D17" s="29"/>
      <c r="E17"/>
    </row>
    <row r="18" spans="2:40" x14ac:dyDescent="0.3">
      <c r="E18" s="32" t="s">
        <v>811</v>
      </c>
    </row>
    <row r="19" spans="2:40" x14ac:dyDescent="0.3">
      <c r="F19" s="64" t="s">
        <v>191</v>
      </c>
      <c r="G19" s="23" t="s">
        <v>276</v>
      </c>
      <c r="H19" s="232">
        <f t="array" ref="H19:H23">TRANSPOSE('Unit costs'!L108:P108)</f>
        <v>724068830.04974031</v>
      </c>
    </row>
    <row r="20" spans="2:40" x14ac:dyDescent="0.3">
      <c r="E20"/>
      <c r="F20" s="28" t="s">
        <v>192</v>
      </c>
      <c r="G20" t="s">
        <v>276</v>
      </c>
      <c r="H20" s="233">
        <v>286409322.65182501</v>
      </c>
    </row>
    <row r="21" spans="2:40" x14ac:dyDescent="0.3">
      <c r="E21"/>
      <c r="F21" s="28" t="s">
        <v>193</v>
      </c>
      <c r="G21" t="s">
        <v>276</v>
      </c>
      <c r="H21" s="233">
        <v>753102628.0023104</v>
      </c>
    </row>
    <row r="22" spans="2:40" x14ac:dyDescent="0.3">
      <c r="E22"/>
      <c r="F22" s="28" t="s">
        <v>194</v>
      </c>
      <c r="G22" t="s">
        <v>276</v>
      </c>
      <c r="H22" s="233">
        <v>569822744.79104388</v>
      </c>
    </row>
    <row r="23" spans="2:40" x14ac:dyDescent="0.3">
      <c r="E23"/>
      <c r="F23" s="67" t="s">
        <v>195</v>
      </c>
      <c r="G23" s="37" t="s">
        <v>276</v>
      </c>
      <c r="H23" s="234">
        <v>0</v>
      </c>
    </row>
    <row r="25" spans="2:40" x14ac:dyDescent="0.3">
      <c r="B25" s="30" t="s">
        <v>812</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x14ac:dyDescent="0.3">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3">
      <c r="D29" s="29" t="s">
        <v>900</v>
      </c>
      <c r="E29"/>
    </row>
    <row r="31" spans="2:40" ht="43.2" x14ac:dyDescent="0.3">
      <c r="C31" s="235"/>
      <c r="E31" s="32" t="s">
        <v>813</v>
      </c>
      <c r="J31" s="236" t="s">
        <v>912</v>
      </c>
      <c r="K31" s="236" t="s">
        <v>830</v>
      </c>
      <c r="L31" s="236" t="s">
        <v>913</v>
      </c>
      <c r="M31" s="236" t="s">
        <v>914</v>
      </c>
      <c r="N31" s="236" t="s">
        <v>915</v>
      </c>
      <c r="O31" s="236" t="s">
        <v>916</v>
      </c>
      <c r="P31" s="236" t="s">
        <v>917</v>
      </c>
      <c r="Q31" s="236" t="s">
        <v>831</v>
      </c>
      <c r="R31" s="236" t="s">
        <v>918</v>
      </c>
      <c r="S31" s="236" t="s">
        <v>919</v>
      </c>
      <c r="T31" s="236" t="s">
        <v>920</v>
      </c>
      <c r="U31" s="236" t="s">
        <v>921</v>
      </c>
      <c r="V31" s="236" t="s">
        <v>922</v>
      </c>
      <c r="W31" s="236" t="s">
        <v>923</v>
      </c>
      <c r="X31" s="236" t="s">
        <v>924</v>
      </c>
      <c r="Y31" s="236" t="s">
        <v>925</v>
      </c>
      <c r="Z31" s="236" t="s">
        <v>926</v>
      </c>
      <c r="AA31" s="236" t="s">
        <v>927</v>
      </c>
      <c r="AB31" s="236" t="s">
        <v>928</v>
      </c>
      <c r="AC31" s="236" t="s">
        <v>929</v>
      </c>
      <c r="AD31" s="236" t="s">
        <v>930</v>
      </c>
      <c r="AE31" s="236" t="s">
        <v>931</v>
      </c>
      <c r="AF31" s="236" t="s">
        <v>932</v>
      </c>
      <c r="AG31" s="236" t="s">
        <v>840</v>
      </c>
      <c r="AH31" s="236" t="s">
        <v>832</v>
      </c>
      <c r="AI31" s="236" t="s">
        <v>833</v>
      </c>
      <c r="AJ31" s="236" t="s">
        <v>834</v>
      </c>
      <c r="AK31" s="236" t="s">
        <v>835</v>
      </c>
      <c r="AL31" s="236" t="s">
        <v>836</v>
      </c>
    </row>
    <row r="32" spans="2:40" x14ac:dyDescent="0.3">
      <c r="C32" s="235"/>
      <c r="D32"/>
      <c r="F32" s="237" t="s">
        <v>155</v>
      </c>
      <c r="G32" s="237" t="s">
        <v>268</v>
      </c>
      <c r="H32" s="258" t="s">
        <v>772</v>
      </c>
      <c r="I32" s="258"/>
      <c r="J32" s="277">
        <f>Rounding!J110</f>
        <v>8.3514870140558912</v>
      </c>
      <c r="K32" s="277">
        <f>Rounding!K110</f>
        <v>8.3514870140558912</v>
      </c>
      <c r="L32" s="277">
        <f>Rounding!L110</f>
        <v>9.6316615981711351</v>
      </c>
      <c r="M32" s="277">
        <f>Rounding!M110</f>
        <v>9.6316615981711351</v>
      </c>
      <c r="N32" s="277">
        <f>Rounding!N110</f>
        <v>9.6316615981711351</v>
      </c>
      <c r="O32" s="277">
        <f>Rounding!O110</f>
        <v>9.6316615981711351</v>
      </c>
      <c r="P32" s="277">
        <f>Rounding!P110</f>
        <v>9.6316615981711351</v>
      </c>
      <c r="Q32" s="277">
        <f>Rounding!Q110</f>
        <v>9.6316615981711351</v>
      </c>
      <c r="R32" s="277">
        <f>Rounding!R110</f>
        <v>7.0444036746190282</v>
      </c>
      <c r="S32" s="277">
        <f>Rounding!S110</f>
        <v>7.0444036746190282</v>
      </c>
      <c r="T32" s="277">
        <f>Rounding!T110</f>
        <v>7.0444036746190282</v>
      </c>
      <c r="U32" s="277">
        <f>Rounding!U110</f>
        <v>7.0444036746190282</v>
      </c>
      <c r="V32" s="277">
        <f>Rounding!V110</f>
        <v>7.0444036746190282</v>
      </c>
      <c r="W32" s="277">
        <f>Rounding!W110</f>
        <v>5.6834108878816547</v>
      </c>
      <c r="X32" s="277">
        <f>Rounding!X110</f>
        <v>5.6834108878816547</v>
      </c>
      <c r="Y32" s="277">
        <f>Rounding!Y110</f>
        <v>5.6834108878816547</v>
      </c>
      <c r="Z32" s="277">
        <f>Rounding!Z110</f>
        <v>5.6834108878816547</v>
      </c>
      <c r="AA32" s="277">
        <f>Rounding!AA110</f>
        <v>5.6834108878816547</v>
      </c>
      <c r="AB32" s="277">
        <f>Rounding!AB110</f>
        <v>3.9131724055976909</v>
      </c>
      <c r="AC32" s="277">
        <f>Rounding!AC110</f>
        <v>3.9131724055976909</v>
      </c>
      <c r="AD32" s="277">
        <f>Rounding!AD110</f>
        <v>3.9131724055976909</v>
      </c>
      <c r="AE32" s="277">
        <f>Rounding!AE110</f>
        <v>3.9131724055976909</v>
      </c>
      <c r="AF32" s="277">
        <f>Rounding!AF110</f>
        <v>3.9131724055976909</v>
      </c>
      <c r="AG32" s="277">
        <f>Rounding!AG110</f>
        <v>16.735507155294211</v>
      </c>
      <c r="AH32" s="277">
        <f>Rounding!AH110</f>
        <v>-6.5192956999219849</v>
      </c>
      <c r="AI32" s="277">
        <f>Rounding!AI110</f>
        <v>-5.4300819577995343</v>
      </c>
      <c r="AJ32" s="277">
        <f>Rounding!AJ110</f>
        <v>-6.5192956999219849</v>
      </c>
      <c r="AK32" s="277">
        <f>Rounding!AL110</f>
        <v>-5.4300819577995343</v>
      </c>
      <c r="AL32" s="277">
        <f>Rounding!AN110</f>
        <v>-4.1415516971992012</v>
      </c>
    </row>
    <row r="33" spans="3:40" x14ac:dyDescent="0.3">
      <c r="C33" s="235"/>
      <c r="D33"/>
      <c r="F33" s="238" t="s">
        <v>156</v>
      </c>
      <c r="G33" s="238" t="s">
        <v>268</v>
      </c>
      <c r="H33" s="259" t="s">
        <v>772</v>
      </c>
      <c r="I33" s="259"/>
      <c r="J33" s="369">
        <f>Rounding!J111</f>
        <v>1.5166758132927634</v>
      </c>
      <c r="K33" s="369">
        <f>Rounding!K111</f>
        <v>1.5166758132927634</v>
      </c>
      <c r="L33" s="369">
        <f>Rounding!L111</f>
        <v>1.7491625339512411</v>
      </c>
      <c r="M33" s="369">
        <f>Rounding!M111</f>
        <v>1.7491625339512411</v>
      </c>
      <c r="N33" s="369">
        <f>Rounding!N111</f>
        <v>1.7491625339512411</v>
      </c>
      <c r="O33" s="369">
        <f>Rounding!O111</f>
        <v>1.7491625339512411</v>
      </c>
      <c r="P33" s="369">
        <f>Rounding!P111</f>
        <v>1.7491625339512411</v>
      </c>
      <c r="Q33" s="369">
        <f>Rounding!Q111</f>
        <v>1.7491625339512411</v>
      </c>
      <c r="R33" s="369">
        <f>Rounding!R111</f>
        <v>1.1739839411843249</v>
      </c>
      <c r="S33" s="369">
        <f>Rounding!S111</f>
        <v>1.1739839411843249</v>
      </c>
      <c r="T33" s="369">
        <f>Rounding!T111</f>
        <v>1.1739839411843249</v>
      </c>
      <c r="U33" s="369">
        <f>Rounding!U111</f>
        <v>1.1739839411843249</v>
      </c>
      <c r="V33" s="369">
        <f>Rounding!V111</f>
        <v>1.1739839411843249</v>
      </c>
      <c r="W33" s="369">
        <f>Rounding!W111</f>
        <v>0.86039593221703004</v>
      </c>
      <c r="X33" s="369">
        <f>Rounding!X111</f>
        <v>0.86039593221703004</v>
      </c>
      <c r="Y33" s="369">
        <f>Rounding!Y111</f>
        <v>0.86039593221703004</v>
      </c>
      <c r="Z33" s="369">
        <f>Rounding!Z111</f>
        <v>0.86039593221703004</v>
      </c>
      <c r="AA33" s="369">
        <f>Rounding!AA111</f>
        <v>0.86039593221703004</v>
      </c>
      <c r="AB33" s="369">
        <f>Rounding!AB111</f>
        <v>0.49314204944907558</v>
      </c>
      <c r="AC33" s="369">
        <f>Rounding!AC111</f>
        <v>0.49314204944907558</v>
      </c>
      <c r="AD33" s="369">
        <f>Rounding!AD111</f>
        <v>0.49314204944907558</v>
      </c>
      <c r="AE33" s="369">
        <f>Rounding!AE111</f>
        <v>0.49314204944907558</v>
      </c>
      <c r="AF33" s="369">
        <f>Rounding!AF111</f>
        <v>0.49314204944907558</v>
      </c>
      <c r="AG33" s="369">
        <f>Rounding!AG111</f>
        <v>3.9465811154583603</v>
      </c>
      <c r="AH33" s="369">
        <f>Rounding!AH111</f>
        <v>-1.1839398290548573</v>
      </c>
      <c r="AI33" s="369">
        <f>Rounding!AI111</f>
        <v>-0.92197810927331569</v>
      </c>
      <c r="AJ33" s="369">
        <f>Rounding!AJ111</f>
        <v>-1.1839398290548573</v>
      </c>
      <c r="AK33" s="369">
        <f>Rounding!AL111</f>
        <v>-0.92197810927331569</v>
      </c>
      <c r="AL33" s="369">
        <f>Rounding!AN111</f>
        <v>-0.60092414595446808</v>
      </c>
    </row>
    <row r="34" spans="3:40" x14ac:dyDescent="0.3">
      <c r="C34" s="235"/>
      <c r="D34"/>
      <c r="F34" s="238" t="s">
        <v>157</v>
      </c>
      <c r="G34" s="238" t="s">
        <v>268</v>
      </c>
      <c r="H34" s="259" t="s">
        <v>772</v>
      </c>
      <c r="I34" s="259"/>
      <c r="J34" s="369">
        <f>Rounding!J112</f>
        <v>0.21376900381029099</v>
      </c>
      <c r="K34" s="369">
        <f>Rounding!K112</f>
        <v>0.21376900381029099</v>
      </c>
      <c r="L34" s="369">
        <f>Rounding!L112</f>
        <v>0.24653701806798978</v>
      </c>
      <c r="M34" s="369">
        <f>Rounding!M112</f>
        <v>0.24653701806798978</v>
      </c>
      <c r="N34" s="369">
        <f>Rounding!N112</f>
        <v>0.24653701806798978</v>
      </c>
      <c r="O34" s="369">
        <f>Rounding!O112</f>
        <v>0.24653701806798978</v>
      </c>
      <c r="P34" s="369">
        <f>Rounding!P112</f>
        <v>0.24653701806798978</v>
      </c>
      <c r="Q34" s="369">
        <f>Rounding!Q112</f>
        <v>0.24653701806798978</v>
      </c>
      <c r="R34" s="369">
        <f>Rounding!R112</f>
        <v>0.17017696970973151</v>
      </c>
      <c r="S34" s="369">
        <f>Rounding!S112</f>
        <v>0.17017696970973151</v>
      </c>
      <c r="T34" s="369">
        <f>Rounding!T112</f>
        <v>0.17017696970973151</v>
      </c>
      <c r="U34" s="369">
        <f>Rounding!U112</f>
        <v>0.17017696970973151</v>
      </c>
      <c r="V34" s="369">
        <f>Rounding!V112</f>
        <v>0.17017696970973151</v>
      </c>
      <c r="W34" s="369">
        <f>Rounding!W112</f>
        <v>0.12894799267730714</v>
      </c>
      <c r="X34" s="369">
        <f>Rounding!X112</f>
        <v>0.12894799267730714</v>
      </c>
      <c r="Y34" s="369">
        <f>Rounding!Y112</f>
        <v>0.12894799267730714</v>
      </c>
      <c r="Z34" s="369">
        <f>Rounding!Z112</f>
        <v>0.12894799267730714</v>
      </c>
      <c r="AA34" s="369">
        <f>Rounding!AA112</f>
        <v>0.12894799267730714</v>
      </c>
      <c r="AB34" s="369">
        <f>Rounding!AB112</f>
        <v>7.9231508627719355E-2</v>
      </c>
      <c r="AC34" s="369">
        <f>Rounding!AC112</f>
        <v>7.9231508627719355E-2</v>
      </c>
      <c r="AD34" s="369">
        <f>Rounding!AD112</f>
        <v>7.9231508627719355E-2</v>
      </c>
      <c r="AE34" s="369">
        <f>Rounding!AE112</f>
        <v>7.9231508627719355E-2</v>
      </c>
      <c r="AF34" s="369">
        <f>Rounding!AF112</f>
        <v>7.9231508627719355E-2</v>
      </c>
      <c r="AG34" s="369">
        <f>Rounding!AG112</f>
        <v>3.0295905828704432</v>
      </c>
      <c r="AH34" s="369">
        <f>Rounding!AH112</f>
        <v>-0.16687128232032356</v>
      </c>
      <c r="AI34" s="369">
        <f>Rounding!AI112</f>
        <v>-0.1328173286336693</v>
      </c>
      <c r="AJ34" s="369">
        <f>Rounding!AJ112</f>
        <v>-0.16687128232032356</v>
      </c>
      <c r="AK34" s="369">
        <f>Rounding!AL112</f>
        <v>-0.1328173286336693</v>
      </c>
      <c r="AL34" s="369">
        <f>Rounding!AN112</f>
        <v>-9.1458253259940767E-2</v>
      </c>
    </row>
    <row r="35" spans="3:40" x14ac:dyDescent="0.3">
      <c r="C35" s="235"/>
      <c r="D35"/>
      <c r="F35" s="238" t="s">
        <v>158</v>
      </c>
      <c r="G35" s="238" t="s">
        <v>269</v>
      </c>
      <c r="H35" t="s">
        <v>772</v>
      </c>
      <c r="J35" s="370">
        <f>Rounding!J113</f>
        <v>10.79015049678868</v>
      </c>
      <c r="K35" s="370">
        <f>Rounding!K113</f>
        <v>0</v>
      </c>
      <c r="L35" s="370">
        <f>Rounding!L113</f>
        <v>4.2948115217685636</v>
      </c>
      <c r="M35" s="370">
        <f>Rounding!M113</f>
        <v>7.3719245313863446</v>
      </c>
      <c r="N35" s="370">
        <f>Rounding!N113</f>
        <v>19.476158638345574</v>
      </c>
      <c r="O35" s="370">
        <f>Rounding!O113</f>
        <v>41.907973510466526</v>
      </c>
      <c r="P35" s="370">
        <f>Rounding!P113</f>
        <v>121.42818575817189</v>
      </c>
      <c r="Q35" s="370">
        <f>Rounding!Q113</f>
        <v>0</v>
      </c>
      <c r="R35" s="370">
        <f>Rounding!R113</f>
        <v>17.49531407933436</v>
      </c>
      <c r="S35" s="370">
        <f>Rounding!S113</f>
        <v>171.49729102823065</v>
      </c>
      <c r="T35" s="370">
        <f>Rounding!T113</f>
        <v>401.51216276023479</v>
      </c>
      <c r="U35" s="370">
        <f>Rounding!U113</f>
        <v>643.84797254941884</v>
      </c>
      <c r="V35" s="370">
        <f>Rounding!V113</f>
        <v>1332.5149345685563</v>
      </c>
      <c r="W35" s="370">
        <f>Rounding!W113</f>
        <v>56.467738784040058</v>
      </c>
      <c r="X35" s="370">
        <f>Rounding!X113</f>
        <v>210.46971573293632</v>
      </c>
      <c r="Y35" s="370">
        <f>Rounding!Y113</f>
        <v>440.48458746494049</v>
      </c>
      <c r="Z35" s="370">
        <f>Rounding!Z113</f>
        <v>682.82039725412437</v>
      </c>
      <c r="AA35" s="370">
        <f>Rounding!AA113</f>
        <v>1371.487359273262</v>
      </c>
      <c r="AB35" s="370">
        <f>Rounding!AB113</f>
        <v>124.16502858254897</v>
      </c>
      <c r="AC35" s="370">
        <f>Rounding!AC113</f>
        <v>1106.348867541047</v>
      </c>
      <c r="AD35" s="370">
        <f>Rounding!AD113</f>
        <v>3334.6349208416718</v>
      </c>
      <c r="AE35" s="370">
        <f>Rounding!AE113</f>
        <v>6854.0929764576622</v>
      </c>
      <c r="AF35" s="370">
        <f>Rounding!AF113</f>
        <v>15818.508443904862</v>
      </c>
      <c r="AG35" s="370">
        <f>Rounding!AG113</f>
        <v>0</v>
      </c>
      <c r="AH35" s="370">
        <f>Rounding!AH113</f>
        <v>0</v>
      </c>
      <c r="AI35" s="370">
        <f>Rounding!AI113</f>
        <v>0</v>
      </c>
      <c r="AJ35" s="370">
        <f>Rounding!AJ113</f>
        <v>0</v>
      </c>
      <c r="AK35" s="370">
        <f>Rounding!AL113</f>
        <v>0</v>
      </c>
      <c r="AL35" s="370">
        <f>Rounding!AN113</f>
        <v>8.3608666107087686</v>
      </c>
    </row>
    <row r="36" spans="3:40" x14ac:dyDescent="0.3">
      <c r="C36" s="235"/>
      <c r="D36"/>
      <c r="F36" s="238" t="s">
        <v>159</v>
      </c>
      <c r="G36" s="238" t="s">
        <v>270</v>
      </c>
      <c r="H36" t="s">
        <v>772</v>
      </c>
      <c r="J36" s="370">
        <f>Rounding!J114</f>
        <v>0</v>
      </c>
      <c r="K36" s="370">
        <f>Rounding!K114</f>
        <v>0</v>
      </c>
      <c r="L36" s="370">
        <f>Rounding!L114</f>
        <v>0</v>
      </c>
      <c r="M36" s="370">
        <f>Rounding!M114</f>
        <v>0</v>
      </c>
      <c r="N36" s="370">
        <f>Rounding!N114</f>
        <v>0</v>
      </c>
      <c r="O36" s="370">
        <f>Rounding!O114</f>
        <v>0</v>
      </c>
      <c r="P36" s="370">
        <f>Rounding!P114</f>
        <v>0</v>
      </c>
      <c r="Q36" s="370">
        <f>Rounding!Q114</f>
        <v>0</v>
      </c>
      <c r="R36" s="370">
        <f>Rounding!R114</f>
        <v>3.1390766052084453</v>
      </c>
      <c r="S36" s="370">
        <f>Rounding!S114</f>
        <v>3.1390766052084453</v>
      </c>
      <c r="T36" s="370">
        <f>Rounding!T114</f>
        <v>3.1390766052084453</v>
      </c>
      <c r="U36" s="370">
        <f>Rounding!U114</f>
        <v>3.1390766052084453</v>
      </c>
      <c r="V36" s="370">
        <f>Rounding!V114</f>
        <v>3.1390766052084453</v>
      </c>
      <c r="W36" s="370">
        <f>Rounding!W114</f>
        <v>3.2135567800468432</v>
      </c>
      <c r="X36" s="370">
        <f>Rounding!X114</f>
        <v>3.2135567800468432</v>
      </c>
      <c r="Y36" s="370">
        <f>Rounding!Y114</f>
        <v>3.2135567800468432</v>
      </c>
      <c r="Z36" s="370">
        <f>Rounding!Z114</f>
        <v>3.2135567800468432</v>
      </c>
      <c r="AA36" s="370">
        <f>Rounding!AA114</f>
        <v>3.2135567800468432</v>
      </c>
      <c r="AB36" s="370">
        <f>Rounding!AB114</f>
        <v>3.1526526297383777</v>
      </c>
      <c r="AC36" s="370">
        <f>Rounding!AC114</f>
        <v>3.1526526297383777</v>
      </c>
      <c r="AD36" s="370">
        <f>Rounding!AD114</f>
        <v>3.1526526297383777</v>
      </c>
      <c r="AE36" s="370">
        <f>Rounding!AE114</f>
        <v>3.1526526297383777</v>
      </c>
      <c r="AF36" s="370">
        <f>Rounding!AF114</f>
        <v>3.1526526297383777</v>
      </c>
      <c r="AG36" s="370">
        <f>Rounding!AG114</f>
        <v>0</v>
      </c>
      <c r="AH36" s="370">
        <f>Rounding!AH114</f>
        <v>0</v>
      </c>
      <c r="AI36" s="370">
        <f>Rounding!AI114</f>
        <v>0</v>
      </c>
      <c r="AJ36" s="370">
        <f>Rounding!AJ114</f>
        <v>0</v>
      </c>
      <c r="AK36" s="370">
        <f>Rounding!AL114</f>
        <v>0</v>
      </c>
      <c r="AL36" s="370">
        <f>Rounding!AN114</f>
        <v>0</v>
      </c>
    </row>
    <row r="37" spans="3:40" x14ac:dyDescent="0.3">
      <c r="C37" s="235"/>
      <c r="D37"/>
      <c r="F37" s="238" t="s">
        <v>160</v>
      </c>
      <c r="G37" s="238" t="s">
        <v>270</v>
      </c>
      <c r="H37" t="s">
        <v>772</v>
      </c>
      <c r="J37" s="370">
        <f>Rounding!J115</f>
        <v>0</v>
      </c>
      <c r="K37" s="370">
        <f>Rounding!K115</f>
        <v>0</v>
      </c>
      <c r="L37" s="370">
        <f>Rounding!L115</f>
        <v>0</v>
      </c>
      <c r="M37" s="370">
        <f>Rounding!M115</f>
        <v>0</v>
      </c>
      <c r="N37" s="370">
        <f>Rounding!N115</f>
        <v>0</v>
      </c>
      <c r="O37" s="370">
        <f>Rounding!O115</f>
        <v>0</v>
      </c>
      <c r="P37" s="370">
        <f>Rounding!P115</f>
        <v>0</v>
      </c>
      <c r="Q37" s="370">
        <f>Rounding!Q115</f>
        <v>0</v>
      </c>
      <c r="R37" s="370">
        <f>Rounding!R115</f>
        <v>4.7497751254470124</v>
      </c>
      <c r="S37" s="370">
        <f>Rounding!S115</f>
        <v>4.7497751254470124</v>
      </c>
      <c r="T37" s="370">
        <f>Rounding!T115</f>
        <v>4.7497751254470124</v>
      </c>
      <c r="U37" s="370">
        <f>Rounding!U115</f>
        <v>4.7497751254470124</v>
      </c>
      <c r="V37" s="370">
        <f>Rounding!V115</f>
        <v>4.7497751254470124</v>
      </c>
      <c r="W37" s="370">
        <f>Rounding!W115</f>
        <v>5.5065938692732104</v>
      </c>
      <c r="X37" s="370">
        <f>Rounding!X115</f>
        <v>5.5065938692732104</v>
      </c>
      <c r="Y37" s="370">
        <f>Rounding!Y115</f>
        <v>5.5065938692732104</v>
      </c>
      <c r="Z37" s="370">
        <f>Rounding!Z115</f>
        <v>5.5065938692732104</v>
      </c>
      <c r="AA37" s="370">
        <f>Rounding!AA115</f>
        <v>5.5065938692732104</v>
      </c>
      <c r="AB37" s="370">
        <f>Rounding!AB115</f>
        <v>5.7359205926323256</v>
      </c>
      <c r="AC37" s="370">
        <f>Rounding!AC115</f>
        <v>5.7359205926323256</v>
      </c>
      <c r="AD37" s="370">
        <f>Rounding!AD115</f>
        <v>5.7359205926323256</v>
      </c>
      <c r="AE37" s="370">
        <f>Rounding!AE115</f>
        <v>5.7359205926323256</v>
      </c>
      <c r="AF37" s="370">
        <f>Rounding!AF115</f>
        <v>5.7359205926323256</v>
      </c>
      <c r="AG37" s="370">
        <f>Rounding!AG115</f>
        <v>0</v>
      </c>
      <c r="AH37" s="370">
        <f>Rounding!AH115</f>
        <v>0</v>
      </c>
      <c r="AI37" s="370">
        <f>Rounding!AI115</f>
        <v>0</v>
      </c>
      <c r="AJ37" s="370">
        <f>Rounding!AJ115</f>
        <v>0</v>
      </c>
      <c r="AK37" s="370">
        <f>Rounding!AL115</f>
        <v>0</v>
      </c>
      <c r="AL37" s="370">
        <f>Rounding!AN115</f>
        <v>0</v>
      </c>
    </row>
    <row r="38" spans="3:40" x14ac:dyDescent="0.3">
      <c r="C38" s="235"/>
      <c r="D38"/>
      <c r="F38" s="239" t="s">
        <v>161</v>
      </c>
      <c r="G38" s="239" t="s">
        <v>271</v>
      </c>
      <c r="H38" s="261" t="s">
        <v>772</v>
      </c>
      <c r="I38" s="261"/>
      <c r="J38" s="278">
        <f>Rounding!J116</f>
        <v>0</v>
      </c>
      <c r="K38" s="278">
        <f>Rounding!K116</f>
        <v>0</v>
      </c>
      <c r="L38" s="278">
        <f>Rounding!L116</f>
        <v>0</v>
      </c>
      <c r="M38" s="278">
        <f>Rounding!M116</f>
        <v>0</v>
      </c>
      <c r="N38" s="278">
        <f>Rounding!N116</f>
        <v>0</v>
      </c>
      <c r="O38" s="278">
        <f>Rounding!O116</f>
        <v>0</v>
      </c>
      <c r="P38" s="278">
        <f>Rounding!P116</f>
        <v>0</v>
      </c>
      <c r="Q38" s="278">
        <f>Rounding!Q116</f>
        <v>0</v>
      </c>
      <c r="R38" s="278">
        <f>Rounding!R116</f>
        <v>0.15183967715066449</v>
      </c>
      <c r="S38" s="278">
        <f>Rounding!S116</f>
        <v>0.15183967715066449</v>
      </c>
      <c r="T38" s="278">
        <f>Rounding!T116</f>
        <v>0.15183967715066449</v>
      </c>
      <c r="U38" s="278">
        <f>Rounding!U116</f>
        <v>0.15183967715066449</v>
      </c>
      <c r="V38" s="278">
        <f>Rounding!V116</f>
        <v>0.15183967715066449</v>
      </c>
      <c r="W38" s="278">
        <f>Rounding!W116</f>
        <v>0.11214938018401023</v>
      </c>
      <c r="X38" s="278">
        <f>Rounding!X116</f>
        <v>0.11214938018401023</v>
      </c>
      <c r="Y38" s="278">
        <f>Rounding!Y116</f>
        <v>0.11214938018401023</v>
      </c>
      <c r="Z38" s="278">
        <f>Rounding!Z116</f>
        <v>0.11214938018401023</v>
      </c>
      <c r="AA38" s="278">
        <f>Rounding!AA116</f>
        <v>0.11214938018401023</v>
      </c>
      <c r="AB38" s="278">
        <f>Rounding!AB116</f>
        <v>6.9049453472262365E-2</v>
      </c>
      <c r="AC38" s="278">
        <f>Rounding!AC116</f>
        <v>6.9049453472262365E-2</v>
      </c>
      <c r="AD38" s="278">
        <f>Rounding!AD116</f>
        <v>6.9049453472262365E-2</v>
      </c>
      <c r="AE38" s="278">
        <f>Rounding!AE116</f>
        <v>6.9049453472262365E-2</v>
      </c>
      <c r="AF38" s="278">
        <f>Rounding!AF116</f>
        <v>6.9049453472262365E-2</v>
      </c>
      <c r="AG38" s="278">
        <f>Rounding!AG116</f>
        <v>0</v>
      </c>
      <c r="AH38" s="278">
        <f>Rounding!AH116</f>
        <v>0</v>
      </c>
      <c r="AI38" s="278">
        <f>Rounding!AI116</f>
        <v>0</v>
      </c>
      <c r="AJ38" s="278">
        <f>Rounding!AJ116</f>
        <v>0.12610930005179521</v>
      </c>
      <c r="AK38" s="278">
        <f>Rounding!AL116</f>
        <v>0.10643979123499889</v>
      </c>
      <c r="AL38" s="278">
        <f>Rounding!AN116</f>
        <v>8.016654544178127E-2</v>
      </c>
    </row>
    <row r="39" spans="3:40" x14ac:dyDescent="0.3">
      <c r="D39"/>
      <c r="E39"/>
      <c r="F39" s="240"/>
    </row>
    <row r="40" spans="3:40" x14ac:dyDescent="0.3">
      <c r="D40" s="29" t="s">
        <v>899</v>
      </c>
      <c r="E40"/>
    </row>
    <row r="42" spans="3:40" ht="60" customHeight="1" x14ac:dyDescent="0.3">
      <c r="D42"/>
      <c r="E42"/>
      <c r="F42" s="240"/>
      <c r="J42" s="236" t="s">
        <v>912</v>
      </c>
      <c r="K42" s="236" t="s">
        <v>830</v>
      </c>
      <c r="L42" s="236" t="s">
        <v>913</v>
      </c>
      <c r="M42" s="236" t="s">
        <v>914</v>
      </c>
      <c r="N42" s="236" t="s">
        <v>915</v>
      </c>
      <c r="O42" s="236" t="s">
        <v>916</v>
      </c>
      <c r="P42" s="236" t="s">
        <v>917</v>
      </c>
      <c r="Q42" s="236" t="s">
        <v>831</v>
      </c>
      <c r="R42" s="236" t="s">
        <v>918</v>
      </c>
      <c r="S42" s="236" t="s">
        <v>919</v>
      </c>
      <c r="T42" s="236" t="s">
        <v>920</v>
      </c>
      <c r="U42" s="236" t="s">
        <v>921</v>
      </c>
      <c r="V42" s="236" t="s">
        <v>922</v>
      </c>
      <c r="W42" s="236" t="s">
        <v>923</v>
      </c>
      <c r="X42" s="236" t="s">
        <v>924</v>
      </c>
      <c r="Y42" s="236" t="s">
        <v>925</v>
      </c>
      <c r="Z42" s="236" t="s">
        <v>926</v>
      </c>
      <c r="AA42" s="236" t="s">
        <v>927</v>
      </c>
      <c r="AB42" s="236" t="s">
        <v>928</v>
      </c>
      <c r="AC42" s="236" t="s">
        <v>929</v>
      </c>
      <c r="AD42" s="236" t="s">
        <v>930</v>
      </c>
      <c r="AE42" s="236" t="s">
        <v>931</v>
      </c>
      <c r="AF42" s="236" t="s">
        <v>932</v>
      </c>
      <c r="AG42" s="236" t="s">
        <v>840</v>
      </c>
      <c r="AH42" s="236" t="s">
        <v>832</v>
      </c>
      <c r="AI42" s="236" t="s">
        <v>833</v>
      </c>
      <c r="AJ42" s="236" t="s">
        <v>834</v>
      </c>
      <c r="AK42" s="236" t="s">
        <v>835</v>
      </c>
      <c r="AL42" s="236" t="s">
        <v>836</v>
      </c>
    </row>
    <row r="43" spans="3:40" x14ac:dyDescent="0.3">
      <c r="D43"/>
      <c r="E43" t="s">
        <v>894</v>
      </c>
      <c r="F43" s="240"/>
      <c r="G43" t="s">
        <v>269</v>
      </c>
      <c r="J43" s="233">
        <f>Rounding!J47</f>
        <v>9.4643746985088963</v>
      </c>
      <c r="K43" s="233">
        <f>Rounding!K47</f>
        <v>0</v>
      </c>
      <c r="L43" s="233">
        <f>Rounding!L47</f>
        <v>3.8879927832875319E-2</v>
      </c>
      <c r="M43" s="233">
        <f>Rounding!M47</f>
        <v>3.8879927832875319E-2</v>
      </c>
      <c r="N43" s="233">
        <f>Rounding!N47</f>
        <v>3.8879927832875319E-2</v>
      </c>
      <c r="O43" s="233">
        <f>Rounding!O47</f>
        <v>3.8879927832875319E-2</v>
      </c>
      <c r="P43" s="233">
        <f>Rounding!P47</f>
        <v>3.8879927832875319E-2</v>
      </c>
      <c r="Q43" s="233">
        <f>Rounding!Q47</f>
        <v>0</v>
      </c>
      <c r="R43" s="233">
        <f>Rounding!R47</f>
        <v>3.8879927832875319E-2</v>
      </c>
      <c r="S43" s="233">
        <f>Rounding!S47</f>
        <v>3.8879927832875319E-2</v>
      </c>
      <c r="T43" s="233">
        <f>Rounding!T47</f>
        <v>3.8879927832875319E-2</v>
      </c>
      <c r="U43" s="233">
        <f>Rounding!U47</f>
        <v>3.8879927832875319E-2</v>
      </c>
      <c r="V43" s="233">
        <f>Rounding!V47</f>
        <v>3.8879927832875319E-2</v>
      </c>
      <c r="W43" s="233">
        <f>Rounding!W47</f>
        <v>3.8879927832875319E-2</v>
      </c>
      <c r="X43" s="233">
        <f>Rounding!X47</f>
        <v>3.8879927832875319E-2</v>
      </c>
      <c r="Y43" s="233">
        <f>Rounding!Y47</f>
        <v>3.8879927832875319E-2</v>
      </c>
      <c r="Z43" s="233">
        <f>Rounding!Z47</f>
        <v>3.8879927832875319E-2</v>
      </c>
      <c r="AA43" s="233">
        <f>Rounding!AA47</f>
        <v>3.8879927832875319E-2</v>
      </c>
      <c r="AB43" s="233">
        <f>Rounding!AB47</f>
        <v>3.8879927832875319E-2</v>
      </c>
      <c r="AC43" s="233">
        <f>Rounding!AC47</f>
        <v>3.8879927832875319E-2</v>
      </c>
      <c r="AD43" s="233">
        <f>Rounding!AD47</f>
        <v>3.8879927832875319E-2</v>
      </c>
      <c r="AE43" s="233">
        <f>Rounding!AE47</f>
        <v>3.8879927832875319E-2</v>
      </c>
      <c r="AF43" s="233">
        <f>Rounding!AF47</f>
        <v>3.8879927832875319E-2</v>
      </c>
      <c r="AG43" s="233">
        <f>Rounding!AG47</f>
        <v>0</v>
      </c>
      <c r="AH43" s="233">
        <f>Rounding!AH47</f>
        <v>0</v>
      </c>
      <c r="AI43" s="233">
        <f>Rounding!AI47</f>
        <v>0</v>
      </c>
      <c r="AJ43" s="233">
        <f>Rounding!AJ47</f>
        <v>0</v>
      </c>
      <c r="AK43" s="233">
        <f>Rounding!AL47</f>
        <v>0</v>
      </c>
      <c r="AL43" s="233">
        <f>Rounding!AN47</f>
        <v>0</v>
      </c>
    </row>
    <row r="44" spans="3:40" x14ac:dyDescent="0.3">
      <c r="D44"/>
      <c r="E44"/>
      <c r="F44" s="240"/>
    </row>
    <row r="45" spans="3:40" x14ac:dyDescent="0.3">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3">
      <c r="C46" s="2"/>
      <c r="D46"/>
    </row>
    <row r="47" spans="3:40" x14ac:dyDescent="0.3">
      <c r="D47" s="29" t="s">
        <v>814</v>
      </c>
      <c r="E47"/>
    </row>
    <row r="49" spans="2:40" x14ac:dyDescent="0.3">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40" x14ac:dyDescent="0.3">
      <c r="D50"/>
      <c r="E50" s="293" t="s">
        <v>825</v>
      </c>
      <c r="F50" s="293"/>
      <c r="G50" s="67" t="s">
        <v>166</v>
      </c>
      <c r="H50" s="37"/>
      <c r="I50" s="37"/>
      <c r="J50" s="294"/>
      <c r="K50" s="295">
        <f t="array" ref="K50:O50">TRANSPOSE('System peak demand'!H227:H231)</f>
        <v>0.13740729472191449</v>
      </c>
      <c r="L50" s="295">
        <v>0.13740729472191449</v>
      </c>
      <c r="M50" s="295">
        <v>0.25192977586573773</v>
      </c>
      <c r="N50" s="295">
        <v>0.25192977586573773</v>
      </c>
      <c r="O50" s="295">
        <v>0.13740729472191449</v>
      </c>
      <c r="P50" s="294"/>
      <c r="Q50" s="294"/>
      <c r="R50" s="294"/>
      <c r="S50" s="294"/>
      <c r="T50" s="294"/>
    </row>
    <row r="51" spans="2:40" x14ac:dyDescent="0.3">
      <c r="D51"/>
      <c r="E51" s="296" t="s">
        <v>826</v>
      </c>
      <c r="F51" s="296"/>
      <c r="G51" s="108" t="s">
        <v>519</v>
      </c>
      <c r="H51" s="108"/>
      <c r="I51" s="108"/>
      <c r="J51" s="297">
        <f t="array" ref="J51:O51">TRANSPOSE('System peak demand'!H154:H159)</f>
        <v>3285984.3787816754</v>
      </c>
      <c r="K51" s="297">
        <v>3146649.9320529909</v>
      </c>
      <c r="L51" s="297">
        <v>3130986.5199278891</v>
      </c>
      <c r="M51" s="297">
        <v>3082797.6694464232</v>
      </c>
      <c r="N51" s="297">
        <v>3066580.2602052814</v>
      </c>
      <c r="O51" s="297">
        <v>0</v>
      </c>
      <c r="P51" s="298"/>
      <c r="Q51" s="298"/>
      <c r="R51" s="298"/>
      <c r="S51" s="298"/>
      <c r="T51" s="298"/>
    </row>
    <row r="52" spans="2:40" x14ac:dyDescent="0.3">
      <c r="D52"/>
      <c r="E52" s="296" t="s">
        <v>815</v>
      </c>
      <c r="F52" s="296"/>
      <c r="G52" s="108" t="s">
        <v>276</v>
      </c>
      <c r="H52" s="108"/>
      <c r="I52" s="108"/>
      <c r="J52" s="298"/>
      <c r="K52" s="297">
        <f>'Unit costs'!L108</f>
        <v>724068830.04974031</v>
      </c>
      <c r="L52" s="297">
        <f>'Unit costs'!M108</f>
        <v>286409322.65182501</v>
      </c>
      <c r="M52" s="297">
        <f>'Unit costs'!N108</f>
        <v>753102628.0023104</v>
      </c>
      <c r="N52" s="297">
        <f>'Unit costs'!O108</f>
        <v>569822744.79104388</v>
      </c>
      <c r="O52" s="297">
        <f>'Unit costs'!P108</f>
        <v>0</v>
      </c>
      <c r="P52" s="297">
        <f>'Unit costs'!Q108</f>
        <v>1035285088.4890285</v>
      </c>
      <c r="Q52" s="297">
        <f>'Unit costs'!R108</f>
        <v>780169721.91093051</v>
      </c>
      <c r="R52" s="297">
        <f>'Unit costs'!S108</f>
        <v>318626387.61298794</v>
      </c>
      <c r="S52" s="297">
        <f>'Unit costs'!T108</f>
        <v>1664135903.1959331</v>
      </c>
      <c r="T52" s="297">
        <f>'Unit costs'!U108</f>
        <v>41839908.963332735</v>
      </c>
    </row>
    <row r="53" spans="2:40" x14ac:dyDescent="0.3">
      <c r="D53"/>
      <c r="E53" s="299" t="s">
        <v>391</v>
      </c>
      <c r="F53" s="299"/>
      <c r="G53" s="23" t="s">
        <v>282</v>
      </c>
      <c r="H53" s="23"/>
      <c r="I53" s="23"/>
      <c r="J53" s="232">
        <f>'Load &amp; loss characteristics'!K29</f>
        <v>1</v>
      </c>
      <c r="K53" s="232">
        <f>'Load &amp; loss characteristics'!L29</f>
        <v>1.0069921140018139</v>
      </c>
      <c r="L53" s="232">
        <f>'Load &amp; loss characteristics'!M29</f>
        <v>1.0120298017682567</v>
      </c>
      <c r="M53" s="232">
        <f>'Load &amp; loss characteristics'!N29</f>
        <v>1.0169672276140249</v>
      </c>
      <c r="N53" s="232">
        <f>'Load &amp; loss characteristics'!O29</f>
        <v>1.022345392317251</v>
      </c>
      <c r="O53" s="232">
        <f>'Load &amp; loss characteristics'!P29</f>
        <v>1.022345392317251</v>
      </c>
      <c r="P53" s="83"/>
      <c r="Q53" s="83"/>
      <c r="R53" s="83"/>
      <c r="S53" s="83"/>
      <c r="T53" s="83"/>
    </row>
    <row r="54" spans="2:40" x14ac:dyDescent="0.3">
      <c r="D54"/>
      <c r="E54"/>
      <c r="F54" s="240"/>
    </row>
    <row r="55" spans="2:40" x14ac:dyDescent="0.3">
      <c r="B55" s="30" t="s">
        <v>816</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3">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3">
      <c r="D59" s="29" t="s">
        <v>817</v>
      </c>
      <c r="E59"/>
    </row>
    <row r="61" spans="2:40" ht="43.2" x14ac:dyDescent="0.3">
      <c r="F61" s="2"/>
      <c r="G61" s="2"/>
      <c r="H61" s="2"/>
      <c r="I61" s="2"/>
      <c r="J61" s="236" t="s">
        <v>912</v>
      </c>
      <c r="K61" s="236" t="s">
        <v>830</v>
      </c>
      <c r="L61" s="236" t="s">
        <v>913</v>
      </c>
      <c r="M61" s="236" t="s">
        <v>914</v>
      </c>
      <c r="N61" s="236" t="s">
        <v>915</v>
      </c>
      <c r="O61" s="236" t="s">
        <v>916</v>
      </c>
      <c r="P61" s="236" t="s">
        <v>917</v>
      </c>
      <c r="Q61" s="236" t="s">
        <v>831</v>
      </c>
      <c r="R61" s="236" t="s">
        <v>918</v>
      </c>
      <c r="S61" s="236" t="s">
        <v>919</v>
      </c>
      <c r="T61" s="236" t="s">
        <v>920</v>
      </c>
      <c r="U61" s="236" t="s">
        <v>921</v>
      </c>
      <c r="V61" s="236" t="s">
        <v>922</v>
      </c>
      <c r="W61" s="236" t="s">
        <v>923</v>
      </c>
      <c r="X61" s="236" t="s">
        <v>924</v>
      </c>
      <c r="Y61" s="236" t="s">
        <v>925</v>
      </c>
      <c r="Z61" s="236" t="s">
        <v>926</v>
      </c>
      <c r="AA61" s="236" t="s">
        <v>927</v>
      </c>
      <c r="AB61" s="236" t="s">
        <v>928</v>
      </c>
      <c r="AC61" s="236" t="s">
        <v>929</v>
      </c>
      <c r="AD61" s="236" t="s">
        <v>930</v>
      </c>
      <c r="AE61" s="236" t="s">
        <v>931</v>
      </c>
      <c r="AF61" s="236" t="s">
        <v>932</v>
      </c>
      <c r="AG61" s="236" t="s">
        <v>840</v>
      </c>
      <c r="AH61" s="236" t="s">
        <v>832</v>
      </c>
      <c r="AI61" s="236" t="s">
        <v>833</v>
      </c>
      <c r="AJ61" s="236" t="s">
        <v>834</v>
      </c>
      <c r="AK61" s="236" t="s">
        <v>835</v>
      </c>
      <c r="AL61" s="236" t="s">
        <v>836</v>
      </c>
    </row>
    <row r="62" spans="2:40" x14ac:dyDescent="0.3">
      <c r="C62" s="235"/>
      <c r="D62"/>
      <c r="E62" s="37" t="s">
        <v>770</v>
      </c>
      <c r="F62" s="37"/>
      <c r="G62" s="86" t="s">
        <v>276</v>
      </c>
      <c r="H62" s="37" t="s">
        <v>772</v>
      </c>
      <c r="I62" s="37"/>
      <c r="J62" s="234">
        <f>'Net revenue summary'!J140</f>
        <v>126.38596990484011</v>
      </c>
      <c r="K62" s="234">
        <f>'Net revenue summary'!K140</f>
        <v>9.7958976233679849</v>
      </c>
      <c r="L62" s="234">
        <f>'Net revenue summary'!L140</f>
        <v>44.178109408624891</v>
      </c>
      <c r="M62" s="234">
        <f>'Net revenue summary'!M140</f>
        <v>55.420109408624889</v>
      </c>
      <c r="N62" s="234">
        <f>'Net revenue summary'!N140</f>
        <v>211.23298333865702</v>
      </c>
      <c r="O62" s="234">
        <f>'Net revenue summary'!O140</f>
        <v>499.94297035320483</v>
      </c>
      <c r="P62" s="234">
        <f>'Net revenue summary'!P140</f>
        <v>1523.435227341869</v>
      </c>
      <c r="Q62" s="234">
        <f>'Net revenue summary'!Q140</f>
        <v>18.84580917028406</v>
      </c>
      <c r="R62" s="234">
        <f>'Net revenue summary'!R140</f>
        <v>1278.1311992759343</v>
      </c>
      <c r="S62" s="234">
        <f>'Net revenue summary'!S140</f>
        <v>1840.2676992759341</v>
      </c>
      <c r="T62" s="234">
        <f>'Net revenue summary'!T140</f>
        <v>4493.2341488827706</v>
      </c>
      <c r="U62" s="234">
        <f>'Net revenue summary'!U140</f>
        <v>7288.3429831485291</v>
      </c>
      <c r="V62" s="234">
        <f>'Net revenue summary'!V140</f>
        <v>15231.380458040025</v>
      </c>
      <c r="W62" s="234">
        <f>'Net revenue summary'!W140</f>
        <v>3329.2674270062944</v>
      </c>
      <c r="X62" s="234">
        <f>'Net revenue summary'!X140</f>
        <v>3891.3674270062938</v>
      </c>
      <c r="Y62" s="234">
        <f>'Net revenue summary'!Y140</f>
        <v>9395.3752665983357</v>
      </c>
      <c r="Z62" s="234">
        <f>'Net revenue summary'!Z140</f>
        <v>15194.243895967873</v>
      </c>
      <c r="AA62" s="234">
        <f>'Net revenue summary'!AA140</f>
        <v>31673.365987433153</v>
      </c>
      <c r="AB62" s="234">
        <f>'Net revenue summary'!AB140</f>
        <v>5813.2621691798458</v>
      </c>
      <c r="AC62" s="234">
        <f>'Net revenue summary'!AC140</f>
        <v>9398.2556691798472</v>
      </c>
      <c r="AD62" s="234">
        <f>'Net revenue summary'!AD140</f>
        <v>29691.586220635541</v>
      </c>
      <c r="AE62" s="234">
        <f>'Net revenue summary'!AE140</f>
        <v>61743.853098036008</v>
      </c>
      <c r="AF62" s="234">
        <f>'Net revenue summary'!AF140</f>
        <v>143384.21562738169</v>
      </c>
      <c r="AG62" s="234">
        <f>'Net revenue summary'!AG140</f>
        <v>12130.780143529604</v>
      </c>
      <c r="AH62" s="234">
        <f>'Net revenue summary'!AH140</f>
        <v>-48.85559840467495</v>
      </c>
      <c r="AI62" s="234">
        <f>'Net revenue summary'!AI140</f>
        <v>0</v>
      </c>
      <c r="AJ62" s="234">
        <f>'Net revenue summary'!AJ140</f>
        <v>-1285.5244365322922</v>
      </c>
      <c r="AK62" s="234">
        <f>'Net revenue summary'!AL140</f>
        <v>-856.55375448532504</v>
      </c>
      <c r="AL62" s="234">
        <f>'Net revenue summary'!AN140</f>
        <v>-28563.749458113078</v>
      </c>
    </row>
    <row r="63" spans="2:40" x14ac:dyDescent="0.3">
      <c r="C63" s="235"/>
      <c r="D63"/>
      <c r="E63" s="108" t="s">
        <v>775</v>
      </c>
      <c r="F63" s="108"/>
      <c r="G63" s="214" t="s">
        <v>268</v>
      </c>
      <c r="H63" s="300" t="s">
        <v>772</v>
      </c>
      <c r="I63" s="300"/>
      <c r="J63" s="414">
        <f>'Net revenue summary'!J146</f>
        <v>3.8914286656828865</v>
      </c>
      <c r="K63" s="414">
        <f>'Net revenue summary'!K146</f>
        <v>0.3725570669280267</v>
      </c>
      <c r="L63" s="414">
        <f>'Net revenue summary'!L146</f>
        <v>2.8930689508243628</v>
      </c>
      <c r="M63" s="414">
        <f>'Net revenue summary'!M146</f>
        <v>3.6292679774585319</v>
      </c>
      <c r="N63" s="414">
        <f>'Net revenue summary'!N146</f>
        <v>2.8037967420320355</v>
      </c>
      <c r="O63" s="414">
        <f>'Net revenue summary'!O146</f>
        <v>2.6784017875225792</v>
      </c>
      <c r="P63" s="414">
        <f>'Net revenue summary'!P146</f>
        <v>2.6208275420614942</v>
      </c>
      <c r="Q63" s="414">
        <f>'Net revenue summary'!Q146</f>
        <v>0.35490032050624448</v>
      </c>
      <c r="R63" s="414">
        <f>'Net revenue summary'!R146</f>
        <v>2.1882259518026985</v>
      </c>
      <c r="S63" s="414">
        <f>'Net revenue summary'!S146</f>
        <v>3.1506323764736419</v>
      </c>
      <c r="T63" s="414">
        <f>'Net revenue summary'!T146</f>
        <v>3.0849760424070967</v>
      </c>
      <c r="U63" s="414">
        <f>'Net revenue summary'!U146</f>
        <v>3.0679826629203726</v>
      </c>
      <c r="V63" s="414">
        <f>'Net revenue summary'!V146</f>
        <v>3.0538665696895797</v>
      </c>
      <c r="W63" s="414">
        <f>'Net revenue summary'!W146</f>
        <v>1.7733370149061796</v>
      </c>
      <c r="X63" s="414">
        <f>'Net revenue summary'!X146</f>
        <v>2.0727400391249602</v>
      </c>
      <c r="Y63" s="414">
        <f>'Net revenue summary'!Y146</f>
        <v>2.0069324045744357</v>
      </c>
      <c r="Z63" s="414">
        <f>'Net revenue summary'!Z146</f>
        <v>1.9898899643871559</v>
      </c>
      <c r="AA63" s="414">
        <f>'Net revenue summary'!AA146</f>
        <v>1.9757449469209347</v>
      </c>
      <c r="AB63" s="414">
        <f>'Net revenue summary'!AB146</f>
        <v>1.1864758618940154</v>
      </c>
      <c r="AC63" s="414">
        <f>'Net revenue summary'!AC146</f>
        <v>1.9181662844157721</v>
      </c>
      <c r="AD63" s="414">
        <f>'Net revenue summary'!AD146</f>
        <v>1.8539438637379018</v>
      </c>
      <c r="AE63" s="414">
        <f>'Net revenue summary'!AE146</f>
        <v>1.8391412913265868</v>
      </c>
      <c r="AF63" s="414">
        <f>'Net revenue summary'!AF146</f>
        <v>1.8314285293391082</v>
      </c>
      <c r="AG63" s="414">
        <f>'Net revenue summary'!AG146</f>
        <v>3.810121207984333</v>
      </c>
      <c r="AH63" s="414">
        <f>'Net revenue summary'!AH146</f>
        <v>-1.0936418430470096</v>
      </c>
      <c r="AI63" s="414">
        <f>'Net revenue summary'!AI146</f>
        <v>0</v>
      </c>
      <c r="AJ63" s="414">
        <f>'Net revenue summary'!AJ146</f>
        <v>-1.0815858914159495</v>
      </c>
      <c r="AK63" s="414">
        <f>'Net revenue summary'!AL146</f>
        <v>-0.89309153595034996</v>
      </c>
      <c r="AL63" s="414">
        <f>'Net revenue summary'!AN146</f>
        <v>-0.84671226555012158</v>
      </c>
    </row>
    <row r="64" spans="2:40" x14ac:dyDescent="0.3">
      <c r="C64" s="235"/>
      <c r="D64"/>
      <c r="E64" s="108" t="s">
        <v>784</v>
      </c>
      <c r="F64" s="108"/>
      <c r="G64" s="108" t="s">
        <v>166</v>
      </c>
      <c r="H64" s="108" t="s">
        <v>772</v>
      </c>
      <c r="I64" s="108"/>
      <c r="J64" s="415">
        <f>'Net revenue summary'!J172</f>
        <v>0.51797537639489177</v>
      </c>
      <c r="K64" s="415">
        <f>'Net revenue summary'!K172</f>
        <v>-0.70204327581110237</v>
      </c>
      <c r="L64" s="415">
        <f>'Net revenue summary'!L172</f>
        <v>-0.11586234218510132</v>
      </c>
      <c r="M64" s="415">
        <f>'Net revenue summary'!M172</f>
        <v>-0.78482444952281194</v>
      </c>
      <c r="N64" s="415">
        <f>'Net revenue summary'!N172</f>
        <v>-0.26971922292413242</v>
      </c>
      <c r="O64" s="415">
        <f>'Net revenue summary'!O172</f>
        <v>-0.10931250048148307</v>
      </c>
      <c r="P64" s="415">
        <f>'Net revenue summary'!P172</f>
        <v>1.6024317047014573</v>
      </c>
      <c r="Q64" s="415">
        <f>'Net revenue summary'!Q172</f>
        <v>-0.56226290242731536</v>
      </c>
      <c r="R64" s="415">
        <f>'Net revenue summary'!R172</f>
        <v>-0.18553729627971083</v>
      </c>
      <c r="S64" s="415">
        <f>'Net revenue summary'!S172</f>
        <v>-0.38424179962004379</v>
      </c>
      <c r="T64" s="415">
        <f>'Net revenue summary'!T172</f>
        <v>0.38191922017483787</v>
      </c>
      <c r="U64" s="415">
        <f>'Net revenue summary'!U172</f>
        <v>-0.20589523281754202</v>
      </c>
      <c r="V64" s="415">
        <f>'Net revenue summary'!V172</f>
        <v>0.74499275021753786</v>
      </c>
      <c r="W64" s="415">
        <f>'Net revenue summary'!W172</f>
        <v>-0.21536393820548497</v>
      </c>
      <c r="X64" s="415">
        <f>'Net revenue summary'!X172</f>
        <v>-0.51024769984125851</v>
      </c>
      <c r="Y64" s="415">
        <f>'Net revenue summary'!Y172</f>
        <v>8.6882964193800552E-2</v>
      </c>
      <c r="Z64" s="415">
        <f>'Net revenue summary'!Z172</f>
        <v>-0.37730821137827264</v>
      </c>
      <c r="AA64" s="415">
        <f>'Net revenue summary'!AA172</f>
        <v>0.36487734115412368</v>
      </c>
      <c r="AB64" s="415">
        <f>'Net revenue summary'!AB172</f>
        <v>-0.29046639407637143</v>
      </c>
      <c r="AC64" s="415">
        <f>'Net revenue summary'!AC172</f>
        <v>-0.55302733330822296</v>
      </c>
      <c r="AD64" s="415">
        <f>'Net revenue summary'!AD172</f>
        <v>0.14228662419781807</v>
      </c>
      <c r="AE64" s="415">
        <f>'Net revenue summary'!AE172</f>
        <v>-2.5652211428448674E-2</v>
      </c>
      <c r="AF64" s="415">
        <f>'Net revenue summary'!AF172</f>
        <v>0.84134694587914505</v>
      </c>
      <c r="AG64" s="415">
        <f>'Net revenue summary'!AG172</f>
        <v>-4.338201094466497E-2</v>
      </c>
      <c r="AH64" s="415">
        <f>'Net revenue summary'!AH172</f>
        <v>6.3281812817603755E-2</v>
      </c>
      <c r="AI64" s="415">
        <f>'Net revenue summary'!AI172</f>
        <v>-1</v>
      </c>
      <c r="AJ64" s="415">
        <f>'Net revenue summary'!AJ172</f>
        <v>8.3671426450440747E-2</v>
      </c>
      <c r="AK64" s="415">
        <f>'Net revenue summary'!AL172</f>
        <v>-3.5469152466425131E-2</v>
      </c>
      <c r="AL64" s="415">
        <f>'Net revenue summary'!AN172</f>
        <v>0.10455025308176583</v>
      </c>
    </row>
    <row r="65" spans="2:40" x14ac:dyDescent="0.3">
      <c r="C65" s="235"/>
      <c r="D65"/>
      <c r="E65" s="23" t="s">
        <v>785</v>
      </c>
      <c r="F65" s="23"/>
      <c r="G65" s="23" t="s">
        <v>268</v>
      </c>
      <c r="H65" s="258" t="s">
        <v>772</v>
      </c>
      <c r="I65" s="258"/>
      <c r="J65" s="416">
        <f>'Net revenue summary'!J174</f>
        <v>1.3278635866993154</v>
      </c>
      <c r="K65" s="416">
        <f>'Net revenue summary'!K174</f>
        <v>-0.87781601306272439</v>
      </c>
      <c r="L65" s="416">
        <f>'Net revenue summary'!L174</f>
        <v>-0.37912393141801981</v>
      </c>
      <c r="M65" s="416">
        <f>'Net revenue summary'!M174</f>
        <v>-13.237276429701197</v>
      </c>
      <c r="N65" s="416">
        <f>'Net revenue summary'!N174</f>
        <v>-1.0355440020291409</v>
      </c>
      <c r="O65" s="416">
        <f>'Net revenue summary'!O174</f>
        <v>-0.3287155111601297</v>
      </c>
      <c r="P65" s="416">
        <f>'Net revenue summary'!P174</f>
        <v>1.6137588311605306</v>
      </c>
      <c r="Q65" s="416">
        <f>'Net revenue summary'!Q174</f>
        <v>-0.45586103025478986</v>
      </c>
      <c r="R65" s="416">
        <f>'Net revenue summary'!R174</f>
        <v>-0.49848510544689251</v>
      </c>
      <c r="S65" s="416">
        <f>'Net revenue summary'!S174</f>
        <v>-1.9660390288434626</v>
      </c>
      <c r="T65" s="416">
        <f>'Net revenue summary'!T174</f>
        <v>0.85259082236739625</v>
      </c>
      <c r="U65" s="416">
        <f>'Net revenue summary'!U174</f>
        <v>-0.79546557427608744</v>
      </c>
      <c r="V65" s="416">
        <f>'Net revenue summary'!V174</f>
        <v>1.3037924967119856</v>
      </c>
      <c r="W65" s="416">
        <f>'Net revenue summary'!W174</f>
        <v>-0.48673883586524613</v>
      </c>
      <c r="X65" s="416">
        <f>'Net revenue summary'!X174</f>
        <v>-2.1594811029771419</v>
      </c>
      <c r="Y65" s="416">
        <f>'Net revenue summary'!Y174</f>
        <v>0.16042963409161262</v>
      </c>
      <c r="Z65" s="416">
        <f>'Net revenue summary'!Z174</f>
        <v>-1.2057358664779012</v>
      </c>
      <c r="AA65" s="416">
        <f>'Net revenue summary'!AA174</f>
        <v>0.52818267348596892</v>
      </c>
      <c r="AB65" s="416">
        <f>'Net revenue summary'!AB174</f>
        <v>-0.48571535214937278</v>
      </c>
      <c r="AC65" s="416">
        <f>'Net revenue summary'!AC174</f>
        <v>-2.3732958727959552</v>
      </c>
      <c r="AD65" s="416">
        <f>'Net revenue summary'!AD174</f>
        <v>0.23093276961793699</v>
      </c>
      <c r="AE65" s="416">
        <f>'Net revenue summary'!AE174</f>
        <v>-4.8420124523570154E-2</v>
      </c>
      <c r="AF65" s="416">
        <f>'Net revenue summary'!AF174</f>
        <v>0.83681502999952628</v>
      </c>
      <c r="AG65" s="416">
        <f>'Net revenue summary'!AG174</f>
        <v>-0.17278654785543165</v>
      </c>
      <c r="AH65" s="416">
        <f>'Net revenue summary'!AH174</f>
        <v>-6.508870702660273E-2</v>
      </c>
      <c r="AI65" s="416" t="str">
        <f>'Net revenue summary'!AI174</f>
        <v>-</v>
      </c>
      <c r="AJ65" s="416">
        <f>'Net revenue summary'!AJ174</f>
        <v>-8.3510400066438173E-2</v>
      </c>
      <c r="AK65" s="416">
        <f>'Net revenue summary'!AL174</f>
        <v>3.2842080619919306E-2</v>
      </c>
      <c r="AL65" s="416">
        <f>'Net revenue summary'!AN174</f>
        <v>-8.0144820395190677E-2</v>
      </c>
    </row>
    <row r="66" spans="2:40" x14ac:dyDescent="0.3">
      <c r="C66" s="235"/>
    </row>
    <row r="67" spans="2:40" x14ac:dyDescent="0.3">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3">
      <c r="D69" s="29" t="s">
        <v>818</v>
      </c>
      <c r="E69"/>
    </row>
    <row r="70" spans="2:40" x14ac:dyDescent="0.3">
      <c r="D70" s="29" t="s">
        <v>819</v>
      </c>
      <c r="E70"/>
    </row>
    <row r="72" spans="2:40" ht="43.2" x14ac:dyDescent="0.3">
      <c r="E72"/>
      <c r="J72" s="236" t="s">
        <v>912</v>
      </c>
      <c r="K72" s="236" t="s">
        <v>830</v>
      </c>
      <c r="L72" s="236" t="s">
        <v>913</v>
      </c>
      <c r="M72" s="236" t="s">
        <v>914</v>
      </c>
      <c r="N72" s="236" t="s">
        <v>915</v>
      </c>
      <c r="O72" s="236" t="s">
        <v>916</v>
      </c>
      <c r="P72" s="236" t="s">
        <v>917</v>
      </c>
      <c r="Q72" s="236" t="s">
        <v>831</v>
      </c>
      <c r="R72" s="236" t="s">
        <v>918</v>
      </c>
      <c r="S72" s="236" t="s">
        <v>919</v>
      </c>
      <c r="T72" s="236" t="s">
        <v>920</v>
      </c>
      <c r="U72" s="236" t="s">
        <v>921</v>
      </c>
      <c r="V72" s="236" t="s">
        <v>922</v>
      </c>
      <c r="W72" s="236" t="s">
        <v>923</v>
      </c>
      <c r="X72" s="236" t="s">
        <v>924</v>
      </c>
      <c r="Y72" s="236" t="s">
        <v>925</v>
      </c>
      <c r="Z72" s="236" t="s">
        <v>926</v>
      </c>
      <c r="AA72" s="236" t="s">
        <v>927</v>
      </c>
      <c r="AB72" s="236" t="s">
        <v>928</v>
      </c>
      <c r="AC72" s="236" t="s">
        <v>929</v>
      </c>
      <c r="AD72" s="236" t="s">
        <v>930</v>
      </c>
      <c r="AE72" s="236" t="s">
        <v>931</v>
      </c>
      <c r="AF72" s="236" t="s">
        <v>932</v>
      </c>
      <c r="AG72" s="236" t="s">
        <v>840</v>
      </c>
      <c r="AH72" s="236" t="s">
        <v>832</v>
      </c>
      <c r="AI72" s="236" t="s">
        <v>833</v>
      </c>
      <c r="AJ72" s="236" t="s">
        <v>834</v>
      </c>
      <c r="AK72" s="236" t="s">
        <v>835</v>
      </c>
      <c r="AL72" s="236" t="s">
        <v>836</v>
      </c>
    </row>
    <row r="73" spans="2:40" x14ac:dyDescent="0.3">
      <c r="C73" s="235"/>
      <c r="D73"/>
      <c r="E73" s="23" t="s">
        <v>793</v>
      </c>
      <c r="F73" s="23"/>
      <c r="G73" s="64" t="s">
        <v>166</v>
      </c>
      <c r="H73" s="23" t="s">
        <v>447</v>
      </c>
      <c r="I73" s="23"/>
      <c r="J73" s="301">
        <f>'Net revenue summary'!J206</f>
        <v>0.25338838593600338</v>
      </c>
      <c r="K73" s="301">
        <f>'Net revenue summary'!K206</f>
        <v>0.34960800768842581</v>
      </c>
      <c r="L73" s="301">
        <f>'Net revenue summary'!L206</f>
        <v>0.34706486022481553</v>
      </c>
      <c r="M73" s="301">
        <f>'Net revenue summary'!M206</f>
        <v>0.34779197609994855</v>
      </c>
      <c r="N73" s="301">
        <f>'Net revenue summary'!N206</f>
        <v>0.3485923551964456</v>
      </c>
      <c r="O73" s="301">
        <f>'Net revenue summary'!O206</f>
        <v>0.34857597417336478</v>
      </c>
      <c r="P73" s="301">
        <f>'Net revenue summary'!P206</f>
        <v>0.34866754474286465</v>
      </c>
      <c r="Q73" s="301">
        <f>'Net revenue summary'!Q206</f>
        <v>0.34838160476862101</v>
      </c>
      <c r="R73" s="301">
        <f>'Net revenue summary'!R206</f>
        <v>0.34907887639866619</v>
      </c>
      <c r="S73" s="301">
        <f>'Net revenue summary'!S206</f>
        <v>0.34895662364013141</v>
      </c>
      <c r="T73" s="301">
        <f>'Net revenue summary'!T206</f>
        <v>0.34896972716031183</v>
      </c>
      <c r="U73" s="301">
        <f>'Net revenue summary'!U206</f>
        <v>0.34897887324088245</v>
      </c>
      <c r="V73" s="301">
        <f>'Net revenue summary'!V206</f>
        <v>0.34898067215887918</v>
      </c>
      <c r="W73" s="165"/>
      <c r="X73" s="165"/>
      <c r="Y73" s="165"/>
      <c r="Z73" s="165"/>
      <c r="AA73" s="165"/>
      <c r="AB73" s="165"/>
      <c r="AC73" s="165"/>
      <c r="AD73" s="165"/>
      <c r="AE73" s="165"/>
      <c r="AF73" s="165"/>
      <c r="AG73" s="301">
        <f>'Net revenue summary'!AG206</f>
        <v>0.34876879524550403</v>
      </c>
      <c r="AH73" s="301">
        <f>'Net revenue summary'!AH206</f>
        <v>0</v>
      </c>
      <c r="AI73" s="165"/>
      <c r="AJ73" s="301">
        <f>'Net revenue summary'!AJ206</f>
        <v>-1.7687230906055241E-16</v>
      </c>
      <c r="AK73" s="165"/>
      <c r="AL73" s="165"/>
    </row>
    <row r="74" spans="2:40" x14ac:dyDescent="0.3">
      <c r="C74" s="235"/>
      <c r="D74"/>
      <c r="E74" s="37" t="s">
        <v>794</v>
      </c>
      <c r="F74" s="37"/>
      <c r="G74" s="67" t="s">
        <v>166</v>
      </c>
      <c r="H74" s="37" t="s">
        <v>448</v>
      </c>
      <c r="I74" s="37"/>
      <c r="J74" s="302">
        <f>'Net revenue summary'!J207</f>
        <v>0.39471689760093787</v>
      </c>
      <c r="K74" s="302">
        <f>'Net revenue summary'!K207</f>
        <v>0.54259729639083887</v>
      </c>
      <c r="L74" s="302">
        <f>'Net revenue summary'!L207</f>
        <v>0.54133676753133653</v>
      </c>
      <c r="M74" s="302">
        <f>'Net revenue summary'!M207</f>
        <v>0.54151345537113327</v>
      </c>
      <c r="N74" s="302">
        <f>'Net revenue summary'!N207</f>
        <v>0.54275574203080756</v>
      </c>
      <c r="O74" s="302">
        <f>'Net revenue summary'!O207</f>
        <v>0.54302988707441735</v>
      </c>
      <c r="P74" s="302">
        <f>'Net revenue summary'!P207</f>
        <v>0.54310086406726488</v>
      </c>
      <c r="Q74" s="302">
        <f>'Net revenue summary'!Q207</f>
        <v>0.54273926030363162</v>
      </c>
      <c r="R74" s="302">
        <f>'Net revenue summary'!R207</f>
        <v>0.54357857468971604</v>
      </c>
      <c r="S74" s="302">
        <f>'Net revenue summary'!S207</f>
        <v>0.54346644021539636</v>
      </c>
      <c r="T74" s="302">
        <f>'Net revenue summary'!T207</f>
        <v>0.54349585384702126</v>
      </c>
      <c r="U74" s="302">
        <f>'Net revenue summary'!U207</f>
        <v>0.54350488936158825</v>
      </c>
      <c r="V74" s="302">
        <f>'Net revenue summary'!V207</f>
        <v>0.54350942114379674</v>
      </c>
      <c r="W74" s="302">
        <f>'Net revenue summary'!W207</f>
        <v>0.27543183257425286</v>
      </c>
      <c r="X74" s="302">
        <f>'Net revenue summary'!X207</f>
        <v>0.27554767023761084</v>
      </c>
      <c r="Y74" s="302">
        <f>'Net revenue summary'!Y207</f>
        <v>0.27553230672933049</v>
      </c>
      <c r="Z74" s="302">
        <f>'Net revenue summary'!Z207</f>
        <v>0.27552908808466231</v>
      </c>
      <c r="AA74" s="302">
        <f>'Net revenue summary'!AA207</f>
        <v>0.27552461709718912</v>
      </c>
      <c r="AB74" s="302">
        <f>'Net revenue summary'!AB207</f>
        <v>0.14341700527858045</v>
      </c>
      <c r="AC74" s="302">
        <f>'Net revenue summary'!AC207</f>
        <v>0.14366837833864424</v>
      </c>
      <c r="AD74" s="302">
        <f>'Net revenue summary'!AD207</f>
        <v>0.14365646610582622</v>
      </c>
      <c r="AE74" s="302">
        <f>'Net revenue summary'!AE207</f>
        <v>0.14365343246510295</v>
      </c>
      <c r="AF74" s="302">
        <f>'Net revenue summary'!AF207</f>
        <v>0.14365224062310472</v>
      </c>
      <c r="AG74" s="302">
        <f>'Net revenue summary'!AG207</f>
        <v>0.54322144151649077</v>
      </c>
      <c r="AH74" s="302">
        <f>'Net revenue summary'!AH207</f>
        <v>0</v>
      </c>
      <c r="AI74" s="302">
        <f>'Net revenue summary'!AI207</f>
        <v>0</v>
      </c>
      <c r="AJ74" s="302">
        <f>'Net revenue summary'!AJ207</f>
        <v>-1.7687230906055241E-16</v>
      </c>
      <c r="AK74" s="302">
        <f>'Net revenue summary'!AL207</f>
        <v>-1.3272586469476945E-16</v>
      </c>
      <c r="AL74" s="302">
        <f>'Net revenue summary'!AN207</f>
        <v>-1.0682771197368908E-3</v>
      </c>
    </row>
    <row r="76" spans="2:40" x14ac:dyDescent="0.3">
      <c r="B76" s="30" t="s">
        <v>230</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3">
      <c r="E78" t="s">
        <v>231</v>
      </c>
      <c r="G78" s="6" t="s">
        <v>54</v>
      </c>
      <c r="H78" s="103">
        <f t="array" ref="H78">SUM(IF(ISERROR(H19:AL75), 1))</f>
        <v>0</v>
      </c>
    </row>
    <row r="80" spans="2:40" x14ac:dyDescent="0.3">
      <c r="B80" s="30" t="s">
        <v>105</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525fcc-fd9b-4a18-b571-66fa38027e5b"/>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994D0C6E-A25B-41F6-8E31-AF29554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Barker, Chris</cp:lastModifiedBy>
  <cp:revision/>
  <dcterms:created xsi:type="dcterms:W3CDTF">2017-07-12T09:37:31Z</dcterms:created>
  <dcterms:modified xsi:type="dcterms:W3CDTF">2022-01-21T17:55:28Z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