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9440" windowHeight="12240" tabRatio="880"/>
  </bookViews>
  <sheets>
    <sheet name="Index" sheetId="1" r:id="rId1"/>
    <sheet name="Input" sheetId="2" r:id="rId2"/>
    <sheet name="LAFs" sheetId="3" r:id="rId3"/>
    <sheet name="DRM" sheetId="4" r:id="rId4"/>
    <sheet name="SM" sheetId="5" r:id="rId5"/>
    <sheet name="Loads" sheetId="6" r:id="rId6"/>
    <sheet name="Multi" sheetId="7" r:id="rId7"/>
    <sheet name="SMD" sheetId="8" r:id="rId8"/>
    <sheet name="AMD" sheetId="9" r:id="rId9"/>
    <sheet name="Otex" sheetId="10" r:id="rId10"/>
    <sheet name="Contrib" sheetId="11" r:id="rId11"/>
    <sheet name="Yard" sheetId="12" r:id="rId12"/>
    <sheet name="Standing" sheetId="13" r:id="rId13"/>
    <sheet name="AggCap" sheetId="14" r:id="rId14"/>
    <sheet name="Reactive" sheetId="15" r:id="rId15"/>
    <sheet name="Aggreg" sheetId="16" r:id="rId16"/>
    <sheet name="Revenue" sheetId="17" r:id="rId17"/>
    <sheet name="Adder" sheetId="18" r:id="rId18"/>
    <sheet name="Adjust" sheetId="19" r:id="rId19"/>
    <sheet name="Tariffs" sheetId="20" r:id="rId20"/>
    <sheet name="Summary" sheetId="21" r:id="rId21"/>
    <sheet name="M-ATW" sheetId="22" r:id="rId22"/>
    <sheet name="M-Rev" sheetId="23" r:id="rId23"/>
    <sheet name="CData" sheetId="24" r:id="rId24"/>
    <sheet name="CTables" sheetId="25" r:id="rId25"/>
  </sheets>
  <definedNames>
    <definedName name="_xlnm._FilterDatabase" localSheetId="0" hidden="1">Index!$A$28:$C$249</definedName>
    <definedName name="_xlnm.Print_Area" localSheetId="1">Input!$A$1:$J$413</definedName>
    <definedName name="_xlnm.Print_Area" localSheetId="6">Multi!$A:$V</definedName>
  </definedNames>
  <calcPr calcId="125725"/>
</workbook>
</file>

<file path=xl/calcChain.xml><?xml version="1.0" encoding="utf-8"?>
<calcChain xmlns="http://schemas.openxmlformats.org/spreadsheetml/2006/main">
  <c r="B69" i="25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A1"/>
  <c r="H91" i="24"/>
  <c r="G91"/>
  <c r="F91"/>
  <c r="G90"/>
  <c r="F90"/>
  <c r="H89"/>
  <c r="G89"/>
  <c r="F89"/>
  <c r="D89"/>
  <c r="C89"/>
  <c r="G88"/>
  <c r="F88"/>
  <c r="D88"/>
  <c r="C88"/>
  <c r="H87"/>
  <c r="G87"/>
  <c r="F87"/>
  <c r="G86"/>
  <c r="F86"/>
  <c r="H85"/>
  <c r="G85"/>
  <c r="F85"/>
  <c r="D85"/>
  <c r="C85"/>
  <c r="G84"/>
  <c r="F84"/>
  <c r="D84"/>
  <c r="C84"/>
  <c r="H83"/>
  <c r="G83"/>
  <c r="F83"/>
  <c r="G82"/>
  <c r="F82"/>
  <c r="H81"/>
  <c r="G81"/>
  <c r="F81"/>
  <c r="D81"/>
  <c r="C81"/>
  <c r="G80"/>
  <c r="F80"/>
  <c r="D80"/>
  <c r="C80"/>
  <c r="H79"/>
  <c r="G79"/>
  <c r="F79"/>
  <c r="D79"/>
  <c r="C79"/>
  <c r="H78"/>
  <c r="G78"/>
  <c r="F78"/>
  <c r="D78"/>
  <c r="C78"/>
  <c r="H77"/>
  <c r="G77"/>
  <c r="F77"/>
  <c r="H76"/>
  <c r="G76"/>
  <c r="F76"/>
  <c r="D76"/>
  <c r="C76"/>
  <c r="H75"/>
  <c r="G75"/>
  <c r="F75"/>
  <c r="D75"/>
  <c r="C75"/>
  <c r="H74"/>
  <c r="G74"/>
  <c r="F74"/>
  <c r="D74"/>
  <c r="C74"/>
  <c r="H73"/>
  <c r="G73"/>
  <c r="F73"/>
  <c r="D73"/>
  <c r="C73"/>
  <c r="H69"/>
  <c r="G69"/>
  <c r="F69"/>
  <c r="H68"/>
  <c r="G68"/>
  <c r="F68"/>
  <c r="H67"/>
  <c r="G67"/>
  <c r="F67"/>
  <c r="D67"/>
  <c r="H66"/>
  <c r="G66"/>
  <c r="F66"/>
  <c r="D66"/>
  <c r="H65"/>
  <c r="G65"/>
  <c r="F65"/>
  <c r="D65"/>
  <c r="H64"/>
  <c r="G64"/>
  <c r="F64"/>
  <c r="D64"/>
  <c r="C64"/>
  <c r="H63"/>
  <c r="G63"/>
  <c r="F63"/>
  <c r="D63"/>
  <c r="H62"/>
  <c r="G62"/>
  <c r="F62"/>
  <c r="D62"/>
  <c r="C62"/>
  <c r="H61"/>
  <c r="G61"/>
  <c r="F61"/>
  <c r="D61"/>
  <c r="C61"/>
  <c r="H60"/>
  <c r="G60"/>
  <c r="F60"/>
  <c r="D60"/>
  <c r="H59"/>
  <c r="G59"/>
  <c r="F59"/>
  <c r="D59"/>
  <c r="C59"/>
  <c r="A1"/>
  <c r="A1" i="23"/>
  <c r="A1" i="22"/>
  <c r="B14" i="21"/>
  <c r="A1"/>
  <c r="A1" i="20"/>
  <c r="A1" i="19"/>
  <c r="D297" i="18"/>
  <c r="D1072" i="22" s="1"/>
  <c r="C297" i="18"/>
  <c r="C1072" i="22" s="1"/>
  <c r="B297" i="18"/>
  <c r="B1072" i="22" s="1"/>
  <c r="D296" i="18"/>
  <c r="D1040" i="22" s="1"/>
  <c r="C296" i="18"/>
  <c r="C1040" i="22" s="1"/>
  <c r="B296" i="18"/>
  <c r="B1040" i="22" s="1"/>
  <c r="B295" i="18"/>
  <c r="B1008" i="22" s="1"/>
  <c r="B294" i="18"/>
  <c r="B976" i="22" s="1"/>
  <c r="D293" i="18"/>
  <c r="D944" i="22" s="1"/>
  <c r="C293" i="18"/>
  <c r="C944" i="22" s="1"/>
  <c r="B293" i="18"/>
  <c r="B944" i="22" s="1"/>
  <c r="D292" i="18"/>
  <c r="D912" i="22" s="1"/>
  <c r="C292" i="18"/>
  <c r="C912" i="22" s="1"/>
  <c r="B292" i="18"/>
  <c r="B912" i="22" s="1"/>
  <c r="B291" i="18"/>
  <c r="B880" i="22" s="1"/>
  <c r="B290" i="18"/>
  <c r="B848" i="22" s="1"/>
  <c r="D289" i="18"/>
  <c r="D816" i="22" s="1"/>
  <c r="C289" i="18"/>
  <c r="C816" i="22" s="1"/>
  <c r="B289" i="18"/>
  <c r="B816" i="22" s="1"/>
  <c r="D288" i="18"/>
  <c r="D784" i="22" s="1"/>
  <c r="C288" i="18"/>
  <c r="C784" i="22" s="1"/>
  <c r="B288" i="18"/>
  <c r="B784" i="22" s="1"/>
  <c r="B287" i="18"/>
  <c r="B752" i="22" s="1"/>
  <c r="B286" i="18"/>
  <c r="B720" i="22" s="1"/>
  <c r="B285" i="18"/>
  <c r="B688" i="22" s="1"/>
  <c r="B284" i="18"/>
  <c r="B656" i="22" s="1"/>
  <c r="B236" i="18"/>
  <c r="B235"/>
  <c r="B232"/>
  <c r="B231"/>
  <c r="B228"/>
  <c r="B227"/>
  <c r="B226"/>
  <c r="B225"/>
  <c r="B223"/>
  <c r="B222"/>
  <c r="B221"/>
  <c r="B220"/>
  <c r="B214"/>
  <c r="B213"/>
  <c r="B212"/>
  <c r="B211"/>
  <c r="B210"/>
  <c r="B209"/>
  <c r="B208"/>
  <c r="B207"/>
  <c r="B206"/>
  <c r="B203"/>
  <c r="B202"/>
  <c r="B199"/>
  <c r="B198"/>
  <c r="B195"/>
  <c r="B194"/>
  <c r="B193"/>
  <c r="B192"/>
  <c r="B190"/>
  <c r="B189"/>
  <c r="B188"/>
  <c r="B187"/>
  <c r="B178"/>
  <c r="B176"/>
  <c r="B175"/>
  <c r="B173"/>
  <c r="H139"/>
  <c r="D88"/>
  <c r="C238" s="1"/>
  <c r="C88"/>
  <c r="C205" s="1"/>
  <c r="B88"/>
  <c r="C172" s="1"/>
  <c r="D87"/>
  <c r="C237" s="1"/>
  <c r="C87"/>
  <c r="C204" s="1"/>
  <c r="B87"/>
  <c r="C171" s="1"/>
  <c r="D86"/>
  <c r="C236" s="1"/>
  <c r="C86"/>
  <c r="C203" s="1"/>
  <c r="B86"/>
  <c r="C170" s="1"/>
  <c r="D85"/>
  <c r="C235" s="1"/>
  <c r="C85"/>
  <c r="C202" s="1"/>
  <c r="B85"/>
  <c r="C169" s="1"/>
  <c r="D84"/>
  <c r="C234" s="1"/>
  <c r="C84"/>
  <c r="C201" s="1"/>
  <c r="B84"/>
  <c r="C168" s="1"/>
  <c r="D83"/>
  <c r="C233" s="1"/>
  <c r="C83"/>
  <c r="C200" s="1"/>
  <c r="B83"/>
  <c r="C167" s="1"/>
  <c r="D82"/>
  <c r="C232" s="1"/>
  <c r="C82"/>
  <c r="C199" s="1"/>
  <c r="B82"/>
  <c r="C166" s="1"/>
  <c r="D81"/>
  <c r="C231" s="1"/>
  <c r="C81"/>
  <c r="C198" s="1"/>
  <c r="B81"/>
  <c r="C165" s="1"/>
  <c r="D80"/>
  <c r="C230" s="1"/>
  <c r="C80"/>
  <c r="C197" s="1"/>
  <c r="B80"/>
  <c r="C164" s="1"/>
  <c r="D79"/>
  <c r="C229" s="1"/>
  <c r="C79"/>
  <c r="C196" s="1"/>
  <c r="B79"/>
  <c r="C163" s="1"/>
  <c r="D78"/>
  <c r="C228" s="1"/>
  <c r="C78"/>
  <c r="C195" s="1"/>
  <c r="B78"/>
  <c r="C162" s="1"/>
  <c r="D77"/>
  <c r="C227" s="1"/>
  <c r="C77"/>
  <c r="C194" s="1"/>
  <c r="B77"/>
  <c r="C161" s="1"/>
  <c r="D76"/>
  <c r="C226" s="1"/>
  <c r="C76"/>
  <c r="C193" s="1"/>
  <c r="B76"/>
  <c r="C160" s="1"/>
  <c r="D75"/>
  <c r="C225" s="1"/>
  <c r="C75"/>
  <c r="C192" s="1"/>
  <c r="B75"/>
  <c r="C159" s="1"/>
  <c r="A1"/>
  <c r="A1" i="17"/>
  <c r="H347" i="16"/>
  <c r="G347"/>
  <c r="F347"/>
  <c r="G346"/>
  <c r="F346"/>
  <c r="H345"/>
  <c r="G345"/>
  <c r="F345"/>
  <c r="D345"/>
  <c r="C345"/>
  <c r="G344"/>
  <c r="F344"/>
  <c r="D344"/>
  <c r="C344"/>
  <c r="H343"/>
  <c r="G343"/>
  <c r="F343"/>
  <c r="G342"/>
  <c r="F342"/>
  <c r="H341"/>
  <c r="G341"/>
  <c r="F341"/>
  <c r="D341"/>
  <c r="C341"/>
  <c r="G340"/>
  <c r="F340"/>
  <c r="D340"/>
  <c r="C340"/>
  <c r="H339"/>
  <c r="G339"/>
  <c r="F339"/>
  <c r="G338"/>
  <c r="F338"/>
  <c r="H337"/>
  <c r="G337"/>
  <c r="F337"/>
  <c r="D337"/>
  <c r="C337"/>
  <c r="G336"/>
  <c r="F336"/>
  <c r="D336"/>
  <c r="C336"/>
  <c r="H335"/>
  <c r="G335"/>
  <c r="F335"/>
  <c r="D335"/>
  <c r="C335"/>
  <c r="H334"/>
  <c r="G334"/>
  <c r="F334"/>
  <c r="D334"/>
  <c r="C334"/>
  <c r="H333"/>
  <c r="G333"/>
  <c r="F333"/>
  <c r="E333"/>
  <c r="H332"/>
  <c r="G332"/>
  <c r="F332"/>
  <c r="E332"/>
  <c r="D332"/>
  <c r="C332"/>
  <c r="H331"/>
  <c r="G331"/>
  <c r="F331"/>
  <c r="E331"/>
  <c r="D331"/>
  <c r="C331"/>
  <c r="H330"/>
  <c r="G330"/>
  <c r="F330"/>
  <c r="E330"/>
  <c r="D330"/>
  <c r="C330"/>
  <c r="H329"/>
  <c r="G329"/>
  <c r="F329"/>
  <c r="E329"/>
  <c r="D329"/>
  <c r="C329"/>
  <c r="H325"/>
  <c r="G325"/>
  <c r="F325"/>
  <c r="H324"/>
  <c r="G324"/>
  <c r="F324"/>
  <c r="H323"/>
  <c r="G323"/>
  <c r="F323"/>
  <c r="D323"/>
  <c r="H322"/>
  <c r="G322"/>
  <c r="F322"/>
  <c r="D322"/>
  <c r="H321"/>
  <c r="G321"/>
  <c r="F321"/>
  <c r="D321"/>
  <c r="H320"/>
  <c r="G320"/>
  <c r="F320"/>
  <c r="E320"/>
  <c r="D320"/>
  <c r="C320"/>
  <c r="H319"/>
  <c r="G319"/>
  <c r="F319"/>
  <c r="D319"/>
  <c r="H318"/>
  <c r="G318"/>
  <c r="F318"/>
  <c r="D318"/>
  <c r="C318"/>
  <c r="H317"/>
  <c r="G317"/>
  <c r="F317"/>
  <c r="E317"/>
  <c r="D317"/>
  <c r="C317"/>
  <c r="H316"/>
  <c r="G316"/>
  <c r="F316"/>
  <c r="D316"/>
  <c r="H315"/>
  <c r="G315"/>
  <c r="F315"/>
  <c r="D315"/>
  <c r="C315"/>
  <c r="A1"/>
  <c r="B48" i="15"/>
  <c r="B47"/>
  <c r="B46"/>
  <c r="B45"/>
  <c r="B44"/>
  <c r="B43"/>
  <c r="A1"/>
  <c r="A1" i="14"/>
  <c r="A1" i="13"/>
  <c r="A1" i="12"/>
  <c r="E55" i="11"/>
  <c r="D55"/>
  <c r="C55"/>
  <c r="E54"/>
  <c r="D54"/>
  <c r="E53"/>
  <c r="E52"/>
  <c r="A1"/>
  <c r="B99" i="10"/>
  <c r="A1"/>
  <c r="J59" i="9"/>
  <c r="I59"/>
  <c r="H59"/>
  <c r="F59"/>
  <c r="E59"/>
  <c r="D59"/>
  <c r="B59"/>
  <c r="J58"/>
  <c r="I58"/>
  <c r="H58"/>
  <c r="F58"/>
  <c r="E58"/>
  <c r="D58"/>
  <c r="B58"/>
  <c r="J57"/>
  <c r="I57"/>
  <c r="H57"/>
  <c r="F57"/>
  <c r="E57"/>
  <c r="D57"/>
  <c r="B57"/>
  <c r="J56"/>
  <c r="I56"/>
  <c r="H56"/>
  <c r="F56"/>
  <c r="E56"/>
  <c r="D56"/>
  <c r="B56"/>
  <c r="J55"/>
  <c r="I55"/>
  <c r="H55"/>
  <c r="F55"/>
  <c r="E55"/>
  <c r="D55"/>
  <c r="B55"/>
  <c r="J54"/>
  <c r="I54"/>
  <c r="H54"/>
  <c r="F54"/>
  <c r="E54"/>
  <c r="D54"/>
  <c r="B54"/>
  <c r="J53"/>
  <c r="I53"/>
  <c r="H53"/>
  <c r="F53"/>
  <c r="E53"/>
  <c r="D53"/>
  <c r="B53"/>
  <c r="J52"/>
  <c r="I52"/>
  <c r="H52"/>
  <c r="F52"/>
  <c r="E52"/>
  <c r="D52"/>
  <c r="B52"/>
  <c r="J51"/>
  <c r="I51"/>
  <c r="H51"/>
  <c r="F51"/>
  <c r="E51"/>
  <c r="D51"/>
  <c r="B51"/>
  <c r="J50"/>
  <c r="I50"/>
  <c r="H50"/>
  <c r="F50"/>
  <c r="E50"/>
  <c r="D50"/>
  <c r="B50"/>
  <c r="J49"/>
  <c r="I49"/>
  <c r="H49"/>
  <c r="F49"/>
  <c r="E49"/>
  <c r="D49"/>
  <c r="B49"/>
  <c r="J48"/>
  <c r="I48"/>
  <c r="H48"/>
  <c r="F48"/>
  <c r="E48"/>
  <c r="D48"/>
  <c r="B48"/>
  <c r="J47"/>
  <c r="I47"/>
  <c r="H47"/>
  <c r="F47"/>
  <c r="E47"/>
  <c r="D47"/>
  <c r="B47"/>
  <c r="J46"/>
  <c r="I46"/>
  <c r="H46"/>
  <c r="F46"/>
  <c r="E46"/>
  <c r="D46"/>
  <c r="B46"/>
  <c r="J45"/>
  <c r="I45"/>
  <c r="H45"/>
  <c r="F45"/>
  <c r="E45"/>
  <c r="D45"/>
  <c r="B45"/>
  <c r="J44"/>
  <c r="I44"/>
  <c r="H44"/>
  <c r="F44"/>
  <c r="E44"/>
  <c r="D44"/>
  <c r="B44"/>
  <c r="J43"/>
  <c r="I43"/>
  <c r="H43"/>
  <c r="F43"/>
  <c r="E43"/>
  <c r="D43"/>
  <c r="B43"/>
  <c r="J42"/>
  <c r="I42"/>
  <c r="H42"/>
  <c r="F42"/>
  <c r="E42"/>
  <c r="D42"/>
  <c r="B42"/>
  <c r="J41"/>
  <c r="I41"/>
  <c r="H41"/>
  <c r="F41"/>
  <c r="E41"/>
  <c r="D41"/>
  <c r="B41"/>
  <c r="A1"/>
  <c r="A1" i="8"/>
  <c r="C252" i="7"/>
  <c r="C251"/>
  <c r="C250"/>
  <c r="C249"/>
  <c r="C248"/>
  <c r="C247"/>
  <c r="A1"/>
  <c r="A1" i="6"/>
  <c r="A1" i="5"/>
  <c r="B31" i="4"/>
  <c r="C32" s="1"/>
  <c r="A1"/>
  <c r="J209" i="3"/>
  <c r="J251" s="1"/>
  <c r="I209"/>
  <c r="I251" s="1"/>
  <c r="H209"/>
  <c r="H251" s="1"/>
  <c r="C209"/>
  <c r="C251" s="1"/>
  <c r="B209"/>
  <c r="B251" s="1"/>
  <c r="J208"/>
  <c r="J250" s="1"/>
  <c r="I208"/>
  <c r="I250" s="1"/>
  <c r="H208"/>
  <c r="H250" s="1"/>
  <c r="C208"/>
  <c r="C250" s="1"/>
  <c r="B208"/>
  <c r="B250" s="1"/>
  <c r="J207"/>
  <c r="J249" s="1"/>
  <c r="I207"/>
  <c r="I249" s="1"/>
  <c r="H207"/>
  <c r="H249" s="1"/>
  <c r="C207"/>
  <c r="C249" s="1"/>
  <c r="B207"/>
  <c r="B249" s="1"/>
  <c r="J206"/>
  <c r="J248" s="1"/>
  <c r="I206"/>
  <c r="I248" s="1"/>
  <c r="H206"/>
  <c r="H248" s="1"/>
  <c r="C206"/>
  <c r="C248" s="1"/>
  <c r="B206"/>
  <c r="B248" s="1"/>
  <c r="J205"/>
  <c r="J247" s="1"/>
  <c r="I205"/>
  <c r="I247" s="1"/>
  <c r="H205"/>
  <c r="H247" s="1"/>
  <c r="C205"/>
  <c r="C247" s="1"/>
  <c r="B205"/>
  <c r="B247" s="1"/>
  <c r="J204"/>
  <c r="J246" s="1"/>
  <c r="I204"/>
  <c r="I246" s="1"/>
  <c r="H204"/>
  <c r="H246" s="1"/>
  <c r="C204"/>
  <c r="C246" s="1"/>
  <c r="B204"/>
  <c r="B246" s="1"/>
  <c r="J203"/>
  <c r="J245" s="1"/>
  <c r="I203"/>
  <c r="I245" s="1"/>
  <c r="H203"/>
  <c r="H245" s="1"/>
  <c r="C203"/>
  <c r="C245" s="1"/>
  <c r="B203"/>
  <c r="B245" s="1"/>
  <c r="J202"/>
  <c r="J244" s="1"/>
  <c r="I202"/>
  <c r="I244" s="1"/>
  <c r="H202"/>
  <c r="H244" s="1"/>
  <c r="C202"/>
  <c r="C244" s="1"/>
  <c r="B202"/>
  <c r="B244" s="1"/>
  <c r="J201"/>
  <c r="J243" s="1"/>
  <c r="I201"/>
  <c r="I243" s="1"/>
  <c r="H201"/>
  <c r="H243" s="1"/>
  <c r="C201"/>
  <c r="C243" s="1"/>
  <c r="B201"/>
  <c r="B243" s="1"/>
  <c r="J200"/>
  <c r="J242" s="1"/>
  <c r="I200"/>
  <c r="I242" s="1"/>
  <c r="H200"/>
  <c r="H242" s="1"/>
  <c r="C200"/>
  <c r="C242" s="1"/>
  <c r="B200"/>
  <c r="B242" s="1"/>
  <c r="J199"/>
  <c r="J241" s="1"/>
  <c r="I199"/>
  <c r="I241" s="1"/>
  <c r="H199"/>
  <c r="H241" s="1"/>
  <c r="C199"/>
  <c r="C241" s="1"/>
  <c r="B199"/>
  <c r="B241" s="1"/>
  <c r="J198"/>
  <c r="J240" s="1"/>
  <c r="I198"/>
  <c r="I240" s="1"/>
  <c r="H198"/>
  <c r="H240" s="1"/>
  <c r="C198"/>
  <c r="C240" s="1"/>
  <c r="B198"/>
  <c r="B240" s="1"/>
  <c r="J197"/>
  <c r="J239" s="1"/>
  <c r="I197"/>
  <c r="I239" s="1"/>
  <c r="H197"/>
  <c r="H239" s="1"/>
  <c r="C197"/>
  <c r="C239" s="1"/>
  <c r="B197"/>
  <c r="B239" s="1"/>
  <c r="J196"/>
  <c r="J238" s="1"/>
  <c r="I196"/>
  <c r="I238" s="1"/>
  <c r="H196"/>
  <c r="H238" s="1"/>
  <c r="C196"/>
  <c r="C238" s="1"/>
  <c r="B196"/>
  <c r="B238" s="1"/>
  <c r="J195"/>
  <c r="J237" s="1"/>
  <c r="I195"/>
  <c r="I237" s="1"/>
  <c r="H195"/>
  <c r="H237" s="1"/>
  <c r="C195"/>
  <c r="C237" s="1"/>
  <c r="B195"/>
  <c r="B237" s="1"/>
  <c r="J194"/>
  <c r="J236" s="1"/>
  <c r="I194"/>
  <c r="I236" s="1"/>
  <c r="H194"/>
  <c r="H236" s="1"/>
  <c r="C194"/>
  <c r="C236" s="1"/>
  <c r="B194"/>
  <c r="B236" s="1"/>
  <c r="J193"/>
  <c r="J235" s="1"/>
  <c r="I193"/>
  <c r="I235" s="1"/>
  <c r="H193"/>
  <c r="H235" s="1"/>
  <c r="C193"/>
  <c r="C235" s="1"/>
  <c r="B193"/>
  <c r="B235" s="1"/>
  <c r="J192"/>
  <c r="J234" s="1"/>
  <c r="I192"/>
  <c r="I234" s="1"/>
  <c r="H192"/>
  <c r="H234" s="1"/>
  <c r="C192"/>
  <c r="C234" s="1"/>
  <c r="B192"/>
  <c r="B234" s="1"/>
  <c r="J191"/>
  <c r="J233" s="1"/>
  <c r="I191"/>
  <c r="I233" s="1"/>
  <c r="H191"/>
  <c r="H233" s="1"/>
  <c r="C191"/>
  <c r="C233" s="1"/>
  <c r="B191"/>
  <c r="B233" s="1"/>
  <c r="J190"/>
  <c r="J232" s="1"/>
  <c r="I190"/>
  <c r="I232" s="1"/>
  <c r="H190"/>
  <c r="H232" s="1"/>
  <c r="C190"/>
  <c r="C232" s="1"/>
  <c r="B190"/>
  <c r="B232" s="1"/>
  <c r="J189"/>
  <c r="J231" s="1"/>
  <c r="I189"/>
  <c r="I231" s="1"/>
  <c r="H189"/>
  <c r="H231" s="1"/>
  <c r="C189"/>
  <c r="C231" s="1"/>
  <c r="B189"/>
  <c r="B231" s="1"/>
  <c r="J188"/>
  <c r="J230" s="1"/>
  <c r="I188"/>
  <c r="I230" s="1"/>
  <c r="H188"/>
  <c r="H230" s="1"/>
  <c r="C188"/>
  <c r="C230" s="1"/>
  <c r="B188"/>
  <c r="B230" s="1"/>
  <c r="J187"/>
  <c r="J229" s="1"/>
  <c r="I187"/>
  <c r="I229" s="1"/>
  <c r="H187"/>
  <c r="H229" s="1"/>
  <c r="C187"/>
  <c r="C229" s="1"/>
  <c r="B187"/>
  <c r="B229" s="1"/>
  <c r="J186"/>
  <c r="J228" s="1"/>
  <c r="I186"/>
  <c r="I228" s="1"/>
  <c r="H186"/>
  <c r="H228" s="1"/>
  <c r="C186"/>
  <c r="C228" s="1"/>
  <c r="B186"/>
  <c r="B228" s="1"/>
  <c r="J185"/>
  <c r="J227" s="1"/>
  <c r="I185"/>
  <c r="I227" s="1"/>
  <c r="H185"/>
  <c r="H227" s="1"/>
  <c r="C185"/>
  <c r="C227" s="1"/>
  <c r="B185"/>
  <c r="B227" s="1"/>
  <c r="J184"/>
  <c r="J226" s="1"/>
  <c r="I184"/>
  <c r="I226" s="1"/>
  <c r="H184"/>
  <c r="H226" s="1"/>
  <c r="C184"/>
  <c r="C226" s="1"/>
  <c r="B184"/>
  <c r="B226" s="1"/>
  <c r="J183"/>
  <c r="J225" s="1"/>
  <c r="I183"/>
  <c r="I225" s="1"/>
  <c r="H183"/>
  <c r="H225" s="1"/>
  <c r="C183"/>
  <c r="C225" s="1"/>
  <c r="B183"/>
  <c r="B225" s="1"/>
  <c r="J182"/>
  <c r="J224" s="1"/>
  <c r="I182"/>
  <c r="I224" s="1"/>
  <c r="H182"/>
  <c r="H224" s="1"/>
  <c r="C182"/>
  <c r="C224" s="1"/>
  <c r="B182"/>
  <c r="B224" s="1"/>
  <c r="J181"/>
  <c r="J223" s="1"/>
  <c r="I181"/>
  <c r="I223" s="1"/>
  <c r="H181"/>
  <c r="H223" s="1"/>
  <c r="C181"/>
  <c r="C223" s="1"/>
  <c r="B181"/>
  <c r="B223" s="1"/>
  <c r="J180"/>
  <c r="J222" s="1"/>
  <c r="I180"/>
  <c r="I222" s="1"/>
  <c r="H180"/>
  <c r="H222" s="1"/>
  <c r="C180"/>
  <c r="C222" s="1"/>
  <c r="B180"/>
  <c r="B222" s="1"/>
  <c r="J179"/>
  <c r="J221" s="1"/>
  <c r="I179"/>
  <c r="I221" s="1"/>
  <c r="H179"/>
  <c r="H221" s="1"/>
  <c r="C179"/>
  <c r="C221" s="1"/>
  <c r="B179"/>
  <c r="B221" s="1"/>
  <c r="J178"/>
  <c r="J220" s="1"/>
  <c r="I178"/>
  <c r="I220" s="1"/>
  <c r="H178"/>
  <c r="H220" s="1"/>
  <c r="C178"/>
  <c r="C220" s="1"/>
  <c r="B178"/>
  <c r="B220" s="1"/>
  <c r="J177"/>
  <c r="J219" s="1"/>
  <c r="I177"/>
  <c r="I219" s="1"/>
  <c r="H177"/>
  <c r="H219" s="1"/>
  <c r="C177"/>
  <c r="C219" s="1"/>
  <c r="B177"/>
  <c r="B219" s="1"/>
  <c r="A1"/>
  <c r="B273" i="7"/>
  <c r="B272"/>
  <c r="B271"/>
  <c r="B270"/>
  <c r="E802" s="1"/>
  <c r="B269"/>
  <c r="B268"/>
  <c r="B267"/>
  <c r="B266"/>
  <c r="B265"/>
  <c r="B695"/>
  <c r="B694"/>
  <c r="B693"/>
  <c r="B692"/>
  <c r="B79"/>
  <c r="B78"/>
  <c r="B77"/>
  <c r="B76"/>
  <c r="B75"/>
  <c r="B34"/>
  <c r="B33"/>
  <c r="B32"/>
  <c r="B31"/>
  <c r="B30"/>
  <c r="B29"/>
  <c r="B28"/>
  <c r="B27"/>
  <c r="B26"/>
  <c r="E51" i="11"/>
  <c r="E50"/>
  <c r="E49"/>
  <c r="E48"/>
  <c r="D53"/>
  <c r="D52"/>
  <c r="D51"/>
  <c r="D50"/>
  <c r="D49"/>
  <c r="D48"/>
  <c r="C54"/>
  <c r="C53"/>
  <c r="C52"/>
  <c r="C51"/>
  <c r="C50"/>
  <c r="C49"/>
  <c r="C48"/>
  <c r="B55"/>
  <c r="B54"/>
  <c r="B53"/>
  <c r="B52"/>
  <c r="B51"/>
  <c r="B50"/>
  <c r="B49"/>
  <c r="B48"/>
  <c r="B10" i="10"/>
  <c r="B37" i="6"/>
  <c r="B64" s="1"/>
  <c r="B36"/>
  <c r="B63" s="1"/>
  <c r="B35"/>
  <c r="B62" s="1"/>
  <c r="B34"/>
  <c r="B61" s="1"/>
  <c r="B33"/>
  <c r="B60" s="1"/>
  <c r="B32"/>
  <c r="B59" s="1"/>
  <c r="B31"/>
  <c r="B58" s="1"/>
  <c r="B30"/>
  <c r="B57" s="1"/>
  <c r="B29"/>
  <c r="B56" s="1"/>
  <c r="B28"/>
  <c r="B55" s="1"/>
  <c r="B27"/>
  <c r="B54" s="1"/>
  <c r="B26"/>
  <c r="B53" s="1"/>
  <c r="B25"/>
  <c r="B52" s="1"/>
  <c r="B24"/>
  <c r="B51" s="1"/>
  <c r="B23"/>
  <c r="B50" s="1"/>
  <c r="B21"/>
  <c r="B48" s="1"/>
  <c r="B20"/>
  <c r="B47" s="1"/>
  <c r="B19"/>
  <c r="B46" s="1"/>
  <c r="I21" i="4"/>
  <c r="B38" s="1"/>
  <c r="H21"/>
  <c r="B37" s="1"/>
  <c r="C38" s="1"/>
  <c r="G21"/>
  <c r="B36" s="1"/>
  <c r="C37" s="1"/>
  <c r="F21"/>
  <c r="B35" s="1"/>
  <c r="C36" s="1"/>
  <c r="E21"/>
  <c r="B34" s="1"/>
  <c r="C35" s="1"/>
  <c r="D21"/>
  <c r="B33" s="1"/>
  <c r="C34" s="1"/>
  <c r="C21"/>
  <c r="B32" s="1"/>
  <c r="C33" s="1"/>
  <c r="B62" i="5"/>
  <c r="C103" s="1"/>
  <c r="B60"/>
  <c r="C101" s="1"/>
  <c r="B58"/>
  <c r="C80" s="1"/>
  <c r="B39"/>
  <c r="B29"/>
  <c r="B99" s="1"/>
  <c r="B27"/>
  <c r="B97" s="1"/>
  <c r="B25"/>
  <c r="B95" s="1"/>
  <c r="B23"/>
  <c r="B93" s="1"/>
  <c r="B21"/>
  <c r="B91" s="1"/>
  <c r="B19"/>
  <c r="B83" s="1"/>
  <c r="B17"/>
  <c r="B81" s="1"/>
  <c r="B16"/>
  <c r="B79" s="1"/>
  <c r="B15"/>
  <c r="B78" s="1"/>
  <c r="B14"/>
  <c r="B76" s="1"/>
  <c r="B13"/>
  <c r="B75" s="1"/>
  <c r="B12"/>
  <c r="B73" s="1"/>
  <c r="B11"/>
  <c r="B72" s="1"/>
  <c r="B49" i="4"/>
  <c r="B50" s="1"/>
  <c r="B51" s="1"/>
  <c r="B52" s="1"/>
  <c r="B53" s="1"/>
  <c r="B54" s="1"/>
  <c r="B55" s="1"/>
  <c r="C48"/>
  <c r="C49" s="1"/>
  <c r="B12"/>
  <c r="F44" i="2"/>
  <c r="F36"/>
  <c r="F24"/>
  <c r="A1"/>
  <c r="A1" i="1"/>
  <c r="B150" i="5" l="1"/>
  <c r="K179" i="16" s="1"/>
  <c r="C50" i="4"/>
  <c r="D49"/>
  <c r="C235" i="7"/>
  <c r="E1059" i="22"/>
  <c r="B49" i="5"/>
  <c r="C238" i="7"/>
  <c r="B67" i="4"/>
  <c r="K30" i="9"/>
  <c r="C58" s="1"/>
  <c r="K28"/>
  <c r="C56" s="1"/>
  <c r="K26"/>
  <c r="C54" s="1"/>
  <c r="K24"/>
  <c r="C52" s="1"/>
  <c r="K22"/>
  <c r="C50" s="1"/>
  <c r="K20"/>
  <c r="C48" s="1"/>
  <c r="K18"/>
  <c r="C46" s="1"/>
  <c r="K16"/>
  <c r="C44" s="1"/>
  <c r="K14"/>
  <c r="C42" s="1"/>
  <c r="K31"/>
  <c r="C59" s="1"/>
  <c r="K29"/>
  <c r="C57" s="1"/>
  <c r="K27"/>
  <c r="C55" s="1"/>
  <c r="K25"/>
  <c r="C53" s="1"/>
  <c r="K23"/>
  <c r="C51" s="1"/>
  <c r="K21"/>
  <c r="C49" s="1"/>
  <c r="K19"/>
  <c r="C47" s="1"/>
  <c r="K17"/>
  <c r="C45" s="1"/>
  <c r="K15"/>
  <c r="C43" s="1"/>
  <c r="K13"/>
  <c r="C41" s="1"/>
  <c r="C58" i="21"/>
  <c r="K58" s="1"/>
  <c r="C59"/>
  <c r="K59" s="1"/>
  <c r="B70"/>
  <c r="B71"/>
  <c r="C82"/>
  <c r="K82" s="1"/>
  <c r="C83"/>
  <c r="K83" s="1"/>
  <c r="C86"/>
  <c r="K86" s="1"/>
  <c r="C87"/>
  <c r="K87" s="1"/>
  <c r="B100"/>
  <c r="B101"/>
  <c r="B108"/>
  <c r="B109"/>
  <c r="B112"/>
  <c r="B113"/>
  <c r="B116"/>
  <c r="B117"/>
  <c r="B120"/>
  <c r="B121"/>
  <c r="B79" i="24"/>
  <c r="B123" i="21"/>
  <c r="B124"/>
  <c r="C127"/>
  <c r="K127" s="1"/>
  <c r="G290" i="6"/>
  <c r="B128" i="21"/>
  <c r="E81" i="24"/>
  <c r="C130" i="21"/>
  <c r="C134"/>
  <c r="G297" i="6"/>
  <c r="B83" i="24"/>
  <c r="B136" i="21"/>
  <c r="D83" i="24"/>
  <c r="C139" i="21"/>
  <c r="K139" s="1"/>
  <c r="G302" i="6"/>
  <c r="B85" i="24"/>
  <c r="B141" i="21"/>
  <c r="C144"/>
  <c r="K144" s="1"/>
  <c r="G307" i="6"/>
  <c r="B87" i="24"/>
  <c r="B146" i="21"/>
  <c r="D87" i="24"/>
  <c r="C149" i="21"/>
  <c r="K149" s="1"/>
  <c r="G312" i="6"/>
  <c r="B89" i="24"/>
  <c r="B151" i="21"/>
  <c r="C154"/>
  <c r="K154" s="1"/>
  <c r="G317" i="6"/>
  <c r="B91" i="24"/>
  <c r="B156" i="21"/>
  <c r="D91" i="24"/>
  <c r="C96" i="11"/>
  <c r="D138" s="1"/>
  <c r="C95"/>
  <c r="D137" s="1"/>
  <c r="C94"/>
  <c r="D136" s="1"/>
  <c r="C93"/>
  <c r="D135" s="1"/>
  <c r="C92"/>
  <c r="D134" s="1"/>
  <c r="C91"/>
  <c r="D133" s="1"/>
  <c r="C90"/>
  <c r="D132" s="1"/>
  <c r="C89"/>
  <c r="D131" s="1"/>
  <c r="C88"/>
  <c r="D130" s="1"/>
  <c r="C87"/>
  <c r="D129" s="1"/>
  <c r="C86"/>
  <c r="D128" s="1"/>
  <c r="C85"/>
  <c r="D127" s="1"/>
  <c r="C84"/>
  <c r="D126" s="1"/>
  <c r="C83"/>
  <c r="D125" s="1"/>
  <c r="C82"/>
  <c r="D124" s="1"/>
  <c r="C81"/>
  <c r="D123" s="1"/>
  <c r="C80"/>
  <c r="D122" s="1"/>
  <c r="C79"/>
  <c r="D121" s="1"/>
  <c r="C78"/>
  <c r="D120" s="1"/>
  <c r="C77"/>
  <c r="D119" s="1"/>
  <c r="C76"/>
  <c r="D118" s="1"/>
  <c r="C75"/>
  <c r="D117" s="1"/>
  <c r="C74"/>
  <c r="D116" s="1"/>
  <c r="C73"/>
  <c r="D115" s="1"/>
  <c r="C72"/>
  <c r="D114" s="1"/>
  <c r="C71"/>
  <c r="D113" s="1"/>
  <c r="C70"/>
  <c r="D112" s="1"/>
  <c r="C69"/>
  <c r="D111" s="1"/>
  <c r="C68"/>
  <c r="D110" s="1"/>
  <c r="C67"/>
  <c r="D109" s="1"/>
  <c r="C66"/>
  <c r="D108" s="1"/>
  <c r="C65"/>
  <c r="D107" s="1"/>
  <c r="C64"/>
  <c r="D106" s="1"/>
  <c r="E96"/>
  <c r="F138" s="1"/>
  <c r="E95"/>
  <c r="F137" s="1"/>
  <c r="E94"/>
  <c r="F136" s="1"/>
  <c r="E93"/>
  <c r="F135" s="1"/>
  <c r="E92"/>
  <c r="F134" s="1"/>
  <c r="E91"/>
  <c r="F133" s="1"/>
  <c r="E90"/>
  <c r="F132" s="1"/>
  <c r="E89"/>
  <c r="F131" s="1"/>
  <c r="E88"/>
  <c r="F130" s="1"/>
  <c r="E87"/>
  <c r="F129" s="1"/>
  <c r="E86"/>
  <c r="F128" s="1"/>
  <c r="E85"/>
  <c r="F127" s="1"/>
  <c r="E84"/>
  <c r="F126" s="1"/>
  <c r="E83"/>
  <c r="F125" s="1"/>
  <c r="E82"/>
  <c r="F124" s="1"/>
  <c r="E81"/>
  <c r="F123" s="1"/>
  <c r="E80"/>
  <c r="F122" s="1"/>
  <c r="E79"/>
  <c r="F121" s="1"/>
  <c r="E78"/>
  <c r="F120" s="1"/>
  <c r="E77"/>
  <c r="F119" s="1"/>
  <c r="E76"/>
  <c r="F118" s="1"/>
  <c r="E75"/>
  <c r="F117" s="1"/>
  <c r="E74"/>
  <c r="F116" s="1"/>
  <c r="E73"/>
  <c r="F115" s="1"/>
  <c r="E72"/>
  <c r="F114" s="1"/>
  <c r="E71"/>
  <c r="F113" s="1"/>
  <c r="E70"/>
  <c r="F112" s="1"/>
  <c r="E69"/>
  <c r="F111" s="1"/>
  <c r="E68"/>
  <c r="F110" s="1"/>
  <c r="E67"/>
  <c r="F109" s="1"/>
  <c r="E66"/>
  <c r="F108" s="1"/>
  <c r="E65"/>
  <c r="F107" s="1"/>
  <c r="E64"/>
  <c r="F106" s="1"/>
  <c r="G96"/>
  <c r="H138" s="1"/>
  <c r="G95"/>
  <c r="H137" s="1"/>
  <c r="G94"/>
  <c r="H136" s="1"/>
  <c r="G93"/>
  <c r="H135" s="1"/>
  <c r="G92"/>
  <c r="H134" s="1"/>
  <c r="G91"/>
  <c r="H133" s="1"/>
  <c r="G90"/>
  <c r="H132" s="1"/>
  <c r="G89"/>
  <c r="H131" s="1"/>
  <c r="G88"/>
  <c r="H130" s="1"/>
  <c r="G87"/>
  <c r="H129" s="1"/>
  <c r="G86"/>
  <c r="H128" s="1"/>
  <c r="G85"/>
  <c r="H127" s="1"/>
  <c r="G84"/>
  <c r="H126" s="1"/>
  <c r="G83"/>
  <c r="H125" s="1"/>
  <c r="G82"/>
  <c r="H124" s="1"/>
  <c r="G81"/>
  <c r="H123" s="1"/>
  <c r="G80"/>
  <c r="H122" s="1"/>
  <c r="G79"/>
  <c r="H121" s="1"/>
  <c r="G78"/>
  <c r="H120" s="1"/>
  <c r="G77"/>
  <c r="H119" s="1"/>
  <c r="G76"/>
  <c r="H118" s="1"/>
  <c r="G75"/>
  <c r="H117" s="1"/>
  <c r="G74"/>
  <c r="H116" s="1"/>
  <c r="G73"/>
  <c r="H115" s="1"/>
  <c r="G72"/>
  <c r="H114" s="1"/>
  <c r="G71"/>
  <c r="H113" s="1"/>
  <c r="G70"/>
  <c r="H112" s="1"/>
  <c r="G69"/>
  <c r="H111" s="1"/>
  <c r="G68"/>
  <c r="H110" s="1"/>
  <c r="G67"/>
  <c r="H109" s="1"/>
  <c r="G66"/>
  <c r="H108" s="1"/>
  <c r="G65"/>
  <c r="H107" s="1"/>
  <c r="G64"/>
  <c r="H106" s="1"/>
  <c r="I96"/>
  <c r="J138" s="1"/>
  <c r="I95"/>
  <c r="J137" s="1"/>
  <c r="I94"/>
  <c r="J136" s="1"/>
  <c r="I93"/>
  <c r="J135" s="1"/>
  <c r="I92"/>
  <c r="J134" s="1"/>
  <c r="I91"/>
  <c r="J133" s="1"/>
  <c r="I90"/>
  <c r="J132" s="1"/>
  <c r="I89"/>
  <c r="J131" s="1"/>
  <c r="I88"/>
  <c r="J130" s="1"/>
  <c r="I87"/>
  <c r="J129" s="1"/>
  <c r="I86"/>
  <c r="J128" s="1"/>
  <c r="I85"/>
  <c r="J127" s="1"/>
  <c r="I84"/>
  <c r="J126" s="1"/>
  <c r="I83"/>
  <c r="J125" s="1"/>
  <c r="I82"/>
  <c r="J124" s="1"/>
  <c r="I81"/>
  <c r="J123" s="1"/>
  <c r="I80"/>
  <c r="J122" s="1"/>
  <c r="I79"/>
  <c r="J121" s="1"/>
  <c r="I78"/>
  <c r="J120" s="1"/>
  <c r="I77"/>
  <c r="J119" s="1"/>
  <c r="I76"/>
  <c r="J118" s="1"/>
  <c r="I75"/>
  <c r="J117" s="1"/>
  <c r="I74"/>
  <c r="J116" s="1"/>
  <c r="I73"/>
  <c r="J115" s="1"/>
  <c r="I72"/>
  <c r="J114" s="1"/>
  <c r="I71"/>
  <c r="J113" s="1"/>
  <c r="I70"/>
  <c r="J112" s="1"/>
  <c r="I69"/>
  <c r="J111" s="1"/>
  <c r="I68"/>
  <c r="J110" s="1"/>
  <c r="I67"/>
  <c r="J109" s="1"/>
  <c r="I66"/>
  <c r="J108" s="1"/>
  <c r="I65"/>
  <c r="J107" s="1"/>
  <c r="I64"/>
  <c r="J106" s="1"/>
  <c r="E26" i="7"/>
  <c r="D43" s="1"/>
  <c r="D337" s="1"/>
  <c r="C26"/>
  <c r="B43" s="1"/>
  <c r="B337" s="1"/>
  <c r="D26"/>
  <c r="C43" s="1"/>
  <c r="C337" s="1"/>
  <c r="E28"/>
  <c r="D45" s="1"/>
  <c r="D411" s="1"/>
  <c r="C28"/>
  <c r="B45" s="1"/>
  <c r="B411" s="1"/>
  <c r="D28"/>
  <c r="C45" s="1"/>
  <c r="C411" s="1"/>
  <c r="E30"/>
  <c r="D47" s="1"/>
  <c r="C30"/>
  <c r="B47" s="1"/>
  <c r="D30"/>
  <c r="C47" s="1"/>
  <c r="E32"/>
  <c r="D49" s="1"/>
  <c r="C32"/>
  <c r="B49" s="1"/>
  <c r="D32"/>
  <c r="C49" s="1"/>
  <c r="E34"/>
  <c r="D51" s="1"/>
  <c r="C34"/>
  <c r="B51" s="1"/>
  <c r="D34"/>
  <c r="C51" s="1"/>
  <c r="D76"/>
  <c r="C89" s="1"/>
  <c r="E76"/>
  <c r="D89" s="1"/>
  <c r="C76"/>
  <c r="B89" s="1"/>
  <c r="D78"/>
  <c r="C91" s="1"/>
  <c r="E78"/>
  <c r="D91" s="1"/>
  <c r="C78"/>
  <c r="B91" s="1"/>
  <c r="D692"/>
  <c r="C704" s="1"/>
  <c r="E692"/>
  <c r="D704" s="1"/>
  <c r="C692"/>
  <c r="B704" s="1"/>
  <c r="D694"/>
  <c r="C706" s="1"/>
  <c r="E694"/>
  <c r="D706" s="1"/>
  <c r="C694"/>
  <c r="B706" s="1"/>
  <c r="B679"/>
  <c r="C679" s="1"/>
  <c r="D265"/>
  <c r="E265"/>
  <c r="C265"/>
  <c r="D266"/>
  <c r="E266"/>
  <c r="C266"/>
  <c r="D267"/>
  <c r="E267"/>
  <c r="C267"/>
  <c r="D268"/>
  <c r="E268"/>
  <c r="C268"/>
  <c r="D269"/>
  <c r="E269"/>
  <c r="C269"/>
  <c r="D271"/>
  <c r="E271"/>
  <c r="C271"/>
  <c r="D272"/>
  <c r="E272"/>
  <c r="C272"/>
  <c r="D273"/>
  <c r="E273"/>
  <c r="C273"/>
  <c r="F16" i="2"/>
  <c r="F38" s="1"/>
  <c r="F45" s="1"/>
  <c r="B59" i="5"/>
  <c r="C85" s="1"/>
  <c r="C131" s="1"/>
  <c r="B61"/>
  <c r="C102" s="1"/>
  <c r="C148" s="1"/>
  <c r="B63"/>
  <c r="C104" s="1"/>
  <c r="C150" s="1"/>
  <c r="D150" s="1"/>
  <c r="I14" i="3"/>
  <c r="B261" s="1"/>
  <c r="I16"/>
  <c r="B263" s="1"/>
  <c r="I18"/>
  <c r="B265" s="1"/>
  <c r="I20"/>
  <c r="B267" s="1"/>
  <c r="I22"/>
  <c r="B269" s="1"/>
  <c r="I24"/>
  <c r="B271" s="1"/>
  <c r="I26"/>
  <c r="B273" s="1"/>
  <c r="I28"/>
  <c r="B275" s="1"/>
  <c r="I30"/>
  <c r="B277" s="1"/>
  <c r="I32"/>
  <c r="B279" s="1"/>
  <c r="I34"/>
  <c r="B281" s="1"/>
  <c r="B43" i="12" s="1"/>
  <c r="B35" i="16" s="1"/>
  <c r="I36" i="3"/>
  <c r="B283" s="1"/>
  <c r="B45" i="12" s="1"/>
  <c r="B37" i="16" s="1"/>
  <c r="I38" i="3"/>
  <c r="B285" s="1"/>
  <c r="B47" i="12" s="1"/>
  <c r="I40" i="3"/>
  <c r="B287" s="1"/>
  <c r="B49" i="12" s="1"/>
  <c r="B41" i="16" s="1"/>
  <c r="I42" i="3"/>
  <c r="B289" s="1"/>
  <c r="B51" i="12" s="1"/>
  <c r="I44" i="3"/>
  <c r="B291" s="1"/>
  <c r="B53" i="12" s="1"/>
  <c r="B45" i="16" s="1"/>
  <c r="I46" i="3"/>
  <c r="B293" s="1"/>
  <c r="B55" i="12" s="1"/>
  <c r="B68" i="3"/>
  <c r="D83" s="1"/>
  <c r="B70"/>
  <c r="F83" s="1"/>
  <c r="B72"/>
  <c r="H83" s="1"/>
  <c r="B74"/>
  <c r="J83" s="1"/>
  <c r="B139"/>
  <c r="D48" i="4"/>
  <c r="B118" i="5"/>
  <c r="C119"/>
  <c r="B122"/>
  <c r="C123"/>
  <c r="B126"/>
  <c r="C127"/>
  <c r="B134"/>
  <c r="C135"/>
  <c r="C139"/>
  <c r="C143"/>
  <c r="C147"/>
  <c r="B149"/>
  <c r="B147"/>
  <c r="C146"/>
  <c r="B145"/>
  <c r="C144"/>
  <c r="B143"/>
  <c r="C142"/>
  <c r="B141"/>
  <c r="C140"/>
  <c r="B139"/>
  <c r="C138"/>
  <c r="B137"/>
  <c r="C136"/>
  <c r="B135"/>
  <c r="D135" s="1"/>
  <c r="C134"/>
  <c r="B133"/>
  <c r="C132"/>
  <c r="B131"/>
  <c r="C130"/>
  <c r="B129"/>
  <c r="C128"/>
  <c r="B127"/>
  <c r="C126"/>
  <c r="B125"/>
  <c r="C124"/>
  <c r="B123"/>
  <c r="D123" s="1"/>
  <c r="C122"/>
  <c r="B121"/>
  <c r="C120"/>
  <c r="B119"/>
  <c r="C118"/>
  <c r="B70" i="4"/>
  <c r="B68"/>
  <c r="B66"/>
  <c r="B64"/>
  <c r="B80" s="1"/>
  <c r="B58" i="21"/>
  <c r="B59"/>
  <c r="C70"/>
  <c r="K70" s="1"/>
  <c r="C71"/>
  <c r="K71" s="1"/>
  <c r="B82"/>
  <c r="B83"/>
  <c r="B86"/>
  <c r="B87"/>
  <c r="C100"/>
  <c r="K100" s="1"/>
  <c r="C101"/>
  <c r="K101" s="1"/>
  <c r="C108"/>
  <c r="K108" s="1"/>
  <c r="C109"/>
  <c r="K109" s="1"/>
  <c r="C112"/>
  <c r="K112" s="1"/>
  <c r="C113"/>
  <c r="K113" s="1"/>
  <c r="C116"/>
  <c r="K116" s="1"/>
  <c r="C117"/>
  <c r="K117" s="1"/>
  <c r="C120"/>
  <c r="K120" s="1"/>
  <c r="G283" i="6"/>
  <c r="C121" i="21"/>
  <c r="K121" s="1"/>
  <c r="G284" i="6"/>
  <c r="E79" i="24"/>
  <c r="C123" i="21"/>
  <c r="C124"/>
  <c r="K124" s="1"/>
  <c r="G287" i="6"/>
  <c r="B127" i="21"/>
  <c r="C128"/>
  <c r="K128" s="1"/>
  <c r="G291" i="6"/>
  <c r="B81" i="24"/>
  <c r="B130" i="21"/>
  <c r="B134"/>
  <c r="C83" i="24"/>
  <c r="E83"/>
  <c r="C136" i="21"/>
  <c r="B139"/>
  <c r="E85" i="24"/>
  <c r="C141" i="21"/>
  <c r="B144"/>
  <c r="C87" i="24"/>
  <c r="E87"/>
  <c r="C146" i="21"/>
  <c r="B149"/>
  <c r="E89" i="24"/>
  <c r="C151" i="21"/>
  <c r="B154"/>
  <c r="C91" i="24"/>
  <c r="E91"/>
  <c r="C156" i="21"/>
  <c r="B96" i="11"/>
  <c r="C138" s="1"/>
  <c r="B95"/>
  <c r="C137" s="1"/>
  <c r="B94"/>
  <c r="C136" s="1"/>
  <c r="B93"/>
  <c r="C135" s="1"/>
  <c r="B92"/>
  <c r="C134" s="1"/>
  <c r="B91"/>
  <c r="C133" s="1"/>
  <c r="B90"/>
  <c r="C132" s="1"/>
  <c r="B89"/>
  <c r="C131" s="1"/>
  <c r="B88"/>
  <c r="C130" s="1"/>
  <c r="B87"/>
  <c r="C129" s="1"/>
  <c r="B86"/>
  <c r="C128" s="1"/>
  <c r="B85"/>
  <c r="C127" s="1"/>
  <c r="B84"/>
  <c r="C126" s="1"/>
  <c r="B83"/>
  <c r="C125" s="1"/>
  <c r="B82"/>
  <c r="C124" s="1"/>
  <c r="B81"/>
  <c r="C123" s="1"/>
  <c r="B80"/>
  <c r="C122" s="1"/>
  <c r="B79"/>
  <c r="C121" s="1"/>
  <c r="B78"/>
  <c r="C120" s="1"/>
  <c r="B77"/>
  <c r="C119" s="1"/>
  <c r="B76"/>
  <c r="C118" s="1"/>
  <c r="B75"/>
  <c r="C117" s="1"/>
  <c r="B74"/>
  <c r="C116" s="1"/>
  <c r="B73"/>
  <c r="C115" s="1"/>
  <c r="B72"/>
  <c r="C114" s="1"/>
  <c r="B71"/>
  <c r="C113" s="1"/>
  <c r="B70"/>
  <c r="C112" s="1"/>
  <c r="B69"/>
  <c r="C111" s="1"/>
  <c r="B68"/>
  <c r="C110" s="1"/>
  <c r="B67"/>
  <c r="C109" s="1"/>
  <c r="B66"/>
  <c r="C108" s="1"/>
  <c r="B65"/>
  <c r="C107" s="1"/>
  <c r="B64"/>
  <c r="C106" s="1"/>
  <c r="D96"/>
  <c r="E138" s="1"/>
  <c r="D95"/>
  <c r="E137" s="1"/>
  <c r="D94"/>
  <c r="E136" s="1"/>
  <c r="D93"/>
  <c r="E135" s="1"/>
  <c r="D92"/>
  <c r="E134" s="1"/>
  <c r="D91"/>
  <c r="E133" s="1"/>
  <c r="D90"/>
  <c r="E132" s="1"/>
  <c r="D89"/>
  <c r="E131" s="1"/>
  <c r="D88"/>
  <c r="E130" s="1"/>
  <c r="D87"/>
  <c r="E129" s="1"/>
  <c r="D86"/>
  <c r="E128" s="1"/>
  <c r="D85"/>
  <c r="E127" s="1"/>
  <c r="D84"/>
  <c r="E126" s="1"/>
  <c r="D83"/>
  <c r="E125" s="1"/>
  <c r="D82"/>
  <c r="E124" s="1"/>
  <c r="D81"/>
  <c r="E123" s="1"/>
  <c r="D80"/>
  <c r="E122" s="1"/>
  <c r="D79"/>
  <c r="E121" s="1"/>
  <c r="D78"/>
  <c r="E120" s="1"/>
  <c r="D77"/>
  <c r="E119" s="1"/>
  <c r="D76"/>
  <c r="E118" s="1"/>
  <c r="D75"/>
  <c r="E117" s="1"/>
  <c r="D74"/>
  <c r="E116" s="1"/>
  <c r="D73"/>
  <c r="E115" s="1"/>
  <c r="D72"/>
  <c r="E114" s="1"/>
  <c r="D71"/>
  <c r="E113" s="1"/>
  <c r="D70"/>
  <c r="E112" s="1"/>
  <c r="D69"/>
  <c r="E111" s="1"/>
  <c r="D68"/>
  <c r="E110" s="1"/>
  <c r="D67"/>
  <c r="E109" s="1"/>
  <c r="D66"/>
  <c r="E108" s="1"/>
  <c r="D65"/>
  <c r="E107" s="1"/>
  <c r="D64"/>
  <c r="E106" s="1"/>
  <c r="F96"/>
  <c r="G138" s="1"/>
  <c r="F95"/>
  <c r="G137" s="1"/>
  <c r="F94"/>
  <c r="G136" s="1"/>
  <c r="F93"/>
  <c r="G135" s="1"/>
  <c r="F92"/>
  <c r="G134" s="1"/>
  <c r="F91"/>
  <c r="G133" s="1"/>
  <c r="F90"/>
  <c r="G132" s="1"/>
  <c r="F89"/>
  <c r="G131" s="1"/>
  <c r="F88"/>
  <c r="G130" s="1"/>
  <c r="F87"/>
  <c r="G129" s="1"/>
  <c r="F86"/>
  <c r="G128" s="1"/>
  <c r="F85"/>
  <c r="G127" s="1"/>
  <c r="F84"/>
  <c r="G126" s="1"/>
  <c r="F83"/>
  <c r="G125" s="1"/>
  <c r="F82"/>
  <c r="G124" s="1"/>
  <c r="F81"/>
  <c r="G123" s="1"/>
  <c r="F80"/>
  <c r="G122" s="1"/>
  <c r="F79"/>
  <c r="G121" s="1"/>
  <c r="F78"/>
  <c r="G120" s="1"/>
  <c r="F77"/>
  <c r="G119" s="1"/>
  <c r="F76"/>
  <c r="G118" s="1"/>
  <c r="F75"/>
  <c r="G117" s="1"/>
  <c r="F74"/>
  <c r="G116" s="1"/>
  <c r="F73"/>
  <c r="G115" s="1"/>
  <c r="F72"/>
  <c r="G114" s="1"/>
  <c r="F71"/>
  <c r="G113" s="1"/>
  <c r="F70"/>
  <c r="G112" s="1"/>
  <c r="F69"/>
  <c r="G111" s="1"/>
  <c r="F68"/>
  <c r="G110" s="1"/>
  <c r="F67"/>
  <c r="G109" s="1"/>
  <c r="F66"/>
  <c r="G108" s="1"/>
  <c r="F65"/>
  <c r="G107" s="1"/>
  <c r="F64"/>
  <c r="G106" s="1"/>
  <c r="H96"/>
  <c r="I138" s="1"/>
  <c r="H95"/>
  <c r="I137" s="1"/>
  <c r="H94"/>
  <c r="I136" s="1"/>
  <c r="H93"/>
  <c r="I135" s="1"/>
  <c r="H92"/>
  <c r="I134" s="1"/>
  <c r="H91"/>
  <c r="I133" s="1"/>
  <c r="H90"/>
  <c r="I132" s="1"/>
  <c r="H89"/>
  <c r="I131" s="1"/>
  <c r="H88"/>
  <c r="I130" s="1"/>
  <c r="H87"/>
  <c r="I129" s="1"/>
  <c r="H86"/>
  <c r="I128" s="1"/>
  <c r="H85"/>
  <c r="I127" s="1"/>
  <c r="H84"/>
  <c r="I126" s="1"/>
  <c r="H83"/>
  <c r="I125" s="1"/>
  <c r="H82"/>
  <c r="I124" s="1"/>
  <c r="H81"/>
  <c r="I123" s="1"/>
  <c r="H80"/>
  <c r="I122" s="1"/>
  <c r="H79"/>
  <c r="I121" s="1"/>
  <c r="H78"/>
  <c r="I120" s="1"/>
  <c r="H77"/>
  <c r="I119" s="1"/>
  <c r="H76"/>
  <c r="I118" s="1"/>
  <c r="H75"/>
  <c r="I117" s="1"/>
  <c r="H74"/>
  <c r="I116" s="1"/>
  <c r="H73"/>
  <c r="I115" s="1"/>
  <c r="H72"/>
  <c r="I114" s="1"/>
  <c r="H71"/>
  <c r="I113" s="1"/>
  <c r="H70"/>
  <c r="I112" s="1"/>
  <c r="H69"/>
  <c r="I111" s="1"/>
  <c r="H68"/>
  <c r="I110" s="1"/>
  <c r="H67"/>
  <c r="I109" s="1"/>
  <c r="H66"/>
  <c r="I108" s="1"/>
  <c r="H65"/>
  <c r="I107" s="1"/>
  <c r="H64"/>
  <c r="I106" s="1"/>
  <c r="E27" i="7"/>
  <c r="D44" s="1"/>
  <c r="C27"/>
  <c r="B44" s="1"/>
  <c r="D27"/>
  <c r="C44" s="1"/>
  <c r="E29"/>
  <c r="D46" s="1"/>
  <c r="D338" s="1"/>
  <c r="C29"/>
  <c r="B46" s="1"/>
  <c r="B338" s="1"/>
  <c r="D29"/>
  <c r="C46" s="1"/>
  <c r="C338" s="1"/>
  <c r="E31"/>
  <c r="D48" s="1"/>
  <c r="D412" s="1"/>
  <c r="C31"/>
  <c r="B48" s="1"/>
  <c r="B412" s="1"/>
  <c r="D31"/>
  <c r="C48" s="1"/>
  <c r="C412" s="1"/>
  <c r="E33"/>
  <c r="D50" s="1"/>
  <c r="C33"/>
  <c r="B50" s="1"/>
  <c r="D33"/>
  <c r="C50" s="1"/>
  <c r="D75"/>
  <c r="C88" s="1"/>
  <c r="E75"/>
  <c r="D88" s="1"/>
  <c r="C75"/>
  <c r="B88" s="1"/>
  <c r="D77"/>
  <c r="C90" s="1"/>
  <c r="E77"/>
  <c r="D90" s="1"/>
  <c r="C77"/>
  <c r="B90" s="1"/>
  <c r="D79"/>
  <c r="C92" s="1"/>
  <c r="E79"/>
  <c r="D92" s="1"/>
  <c r="C79"/>
  <c r="B92" s="1"/>
  <c r="D693"/>
  <c r="C705" s="1"/>
  <c r="E693"/>
  <c r="D705" s="1"/>
  <c r="C693"/>
  <c r="B705" s="1"/>
  <c r="D695"/>
  <c r="C707" s="1"/>
  <c r="E695"/>
  <c r="D707" s="1"/>
  <c r="C695"/>
  <c r="B707" s="1"/>
  <c r="B13"/>
  <c r="D13" s="1"/>
  <c r="C820"/>
  <c r="X831" s="1"/>
  <c r="B18" i="5"/>
  <c r="B82" s="1"/>
  <c r="B128" s="1"/>
  <c r="B20"/>
  <c r="B84" s="1"/>
  <c r="B130" s="1"/>
  <c r="B22"/>
  <c r="B92" s="1"/>
  <c r="B138" s="1"/>
  <c r="B24"/>
  <c r="B94" s="1"/>
  <c r="B140" s="1"/>
  <c r="B26"/>
  <c r="B96" s="1"/>
  <c r="B142" s="1"/>
  <c r="B28"/>
  <c r="B98" s="1"/>
  <c r="B144" s="1"/>
  <c r="B30"/>
  <c r="B100" s="1"/>
  <c r="B146" s="1"/>
  <c r="B22" i="6"/>
  <c r="B49" s="1"/>
  <c r="B79" i="10"/>
  <c r="D679" i="7"/>
  <c r="E13"/>
  <c r="I15" i="3"/>
  <c r="B262" s="1"/>
  <c r="I17"/>
  <c r="B264" s="1"/>
  <c r="I19"/>
  <c r="B266" s="1"/>
  <c r="I21"/>
  <c r="B268" s="1"/>
  <c r="I23"/>
  <c r="B270" s="1"/>
  <c r="I25"/>
  <c r="B272" s="1"/>
  <c r="I27"/>
  <c r="B274" s="1"/>
  <c r="I29"/>
  <c r="B276" s="1"/>
  <c r="I31"/>
  <c r="B278" s="1"/>
  <c r="I33"/>
  <c r="B280" s="1"/>
  <c r="B42" i="12" s="1"/>
  <c r="B34" i="16" s="1"/>
  <c r="I35" i="3"/>
  <c r="B282" s="1"/>
  <c r="B44" i="12" s="1"/>
  <c r="B36" i="16" s="1"/>
  <c r="I37" i="3"/>
  <c r="B63" i="15" s="1"/>
  <c r="B78" s="1"/>
  <c r="B291" i="16" s="1"/>
  <c r="I39" i="3"/>
  <c r="B286" s="1"/>
  <c r="B48" i="12" s="1"/>
  <c r="B40" i="16" s="1"/>
  <c r="I41" i="3"/>
  <c r="B65" i="15" s="1"/>
  <c r="B80" s="1"/>
  <c r="B295" i="16" s="1"/>
  <c r="I43" i="3"/>
  <c r="B290" s="1"/>
  <c r="B52" i="12" s="1"/>
  <c r="B44" i="16" s="1"/>
  <c r="I45" i="3"/>
  <c r="B67" i="15" s="1"/>
  <c r="B82" s="1"/>
  <c r="B299" i="16" s="1"/>
  <c r="B67" i="3"/>
  <c r="C83" s="1"/>
  <c r="B69"/>
  <c r="E83" s="1"/>
  <c r="B71"/>
  <c r="G83" s="1"/>
  <c r="B73"/>
  <c r="I83" s="1"/>
  <c r="B131"/>
  <c r="B147"/>
  <c r="F165"/>
  <c r="B65" i="4"/>
  <c r="B81" s="1"/>
  <c r="B69"/>
  <c r="F101"/>
  <c r="B120" i="5"/>
  <c r="D120" s="1"/>
  <c r="C121"/>
  <c r="B124"/>
  <c r="C125"/>
  <c r="C129"/>
  <c r="B132"/>
  <c r="D132" s="1"/>
  <c r="C133"/>
  <c r="B136"/>
  <c r="D136" s="1"/>
  <c r="C137"/>
  <c r="C141"/>
  <c r="C145"/>
  <c r="B148"/>
  <c r="C149"/>
  <c r="D173" i="18"/>
  <c r="D175"/>
  <c r="D176"/>
  <c r="D178"/>
  <c r="D187"/>
  <c r="D188"/>
  <c r="D189"/>
  <c r="D190"/>
  <c r="D192"/>
  <c r="D193"/>
  <c r="D194"/>
  <c r="D195"/>
  <c r="D198"/>
  <c r="D199"/>
  <c r="D202"/>
  <c r="D203"/>
  <c r="D206"/>
  <c r="D207"/>
  <c r="D208"/>
  <c r="D209"/>
  <c r="D210"/>
  <c r="D211"/>
  <c r="D212"/>
  <c r="D213"/>
  <c r="D214"/>
  <c r="D220"/>
  <c r="D221"/>
  <c r="D222"/>
  <c r="D223"/>
  <c r="D225"/>
  <c r="D226"/>
  <c r="D227"/>
  <c r="D228"/>
  <c r="D231"/>
  <c r="D232"/>
  <c r="D235"/>
  <c r="D236"/>
  <c r="B64" i="15" l="1"/>
  <c r="B79" s="1"/>
  <c r="B293" i="16" s="1"/>
  <c r="E270" i="7"/>
  <c r="C270"/>
  <c r="D270"/>
  <c r="C13"/>
  <c r="E679"/>
  <c r="D133" i="5"/>
  <c r="D134"/>
  <c r="B66" i="15"/>
  <c r="B81" s="1"/>
  <c r="B297" i="16" s="1"/>
  <c r="B62" i="15"/>
  <c r="B77" s="1"/>
  <c r="B289" i="16" s="1"/>
  <c r="B40" i="12"/>
  <c r="B69" i="13" s="1"/>
  <c r="B36" i="12"/>
  <c r="B65" i="13" s="1"/>
  <c r="B23" i="15" s="1"/>
  <c r="B35" s="1"/>
  <c r="B281" i="16" s="1"/>
  <c r="B32" i="12"/>
  <c r="B61" i="13" s="1"/>
  <c r="B28" i="12"/>
  <c r="B57" i="13" s="1"/>
  <c r="B24" i="12"/>
  <c r="B53" i="13" s="1"/>
  <c r="E429" i="22"/>
  <c r="K159" i="16"/>
  <c r="D130" i="5"/>
  <c r="B41" i="12"/>
  <c r="B70" i="13" s="1"/>
  <c r="B37" i="12"/>
  <c r="B66" i="13" s="1"/>
  <c r="B33" i="12"/>
  <c r="B62" i="13" s="1"/>
  <c r="B29" i="12"/>
  <c r="B58" i="13" s="1"/>
  <c r="B25" i="12"/>
  <c r="B54" i="13" s="1"/>
  <c r="B38" i="12"/>
  <c r="B67" i="13" s="1"/>
  <c r="B34" i="12"/>
  <c r="B63" i="13" s="1"/>
  <c r="B21" i="15" s="1"/>
  <c r="B33" s="1"/>
  <c r="B279" i="16" s="1"/>
  <c r="B30" i="12"/>
  <c r="B59" i="13" s="1"/>
  <c r="E931" i="22"/>
  <c r="K175" i="16"/>
  <c r="D146" i="5"/>
  <c r="E803" i="22"/>
  <c r="K171" i="16"/>
  <c r="D142" i="5"/>
  <c r="C675" i="22"/>
  <c r="K167" i="16"/>
  <c r="D138" i="5"/>
  <c r="B39" i="12"/>
  <c r="B68" i="13" s="1"/>
  <c r="B35" i="12"/>
  <c r="B64" i="13" s="1"/>
  <c r="B22" i="15" s="1"/>
  <c r="B34" s="1"/>
  <c r="B280" i="16" s="1"/>
  <c r="B31" i="12"/>
  <c r="B60" i="13" s="1"/>
  <c r="B27" i="12"/>
  <c r="B56" i="13" s="1"/>
  <c r="B23" i="12"/>
  <c r="B52" i="13" s="1"/>
  <c r="C995" i="22"/>
  <c r="K177" i="16"/>
  <c r="D148" i="5"/>
  <c r="C867" i="22"/>
  <c r="K173" i="16"/>
  <c r="D144" i="5"/>
  <c r="C739" i="22"/>
  <c r="K169" i="16"/>
  <c r="D140" i="5"/>
  <c r="E365" i="22"/>
  <c r="K157" i="16"/>
  <c r="D128" i="5"/>
  <c r="D237" i="22"/>
  <c r="K153" i="16"/>
  <c r="D124" i="5"/>
  <c r="G209" i="3"/>
  <c r="G251" s="1"/>
  <c r="G207"/>
  <c r="G249" s="1"/>
  <c r="G205"/>
  <c r="G247" s="1"/>
  <c r="G203"/>
  <c r="G245" s="1"/>
  <c r="G201"/>
  <c r="G243" s="1"/>
  <c r="G199"/>
  <c r="G241" s="1"/>
  <c r="G197"/>
  <c r="G239" s="1"/>
  <c r="G195"/>
  <c r="G237" s="1"/>
  <c r="G193"/>
  <c r="G235" s="1"/>
  <c r="G191"/>
  <c r="G233" s="1"/>
  <c r="G189"/>
  <c r="G231" s="1"/>
  <c r="G187"/>
  <c r="G229" s="1"/>
  <c r="G185"/>
  <c r="G227" s="1"/>
  <c r="G183"/>
  <c r="G225" s="1"/>
  <c r="G181"/>
  <c r="G223" s="1"/>
  <c r="G179"/>
  <c r="G221" s="1"/>
  <c r="G177"/>
  <c r="G219" s="1"/>
  <c r="G208"/>
  <c r="G250" s="1"/>
  <c r="G206"/>
  <c r="G248" s="1"/>
  <c r="G204"/>
  <c r="G246" s="1"/>
  <c r="G202"/>
  <c r="G244" s="1"/>
  <c r="G200"/>
  <c r="G242" s="1"/>
  <c r="G198"/>
  <c r="G240" s="1"/>
  <c r="G196"/>
  <c r="G238" s="1"/>
  <c r="G194"/>
  <c r="G236" s="1"/>
  <c r="G192"/>
  <c r="G234" s="1"/>
  <c r="G190"/>
  <c r="G232" s="1"/>
  <c r="G188"/>
  <c r="G230" s="1"/>
  <c r="G186"/>
  <c r="G228" s="1"/>
  <c r="G184"/>
  <c r="G226" s="1"/>
  <c r="G182"/>
  <c r="G224" s="1"/>
  <c r="G180"/>
  <c r="G222" s="1"/>
  <c r="G178"/>
  <c r="G220" s="1"/>
  <c r="C99" i="4"/>
  <c r="D162" i="3"/>
  <c r="G293"/>
  <c r="G291"/>
  <c r="G289"/>
  <c r="G287"/>
  <c r="G285"/>
  <c r="G283"/>
  <c r="G281"/>
  <c r="G279"/>
  <c r="G277"/>
  <c r="G275"/>
  <c r="G273"/>
  <c r="G271"/>
  <c r="G269"/>
  <c r="G267"/>
  <c r="G265"/>
  <c r="G263"/>
  <c r="G261"/>
  <c r="G290"/>
  <c r="G286"/>
  <c r="G282"/>
  <c r="G278"/>
  <c r="G274"/>
  <c r="G270"/>
  <c r="G266"/>
  <c r="G262"/>
  <c r="G292"/>
  <c r="G288"/>
  <c r="G284"/>
  <c r="G280"/>
  <c r="G276"/>
  <c r="G272"/>
  <c r="G268"/>
  <c r="G264"/>
  <c r="C293"/>
  <c r="C291"/>
  <c r="C289"/>
  <c r="C287"/>
  <c r="C285"/>
  <c r="C283"/>
  <c r="C281"/>
  <c r="C279"/>
  <c r="C277"/>
  <c r="C275"/>
  <c r="C273"/>
  <c r="C271"/>
  <c r="C269"/>
  <c r="C267"/>
  <c r="C265"/>
  <c r="C263"/>
  <c r="C261"/>
  <c r="C290"/>
  <c r="C286"/>
  <c r="C282"/>
  <c r="C278"/>
  <c r="C274"/>
  <c r="C270"/>
  <c r="C266"/>
  <c r="C262"/>
  <c r="C292"/>
  <c r="C288"/>
  <c r="C284"/>
  <c r="C280"/>
  <c r="C276"/>
  <c r="C272"/>
  <c r="C268"/>
  <c r="C264"/>
  <c r="B26" i="12"/>
  <c r="B55" i="13" s="1"/>
  <c r="I81" i="24"/>
  <c r="B242" s="1"/>
  <c r="L83" i="21"/>
  <c r="J83"/>
  <c r="L82"/>
  <c r="J82"/>
  <c r="L59"/>
  <c r="J59"/>
  <c r="L58"/>
  <c r="J58"/>
  <c r="C54" i="22"/>
  <c r="L147" i="16"/>
  <c r="D178" i="22"/>
  <c r="L151" i="16"/>
  <c r="D238" i="22"/>
  <c r="L153" i="16"/>
  <c r="D302" i="22"/>
  <c r="L155" i="16"/>
  <c r="E366" i="22"/>
  <c r="L157" i="16"/>
  <c r="E430" i="22"/>
  <c r="L159" i="16"/>
  <c r="C676" i="22"/>
  <c r="L167" i="16"/>
  <c r="C740" i="22"/>
  <c r="L169" i="16"/>
  <c r="E804" i="22"/>
  <c r="L171" i="16"/>
  <c r="C868" i="22"/>
  <c r="L173" i="16"/>
  <c r="E932" i="22"/>
  <c r="L175" i="16"/>
  <c r="C996" i="22"/>
  <c r="L177" i="16"/>
  <c r="E1060" i="22"/>
  <c r="L179" i="16"/>
  <c r="C964" i="22"/>
  <c r="L176" i="16"/>
  <c r="C836" i="22"/>
  <c r="L172" i="16"/>
  <c r="C708" i="22"/>
  <c r="L168" i="16"/>
  <c r="E462" i="22"/>
  <c r="L160" i="16"/>
  <c r="E334" i="22"/>
  <c r="L156" i="16"/>
  <c r="D86" i="22"/>
  <c r="L148" i="16"/>
  <c r="J292" i="3"/>
  <c r="J290"/>
  <c r="J288"/>
  <c r="J286"/>
  <c r="J284"/>
  <c r="J282"/>
  <c r="J280"/>
  <c r="J278"/>
  <c r="J276"/>
  <c r="J274"/>
  <c r="J272"/>
  <c r="J270"/>
  <c r="J268"/>
  <c r="J266"/>
  <c r="J264"/>
  <c r="J262"/>
  <c r="J291"/>
  <c r="J287"/>
  <c r="J283"/>
  <c r="J279"/>
  <c r="J275"/>
  <c r="J271"/>
  <c r="J267"/>
  <c r="J263"/>
  <c r="J293"/>
  <c r="J289"/>
  <c r="J285"/>
  <c r="J281"/>
  <c r="J277"/>
  <c r="J273"/>
  <c r="J269"/>
  <c r="J265"/>
  <c r="J261"/>
  <c r="D805" i="7"/>
  <c r="AK281"/>
  <c r="AK311" s="1"/>
  <c r="AK596" s="1"/>
  <c r="B804"/>
  <c r="AE281"/>
  <c r="C804"/>
  <c r="E804" s="1"/>
  <c r="C822" s="1"/>
  <c r="AF831" s="1"/>
  <c r="AF281"/>
  <c r="AF311" s="1"/>
  <c r="AF596" s="1"/>
  <c r="D803"/>
  <c r="AC281"/>
  <c r="AC309" s="1"/>
  <c r="AC594" s="1"/>
  <c r="B802"/>
  <c r="W281"/>
  <c r="C802"/>
  <c r="X281"/>
  <c r="X309" s="1"/>
  <c r="X594" s="1"/>
  <c r="D801"/>
  <c r="U281"/>
  <c r="U311" s="1"/>
  <c r="U596" s="1"/>
  <c r="B800"/>
  <c r="O281"/>
  <c r="C800"/>
  <c r="E800" s="1"/>
  <c r="C818" s="1"/>
  <c r="P831" s="1"/>
  <c r="P281"/>
  <c r="P311" s="1"/>
  <c r="P596" s="1"/>
  <c r="D799"/>
  <c r="M281"/>
  <c r="B798"/>
  <c r="G281"/>
  <c r="C798"/>
  <c r="E798" s="1"/>
  <c r="C816" s="1"/>
  <c r="H831" s="1"/>
  <c r="H281"/>
  <c r="H309" s="1"/>
  <c r="H594" s="1"/>
  <c r="D797"/>
  <c r="E281"/>
  <c r="I91" i="24"/>
  <c r="D268" s="1"/>
  <c r="I89"/>
  <c r="E263" s="1"/>
  <c r="I87"/>
  <c r="E258" s="1"/>
  <c r="I85"/>
  <c r="I83"/>
  <c r="D248" s="1"/>
  <c r="L124" i="21"/>
  <c r="J124"/>
  <c r="I79" i="24"/>
  <c r="E235" s="1"/>
  <c r="L117" i="21"/>
  <c r="J117"/>
  <c r="L116"/>
  <c r="J116"/>
  <c r="L109"/>
  <c r="J109"/>
  <c r="L108"/>
  <c r="J108"/>
  <c r="L101"/>
  <c r="J101"/>
  <c r="L100"/>
  <c r="J100"/>
  <c r="D50" i="4"/>
  <c r="C51"/>
  <c r="B292" i="3"/>
  <c r="B54" i="12" s="1"/>
  <c r="B288" i="3"/>
  <c r="B50" i="12" s="1"/>
  <c r="B284" i="3"/>
  <c r="B46" i="12" s="1"/>
  <c r="E1028" i="22"/>
  <c r="L178" i="16"/>
  <c r="E900" i="22"/>
  <c r="L174" i="16"/>
  <c r="E772" i="22"/>
  <c r="L170" i="16"/>
  <c r="C644" i="22"/>
  <c r="L166" i="16"/>
  <c r="E398" i="22"/>
  <c r="L158" i="16"/>
  <c r="D270" i="22"/>
  <c r="L154" i="16"/>
  <c r="C146" i="22"/>
  <c r="L150" i="16"/>
  <c r="E101" i="4"/>
  <c r="F164" i="3"/>
  <c r="I293"/>
  <c r="I291"/>
  <c r="I289"/>
  <c r="I287"/>
  <c r="I285"/>
  <c r="I283"/>
  <c r="I281"/>
  <c r="I279"/>
  <c r="I277"/>
  <c r="I275"/>
  <c r="I273"/>
  <c r="I271"/>
  <c r="I269"/>
  <c r="I267"/>
  <c r="I265"/>
  <c r="I263"/>
  <c r="I261"/>
  <c r="I292"/>
  <c r="I288"/>
  <c r="I284"/>
  <c r="I280"/>
  <c r="I276"/>
  <c r="I272"/>
  <c r="I268"/>
  <c r="I264"/>
  <c r="I290"/>
  <c r="I286"/>
  <c r="I282"/>
  <c r="I278"/>
  <c r="I274"/>
  <c r="I270"/>
  <c r="I266"/>
  <c r="I262"/>
  <c r="AC311" i="7"/>
  <c r="AC596" s="1"/>
  <c r="M311"/>
  <c r="M596" s="1"/>
  <c r="E311"/>
  <c r="E596" s="1"/>
  <c r="AK309"/>
  <c r="AK594" s="1"/>
  <c r="U309"/>
  <c r="U594" s="1"/>
  <c r="M309"/>
  <c r="M594" s="1"/>
  <c r="E309"/>
  <c r="E594" s="1"/>
  <c r="AK307"/>
  <c r="AK592" s="1"/>
  <c r="AC307"/>
  <c r="AC592" s="1"/>
  <c r="U307"/>
  <c r="U592" s="1"/>
  <c r="M307"/>
  <c r="M592" s="1"/>
  <c r="E307"/>
  <c r="E592" s="1"/>
  <c r="AK297"/>
  <c r="AK403" s="1"/>
  <c r="AC297"/>
  <c r="AC403" s="1"/>
  <c r="U297"/>
  <c r="U403" s="1"/>
  <c r="M297"/>
  <c r="M403" s="1"/>
  <c r="E297"/>
  <c r="E403" s="1"/>
  <c r="AK310"/>
  <c r="AK595" s="1"/>
  <c r="AC310"/>
  <c r="AC595" s="1"/>
  <c r="U310"/>
  <c r="U595" s="1"/>
  <c r="M310"/>
  <c r="M595" s="1"/>
  <c r="E310"/>
  <c r="E595" s="1"/>
  <c r="AK308"/>
  <c r="AK593" s="1"/>
  <c r="AC308"/>
  <c r="AC593" s="1"/>
  <c r="U308"/>
  <c r="U593" s="1"/>
  <c r="M308"/>
  <c r="M593" s="1"/>
  <c r="E308"/>
  <c r="E593" s="1"/>
  <c r="AK306"/>
  <c r="AK591" s="1"/>
  <c r="AC306"/>
  <c r="AC591" s="1"/>
  <c r="U306"/>
  <c r="U591" s="1"/>
  <c r="M306"/>
  <c r="M591" s="1"/>
  <c r="E306"/>
  <c r="E591" s="1"/>
  <c r="AK294"/>
  <c r="AK402" s="1"/>
  <c r="AC294"/>
  <c r="AC402" s="1"/>
  <c r="U294"/>
  <c r="U402" s="1"/>
  <c r="M294"/>
  <c r="M402" s="1"/>
  <c r="E294"/>
  <c r="E402" s="1"/>
  <c r="AE310"/>
  <c r="AE595" s="1"/>
  <c r="W310"/>
  <c r="W595" s="1"/>
  <c r="O310"/>
  <c r="O595" s="1"/>
  <c r="G310"/>
  <c r="G595" s="1"/>
  <c r="AE308"/>
  <c r="AE593" s="1"/>
  <c r="W308"/>
  <c r="W593" s="1"/>
  <c r="O308"/>
  <c r="O593" s="1"/>
  <c r="G308"/>
  <c r="G593" s="1"/>
  <c r="AE306"/>
  <c r="AE591" s="1"/>
  <c r="W306"/>
  <c r="W591" s="1"/>
  <c r="O306"/>
  <c r="O591" s="1"/>
  <c r="G306"/>
  <c r="G591" s="1"/>
  <c r="AE294"/>
  <c r="AE402" s="1"/>
  <c r="W294"/>
  <c r="W402" s="1"/>
  <c r="O294"/>
  <c r="O402" s="1"/>
  <c r="G294"/>
  <c r="G402" s="1"/>
  <c r="AE311"/>
  <c r="AE596" s="1"/>
  <c r="W311"/>
  <c r="W596" s="1"/>
  <c r="O311"/>
  <c r="O596" s="1"/>
  <c r="G311"/>
  <c r="G596" s="1"/>
  <c r="AE309"/>
  <c r="AE594" s="1"/>
  <c r="W309"/>
  <c r="W594" s="1"/>
  <c r="O309"/>
  <c r="O594" s="1"/>
  <c r="G309"/>
  <c r="G594" s="1"/>
  <c r="AE307"/>
  <c r="AE592" s="1"/>
  <c r="W307"/>
  <c r="W592" s="1"/>
  <c r="O307"/>
  <c r="O592" s="1"/>
  <c r="G307"/>
  <c r="G592" s="1"/>
  <c r="AE297"/>
  <c r="AE403" s="1"/>
  <c r="W297"/>
  <c r="W403" s="1"/>
  <c r="O297"/>
  <c r="O403" s="1"/>
  <c r="G297"/>
  <c r="G403" s="1"/>
  <c r="L154" i="21"/>
  <c r="J154"/>
  <c r="L149"/>
  <c r="J149"/>
  <c r="L144"/>
  <c r="J144"/>
  <c r="L139"/>
  <c r="J139"/>
  <c r="L127"/>
  <c r="J127"/>
  <c r="E236" i="24"/>
  <c r="L87" i="21"/>
  <c r="J87"/>
  <c r="L86"/>
  <c r="J86"/>
  <c r="D85" i="22"/>
  <c r="K148" i="16"/>
  <c r="D119" i="5"/>
  <c r="C145" i="22"/>
  <c r="K150" i="16"/>
  <c r="D121" i="5"/>
  <c r="D269" i="22"/>
  <c r="K154" i="16"/>
  <c r="D125" i="5"/>
  <c r="E333" i="22"/>
  <c r="K156" i="16"/>
  <c r="D127" i="5"/>
  <c r="E397" i="22"/>
  <c r="K158" i="16"/>
  <c r="D129" i="5"/>
  <c r="E461" i="22"/>
  <c r="K160" i="16"/>
  <c r="D131" i="5"/>
  <c r="C643" i="22"/>
  <c r="K166" i="16"/>
  <c r="D137" i="5"/>
  <c r="C707" i="22"/>
  <c r="K168" i="16"/>
  <c r="D139" i="5"/>
  <c r="E771" i="22"/>
  <c r="K170" i="16"/>
  <c r="D141" i="5"/>
  <c r="C835" i="22"/>
  <c r="K172" i="16"/>
  <c r="D143" i="5"/>
  <c r="E899" i="22"/>
  <c r="K174" i="16"/>
  <c r="D145" i="5"/>
  <c r="C963" i="22"/>
  <c r="K176" i="16"/>
  <c r="D147" i="5"/>
  <c r="E1027" i="22"/>
  <c r="K178" i="16"/>
  <c r="D149" i="5"/>
  <c r="D301" i="22"/>
  <c r="K155" i="16"/>
  <c r="D126" i="5"/>
  <c r="D177" i="22"/>
  <c r="K151" i="16"/>
  <c r="D122" i="5"/>
  <c r="C53" i="22"/>
  <c r="K147" i="16"/>
  <c r="D118" i="5"/>
  <c r="E163" i="3"/>
  <c r="D100" i="4"/>
  <c r="H292" i="3"/>
  <c r="H290"/>
  <c r="H288"/>
  <c r="H286"/>
  <c r="H284"/>
  <c r="H282"/>
  <c r="H280"/>
  <c r="H278"/>
  <c r="H276"/>
  <c r="H274"/>
  <c r="H272"/>
  <c r="H270"/>
  <c r="H268"/>
  <c r="H266"/>
  <c r="H264"/>
  <c r="H262"/>
  <c r="H293"/>
  <c r="H289"/>
  <c r="H285"/>
  <c r="H281"/>
  <c r="H277"/>
  <c r="H273"/>
  <c r="H269"/>
  <c r="H265"/>
  <c r="H261"/>
  <c r="H291"/>
  <c r="H287"/>
  <c r="H283"/>
  <c r="H279"/>
  <c r="H275"/>
  <c r="H271"/>
  <c r="H267"/>
  <c r="H263"/>
  <c r="B805" i="7"/>
  <c r="AI281"/>
  <c r="AI309" s="1"/>
  <c r="AI594" s="1"/>
  <c r="C805"/>
  <c r="E805" s="1"/>
  <c r="C823" s="1"/>
  <c r="AJ831" s="1"/>
  <c r="AJ281"/>
  <c r="AJ310" s="1"/>
  <c r="AJ595" s="1"/>
  <c r="D804"/>
  <c r="AG281"/>
  <c r="AG310" s="1"/>
  <c r="AG595" s="1"/>
  <c r="B803"/>
  <c r="AA281"/>
  <c r="AA311" s="1"/>
  <c r="AA596" s="1"/>
  <c r="C803"/>
  <c r="E803" s="1"/>
  <c r="C821" s="1"/>
  <c r="AB831" s="1"/>
  <c r="AB281"/>
  <c r="AB308" s="1"/>
  <c r="AB593" s="1"/>
  <c r="D802"/>
  <c r="Y281"/>
  <c r="Y308" s="1"/>
  <c r="Y593" s="1"/>
  <c r="B801"/>
  <c r="S281"/>
  <c r="S309" s="1"/>
  <c r="S594" s="1"/>
  <c r="C801"/>
  <c r="E801" s="1"/>
  <c r="C819" s="1"/>
  <c r="T831" s="1"/>
  <c r="T281"/>
  <c r="T310" s="1"/>
  <c r="T595" s="1"/>
  <c r="D800"/>
  <c r="Q281"/>
  <c r="Q310" s="1"/>
  <c r="Q595" s="1"/>
  <c r="B799"/>
  <c r="K281"/>
  <c r="K311" s="1"/>
  <c r="K596" s="1"/>
  <c r="C799"/>
  <c r="E799" s="1"/>
  <c r="C817" s="1"/>
  <c r="L831" s="1"/>
  <c r="L281"/>
  <c r="L308" s="1"/>
  <c r="L593" s="1"/>
  <c r="D798"/>
  <c r="I281"/>
  <c r="I308" s="1"/>
  <c r="I593" s="1"/>
  <c r="B797"/>
  <c r="C281"/>
  <c r="C309" s="1"/>
  <c r="C594" s="1"/>
  <c r="C797"/>
  <c r="E797" s="1"/>
  <c r="C815" s="1"/>
  <c r="D831" s="1"/>
  <c r="D281"/>
  <c r="D310" s="1"/>
  <c r="D595" s="1"/>
  <c r="L128" i="21"/>
  <c r="J128"/>
  <c r="B235" i="24"/>
  <c r="L121" i="21"/>
  <c r="J121"/>
  <c r="L120"/>
  <c r="J120"/>
  <c r="L113"/>
  <c r="J113"/>
  <c r="L112"/>
  <c r="J112"/>
  <c r="L71"/>
  <c r="J71"/>
  <c r="L70"/>
  <c r="J70"/>
  <c r="E253" i="24"/>
  <c r="B82" i="4"/>
  <c r="B253" i="24"/>
  <c r="E242"/>
  <c r="B263" l="1"/>
  <c r="B236"/>
  <c r="B248"/>
  <c r="B258"/>
  <c r="B268"/>
  <c r="E248"/>
  <c r="C258"/>
  <c r="E268"/>
  <c r="D258"/>
  <c r="C248"/>
  <c r="C268"/>
  <c r="C294" i="7"/>
  <c r="C402" s="1"/>
  <c r="S294"/>
  <c r="S402" s="1"/>
  <c r="AI294"/>
  <c r="AI402" s="1"/>
  <c r="C306"/>
  <c r="C591" s="1"/>
  <c r="S306"/>
  <c r="S591" s="1"/>
  <c r="AI306"/>
  <c r="AI591" s="1"/>
  <c r="K308"/>
  <c r="K593" s="1"/>
  <c r="AA308"/>
  <c r="AA593" s="1"/>
  <c r="C310"/>
  <c r="C595" s="1"/>
  <c r="S310"/>
  <c r="S595" s="1"/>
  <c r="AI310"/>
  <c r="AI595" s="1"/>
  <c r="K297"/>
  <c r="K403" s="1"/>
  <c r="AA297"/>
  <c r="AA403" s="1"/>
  <c r="C307"/>
  <c r="C592" s="1"/>
  <c r="S307"/>
  <c r="S592" s="1"/>
  <c r="AI307"/>
  <c r="AI592" s="1"/>
  <c r="K309"/>
  <c r="K594" s="1"/>
  <c r="AA309"/>
  <c r="AA594" s="1"/>
  <c r="C311"/>
  <c r="C596" s="1"/>
  <c r="S311"/>
  <c r="S596" s="1"/>
  <c r="AI311"/>
  <c r="AI596" s="1"/>
  <c r="I297"/>
  <c r="I403" s="1"/>
  <c r="Y297"/>
  <c r="Y403" s="1"/>
  <c r="Q307"/>
  <c r="Q592" s="1"/>
  <c r="AG307"/>
  <c r="AG592" s="1"/>
  <c r="I309"/>
  <c r="I594" s="1"/>
  <c r="Y309"/>
  <c r="Y594" s="1"/>
  <c r="Q311"/>
  <c r="Q596" s="1"/>
  <c r="AG311"/>
  <c r="AG596" s="1"/>
  <c r="I294"/>
  <c r="I402" s="1"/>
  <c r="Y294"/>
  <c r="Y402" s="1"/>
  <c r="I306"/>
  <c r="I591" s="1"/>
  <c r="Y306"/>
  <c r="Y591" s="1"/>
  <c r="Q308"/>
  <c r="Q593" s="1"/>
  <c r="AG308"/>
  <c r="AG593" s="1"/>
  <c r="I310"/>
  <c r="I595" s="1"/>
  <c r="Y310"/>
  <c r="Y595" s="1"/>
  <c r="P294"/>
  <c r="P402" s="1"/>
  <c r="AF294"/>
  <c r="AF402" s="1"/>
  <c r="D297"/>
  <c r="D403" s="1"/>
  <c r="T297"/>
  <c r="T403" s="1"/>
  <c r="AJ297"/>
  <c r="AJ403" s="1"/>
  <c r="P306"/>
  <c r="P591" s="1"/>
  <c r="AF306"/>
  <c r="AF591" s="1"/>
  <c r="L307"/>
  <c r="L592" s="1"/>
  <c r="AB307"/>
  <c r="AB592" s="1"/>
  <c r="H308"/>
  <c r="H593" s="1"/>
  <c r="X308"/>
  <c r="X593" s="1"/>
  <c r="D309"/>
  <c r="D594" s="1"/>
  <c r="T309"/>
  <c r="T594" s="1"/>
  <c r="AJ309"/>
  <c r="AJ594" s="1"/>
  <c r="P310"/>
  <c r="P595" s="1"/>
  <c r="AF310"/>
  <c r="AF595" s="1"/>
  <c r="L311"/>
  <c r="L596" s="1"/>
  <c r="AB311"/>
  <c r="AB596" s="1"/>
  <c r="L294"/>
  <c r="L402" s="1"/>
  <c r="AB294"/>
  <c r="AB402" s="1"/>
  <c r="P297"/>
  <c r="P403" s="1"/>
  <c r="AF297"/>
  <c r="AF403" s="1"/>
  <c r="L306"/>
  <c r="L591" s="1"/>
  <c r="AB306"/>
  <c r="AB591" s="1"/>
  <c r="H307"/>
  <c r="H592" s="1"/>
  <c r="X307"/>
  <c r="X592" s="1"/>
  <c r="D308"/>
  <c r="D593" s="1"/>
  <c r="T308"/>
  <c r="T593" s="1"/>
  <c r="AJ308"/>
  <c r="AJ593" s="1"/>
  <c r="P309"/>
  <c r="P594" s="1"/>
  <c r="AF309"/>
  <c r="AF594" s="1"/>
  <c r="L310"/>
  <c r="L595" s="1"/>
  <c r="AB310"/>
  <c r="AB595" s="1"/>
  <c r="H311"/>
  <c r="H596" s="1"/>
  <c r="X311"/>
  <c r="X596" s="1"/>
  <c r="K294"/>
  <c r="K402" s="1"/>
  <c r="AA294"/>
  <c r="AA402" s="1"/>
  <c r="K306"/>
  <c r="K591" s="1"/>
  <c r="AA306"/>
  <c r="AA591" s="1"/>
  <c r="C308"/>
  <c r="C593" s="1"/>
  <c r="S308"/>
  <c r="S593" s="1"/>
  <c r="AI308"/>
  <c r="AI593" s="1"/>
  <c r="K310"/>
  <c r="K595" s="1"/>
  <c r="AA310"/>
  <c r="AA595" s="1"/>
  <c r="C297"/>
  <c r="C403" s="1"/>
  <c r="S297"/>
  <c r="S403" s="1"/>
  <c r="AI297"/>
  <c r="AI403" s="1"/>
  <c r="K307"/>
  <c r="K592" s="1"/>
  <c r="AA307"/>
  <c r="AA592" s="1"/>
  <c r="Q297"/>
  <c r="Q403" s="1"/>
  <c r="AG297"/>
  <c r="AG403" s="1"/>
  <c r="I307"/>
  <c r="I592" s="1"/>
  <c r="Y307"/>
  <c r="Y592" s="1"/>
  <c r="Q309"/>
  <c r="Q594" s="1"/>
  <c r="AG309"/>
  <c r="AG594" s="1"/>
  <c r="I311"/>
  <c r="I596" s="1"/>
  <c r="Y311"/>
  <c r="Y596" s="1"/>
  <c r="Q294"/>
  <c r="Q402" s="1"/>
  <c r="AG294"/>
  <c r="AG402" s="1"/>
  <c r="I421" s="1"/>
  <c r="Q306"/>
  <c r="Q591" s="1"/>
  <c r="AG306"/>
  <c r="AG591" s="1"/>
  <c r="H294"/>
  <c r="H402" s="1"/>
  <c r="X294"/>
  <c r="X402" s="1"/>
  <c r="L297"/>
  <c r="L403" s="1"/>
  <c r="AB297"/>
  <c r="AB403" s="1"/>
  <c r="H306"/>
  <c r="H591" s="1"/>
  <c r="X306"/>
  <c r="X591" s="1"/>
  <c r="D307"/>
  <c r="D592" s="1"/>
  <c r="T307"/>
  <c r="T592" s="1"/>
  <c r="AJ307"/>
  <c r="AJ592" s="1"/>
  <c r="P308"/>
  <c r="P593" s="1"/>
  <c r="AF308"/>
  <c r="AF593" s="1"/>
  <c r="L309"/>
  <c r="L594" s="1"/>
  <c r="AB309"/>
  <c r="AB594" s="1"/>
  <c r="H310"/>
  <c r="H595" s="1"/>
  <c r="X310"/>
  <c r="X595" s="1"/>
  <c r="D311"/>
  <c r="D596" s="1"/>
  <c r="T311"/>
  <c r="T596" s="1"/>
  <c r="AJ311"/>
  <c r="AJ596" s="1"/>
  <c r="D294"/>
  <c r="D402" s="1"/>
  <c r="T294"/>
  <c r="T402" s="1"/>
  <c r="AJ294"/>
  <c r="AJ402" s="1"/>
  <c r="H297"/>
  <c r="H403" s="1"/>
  <c r="C422" s="1"/>
  <c r="X297"/>
  <c r="X403" s="1"/>
  <c r="D306"/>
  <c r="D591" s="1"/>
  <c r="T306"/>
  <c r="T591" s="1"/>
  <c r="AJ306"/>
  <c r="AJ591" s="1"/>
  <c r="P307"/>
  <c r="P592" s="1"/>
  <c r="AF307"/>
  <c r="AF592" s="1"/>
  <c r="D816"/>
  <c r="I831" s="1"/>
  <c r="F798"/>
  <c r="B816" s="1"/>
  <c r="G831" s="1"/>
  <c r="D818"/>
  <c r="Q831" s="1"/>
  <c r="F800"/>
  <c r="B818" s="1"/>
  <c r="O831" s="1"/>
  <c r="D820"/>
  <c r="Y831" s="1"/>
  <c r="F802"/>
  <c r="B820" s="1"/>
  <c r="W831" s="1"/>
  <c r="D822"/>
  <c r="AG831" s="1"/>
  <c r="F804"/>
  <c r="B822" s="1"/>
  <c r="AE831" s="1"/>
  <c r="E209" i="3"/>
  <c r="E251" s="1"/>
  <c r="E293" s="1"/>
  <c r="E207"/>
  <c r="E249" s="1"/>
  <c r="E291" s="1"/>
  <c r="E205"/>
  <c r="E247" s="1"/>
  <c r="E289" s="1"/>
  <c r="E203"/>
  <c r="E245" s="1"/>
  <c r="E287" s="1"/>
  <c r="E201"/>
  <c r="E243" s="1"/>
  <c r="E285" s="1"/>
  <c r="E199"/>
  <c r="E241" s="1"/>
  <c r="E283" s="1"/>
  <c r="E197"/>
  <c r="E239" s="1"/>
  <c r="E281" s="1"/>
  <c r="E195"/>
  <c r="E237" s="1"/>
  <c r="E279" s="1"/>
  <c r="E193"/>
  <c r="E235" s="1"/>
  <c r="E277" s="1"/>
  <c r="E191"/>
  <c r="E233" s="1"/>
  <c r="E275" s="1"/>
  <c r="E189"/>
  <c r="E231" s="1"/>
  <c r="E273" s="1"/>
  <c r="E187"/>
  <c r="E229" s="1"/>
  <c r="E271" s="1"/>
  <c r="E185"/>
  <c r="E227" s="1"/>
  <c r="E269" s="1"/>
  <c r="E183"/>
  <c r="E225" s="1"/>
  <c r="E267" s="1"/>
  <c r="E181"/>
  <c r="E223" s="1"/>
  <c r="E265" s="1"/>
  <c r="E179"/>
  <c r="E221" s="1"/>
  <c r="E263" s="1"/>
  <c r="E177"/>
  <c r="E219" s="1"/>
  <c r="E261" s="1"/>
  <c r="E208"/>
  <c r="E250" s="1"/>
  <c r="E292" s="1"/>
  <c r="E206"/>
  <c r="E248" s="1"/>
  <c r="E290" s="1"/>
  <c r="E204"/>
  <c r="E246" s="1"/>
  <c r="E288" s="1"/>
  <c r="E202"/>
  <c r="E244" s="1"/>
  <c r="E286" s="1"/>
  <c r="E200"/>
  <c r="E242" s="1"/>
  <c r="E284" s="1"/>
  <c r="E198"/>
  <c r="E240" s="1"/>
  <c r="E282" s="1"/>
  <c r="E196"/>
  <c r="E238" s="1"/>
  <c r="E280" s="1"/>
  <c r="E194"/>
  <c r="E236" s="1"/>
  <c r="E278" s="1"/>
  <c r="E192"/>
  <c r="E234" s="1"/>
  <c r="E276" s="1"/>
  <c r="E190"/>
  <c r="E232" s="1"/>
  <c r="E274" s="1"/>
  <c r="E188"/>
  <c r="E230" s="1"/>
  <c r="E272" s="1"/>
  <c r="E186"/>
  <c r="E228" s="1"/>
  <c r="E270" s="1"/>
  <c r="E184"/>
  <c r="E226" s="1"/>
  <c r="E268" s="1"/>
  <c r="E182"/>
  <c r="E224" s="1"/>
  <c r="E266" s="1"/>
  <c r="E180"/>
  <c r="E222" s="1"/>
  <c r="E264" s="1"/>
  <c r="E178"/>
  <c r="E220" s="1"/>
  <c r="E262" s="1"/>
  <c r="D421" i="7"/>
  <c r="E422"/>
  <c r="I422"/>
  <c r="B421"/>
  <c r="J421"/>
  <c r="G422"/>
  <c r="B662"/>
  <c r="B946" s="1"/>
  <c r="B643"/>
  <c r="B926" s="1"/>
  <c r="B619"/>
  <c r="B901" s="1"/>
  <c r="F662"/>
  <c r="F946" s="1"/>
  <c r="F643"/>
  <c r="F926" s="1"/>
  <c r="F619"/>
  <c r="F901" s="1"/>
  <c r="J662"/>
  <c r="J946" s="1"/>
  <c r="J643"/>
  <c r="J926" s="1"/>
  <c r="J619"/>
  <c r="J901" s="1"/>
  <c r="E663"/>
  <c r="E947" s="1"/>
  <c r="E644"/>
  <c r="E927" s="1"/>
  <c r="E620"/>
  <c r="E902" s="1"/>
  <c r="I663"/>
  <c r="I947" s="1"/>
  <c r="I644"/>
  <c r="I927" s="1"/>
  <c r="I620"/>
  <c r="I902" s="1"/>
  <c r="D664"/>
  <c r="D948" s="1"/>
  <c r="D645"/>
  <c r="D928" s="1"/>
  <c r="D621"/>
  <c r="D903" s="1"/>
  <c r="H664"/>
  <c r="H948" s="1"/>
  <c r="H645"/>
  <c r="H928" s="1"/>
  <c r="H621"/>
  <c r="H903" s="1"/>
  <c r="C665"/>
  <c r="C949" s="1"/>
  <c r="C646"/>
  <c r="C929" s="1"/>
  <c r="C622"/>
  <c r="C904" s="1"/>
  <c r="G665"/>
  <c r="G949" s="1"/>
  <c r="G646"/>
  <c r="G929" s="1"/>
  <c r="G622"/>
  <c r="G904" s="1"/>
  <c r="B666"/>
  <c r="B950" s="1"/>
  <c r="B647"/>
  <c r="B930" s="1"/>
  <c r="B623"/>
  <c r="B905" s="1"/>
  <c r="F666"/>
  <c r="F950" s="1"/>
  <c r="F647"/>
  <c r="F930" s="1"/>
  <c r="F623"/>
  <c r="F905" s="1"/>
  <c r="J666"/>
  <c r="J950" s="1"/>
  <c r="J647"/>
  <c r="J930" s="1"/>
  <c r="J623"/>
  <c r="J905" s="1"/>
  <c r="E667"/>
  <c r="E951" s="1"/>
  <c r="E648"/>
  <c r="E931" s="1"/>
  <c r="E624"/>
  <c r="E906" s="1"/>
  <c r="I667"/>
  <c r="I951" s="1"/>
  <c r="I648"/>
  <c r="I931" s="1"/>
  <c r="I624"/>
  <c r="I906" s="1"/>
  <c r="G421"/>
  <c r="D422"/>
  <c r="H422"/>
  <c r="C643"/>
  <c r="C926" s="1"/>
  <c r="C619"/>
  <c r="C901" s="1"/>
  <c r="C662"/>
  <c r="C946" s="1"/>
  <c r="G643"/>
  <c r="G926" s="1"/>
  <c r="G619"/>
  <c r="G901" s="1"/>
  <c r="G662"/>
  <c r="G946" s="1"/>
  <c r="B644"/>
  <c r="B927" s="1"/>
  <c r="B620"/>
  <c r="B902" s="1"/>
  <c r="B663"/>
  <c r="B947" s="1"/>
  <c r="F644"/>
  <c r="F927" s="1"/>
  <c r="F620"/>
  <c r="F902" s="1"/>
  <c r="F663"/>
  <c r="F947" s="1"/>
  <c r="J644"/>
  <c r="J927" s="1"/>
  <c r="J620"/>
  <c r="J902" s="1"/>
  <c r="J663"/>
  <c r="J947" s="1"/>
  <c r="E645"/>
  <c r="E928" s="1"/>
  <c r="E621"/>
  <c r="E903" s="1"/>
  <c r="E664"/>
  <c r="E948" s="1"/>
  <c r="I645"/>
  <c r="I928" s="1"/>
  <c r="I621"/>
  <c r="I903" s="1"/>
  <c r="I664"/>
  <c r="I948" s="1"/>
  <c r="D646"/>
  <c r="D929" s="1"/>
  <c r="D622"/>
  <c r="D904" s="1"/>
  <c r="D665"/>
  <c r="D949" s="1"/>
  <c r="H646"/>
  <c r="H929" s="1"/>
  <c r="H622"/>
  <c r="H904" s="1"/>
  <c r="H665"/>
  <c r="H949" s="1"/>
  <c r="C647"/>
  <c r="C930" s="1"/>
  <c r="C623"/>
  <c r="C905" s="1"/>
  <c r="C666"/>
  <c r="C950" s="1"/>
  <c r="G647"/>
  <c r="G930" s="1"/>
  <c r="G623"/>
  <c r="G905" s="1"/>
  <c r="G666"/>
  <c r="G950" s="1"/>
  <c r="B648"/>
  <c r="B931" s="1"/>
  <c r="B624"/>
  <c r="B906" s="1"/>
  <c r="B667"/>
  <c r="B951" s="1"/>
  <c r="F648"/>
  <c r="F931" s="1"/>
  <c r="F624"/>
  <c r="F906" s="1"/>
  <c r="F667"/>
  <c r="F951" s="1"/>
  <c r="J648"/>
  <c r="J931" s="1"/>
  <c r="J624"/>
  <c r="J906" s="1"/>
  <c r="J667"/>
  <c r="J951" s="1"/>
  <c r="C236" i="24"/>
  <c r="G236"/>
  <c r="D236"/>
  <c r="F236"/>
  <c r="H236"/>
  <c r="C235"/>
  <c r="G235"/>
  <c r="D235"/>
  <c r="F235"/>
  <c r="H235"/>
  <c r="G248"/>
  <c r="F248"/>
  <c r="H248"/>
  <c r="C263"/>
  <c r="F263"/>
  <c r="G263"/>
  <c r="D263"/>
  <c r="H263"/>
  <c r="G268"/>
  <c r="F268"/>
  <c r="H268"/>
  <c r="D815" i="7"/>
  <c r="E831" s="1"/>
  <c r="F797"/>
  <c r="B815" s="1"/>
  <c r="C831" s="1"/>
  <c r="D817"/>
  <c r="M831" s="1"/>
  <c r="F799"/>
  <c r="B817" s="1"/>
  <c r="K831" s="1"/>
  <c r="D819"/>
  <c r="U831" s="1"/>
  <c r="F801"/>
  <c r="B819" s="1"/>
  <c r="S831" s="1"/>
  <c r="D821"/>
  <c r="AC831" s="1"/>
  <c r="F803"/>
  <c r="B821" s="1"/>
  <c r="AA831" s="1"/>
  <c r="D823"/>
  <c r="AK831" s="1"/>
  <c r="F805"/>
  <c r="B823" s="1"/>
  <c r="AI831" s="1"/>
  <c r="D208" i="3"/>
  <c r="D250" s="1"/>
  <c r="D292" s="1"/>
  <c r="D206"/>
  <c r="D248" s="1"/>
  <c r="D290" s="1"/>
  <c r="D204"/>
  <c r="D246" s="1"/>
  <c r="D288" s="1"/>
  <c r="D202"/>
  <c r="D244" s="1"/>
  <c r="D286" s="1"/>
  <c r="D200"/>
  <c r="D242" s="1"/>
  <c r="D284" s="1"/>
  <c r="D198"/>
  <c r="D240" s="1"/>
  <c r="D282" s="1"/>
  <c r="D196"/>
  <c r="D238" s="1"/>
  <c r="D280" s="1"/>
  <c r="D194"/>
  <c r="D236" s="1"/>
  <c r="D278" s="1"/>
  <c r="D192"/>
  <c r="D234" s="1"/>
  <c r="D276" s="1"/>
  <c r="D190"/>
  <c r="D232" s="1"/>
  <c r="D274" s="1"/>
  <c r="D188"/>
  <c r="D230" s="1"/>
  <c r="D272" s="1"/>
  <c r="D186"/>
  <c r="D228" s="1"/>
  <c r="D270" s="1"/>
  <c r="D184"/>
  <c r="D226" s="1"/>
  <c r="D268" s="1"/>
  <c r="D182"/>
  <c r="D224" s="1"/>
  <c r="D266" s="1"/>
  <c r="D180"/>
  <c r="D222" s="1"/>
  <c r="D264" s="1"/>
  <c r="D178"/>
  <c r="D220" s="1"/>
  <c r="D262" s="1"/>
  <c r="D209"/>
  <c r="D251" s="1"/>
  <c r="D293" s="1"/>
  <c r="D207"/>
  <c r="D249" s="1"/>
  <c r="D291" s="1"/>
  <c r="D205"/>
  <c r="D247" s="1"/>
  <c r="D289" s="1"/>
  <c r="D203"/>
  <c r="D245" s="1"/>
  <c r="D287" s="1"/>
  <c r="D201"/>
  <c r="D243" s="1"/>
  <c r="D285" s="1"/>
  <c r="D199"/>
  <c r="D241" s="1"/>
  <c r="D283" s="1"/>
  <c r="D197"/>
  <c r="D239" s="1"/>
  <c r="D281" s="1"/>
  <c r="D195"/>
  <c r="D237" s="1"/>
  <c r="D279" s="1"/>
  <c r="D193"/>
  <c r="D235" s="1"/>
  <c r="D277" s="1"/>
  <c r="D191"/>
  <c r="D233" s="1"/>
  <c r="D275" s="1"/>
  <c r="D189"/>
  <c r="D231" s="1"/>
  <c r="D273" s="1"/>
  <c r="D187"/>
  <c r="D229" s="1"/>
  <c r="D271" s="1"/>
  <c r="D185"/>
  <c r="D227" s="1"/>
  <c r="D269" s="1"/>
  <c r="D183"/>
  <c r="D225" s="1"/>
  <c r="D267" s="1"/>
  <c r="D181"/>
  <c r="D223" s="1"/>
  <c r="D265" s="1"/>
  <c r="D179"/>
  <c r="D221" s="1"/>
  <c r="D263" s="1"/>
  <c r="D177"/>
  <c r="D219" s="1"/>
  <c r="D261" s="1"/>
  <c r="D662" i="7"/>
  <c r="D946" s="1"/>
  <c r="D643"/>
  <c r="D926" s="1"/>
  <c r="D619"/>
  <c r="D901" s="1"/>
  <c r="H662"/>
  <c r="H946" s="1"/>
  <c r="H643"/>
  <c r="H926" s="1"/>
  <c r="H619"/>
  <c r="H901" s="1"/>
  <c r="C663"/>
  <c r="C947" s="1"/>
  <c r="C644"/>
  <c r="C927" s="1"/>
  <c r="C620"/>
  <c r="C902" s="1"/>
  <c r="G663"/>
  <c r="G947" s="1"/>
  <c r="G644"/>
  <c r="G927" s="1"/>
  <c r="G620"/>
  <c r="G902" s="1"/>
  <c r="B664"/>
  <c r="B948" s="1"/>
  <c r="B645"/>
  <c r="B928" s="1"/>
  <c r="B621"/>
  <c r="B903" s="1"/>
  <c r="F664"/>
  <c r="F948" s="1"/>
  <c r="F645"/>
  <c r="F928" s="1"/>
  <c r="F621"/>
  <c r="F903" s="1"/>
  <c r="J664"/>
  <c r="J948" s="1"/>
  <c r="J645"/>
  <c r="J928" s="1"/>
  <c r="J621"/>
  <c r="J903" s="1"/>
  <c r="E665"/>
  <c r="E949" s="1"/>
  <c r="E646"/>
  <c r="E929" s="1"/>
  <c r="E622"/>
  <c r="E904" s="1"/>
  <c r="I665"/>
  <c r="I949" s="1"/>
  <c r="I646"/>
  <c r="I929" s="1"/>
  <c r="I622"/>
  <c r="I904" s="1"/>
  <c r="D666"/>
  <c r="D950" s="1"/>
  <c r="D647"/>
  <c r="D930" s="1"/>
  <c r="D623"/>
  <c r="D905" s="1"/>
  <c r="H666"/>
  <c r="H950" s="1"/>
  <c r="H647"/>
  <c r="H930" s="1"/>
  <c r="H623"/>
  <c r="H905" s="1"/>
  <c r="C667"/>
  <c r="C951" s="1"/>
  <c r="C648"/>
  <c r="C931" s="1"/>
  <c r="C624"/>
  <c r="C906" s="1"/>
  <c r="G667"/>
  <c r="G951" s="1"/>
  <c r="G648"/>
  <c r="G931" s="1"/>
  <c r="G624"/>
  <c r="G906" s="1"/>
  <c r="E421"/>
  <c r="B422"/>
  <c r="F422"/>
  <c r="J422"/>
  <c r="E643"/>
  <c r="E926" s="1"/>
  <c r="E619"/>
  <c r="E901" s="1"/>
  <c r="E662"/>
  <c r="E946" s="1"/>
  <c r="I643"/>
  <c r="I926" s="1"/>
  <c r="I619"/>
  <c r="I901" s="1"/>
  <c r="I662"/>
  <c r="I946" s="1"/>
  <c r="D644"/>
  <c r="D927" s="1"/>
  <c r="D620"/>
  <c r="D902" s="1"/>
  <c r="D663"/>
  <c r="D947" s="1"/>
  <c r="H644"/>
  <c r="H927" s="1"/>
  <c r="H620"/>
  <c r="H902" s="1"/>
  <c r="H663"/>
  <c r="H947" s="1"/>
  <c r="C645"/>
  <c r="C928" s="1"/>
  <c r="C621"/>
  <c r="C903" s="1"/>
  <c r="C664"/>
  <c r="C948" s="1"/>
  <c r="G645"/>
  <c r="G928" s="1"/>
  <c r="G621"/>
  <c r="G903" s="1"/>
  <c r="G664"/>
  <c r="G948" s="1"/>
  <c r="B646"/>
  <c r="B929" s="1"/>
  <c r="B622"/>
  <c r="B904" s="1"/>
  <c r="B665"/>
  <c r="B949" s="1"/>
  <c r="F646"/>
  <c r="F929" s="1"/>
  <c r="F622"/>
  <c r="F904" s="1"/>
  <c r="F665"/>
  <c r="F949" s="1"/>
  <c r="J646"/>
  <c r="J929" s="1"/>
  <c r="J622"/>
  <c r="J904" s="1"/>
  <c r="J665"/>
  <c r="J949" s="1"/>
  <c r="E647"/>
  <c r="E930" s="1"/>
  <c r="E623"/>
  <c r="E905" s="1"/>
  <c r="E666"/>
  <c r="E950" s="1"/>
  <c r="I647"/>
  <c r="I930" s="1"/>
  <c r="I623"/>
  <c r="I905" s="1"/>
  <c r="I666"/>
  <c r="I950" s="1"/>
  <c r="D648"/>
  <c r="D931" s="1"/>
  <c r="D624"/>
  <c r="D906" s="1"/>
  <c r="D667"/>
  <c r="D951" s="1"/>
  <c r="H648"/>
  <c r="H931" s="1"/>
  <c r="H624"/>
  <c r="H906" s="1"/>
  <c r="H667"/>
  <c r="H951" s="1"/>
  <c r="F208" i="3"/>
  <c r="F250" s="1"/>
  <c r="F292" s="1"/>
  <c r="F206"/>
  <c r="F248" s="1"/>
  <c r="F290" s="1"/>
  <c r="F204"/>
  <c r="F246" s="1"/>
  <c r="F288" s="1"/>
  <c r="F202"/>
  <c r="F244" s="1"/>
  <c r="F286" s="1"/>
  <c r="F200"/>
  <c r="F242" s="1"/>
  <c r="F284" s="1"/>
  <c r="F198"/>
  <c r="F240" s="1"/>
  <c r="F282" s="1"/>
  <c r="F196"/>
  <c r="F238" s="1"/>
  <c r="F280" s="1"/>
  <c r="F194"/>
  <c r="F236" s="1"/>
  <c r="F278" s="1"/>
  <c r="F192"/>
  <c r="F234" s="1"/>
  <c r="F276" s="1"/>
  <c r="F190"/>
  <c r="F232" s="1"/>
  <c r="F274" s="1"/>
  <c r="F188"/>
  <c r="F230" s="1"/>
  <c r="F272" s="1"/>
  <c r="F186"/>
  <c r="F228" s="1"/>
  <c r="F270" s="1"/>
  <c r="F184"/>
  <c r="F226" s="1"/>
  <c r="F268" s="1"/>
  <c r="F182"/>
  <c r="F224" s="1"/>
  <c r="F266" s="1"/>
  <c r="F180"/>
  <c r="F222" s="1"/>
  <c r="F264" s="1"/>
  <c r="F178"/>
  <c r="F220" s="1"/>
  <c r="F262" s="1"/>
  <c r="F209"/>
  <c r="F251" s="1"/>
  <c r="F293" s="1"/>
  <c r="F207"/>
  <c r="F249" s="1"/>
  <c r="F291" s="1"/>
  <c r="F205"/>
  <c r="F247" s="1"/>
  <c r="F289" s="1"/>
  <c r="F203"/>
  <c r="F245" s="1"/>
  <c r="F287" s="1"/>
  <c r="F201"/>
  <c r="F243" s="1"/>
  <c r="F285" s="1"/>
  <c r="F199"/>
  <c r="F241" s="1"/>
  <c r="F283" s="1"/>
  <c r="F197"/>
  <c r="F239" s="1"/>
  <c r="F281" s="1"/>
  <c r="F195"/>
  <c r="F237" s="1"/>
  <c r="F279" s="1"/>
  <c r="F193"/>
  <c r="F235" s="1"/>
  <c r="F277" s="1"/>
  <c r="F191"/>
  <c r="F233" s="1"/>
  <c r="F275" s="1"/>
  <c r="F189"/>
  <c r="F231" s="1"/>
  <c r="F273" s="1"/>
  <c r="F187"/>
  <c r="F229" s="1"/>
  <c r="F271" s="1"/>
  <c r="F185"/>
  <c r="F227" s="1"/>
  <c r="F269" s="1"/>
  <c r="F183"/>
  <c r="F225" s="1"/>
  <c r="F267" s="1"/>
  <c r="F181"/>
  <c r="F223" s="1"/>
  <c r="F265" s="1"/>
  <c r="F179"/>
  <c r="F221" s="1"/>
  <c r="F263" s="1"/>
  <c r="F177"/>
  <c r="F219" s="1"/>
  <c r="F261" s="1"/>
  <c r="C52" i="4"/>
  <c r="D51"/>
  <c r="G253" i="24"/>
  <c r="D253"/>
  <c r="H253"/>
  <c r="C253"/>
  <c r="F253"/>
  <c r="H258"/>
  <c r="G258"/>
  <c r="F258"/>
  <c r="C242"/>
  <c r="F242"/>
  <c r="G242"/>
  <c r="D242"/>
  <c r="H242"/>
  <c r="H421" i="7" l="1"/>
  <c r="C421"/>
  <c r="F421"/>
  <c r="B140" i="12"/>
  <c r="B131" i="16" s="1"/>
  <c r="B117" i="12"/>
  <c r="B87" i="16" s="1"/>
  <c r="B116" i="12"/>
  <c r="B86" i="16" s="1"/>
  <c r="B142" i="12"/>
  <c r="B135" i="16" s="1"/>
  <c r="B119" i="12"/>
  <c r="B91" i="16" s="1"/>
  <c r="B87" i="12"/>
  <c r="B39" i="16" s="1"/>
  <c r="B118" i="12"/>
  <c r="B90" i="16" s="1"/>
  <c r="B86" i="12"/>
  <c r="B38" i="16" s="1"/>
  <c r="B137" i="12"/>
  <c r="B126" i="16" s="1"/>
  <c r="C53" i="4"/>
  <c r="D52"/>
  <c r="B83"/>
  <c r="B89" i="12"/>
  <c r="B43" i="16" s="1"/>
  <c r="B88" i="12"/>
  <c r="B42" i="16" s="1"/>
  <c r="B139" i="12"/>
  <c r="B130" i="16" s="1"/>
  <c r="B91" i="12"/>
  <c r="B47" i="16" s="1"/>
  <c r="B138" i="12"/>
  <c r="B127" i="16" s="1"/>
  <c r="B115" i="12"/>
  <c r="B83" i="16" s="1"/>
  <c r="B90" i="12"/>
  <c r="B46" i="16" s="1"/>
  <c r="B141" i="12"/>
  <c r="B134" i="16" s="1"/>
  <c r="B114" i="12"/>
  <c r="B82" i="16" s="1"/>
  <c r="C54" i="4" l="1"/>
  <c r="D53"/>
  <c r="B84"/>
  <c r="D54" l="1"/>
  <c r="B192" i="9" s="1"/>
  <c r="H203" s="1"/>
  <c r="C55" i="4"/>
  <c r="B86" s="1"/>
  <c r="B85"/>
  <c r="B115" l="1"/>
  <c r="B132" s="1"/>
  <c r="E11" i="12" s="1"/>
  <c r="B117" i="4"/>
  <c r="B134" s="1"/>
  <c r="G11" i="12" s="1"/>
  <c r="B113" i="4"/>
  <c r="B189" i="9"/>
  <c r="E203" s="1"/>
  <c r="B118" i="4"/>
  <c r="B135" s="1"/>
  <c r="H11" i="12" s="1"/>
  <c r="B120" i="4"/>
  <c r="B137" s="1"/>
  <c r="J11" i="12" s="1"/>
  <c r="B190" i="9"/>
  <c r="F203" s="1"/>
  <c r="B191"/>
  <c r="G203" s="1"/>
  <c r="B187"/>
  <c r="C203" s="1"/>
  <c r="B119" i="4"/>
  <c r="B136" s="1"/>
  <c r="I11" i="12" s="1"/>
  <c r="B188" i="9"/>
  <c r="D203" s="1"/>
  <c r="B193"/>
  <c r="I203" s="1"/>
  <c r="B194"/>
  <c r="B116" i="4"/>
  <c r="B133" s="1"/>
  <c r="F11" i="12" s="1"/>
  <c r="B114" i="4"/>
  <c r="B186" i="9"/>
  <c r="B203" s="1"/>
  <c r="B11" i="13" s="1"/>
  <c r="B29" s="1"/>
  <c r="B131" i="4"/>
  <c r="D11" i="12" s="1"/>
  <c r="F20" i="10"/>
  <c r="G68" s="1"/>
  <c r="B130" i="4"/>
  <c r="C11" i="12" s="1"/>
  <c r="B40" i="13" l="1"/>
  <c r="B142"/>
  <c r="B157"/>
  <c r="B38"/>
  <c r="B200" i="16" s="1"/>
  <c r="B151" i="13"/>
  <c r="B41"/>
  <c r="B39"/>
  <c r="B158"/>
  <c r="B27"/>
  <c r="B152"/>
  <c r="B34"/>
  <c r="B159"/>
  <c r="B143"/>
  <c r="B31"/>
  <c r="B145"/>
  <c r="B154"/>
  <c r="B239" i="16" s="1"/>
  <c r="B160" i="13"/>
  <c r="B149"/>
  <c r="B30"/>
  <c r="B32"/>
  <c r="B25"/>
  <c r="B43"/>
  <c r="B37"/>
  <c r="B199" i="16" s="1"/>
  <c r="B146" i="13"/>
  <c r="B147"/>
  <c r="B35"/>
  <c r="B153"/>
  <c r="B238" i="16" s="1"/>
  <c r="B150" i="13"/>
  <c r="B155"/>
  <c r="B240" i="16" s="1"/>
  <c r="B156" i="13"/>
  <c r="B144"/>
  <c r="B28"/>
  <c r="B33"/>
  <c r="B42"/>
  <c r="B26"/>
  <c r="B148"/>
  <c r="B36"/>
  <c r="B198" i="16" s="1"/>
  <c r="E90" i="12"/>
  <c r="E46" i="16" s="1"/>
  <c r="E67" i="15"/>
  <c r="E82" s="1"/>
  <c r="F1021" i="22" s="1"/>
  <c r="E63" i="15"/>
  <c r="E78" s="1"/>
  <c r="F765" i="22" s="1"/>
  <c r="E53" i="12"/>
  <c r="E45" i="16" s="1"/>
  <c r="E49" i="12"/>
  <c r="B861" i="22" s="1"/>
  <c r="E45" i="12"/>
  <c r="B733" i="22" s="1"/>
  <c r="E41" i="12"/>
  <c r="E70" i="13" s="1"/>
  <c r="E37" i="12"/>
  <c r="E66" i="13" s="1"/>
  <c r="E33" i="12"/>
  <c r="E62" i="13" s="1"/>
  <c r="E29" i="12"/>
  <c r="E58" i="13" s="1"/>
  <c r="E25" i="12"/>
  <c r="E54" i="13" s="1"/>
  <c r="E139" i="12"/>
  <c r="D893" i="22" s="1"/>
  <c r="E118" i="12"/>
  <c r="E90" i="16" s="1"/>
  <c r="E119" i="12"/>
  <c r="E91" i="16" s="1"/>
  <c r="E89" i="12"/>
  <c r="B925" i="22" s="1"/>
  <c r="E11" i="13"/>
  <c r="E147" s="1"/>
  <c r="E64" i="15"/>
  <c r="E79" s="1"/>
  <c r="D829" i="22" s="1"/>
  <c r="E54" i="12"/>
  <c r="E50"/>
  <c r="E46"/>
  <c r="E42"/>
  <c r="B637" i="22" s="1"/>
  <c r="E38" i="12"/>
  <c r="E67" i="13" s="1"/>
  <c r="E34" i="12"/>
  <c r="E63" i="13" s="1"/>
  <c r="E21" i="15" s="1"/>
  <c r="E33" s="1"/>
  <c r="H391" i="22" s="1"/>
  <c r="E30" i="12"/>
  <c r="E59" i="13" s="1"/>
  <c r="E26" i="12"/>
  <c r="E55" i="13" s="1"/>
  <c r="E116" i="12"/>
  <c r="E86" i="16" s="1"/>
  <c r="E142" i="12"/>
  <c r="D1053" i="22" s="1"/>
  <c r="E86" i="12"/>
  <c r="E38" i="16" s="1"/>
  <c r="E87" i="12"/>
  <c r="B797" i="22" s="1"/>
  <c r="E137" i="12"/>
  <c r="D765" i="22" s="1"/>
  <c r="E65" i="15"/>
  <c r="E80" s="1"/>
  <c r="F893" i="22" s="1"/>
  <c r="E55" i="12"/>
  <c r="E51"/>
  <c r="E47"/>
  <c r="E43"/>
  <c r="B669" i="22" s="1"/>
  <c r="E39" i="12"/>
  <c r="E68" i="13" s="1"/>
  <c r="E35" i="12"/>
  <c r="E64" i="13" s="1"/>
  <c r="E22" i="15" s="1"/>
  <c r="E34" s="1"/>
  <c r="H423" i="22" s="1"/>
  <c r="E31" i="12"/>
  <c r="E60" i="13" s="1"/>
  <c r="E27" i="12"/>
  <c r="E56" i="13" s="1"/>
  <c r="E23" i="12"/>
  <c r="E52" i="13" s="1"/>
  <c r="E115" i="12"/>
  <c r="C797" i="22" s="1"/>
  <c r="E117" i="12"/>
  <c r="C925" i="22" s="1"/>
  <c r="E114" i="12"/>
  <c r="C765" i="22" s="1"/>
  <c r="E140" i="12"/>
  <c r="E131" i="16" s="1"/>
  <c r="E66" i="15"/>
  <c r="E81" s="1"/>
  <c r="D957" i="22" s="1"/>
  <c r="E62" i="15"/>
  <c r="E77" s="1"/>
  <c r="D701" i="22" s="1"/>
  <c r="E52" i="12"/>
  <c r="B957" i="22" s="1"/>
  <c r="E48" i="12"/>
  <c r="E40" i="16" s="1"/>
  <c r="E44" i="12"/>
  <c r="B701" i="22" s="1"/>
  <c r="E40" i="12"/>
  <c r="E69" i="13" s="1"/>
  <c r="E36" i="12"/>
  <c r="E65" i="13" s="1"/>
  <c r="E23" i="15" s="1"/>
  <c r="E35" s="1"/>
  <c r="H455" i="22" s="1"/>
  <c r="E32" i="12"/>
  <c r="E61" i="13" s="1"/>
  <c r="E28" i="12"/>
  <c r="E57" i="13" s="1"/>
  <c r="E24" i="12"/>
  <c r="E53" i="13" s="1"/>
  <c r="E91" i="12"/>
  <c r="B1053" i="22" s="1"/>
  <c r="E141" i="12"/>
  <c r="D1021" i="22" s="1"/>
  <c r="E88" i="12"/>
  <c r="E42" i="16" s="1"/>
  <c r="E138" i="12"/>
  <c r="D797" i="22" s="1"/>
  <c r="G99" i="10"/>
  <c r="B765" i="22"/>
  <c r="C893"/>
  <c r="E34" i="16"/>
  <c r="E155" i="13"/>
  <c r="E40"/>
  <c r="E152"/>
  <c r="E160"/>
  <c r="E33"/>
  <c r="E151"/>
  <c r="E145"/>
  <c r="E142"/>
  <c r="E154"/>
  <c r="E30"/>
  <c r="E157"/>
  <c r="E148"/>
  <c r="E39"/>
  <c r="E29"/>
  <c r="E143"/>
  <c r="E42"/>
  <c r="E36"/>
  <c r="E150"/>
  <c r="E41"/>
  <c r="C1053" i="22"/>
  <c r="E130" i="16"/>
  <c r="E37"/>
  <c r="E41"/>
  <c r="B989" i="22"/>
  <c r="E291" i="16"/>
  <c r="E299"/>
  <c r="B1021" i="22"/>
  <c r="C139" i="12"/>
  <c r="C115"/>
  <c r="C141"/>
  <c r="C86"/>
  <c r="C117"/>
  <c r="C11" i="13"/>
  <c r="C66" i="15"/>
  <c r="C81" s="1"/>
  <c r="C64"/>
  <c r="C79" s="1"/>
  <c r="C62"/>
  <c r="C77" s="1"/>
  <c r="C54" i="12"/>
  <c r="C52"/>
  <c r="C50"/>
  <c r="C48"/>
  <c r="C46"/>
  <c r="C44"/>
  <c r="C42"/>
  <c r="C40"/>
  <c r="C69" i="13" s="1"/>
  <c r="C38" i="12"/>
  <c r="C67" i="13" s="1"/>
  <c r="C36" i="12"/>
  <c r="C65" i="13" s="1"/>
  <c r="C23" i="15" s="1"/>
  <c r="C35" s="1"/>
  <c r="C34" i="12"/>
  <c r="C63" i="13" s="1"/>
  <c r="C21" i="15" s="1"/>
  <c r="C33" s="1"/>
  <c r="C32" i="12"/>
  <c r="C61" i="13" s="1"/>
  <c r="C30" i="12"/>
  <c r="C59" i="13" s="1"/>
  <c r="C28" i="12"/>
  <c r="C57" i="13" s="1"/>
  <c r="C26" i="12"/>
  <c r="C55" i="13" s="1"/>
  <c r="C24" i="12"/>
  <c r="C53" i="13" s="1"/>
  <c r="C119" i="12"/>
  <c r="C114"/>
  <c r="C116"/>
  <c r="C91"/>
  <c r="C142"/>
  <c r="C118"/>
  <c r="C67" i="15"/>
  <c r="C82" s="1"/>
  <c r="C65"/>
  <c r="C80" s="1"/>
  <c r="C63"/>
  <c r="C78" s="1"/>
  <c r="C55" i="12"/>
  <c r="C53"/>
  <c r="C51"/>
  <c r="C49"/>
  <c r="C47"/>
  <c r="C45"/>
  <c r="C43"/>
  <c r="C41"/>
  <c r="C70" i="13" s="1"/>
  <c r="C39" i="12"/>
  <c r="C68" i="13" s="1"/>
  <c r="C37" i="12"/>
  <c r="C66" i="13" s="1"/>
  <c r="C35" i="12"/>
  <c r="C64" i="13" s="1"/>
  <c r="C22" i="15" s="1"/>
  <c r="C34" s="1"/>
  <c r="C33" i="12"/>
  <c r="C62" i="13" s="1"/>
  <c r="C31" i="12"/>
  <c r="C60" i="13" s="1"/>
  <c r="C29" i="12"/>
  <c r="C58" i="13" s="1"/>
  <c r="C27" i="12"/>
  <c r="C56" i="13" s="1"/>
  <c r="C25" i="12"/>
  <c r="C54" i="13" s="1"/>
  <c r="C23" i="12"/>
  <c r="C52" i="13" s="1"/>
  <c r="C88" i="12"/>
  <c r="C87"/>
  <c r="C138"/>
  <c r="C90"/>
  <c r="C137"/>
  <c r="C89"/>
  <c r="C140"/>
  <c r="G88"/>
  <c r="G119"/>
  <c r="G90"/>
  <c r="G137"/>
  <c r="G11" i="13"/>
  <c r="G66" i="15"/>
  <c r="G81" s="1"/>
  <c r="G64"/>
  <c r="G79" s="1"/>
  <c r="G62"/>
  <c r="G77" s="1"/>
  <c r="G54" i="12"/>
  <c r="G52"/>
  <c r="G50"/>
  <c r="G48"/>
  <c r="G46"/>
  <c r="G44"/>
  <c r="G42"/>
  <c r="G40"/>
  <c r="G69" i="13" s="1"/>
  <c r="G38" i="12"/>
  <c r="G67" i="13" s="1"/>
  <c r="G36" i="12"/>
  <c r="G65" i="13" s="1"/>
  <c r="G23" i="15" s="1"/>
  <c r="G35" s="1"/>
  <c r="G34" i="12"/>
  <c r="G63" i="13" s="1"/>
  <c r="G21" i="15" s="1"/>
  <c r="G33" s="1"/>
  <c r="G32" i="12"/>
  <c r="G61" i="13" s="1"/>
  <c r="G30" i="12"/>
  <c r="G59" i="13" s="1"/>
  <c r="G28" i="12"/>
  <c r="G57" i="13" s="1"/>
  <c r="G26" i="12"/>
  <c r="G55" i="13" s="1"/>
  <c r="G24" i="12"/>
  <c r="G53" i="13" s="1"/>
  <c r="G116" i="12"/>
  <c r="G115"/>
  <c r="G118"/>
  <c r="G117"/>
  <c r="G87"/>
  <c r="G138"/>
  <c r="G114"/>
  <c r="G89"/>
  <c r="G140"/>
  <c r="G67" i="15"/>
  <c r="G82" s="1"/>
  <c r="G65"/>
  <c r="G80" s="1"/>
  <c r="G63"/>
  <c r="G78" s="1"/>
  <c r="G55" i="12"/>
  <c r="G53"/>
  <c r="G51"/>
  <c r="G49"/>
  <c r="G47"/>
  <c r="G45"/>
  <c r="G43"/>
  <c r="G41"/>
  <c r="G70" i="13" s="1"/>
  <c r="G39" i="12"/>
  <c r="G68" i="13" s="1"/>
  <c r="G37" i="12"/>
  <c r="G66" i="13" s="1"/>
  <c r="G35" i="12"/>
  <c r="G64" i="13" s="1"/>
  <c r="G22" i="15" s="1"/>
  <c r="G34" s="1"/>
  <c r="G33" i="12"/>
  <c r="G62" i="13" s="1"/>
  <c r="G31" i="12"/>
  <c r="G60" i="13" s="1"/>
  <c r="G29" i="12"/>
  <c r="G58" i="13" s="1"/>
  <c r="G27" i="12"/>
  <c r="G56" i="13" s="1"/>
  <c r="G25" i="12"/>
  <c r="G54" i="13" s="1"/>
  <c r="G23" i="12"/>
  <c r="G52" i="13" s="1"/>
  <c r="G139" i="12"/>
  <c r="G91"/>
  <c r="G142"/>
  <c r="G141"/>
  <c r="G86"/>
  <c r="D91"/>
  <c r="D138"/>
  <c r="D114"/>
  <c r="D140"/>
  <c r="D116"/>
  <c r="D67" i="15"/>
  <c r="D82" s="1"/>
  <c r="D65"/>
  <c r="D80" s="1"/>
  <c r="D63"/>
  <c r="D78" s="1"/>
  <c r="D11" i="13"/>
  <c r="D54" i="12"/>
  <c r="D52"/>
  <c r="D50"/>
  <c r="D48"/>
  <c r="D46"/>
  <c r="D44"/>
  <c r="D42"/>
  <c r="D40"/>
  <c r="D69" i="13" s="1"/>
  <c r="D38" i="12"/>
  <c r="D67" i="13" s="1"/>
  <c r="D36" i="12"/>
  <c r="D65" i="13" s="1"/>
  <c r="D23" i="15" s="1"/>
  <c r="D35" s="1"/>
  <c r="D34" i="12"/>
  <c r="D63" i="13" s="1"/>
  <c r="D21" i="15" s="1"/>
  <c r="D33" s="1"/>
  <c r="D32" i="12"/>
  <c r="D61" i="13" s="1"/>
  <c r="D30" i="12"/>
  <c r="D59" i="13" s="1"/>
  <c r="D28" i="12"/>
  <c r="D57" i="13" s="1"/>
  <c r="D26" i="12"/>
  <c r="D55" i="13" s="1"/>
  <c r="D24" i="12"/>
  <c r="D53" i="13" s="1"/>
  <c r="D119" i="12"/>
  <c r="D118"/>
  <c r="D115"/>
  <c r="D90"/>
  <c r="D141"/>
  <c r="D117"/>
  <c r="D66" i="15"/>
  <c r="D81" s="1"/>
  <c r="D64"/>
  <c r="D79" s="1"/>
  <c r="D62"/>
  <c r="D77" s="1"/>
  <c r="D55" i="12"/>
  <c r="D53"/>
  <c r="D51"/>
  <c r="D49"/>
  <c r="D47"/>
  <c r="D45"/>
  <c r="D43"/>
  <c r="D41"/>
  <c r="D70" i="13" s="1"/>
  <c r="D39" i="12"/>
  <c r="D68" i="13" s="1"/>
  <c r="D37" i="12"/>
  <c r="D66" i="13" s="1"/>
  <c r="D35" i="12"/>
  <c r="D64" i="13" s="1"/>
  <c r="D22" i="15" s="1"/>
  <c r="D34" s="1"/>
  <c r="D33" i="12"/>
  <c r="D62" i="13" s="1"/>
  <c r="D31" i="12"/>
  <c r="D60" i="13" s="1"/>
  <c r="D29" i="12"/>
  <c r="D58" i="13" s="1"/>
  <c r="D27" i="12"/>
  <c r="D56" i="13" s="1"/>
  <c r="D25" i="12"/>
  <c r="D54" i="13" s="1"/>
  <c r="D23" i="12"/>
  <c r="D52" i="13" s="1"/>
  <c r="D142" i="12"/>
  <c r="D87"/>
  <c r="D86"/>
  <c r="D137"/>
  <c r="D89"/>
  <c r="D88"/>
  <c r="D139"/>
  <c r="F89"/>
  <c r="F91"/>
  <c r="F138"/>
  <c r="F114"/>
  <c r="F67" i="15"/>
  <c r="F82" s="1"/>
  <c r="F65"/>
  <c r="F80" s="1"/>
  <c r="F63"/>
  <c r="F78" s="1"/>
  <c r="F11" i="13"/>
  <c r="F54" i="12"/>
  <c r="F52"/>
  <c r="F50"/>
  <c r="F48"/>
  <c r="F46"/>
  <c r="F44"/>
  <c r="F42"/>
  <c r="F40"/>
  <c r="F69" i="13" s="1"/>
  <c r="F38" i="12"/>
  <c r="F67" i="13" s="1"/>
  <c r="F36" i="12"/>
  <c r="F65" i="13" s="1"/>
  <c r="F23" i="15" s="1"/>
  <c r="F35" s="1"/>
  <c r="F34" i="12"/>
  <c r="F63" i="13" s="1"/>
  <c r="F21" i="15" s="1"/>
  <c r="F33" s="1"/>
  <c r="F32" i="12"/>
  <c r="F61" i="13" s="1"/>
  <c r="F30" i="12"/>
  <c r="F59" i="13" s="1"/>
  <c r="F28" i="12"/>
  <c r="F57" i="13" s="1"/>
  <c r="F26" i="12"/>
  <c r="F55" i="13" s="1"/>
  <c r="F24" i="12"/>
  <c r="F53" i="13" s="1"/>
  <c r="F117" i="12"/>
  <c r="F116"/>
  <c r="F119"/>
  <c r="F118"/>
  <c r="F88"/>
  <c r="F139"/>
  <c r="F115"/>
  <c r="F90"/>
  <c r="F141"/>
  <c r="F66" i="15"/>
  <c r="F81" s="1"/>
  <c r="F64"/>
  <c r="F79" s="1"/>
  <c r="F62"/>
  <c r="F77" s="1"/>
  <c r="F55" i="12"/>
  <c r="F53"/>
  <c r="F51"/>
  <c r="F49"/>
  <c r="F47"/>
  <c r="F45"/>
  <c r="F43"/>
  <c r="F41"/>
  <c r="F70" i="13" s="1"/>
  <c r="F39" i="12"/>
  <c r="F68" i="13" s="1"/>
  <c r="F37" i="12"/>
  <c r="F66" i="13" s="1"/>
  <c r="F35" i="12"/>
  <c r="F64" i="13" s="1"/>
  <c r="F22" i="15" s="1"/>
  <c r="F34" s="1"/>
  <c r="F33" i="12"/>
  <c r="F62" i="13" s="1"/>
  <c r="F31" i="12"/>
  <c r="F60" i="13" s="1"/>
  <c r="F29" i="12"/>
  <c r="F58" i="13" s="1"/>
  <c r="F27" i="12"/>
  <c r="F56" i="13" s="1"/>
  <c r="F25" i="12"/>
  <c r="F54" i="13" s="1"/>
  <c r="F23" i="12"/>
  <c r="F52" i="13" s="1"/>
  <c r="F140" i="12"/>
  <c r="F142"/>
  <c r="F87"/>
  <c r="F86"/>
  <c r="F137"/>
  <c r="E127" i="16"/>
  <c r="B893" i="22"/>
  <c r="E134" i="16"/>
  <c r="E47"/>
  <c r="E36"/>
  <c r="B829" i="22"/>
  <c r="E44" i="16"/>
  <c r="E289"/>
  <c r="E297"/>
  <c r="D925" i="22"/>
  <c r="E82" i="16"/>
  <c r="E87"/>
  <c r="E83"/>
  <c r="E35"/>
  <c r="E126"/>
  <c r="J140" i="12"/>
  <c r="J116"/>
  <c r="J66" i="15"/>
  <c r="J81" s="1"/>
  <c r="J64"/>
  <c r="J79" s="1"/>
  <c r="J62"/>
  <c r="J77" s="1"/>
  <c r="J54" i="12"/>
  <c r="J52"/>
  <c r="J50"/>
  <c r="J48"/>
  <c r="J46"/>
  <c r="J44"/>
  <c r="J42"/>
  <c r="J40"/>
  <c r="J69" i="13" s="1"/>
  <c r="J38" i="12"/>
  <c r="J67" i="13" s="1"/>
  <c r="J36" i="12"/>
  <c r="J65" i="13" s="1"/>
  <c r="J23" i="15" s="1"/>
  <c r="J35" s="1"/>
  <c r="J34" i="12"/>
  <c r="J63" i="13" s="1"/>
  <c r="J21" i="15" s="1"/>
  <c r="J33" s="1"/>
  <c r="J32" i="12"/>
  <c r="J61" i="13" s="1"/>
  <c r="J30" i="12"/>
  <c r="J59" i="13" s="1"/>
  <c r="J28" i="12"/>
  <c r="J57" i="13" s="1"/>
  <c r="J26" i="12"/>
  <c r="J55" i="13" s="1"/>
  <c r="J24" i="12"/>
  <c r="J53" i="13" s="1"/>
  <c r="J142" i="12"/>
  <c r="J87"/>
  <c r="J118"/>
  <c r="J115"/>
  <c r="J114"/>
  <c r="J117"/>
  <c r="J67" i="15"/>
  <c r="J82" s="1"/>
  <c r="J65"/>
  <c r="J80" s="1"/>
  <c r="J63"/>
  <c r="J78" s="1"/>
  <c r="J55" i="12"/>
  <c r="J53"/>
  <c r="J51"/>
  <c r="J49"/>
  <c r="J47"/>
  <c r="J45"/>
  <c r="J43"/>
  <c r="J41"/>
  <c r="J70" i="13" s="1"/>
  <c r="J39" i="12"/>
  <c r="J68" i="13" s="1"/>
  <c r="J37" i="12"/>
  <c r="J66" i="13" s="1"/>
  <c r="J35" i="12"/>
  <c r="J64" i="13" s="1"/>
  <c r="J22" i="15" s="1"/>
  <c r="J34" s="1"/>
  <c r="J33" i="12"/>
  <c r="J62" i="13" s="1"/>
  <c r="J31" i="12"/>
  <c r="J60" i="13" s="1"/>
  <c r="J29" i="12"/>
  <c r="J58" i="13" s="1"/>
  <c r="J27" i="12"/>
  <c r="J56" i="13" s="1"/>
  <c r="J25" i="12"/>
  <c r="J54" i="13" s="1"/>
  <c r="J23" i="12"/>
  <c r="J52" i="13" s="1"/>
  <c r="J119" i="12"/>
  <c r="J86"/>
  <c r="J137"/>
  <c r="J89"/>
  <c r="J88"/>
  <c r="J139"/>
  <c r="J91"/>
  <c r="J138"/>
  <c r="J90"/>
  <c r="J141"/>
  <c r="H142"/>
  <c r="H87"/>
  <c r="H118"/>
  <c r="H67" i="15"/>
  <c r="H82" s="1"/>
  <c r="H65"/>
  <c r="H80" s="1"/>
  <c r="H63"/>
  <c r="H78" s="1"/>
  <c r="H11" i="13"/>
  <c r="H54" i="12"/>
  <c r="H52"/>
  <c r="H50"/>
  <c r="H48"/>
  <c r="H46"/>
  <c r="H44"/>
  <c r="H42"/>
  <c r="H40"/>
  <c r="H69" i="13" s="1"/>
  <c r="H38" i="12"/>
  <c r="H67" i="13" s="1"/>
  <c r="H36" i="12"/>
  <c r="H65" i="13" s="1"/>
  <c r="H23" i="15" s="1"/>
  <c r="H35" s="1"/>
  <c r="H34" i="12"/>
  <c r="H63" i="13" s="1"/>
  <c r="H21" i="15" s="1"/>
  <c r="H33" s="1"/>
  <c r="H32" i="12"/>
  <c r="H61" i="13" s="1"/>
  <c r="H30" i="12"/>
  <c r="H59" i="13" s="1"/>
  <c r="H28" i="12"/>
  <c r="H57" i="13" s="1"/>
  <c r="H26" i="12"/>
  <c r="H55" i="13" s="1"/>
  <c r="H24" i="12"/>
  <c r="H53" i="13" s="1"/>
  <c r="H89" i="12"/>
  <c r="H115"/>
  <c r="H114"/>
  <c r="H117"/>
  <c r="H116"/>
  <c r="H119"/>
  <c r="H86"/>
  <c r="H137"/>
  <c r="H66" i="15"/>
  <c r="H81" s="1"/>
  <c r="H64"/>
  <c r="H79" s="1"/>
  <c r="H62"/>
  <c r="H77" s="1"/>
  <c r="H55" i="12"/>
  <c r="H53"/>
  <c r="H51"/>
  <c r="H49"/>
  <c r="H47"/>
  <c r="H45"/>
  <c r="H43"/>
  <c r="H41"/>
  <c r="H70" i="13" s="1"/>
  <c r="H39" i="12"/>
  <c r="H68" i="13" s="1"/>
  <c r="H37" i="12"/>
  <c r="H66" i="13" s="1"/>
  <c r="H35" i="12"/>
  <c r="H64" i="13" s="1"/>
  <c r="H22" i="15" s="1"/>
  <c r="H34" s="1"/>
  <c r="H33" i="12"/>
  <c r="H62" i="13" s="1"/>
  <c r="H31" i="12"/>
  <c r="H60" i="13" s="1"/>
  <c r="H29" i="12"/>
  <c r="H58" i="13" s="1"/>
  <c r="H27" i="12"/>
  <c r="H56" i="13" s="1"/>
  <c r="H25" i="12"/>
  <c r="H54" i="13" s="1"/>
  <c r="H23" i="12"/>
  <c r="H52" i="13" s="1"/>
  <c r="H88" i="12"/>
  <c r="H139"/>
  <c r="H91"/>
  <c r="H138"/>
  <c r="H90"/>
  <c r="H141"/>
  <c r="H140"/>
  <c r="I141"/>
  <c r="I86"/>
  <c r="I117"/>
  <c r="I67" i="15"/>
  <c r="I82" s="1"/>
  <c r="I65"/>
  <c r="I80" s="1"/>
  <c r="I63"/>
  <c r="I78" s="1"/>
  <c r="I55" i="12"/>
  <c r="I53"/>
  <c r="I51"/>
  <c r="I49"/>
  <c r="I47"/>
  <c r="I45"/>
  <c r="I43"/>
  <c r="I41"/>
  <c r="I70" i="13" s="1"/>
  <c r="I39" i="12"/>
  <c r="I68" i="13" s="1"/>
  <c r="I37" i="12"/>
  <c r="I66" i="13" s="1"/>
  <c r="I35" i="12"/>
  <c r="I64" i="13" s="1"/>
  <c r="I22" i="15" s="1"/>
  <c r="I34" s="1"/>
  <c r="I33" i="12"/>
  <c r="I62" i="13" s="1"/>
  <c r="I31" i="12"/>
  <c r="I60" i="13" s="1"/>
  <c r="I29" i="12"/>
  <c r="I58" i="13" s="1"/>
  <c r="I27" i="12"/>
  <c r="I56" i="13" s="1"/>
  <c r="I25" i="12"/>
  <c r="I54" i="13" s="1"/>
  <c r="I23" i="12"/>
  <c r="I52" i="13" s="1"/>
  <c r="I88" i="12"/>
  <c r="I119"/>
  <c r="I114"/>
  <c r="I116"/>
  <c r="I115"/>
  <c r="I118"/>
  <c r="I11" i="13"/>
  <c r="I66" i="15"/>
  <c r="I81" s="1"/>
  <c r="I64"/>
  <c r="I79" s="1"/>
  <c r="I62"/>
  <c r="I77" s="1"/>
  <c r="I54" i="12"/>
  <c r="I52"/>
  <c r="I50"/>
  <c r="I48"/>
  <c r="I46"/>
  <c r="I44"/>
  <c r="I42"/>
  <c r="I40"/>
  <c r="I69" i="13" s="1"/>
  <c r="I38" i="12"/>
  <c r="I67" i="13" s="1"/>
  <c r="I36" i="12"/>
  <c r="I65" i="13" s="1"/>
  <c r="I23" i="15" s="1"/>
  <c r="I35" s="1"/>
  <c r="I34" i="12"/>
  <c r="I63" i="13" s="1"/>
  <c r="I21" i="15" s="1"/>
  <c r="I33" s="1"/>
  <c r="I32" i="12"/>
  <c r="I61" i="13" s="1"/>
  <c r="I30" i="12"/>
  <c r="I59" i="13" s="1"/>
  <c r="I28" i="12"/>
  <c r="I57" i="13" s="1"/>
  <c r="I26" i="12"/>
  <c r="I55" i="13" s="1"/>
  <c r="I24" i="12"/>
  <c r="I53" i="13" s="1"/>
  <c r="I87" i="12"/>
  <c r="I138"/>
  <c r="I90"/>
  <c r="I137"/>
  <c r="I89"/>
  <c r="I140"/>
  <c r="I139"/>
  <c r="I91"/>
  <c r="I142"/>
  <c r="E295" i="16" l="1"/>
  <c r="E280"/>
  <c r="E281"/>
  <c r="C1021" i="22"/>
  <c r="E43" i="16"/>
  <c r="E293"/>
  <c r="E279"/>
  <c r="E135"/>
  <c r="E39"/>
  <c r="E37" i="13"/>
  <c r="E199" i="16" s="1"/>
  <c r="E25" i="13"/>
  <c r="E28"/>
  <c r="E34"/>
  <c r="E32"/>
  <c r="E43"/>
  <c r="E35"/>
  <c r="E144"/>
  <c r="E38"/>
  <c r="E200" i="16" s="1"/>
  <c r="E158" i="13"/>
  <c r="E146"/>
  <c r="E153"/>
  <c r="G391" i="22" s="1"/>
  <c r="E159" i="13"/>
  <c r="E31"/>
  <c r="E26"/>
  <c r="E156"/>
  <c r="E27"/>
  <c r="E149"/>
  <c r="I135" i="16"/>
  <c r="D1057" i="22"/>
  <c r="I130" i="16"/>
  <c r="D897" i="22"/>
  <c r="I43" i="16"/>
  <c r="B929" i="22"/>
  <c r="B1025"/>
  <c r="I46" i="16"/>
  <c r="B801" i="22"/>
  <c r="I39" i="16"/>
  <c r="H395" i="22"/>
  <c r="I279" i="16"/>
  <c r="B641" i="22"/>
  <c r="I34" i="16"/>
  <c r="D833" i="22"/>
  <c r="I293" i="16"/>
  <c r="I143" i="13"/>
  <c r="I34"/>
  <c r="I42"/>
  <c r="I28"/>
  <c r="I36"/>
  <c r="I25"/>
  <c r="I150"/>
  <c r="I37"/>
  <c r="I41"/>
  <c r="I31"/>
  <c r="I29"/>
  <c r="I147"/>
  <c r="I155"/>
  <c r="I149"/>
  <c r="I40"/>
  <c r="I27"/>
  <c r="I152"/>
  <c r="I156"/>
  <c r="I160"/>
  <c r="I151"/>
  <c r="I159"/>
  <c r="I145"/>
  <c r="I153"/>
  <c r="I142"/>
  <c r="I146"/>
  <c r="I154"/>
  <c r="I158"/>
  <c r="I32"/>
  <c r="I26"/>
  <c r="I33"/>
  <c r="I30"/>
  <c r="I38"/>
  <c r="I157"/>
  <c r="I144"/>
  <c r="I148"/>
  <c r="I35"/>
  <c r="I39"/>
  <c r="I43"/>
  <c r="I83" i="16"/>
  <c r="C801" i="22"/>
  <c r="I82" i="16"/>
  <c r="C769" i="22"/>
  <c r="B897"/>
  <c r="I42" i="16"/>
  <c r="B737" i="22"/>
  <c r="I37" i="16"/>
  <c r="B865" i="22"/>
  <c r="I41" i="16"/>
  <c r="B993" i="22"/>
  <c r="I45" i="16"/>
  <c r="F769" i="22"/>
  <c r="I291" i="16"/>
  <c r="F1025" i="22"/>
  <c r="I299" i="16"/>
  <c r="B769" i="22"/>
  <c r="I38" i="16"/>
  <c r="H134"/>
  <c r="D1024" i="22"/>
  <c r="H127" i="16"/>
  <c r="D800" i="22"/>
  <c r="D896"/>
  <c r="H130" i="16"/>
  <c r="H426" i="22"/>
  <c r="H280" i="16"/>
  <c r="B672" i="22"/>
  <c r="H35" i="16"/>
  <c r="D832" i="22"/>
  <c r="H293" i="16"/>
  <c r="D768" i="22"/>
  <c r="H126" i="16"/>
  <c r="C1056" i="22"/>
  <c r="H91" i="16"/>
  <c r="H87"/>
  <c r="C928" i="22"/>
  <c r="H83" i="16"/>
  <c r="C800" i="22"/>
  <c r="H458"/>
  <c r="H281" i="16"/>
  <c r="B704" i="22"/>
  <c r="H36" i="16"/>
  <c r="B832" i="22"/>
  <c r="H40" i="16"/>
  <c r="B960" i="22"/>
  <c r="H44" i="16"/>
  <c r="H144" i="13"/>
  <c r="H152"/>
  <c r="H160"/>
  <c r="H142"/>
  <c r="H33"/>
  <c r="H41"/>
  <c r="H28"/>
  <c r="H153"/>
  <c r="H157"/>
  <c r="H148"/>
  <c r="H143"/>
  <c r="H42"/>
  <c r="H149"/>
  <c r="H156"/>
  <c r="H29"/>
  <c r="H37"/>
  <c r="H147"/>
  <c r="H151"/>
  <c r="H155"/>
  <c r="H27"/>
  <c r="H35"/>
  <c r="H43"/>
  <c r="H25"/>
  <c r="H158"/>
  <c r="H145"/>
  <c r="H32"/>
  <c r="H36"/>
  <c r="H40"/>
  <c r="H146"/>
  <c r="H159"/>
  <c r="H150"/>
  <c r="H31"/>
  <c r="H39"/>
  <c r="H154"/>
  <c r="H26"/>
  <c r="H30"/>
  <c r="H34"/>
  <c r="H38"/>
  <c r="F896" i="22"/>
  <c r="H295" i="16"/>
  <c r="C1024" i="22"/>
  <c r="H90" i="16"/>
  <c r="D1056" i="22"/>
  <c r="H135" i="16"/>
  <c r="J134"/>
  <c r="D1026" i="22"/>
  <c r="J127" i="16"/>
  <c r="D802" i="22"/>
  <c r="D898"/>
  <c r="J130" i="16"/>
  <c r="B930" i="22"/>
  <c r="J43" i="16"/>
  <c r="B770" i="22"/>
  <c r="J38" i="16"/>
  <c r="H428" i="22"/>
  <c r="J280" i="16"/>
  <c r="B674" i="22"/>
  <c r="J35" i="16"/>
  <c r="F898" i="22"/>
  <c r="J295" i="16"/>
  <c r="C930" i="22"/>
  <c r="J87" i="16"/>
  <c r="J83"/>
  <c r="C802" i="22"/>
  <c r="B802"/>
  <c r="J39" i="16"/>
  <c r="H460" i="22"/>
  <c r="J281" i="16"/>
  <c r="B706" i="22"/>
  <c r="J36" i="16"/>
  <c r="B834" i="22"/>
  <c r="J40" i="16"/>
  <c r="B962" i="22"/>
  <c r="J44" i="16"/>
  <c r="D706" i="22"/>
  <c r="J289" i="16"/>
  <c r="D962" i="22"/>
  <c r="J297" i="16"/>
  <c r="D930" i="22"/>
  <c r="J131" i="16"/>
  <c r="D766" i="22"/>
  <c r="F126" i="16"/>
  <c r="F39"/>
  <c r="B798" i="22"/>
  <c r="D926"/>
  <c r="F131" i="16"/>
  <c r="F37"/>
  <c r="B734" i="22"/>
  <c r="F41" i="16"/>
  <c r="B862" i="22"/>
  <c r="F45" i="16"/>
  <c r="B990" i="22"/>
  <c r="F289" i="16"/>
  <c r="D702" i="22"/>
  <c r="F297" i="16"/>
  <c r="D958" i="22"/>
  <c r="B1022"/>
  <c r="F46" i="16"/>
  <c r="D894" i="22"/>
  <c r="F130" i="16"/>
  <c r="C1022" i="22"/>
  <c r="F90" i="16"/>
  <c r="C894" i="22"/>
  <c r="F86" i="16"/>
  <c r="F281"/>
  <c r="H456" i="22"/>
  <c r="F36" i="16"/>
  <c r="B702" i="22"/>
  <c r="F40" i="16"/>
  <c r="B830" i="22"/>
  <c r="F44" i="16"/>
  <c r="B958" i="22"/>
  <c r="F148" i="13"/>
  <c r="F29"/>
  <c r="F37"/>
  <c r="F27"/>
  <c r="F35"/>
  <c r="F43"/>
  <c r="F147"/>
  <c r="F151"/>
  <c r="F155"/>
  <c r="F159"/>
  <c r="F142"/>
  <c r="F33"/>
  <c r="F41"/>
  <c r="F156"/>
  <c r="F145"/>
  <c r="F32"/>
  <c r="F36"/>
  <c r="F40"/>
  <c r="F143"/>
  <c r="F150"/>
  <c r="F149"/>
  <c r="F154"/>
  <c r="F144"/>
  <c r="F152"/>
  <c r="F160"/>
  <c r="F26"/>
  <c r="F30"/>
  <c r="F34"/>
  <c r="F38"/>
  <c r="F42"/>
  <c r="F25"/>
  <c r="F158"/>
  <c r="F31"/>
  <c r="F39"/>
  <c r="F28"/>
  <c r="F153"/>
  <c r="F157"/>
  <c r="F146"/>
  <c r="F295" i="16"/>
  <c r="F894" i="22"/>
  <c r="C766"/>
  <c r="F82" i="16"/>
  <c r="B1054" i="22"/>
  <c r="F47" i="16"/>
  <c r="D42"/>
  <c r="B892" i="22"/>
  <c r="D126" i="16"/>
  <c r="D764" i="22"/>
  <c r="D39" i="16"/>
  <c r="B796" i="22"/>
  <c r="D280" i="16"/>
  <c r="H422" i="22"/>
  <c r="D35" i="16"/>
  <c r="B668" i="22"/>
  <c r="D293" i="16"/>
  <c r="D828" i="22"/>
  <c r="C924"/>
  <c r="D87" i="16"/>
  <c r="B1020" i="22"/>
  <c r="D46" i="16"/>
  <c r="C1020" i="22"/>
  <c r="D90" i="16"/>
  <c r="D281"/>
  <c r="H454" i="22"/>
  <c r="D36" i="16"/>
  <c r="B700" i="22"/>
  <c r="D40" i="16"/>
  <c r="B828" i="22"/>
  <c r="D44" i="16"/>
  <c r="B956" i="22"/>
  <c r="D146" i="13"/>
  <c r="D159"/>
  <c r="D150"/>
  <c r="D31"/>
  <c r="D39"/>
  <c r="D154"/>
  <c r="D26"/>
  <c r="D30"/>
  <c r="D34"/>
  <c r="D38"/>
  <c r="D27"/>
  <c r="D35"/>
  <c r="D43"/>
  <c r="D25"/>
  <c r="D158"/>
  <c r="D145"/>
  <c r="D32"/>
  <c r="D36"/>
  <c r="D40"/>
  <c r="D148"/>
  <c r="D143"/>
  <c r="D42"/>
  <c r="D149"/>
  <c r="D156"/>
  <c r="D29"/>
  <c r="D37"/>
  <c r="D147"/>
  <c r="D151"/>
  <c r="D155"/>
  <c r="D144"/>
  <c r="D152"/>
  <c r="D160"/>
  <c r="D142"/>
  <c r="D33"/>
  <c r="D41"/>
  <c r="D28"/>
  <c r="D153"/>
  <c r="D157"/>
  <c r="D295" i="16"/>
  <c r="F892" i="22"/>
  <c r="C892"/>
  <c r="D86" i="16"/>
  <c r="C764" i="22"/>
  <c r="D82" i="16"/>
  <c r="D47"/>
  <c r="B1052" i="22"/>
  <c r="G38" i="16"/>
  <c r="B767" i="22"/>
  <c r="G135" i="16"/>
  <c r="D1055" i="22"/>
  <c r="G130" i="16"/>
  <c r="D895" i="22"/>
  <c r="G37" i="16"/>
  <c r="B735" i="22"/>
  <c r="G41" i="16"/>
  <c r="B863" i="22"/>
  <c r="G45" i="16"/>
  <c r="B991" i="22"/>
  <c r="G291" i="16"/>
  <c r="F767" i="22"/>
  <c r="G299" i="16"/>
  <c r="F1023" i="22"/>
  <c r="B927"/>
  <c r="G43" i="16"/>
  <c r="G127"/>
  <c r="D799" i="22"/>
  <c r="C927"/>
  <c r="G87" i="16"/>
  <c r="C799" i="22"/>
  <c r="G83" i="16"/>
  <c r="G281"/>
  <c r="H457" i="22"/>
  <c r="G36" i="16"/>
  <c r="B703" i="22"/>
  <c r="G40" i="16"/>
  <c r="B831" i="22"/>
  <c r="G44" i="16"/>
  <c r="B959" i="22"/>
  <c r="G289" i="16"/>
  <c r="D703" i="22"/>
  <c r="G297" i="16"/>
  <c r="D959" i="22"/>
  <c r="D767"/>
  <c r="G126" i="16"/>
  <c r="C1055" i="22"/>
  <c r="G91" i="16"/>
  <c r="C43"/>
  <c r="B923" i="22"/>
  <c r="C46" i="16"/>
  <c r="B1019" i="22"/>
  <c r="B795"/>
  <c r="C39" i="16"/>
  <c r="C280"/>
  <c r="H421" i="22"/>
  <c r="C35" i="16"/>
  <c r="B667" i="22"/>
  <c r="C295" i="16"/>
  <c r="F891" i="22"/>
  <c r="C1019"/>
  <c r="C90" i="16"/>
  <c r="B1051" i="22"/>
  <c r="C47" i="16"/>
  <c r="C763" i="22"/>
  <c r="C82" i="16"/>
  <c r="C281"/>
  <c r="H453" i="22"/>
  <c r="C36" i="16"/>
  <c r="B699" i="22"/>
  <c r="C40" i="16"/>
  <c r="B827" i="22"/>
  <c r="C44" i="16"/>
  <c r="B955" i="22"/>
  <c r="C289" i="16"/>
  <c r="D699" i="22"/>
  <c r="C297" i="16"/>
  <c r="D955" i="22"/>
  <c r="C923"/>
  <c r="C87" i="16"/>
  <c r="D1019" i="22"/>
  <c r="C134" i="16"/>
  <c r="D891" i="22"/>
  <c r="C130" i="16"/>
  <c r="F423" i="22"/>
  <c r="F455"/>
  <c r="E238" i="16"/>
  <c r="I47"/>
  <c r="B1057" i="22"/>
  <c r="I131" i="16"/>
  <c r="D929" i="22"/>
  <c r="I126" i="16"/>
  <c r="D769" i="22"/>
  <c r="D801"/>
  <c r="I127" i="16"/>
  <c r="H459" i="22"/>
  <c r="I281" i="16"/>
  <c r="B705" i="22"/>
  <c r="I36" i="16"/>
  <c r="B833" i="22"/>
  <c r="I40" i="16"/>
  <c r="B961" i="22"/>
  <c r="I44" i="16"/>
  <c r="D705" i="22"/>
  <c r="I289" i="16"/>
  <c r="D961" i="22"/>
  <c r="I297" i="16"/>
  <c r="C1025" i="22"/>
  <c r="I90" i="16"/>
  <c r="I86"/>
  <c r="C897" i="22"/>
  <c r="C1057"/>
  <c r="I91" i="16"/>
  <c r="H427" i="22"/>
  <c r="I280" i="16"/>
  <c r="B673" i="22"/>
  <c r="I35" i="16"/>
  <c r="F897" i="22"/>
  <c r="I295" i="16"/>
  <c r="C929" i="22"/>
  <c r="I87" i="16"/>
  <c r="D1025" i="22"/>
  <c r="I134" i="16"/>
  <c r="D928" i="22"/>
  <c r="H131" i="16"/>
  <c r="H46"/>
  <c r="B1024" i="22"/>
  <c r="B1056"/>
  <c r="H47" i="16"/>
  <c r="B896" i="22"/>
  <c r="H42" i="16"/>
  <c r="B736" i="22"/>
  <c r="H37" i="16"/>
  <c r="B864" i="22"/>
  <c r="H41" i="16"/>
  <c r="B992" i="22"/>
  <c r="H45" i="16"/>
  <c r="D704" i="22"/>
  <c r="H289" i="16"/>
  <c r="D960" i="22"/>
  <c r="H297" i="16"/>
  <c r="B768" i="22"/>
  <c r="H38" i="16"/>
  <c r="C896" i="22"/>
  <c r="H86" i="16"/>
  <c r="C768" i="22"/>
  <c r="H82" i="16"/>
  <c r="B928" i="22"/>
  <c r="H43" i="16"/>
  <c r="H394" i="22"/>
  <c r="H279" i="16"/>
  <c r="B640" i="22"/>
  <c r="H34" i="16"/>
  <c r="F768" i="22"/>
  <c r="H291" i="16"/>
  <c r="F1024" i="22"/>
  <c r="H299" i="16"/>
  <c r="H39"/>
  <c r="B800" i="22"/>
  <c r="J46" i="16"/>
  <c r="B1026" i="22"/>
  <c r="B1058"/>
  <c r="J47" i="16"/>
  <c r="J42"/>
  <c r="B898" i="22"/>
  <c r="D770"/>
  <c r="J126" i="16"/>
  <c r="C1058" i="22"/>
  <c r="J91" i="16"/>
  <c r="B738" i="22"/>
  <c r="J37" i="16"/>
  <c r="B866" i="22"/>
  <c r="J41" i="16"/>
  <c r="B994" i="22"/>
  <c r="J45" i="16"/>
  <c r="F770" i="22"/>
  <c r="J291" i="16"/>
  <c r="F1026" i="22"/>
  <c r="J299" i="16"/>
  <c r="J82"/>
  <c r="C770" i="22"/>
  <c r="C1026"/>
  <c r="J90" i="16"/>
  <c r="D1058" i="22"/>
  <c r="J135" i="16"/>
  <c r="H396" i="22"/>
  <c r="J279" i="16"/>
  <c r="B642" i="22"/>
  <c r="J34" i="16"/>
  <c r="D834" i="22"/>
  <c r="J293" i="16"/>
  <c r="C898" i="22"/>
  <c r="J86" i="16"/>
  <c r="F38"/>
  <c r="B766" i="22"/>
  <c r="D1054"/>
  <c r="F135" i="16"/>
  <c r="F280"/>
  <c r="H424" i="22"/>
  <c r="F35" i="16"/>
  <c r="B670" i="22"/>
  <c r="F293" i="16"/>
  <c r="D830" i="22"/>
  <c r="D1022"/>
  <c r="F134" i="16"/>
  <c r="C798" i="22"/>
  <c r="F83" i="16"/>
  <c r="B894" i="22"/>
  <c r="F42" i="16"/>
  <c r="F91"/>
  <c r="C1054" i="22"/>
  <c r="F87" i="16"/>
  <c r="C926" i="22"/>
  <c r="F279" i="16"/>
  <c r="H392" i="22"/>
  <c r="F34" i="16"/>
  <c r="B638" i="22"/>
  <c r="F291" i="16"/>
  <c r="F766" i="22"/>
  <c r="F299" i="16"/>
  <c r="F1022" i="22"/>
  <c r="D798"/>
  <c r="F127" i="16"/>
  <c r="F43"/>
  <c r="B926" i="22"/>
  <c r="D130" i="16"/>
  <c r="D892" i="22"/>
  <c r="D43" i="16"/>
  <c r="B924" i="22"/>
  <c r="B764"/>
  <c r="D38" i="16"/>
  <c r="D1052" i="22"/>
  <c r="D135" i="16"/>
  <c r="D37"/>
  <c r="B732" i="22"/>
  <c r="D41" i="16"/>
  <c r="B860" i="22"/>
  <c r="D45" i="16"/>
  <c r="B988" i="22"/>
  <c r="D289" i="16"/>
  <c r="D700" i="22"/>
  <c r="D297" i="16"/>
  <c r="D956" i="22"/>
  <c r="D1020"/>
  <c r="D134" i="16"/>
  <c r="C796" i="22"/>
  <c r="D83" i="16"/>
  <c r="D91"/>
  <c r="C1052" i="22"/>
  <c r="D279" i="16"/>
  <c r="H390" i="22"/>
  <c r="D34" i="16"/>
  <c r="B636" i="22"/>
  <c r="D291" i="16"/>
  <c r="F764" i="22"/>
  <c r="D299" i="16"/>
  <c r="F1020" i="22"/>
  <c r="D924"/>
  <c r="D131" i="16"/>
  <c r="D796" i="22"/>
  <c r="D127" i="16"/>
  <c r="D1023" i="22"/>
  <c r="G134" i="16"/>
  <c r="G47"/>
  <c r="B1055" i="22"/>
  <c r="G280" i="16"/>
  <c r="H425" i="22"/>
  <c r="G35" i="16"/>
  <c r="B671" i="22"/>
  <c r="G295" i="16"/>
  <c r="F895" i="22"/>
  <c r="D927"/>
  <c r="G131" i="16"/>
  <c r="C767" i="22"/>
  <c r="G82" i="16"/>
  <c r="B799" i="22"/>
  <c r="G39" i="16"/>
  <c r="G90"/>
  <c r="C1023" i="22"/>
  <c r="G86" i="16"/>
  <c r="C895" i="22"/>
  <c r="G279" i="16"/>
  <c r="H393" i="22"/>
  <c r="G34" i="16"/>
  <c r="B639" i="22"/>
  <c r="G293" i="16"/>
  <c r="D831" i="22"/>
  <c r="G157" i="13"/>
  <c r="G155"/>
  <c r="G148"/>
  <c r="G156"/>
  <c r="G145"/>
  <c r="G143"/>
  <c r="G159"/>
  <c r="G146"/>
  <c r="G154"/>
  <c r="G32"/>
  <c r="G30"/>
  <c r="G27"/>
  <c r="G35"/>
  <c r="G43"/>
  <c r="G36"/>
  <c r="G34"/>
  <c r="G25"/>
  <c r="G33"/>
  <c r="G41"/>
  <c r="G149"/>
  <c r="G147"/>
  <c r="G144"/>
  <c r="G152"/>
  <c r="G160"/>
  <c r="G153"/>
  <c r="G151"/>
  <c r="G142"/>
  <c r="G150"/>
  <c r="G158"/>
  <c r="G40"/>
  <c r="G38"/>
  <c r="G31"/>
  <c r="G39"/>
  <c r="G28"/>
  <c r="G26"/>
  <c r="G42"/>
  <c r="G29"/>
  <c r="G37"/>
  <c r="B1023" i="22"/>
  <c r="G46" i="16"/>
  <c r="B895" i="22"/>
  <c r="G42" i="16"/>
  <c r="C131"/>
  <c r="D923" i="22"/>
  <c r="D763"/>
  <c r="C126" i="16"/>
  <c r="C127"/>
  <c r="D795" i="22"/>
  <c r="C42" i="16"/>
  <c r="B891" i="22"/>
  <c r="C37" i="16"/>
  <c r="B731" i="22"/>
  <c r="C41" i="16"/>
  <c r="B859" i="22"/>
  <c r="C45" i="16"/>
  <c r="B987" i="22"/>
  <c r="C291" i="16"/>
  <c r="F763" i="22"/>
  <c r="C299" i="16"/>
  <c r="F1019" i="22"/>
  <c r="D1051"/>
  <c r="C135" i="16"/>
  <c r="C891" i="22"/>
  <c r="C86" i="16"/>
  <c r="C1051" i="22"/>
  <c r="C91" i="16"/>
  <c r="C279"/>
  <c r="H389" i="22"/>
  <c r="C34" i="16"/>
  <c r="B635" i="22"/>
  <c r="C293" i="16"/>
  <c r="D827" i="22"/>
  <c r="C35" i="13"/>
  <c r="C43"/>
  <c r="C36"/>
  <c r="C144"/>
  <c r="C31"/>
  <c r="C156"/>
  <c r="C145"/>
  <c r="C32"/>
  <c r="C157"/>
  <c r="C146"/>
  <c r="C150"/>
  <c r="C154"/>
  <c r="C143"/>
  <c r="C147"/>
  <c r="C155"/>
  <c r="C25"/>
  <c r="C41"/>
  <c r="C34"/>
  <c r="C42"/>
  <c r="C27"/>
  <c r="C39"/>
  <c r="C28"/>
  <c r="C40"/>
  <c r="C148"/>
  <c r="C152"/>
  <c r="C160"/>
  <c r="C149"/>
  <c r="C153"/>
  <c r="C142"/>
  <c r="C29"/>
  <c r="C33"/>
  <c r="C158"/>
  <c r="C26"/>
  <c r="C151"/>
  <c r="C159"/>
  <c r="C37"/>
  <c r="C30"/>
  <c r="C38"/>
  <c r="B763" i="22"/>
  <c r="C38" i="16"/>
  <c r="C795" i="22"/>
  <c r="C83" i="16"/>
  <c r="F391" i="22"/>
  <c r="E198" i="16"/>
  <c r="G423" i="22"/>
  <c r="E239" i="16"/>
  <c r="G455" i="22"/>
  <c r="E240" i="16"/>
  <c r="C200" l="1"/>
  <c r="F453" i="22"/>
  <c r="C199" i="16"/>
  <c r="F421" i="22"/>
  <c r="C238" i="16"/>
  <c r="G389" i="22"/>
  <c r="G421"/>
  <c r="C239" i="16"/>
  <c r="G199"/>
  <c r="F425" i="22"/>
  <c r="G457"/>
  <c r="G240" i="16"/>
  <c r="G390" i="22"/>
  <c r="D238" i="16"/>
  <c r="G454" i="22"/>
  <c r="D240" i="16"/>
  <c r="F456" i="22"/>
  <c r="F200" i="16"/>
  <c r="F392" i="22"/>
  <c r="F198" i="16"/>
  <c r="G456" i="22"/>
  <c r="F240" i="16"/>
  <c r="F424" i="22"/>
  <c r="F199" i="16"/>
  <c r="F458" i="22"/>
  <c r="H200" i="16"/>
  <c r="G426" i="22"/>
  <c r="H239" i="16"/>
  <c r="F426" i="22"/>
  <c r="H199" i="16"/>
  <c r="G394" i="22"/>
  <c r="H238" i="16"/>
  <c r="G395" i="22"/>
  <c r="I238" i="16"/>
  <c r="G459" i="22"/>
  <c r="I240" i="16"/>
  <c r="F395" i="22"/>
  <c r="I198" i="16"/>
  <c r="G453" i="22"/>
  <c r="C240" i="16"/>
  <c r="F389" i="22"/>
  <c r="C198" i="16"/>
  <c r="F457" i="22"/>
  <c r="G200" i="16"/>
  <c r="G393" i="22"/>
  <c r="G238" i="16"/>
  <c r="F393" i="22"/>
  <c r="G198" i="16"/>
  <c r="G425" i="22"/>
  <c r="G239" i="16"/>
  <c r="F422" i="22"/>
  <c r="D199" i="16"/>
  <c r="F390" i="22"/>
  <c r="D198" i="16"/>
  <c r="F454" i="22"/>
  <c r="D200" i="16"/>
  <c r="G422" i="22"/>
  <c r="D239" i="16"/>
  <c r="G392" i="22"/>
  <c r="F238" i="16"/>
  <c r="G424" i="22"/>
  <c r="F239" i="16"/>
  <c r="H198"/>
  <c r="F394" i="22"/>
  <c r="G458"/>
  <c r="H240" i="16"/>
  <c r="F459" i="22"/>
  <c r="I200" i="16"/>
  <c r="G427" i="22"/>
  <c r="I239" i="16"/>
  <c r="F427" i="22"/>
  <c r="I199" i="16"/>
  <c r="K146" i="21" l="1"/>
  <c r="L156"/>
  <c r="J156"/>
  <c r="K156"/>
  <c r="J130"/>
  <c r="K130"/>
  <c r="L146"/>
  <c r="L130"/>
  <c r="L151"/>
  <c r="J141"/>
  <c r="K141"/>
  <c r="K136"/>
  <c r="J136"/>
  <c r="L136"/>
  <c r="K151"/>
  <c r="J151"/>
  <c r="L141"/>
  <c r="J134" l="1"/>
  <c r="K134"/>
  <c r="F50" i="2" l="1"/>
  <c r="F51" s="1"/>
  <c r="B66" i="17"/>
  <c r="C66" l="1"/>
  <c r="D20" i="25" l="1"/>
  <c r="E65" i="24"/>
  <c r="C73" i="21"/>
  <c r="H187" i="24" l="1"/>
  <c r="D185"/>
  <c r="F186"/>
  <c r="F187"/>
  <c r="F185"/>
  <c r="H186"/>
  <c r="E185"/>
  <c r="D187"/>
  <c r="G185"/>
  <c r="H185"/>
  <c r="G187"/>
  <c r="G186"/>
  <c r="D186"/>
  <c r="E187"/>
  <c r="E186"/>
  <c r="E68" l="1"/>
  <c r="D23" i="25"/>
  <c r="C81" i="21"/>
  <c r="F195" i="24" l="1"/>
  <c r="H195"/>
  <c r="F193"/>
  <c r="F194"/>
  <c r="G193"/>
  <c r="H193"/>
  <c r="G195"/>
  <c r="E194"/>
  <c r="H194"/>
  <c r="G194"/>
  <c r="E195"/>
  <c r="E193"/>
  <c r="C90" i="21" l="1"/>
  <c r="D31" i="25"/>
  <c r="C111" i="21"/>
  <c r="E76" i="24"/>
  <c r="D27" i="25" l="1"/>
  <c r="C96" i="21"/>
  <c r="E72" i="24"/>
  <c r="E63"/>
  <c r="C65" i="21"/>
  <c r="D18" i="25"/>
  <c r="C105" i="21"/>
  <c r="C50"/>
  <c r="C79"/>
  <c r="D22" i="25"/>
  <c r="E67" i="24"/>
  <c r="C91" i="21"/>
  <c r="D19" i="25"/>
  <c r="E64" i="24"/>
  <c r="C69" i="21"/>
  <c r="D29" i="25"/>
  <c r="C103" i="21"/>
  <c r="E74" i="24"/>
  <c r="D25" i="25"/>
  <c r="E70" i="24"/>
  <c r="C89" i="21"/>
  <c r="C63"/>
  <c r="C104"/>
  <c r="B111"/>
  <c r="B76" i="24"/>
  <c r="C119" i="21"/>
  <c r="E78" i="24"/>
  <c r="C77" i="21"/>
  <c r="D21" i="25"/>
  <c r="E66" i="24"/>
  <c r="C90" l="1"/>
  <c r="B90" i="21"/>
  <c r="C82" i="24"/>
  <c r="C86"/>
  <c r="E189"/>
  <c r="H189"/>
  <c r="F189"/>
  <c r="D189"/>
  <c r="G189"/>
  <c r="I76"/>
  <c r="B225" s="1"/>
  <c r="C183"/>
  <c r="C181"/>
  <c r="D181"/>
  <c r="F182"/>
  <c r="F183"/>
  <c r="G182"/>
  <c r="D182"/>
  <c r="E183"/>
  <c r="E182"/>
  <c r="D183"/>
  <c r="H183"/>
  <c r="C182"/>
  <c r="H181"/>
  <c r="G183"/>
  <c r="G181"/>
  <c r="F181"/>
  <c r="H182"/>
  <c r="E181"/>
  <c r="C53" i="21"/>
  <c r="D15" i="25"/>
  <c r="E60" i="24"/>
  <c r="B50" i="21"/>
  <c r="B104"/>
  <c r="C133"/>
  <c r="G296" i="6"/>
  <c r="C97" i="21"/>
  <c r="C75"/>
  <c r="K75" s="1"/>
  <c r="C51"/>
  <c r="D82" i="24"/>
  <c r="B224"/>
  <c r="E191"/>
  <c r="H191"/>
  <c r="F191"/>
  <c r="D191"/>
  <c r="G191"/>
  <c r="F179"/>
  <c r="G177"/>
  <c r="H177"/>
  <c r="H179"/>
  <c r="G178"/>
  <c r="D178"/>
  <c r="E178"/>
  <c r="E177"/>
  <c r="D179"/>
  <c r="D177"/>
  <c r="F178"/>
  <c r="G179"/>
  <c r="F177"/>
  <c r="H178"/>
  <c r="E179"/>
  <c r="D16" i="25"/>
  <c r="E61" i="24"/>
  <c r="C57" i="21"/>
  <c r="E62" i="24"/>
  <c r="C61" i="21"/>
  <c r="D17" i="25"/>
  <c r="E73" i="24"/>
  <c r="D28" i="25"/>
  <c r="C99" i="21"/>
  <c r="C93"/>
  <c r="D26" i="25"/>
  <c r="E71" i="24"/>
  <c r="C55" i="21"/>
  <c r="B105"/>
  <c r="B63"/>
  <c r="C138" l="1"/>
  <c r="E84" i="24"/>
  <c r="E88"/>
  <c r="C148" i="21"/>
  <c r="B223" i="24"/>
  <c r="B51" i="21"/>
  <c r="B55"/>
  <c r="B91"/>
  <c r="G167" i="24"/>
  <c r="D165"/>
  <c r="F166"/>
  <c r="D167"/>
  <c r="F165"/>
  <c r="H166"/>
  <c r="E165"/>
  <c r="H167"/>
  <c r="G165"/>
  <c r="H165"/>
  <c r="F167"/>
  <c r="G166"/>
  <c r="D166"/>
  <c r="E167"/>
  <c r="E166"/>
  <c r="F175"/>
  <c r="C173"/>
  <c r="D173"/>
  <c r="F174"/>
  <c r="H175"/>
  <c r="G173"/>
  <c r="F173"/>
  <c r="H174"/>
  <c r="E173"/>
  <c r="D175"/>
  <c r="C174"/>
  <c r="H173"/>
  <c r="C175"/>
  <c r="G175"/>
  <c r="G174"/>
  <c r="D174"/>
  <c r="E175"/>
  <c r="E174"/>
  <c r="F171"/>
  <c r="C170"/>
  <c r="H169"/>
  <c r="D171"/>
  <c r="H171"/>
  <c r="G170"/>
  <c r="D170"/>
  <c r="E170"/>
  <c r="E169"/>
  <c r="G171"/>
  <c r="C169"/>
  <c r="D169"/>
  <c r="F170"/>
  <c r="C171"/>
  <c r="G169"/>
  <c r="F169"/>
  <c r="H170"/>
  <c r="E171"/>
  <c r="G225"/>
  <c r="D225"/>
  <c r="F224"/>
  <c r="H223"/>
  <c r="C223"/>
  <c r="D224"/>
  <c r="F223"/>
  <c r="C224"/>
  <c r="G223"/>
  <c r="D223"/>
  <c r="H225"/>
  <c r="C225"/>
  <c r="G224"/>
  <c r="F225"/>
  <c r="H224"/>
  <c r="E225"/>
  <c r="E224"/>
  <c r="E223"/>
  <c r="B75" i="21"/>
  <c r="B133"/>
  <c r="D90" i="24" l="1"/>
  <c r="B148" i="21"/>
  <c r="I88" i="24" s="1"/>
  <c r="E260" s="1"/>
  <c r="B88"/>
  <c r="B138" i="21"/>
  <c r="I84" i="24" s="1"/>
  <c r="E251" s="1"/>
  <c r="B84"/>
  <c r="D86"/>
  <c r="J75" i="21"/>
  <c r="L75"/>
  <c r="B250" i="24" l="1"/>
  <c r="B251"/>
  <c r="C260"/>
  <c r="D260"/>
  <c r="C261"/>
  <c r="D261"/>
  <c r="G260"/>
  <c r="F260"/>
  <c r="G261"/>
  <c r="F261"/>
  <c r="E261"/>
  <c r="G250"/>
  <c r="F250"/>
  <c r="G251"/>
  <c r="F251"/>
  <c r="C250"/>
  <c r="D250"/>
  <c r="C251"/>
  <c r="D251"/>
  <c r="B261"/>
  <c r="B260"/>
  <c r="E250"/>
  <c r="C62" i="21"/>
  <c r="C66"/>
  <c r="C74"/>
  <c r="C54"/>
  <c r="B66" l="1"/>
  <c r="B62"/>
  <c r="B74"/>
  <c r="B54"/>
  <c r="C94" l="1"/>
  <c r="D24" i="25"/>
  <c r="E69" i="24"/>
  <c r="C85" i="21"/>
  <c r="C49"/>
  <c r="D14" i="25"/>
  <c r="E59" i="24"/>
  <c r="E90" l="1"/>
  <c r="C153" i="21"/>
  <c r="C163" i="24"/>
  <c r="G163"/>
  <c r="C162"/>
  <c r="H161"/>
  <c r="F163"/>
  <c r="G161"/>
  <c r="F161"/>
  <c r="H162"/>
  <c r="E163"/>
  <c r="H163"/>
  <c r="C161"/>
  <c r="D161"/>
  <c r="F162"/>
  <c r="D163"/>
  <c r="G162"/>
  <c r="D162"/>
  <c r="E162"/>
  <c r="E161"/>
  <c r="F199"/>
  <c r="F197"/>
  <c r="H199"/>
  <c r="H197"/>
  <c r="E198"/>
  <c r="E197"/>
  <c r="G199"/>
  <c r="G197"/>
  <c r="F198"/>
  <c r="G198"/>
  <c r="H198"/>
  <c r="E199"/>
  <c r="B97" i="21"/>
  <c r="C67"/>
  <c r="C126"/>
  <c r="E80" i="24"/>
  <c r="B90" l="1"/>
  <c r="B153" i="21"/>
  <c r="I90" i="24" s="1"/>
  <c r="E266" s="1"/>
  <c r="D32" i="25"/>
  <c r="C115" i="21"/>
  <c r="E77" i="24"/>
  <c r="B67" i="21"/>
  <c r="E75" i="24"/>
  <c r="D30" i="25"/>
  <c r="C107" i="21"/>
  <c r="E82" i="24"/>
  <c r="C132" i="21"/>
  <c r="E86" i="24"/>
  <c r="C143" i="21"/>
  <c r="B94"/>
  <c r="B126"/>
  <c r="B80" i="24"/>
  <c r="B266" l="1"/>
  <c r="B265"/>
  <c r="F265"/>
  <c r="F266"/>
  <c r="G265"/>
  <c r="G266"/>
  <c r="C266"/>
  <c r="C265"/>
  <c r="D266"/>
  <c r="D265"/>
  <c r="E265"/>
  <c r="C172" i="21"/>
  <c r="I80" i="24"/>
  <c r="B82"/>
  <c r="B132" i="21"/>
  <c r="B143"/>
  <c r="B86" i="24"/>
  <c r="B239" l="1"/>
  <c r="B238"/>
  <c r="B240"/>
  <c r="I86"/>
  <c r="B256" s="1"/>
  <c r="I82"/>
  <c r="B246" s="1"/>
  <c r="B255"/>
  <c r="B245"/>
  <c r="C238"/>
  <c r="D240"/>
  <c r="F239"/>
  <c r="G240"/>
  <c r="D239"/>
  <c r="F238"/>
  <c r="C240"/>
  <c r="G239"/>
  <c r="D238"/>
  <c r="C239"/>
  <c r="G238"/>
  <c r="F240"/>
  <c r="E239"/>
  <c r="E240"/>
  <c r="E238"/>
  <c r="B244" l="1"/>
  <c r="F255"/>
  <c r="F256"/>
  <c r="G255"/>
  <c r="G256"/>
  <c r="C255"/>
  <c r="C256"/>
  <c r="D256"/>
  <c r="D255"/>
  <c r="E256"/>
  <c r="E255"/>
  <c r="D246"/>
  <c r="G246"/>
  <c r="F246"/>
  <c r="G245"/>
  <c r="G244"/>
  <c r="F244"/>
  <c r="F245"/>
  <c r="C245"/>
  <c r="D245"/>
  <c r="C244"/>
  <c r="C246"/>
  <c r="D244"/>
  <c r="E245"/>
  <c r="E244"/>
  <c r="E246"/>
  <c r="H80" l="1"/>
  <c r="H82"/>
  <c r="H84"/>
  <c r="H88"/>
  <c r="H90"/>
  <c r="H86"/>
  <c r="H256" l="1"/>
  <c r="H255"/>
  <c r="H266"/>
  <c r="H265"/>
  <c r="H261"/>
  <c r="H260"/>
  <c r="H251"/>
  <c r="H250"/>
  <c r="H244"/>
  <c r="H246"/>
  <c r="H245"/>
  <c r="H239"/>
  <c r="H238"/>
  <c r="H240"/>
  <c r="F72" l="1"/>
  <c r="G72" l="1"/>
  <c r="G208" s="1"/>
  <c r="F209"/>
  <c r="F208"/>
  <c r="E209"/>
  <c r="E208"/>
  <c r="G209" l="1"/>
  <c r="B78" l="1"/>
  <c r="B119" i="21"/>
  <c r="G70" i="24" l="1"/>
  <c r="F70"/>
  <c r="F203" s="1"/>
  <c r="I78"/>
  <c r="B231" s="1"/>
  <c r="F202"/>
  <c r="E202" l="1"/>
  <c r="G201"/>
  <c r="B232"/>
  <c r="B233"/>
  <c r="G203"/>
  <c r="F201"/>
  <c r="G202"/>
  <c r="E203"/>
  <c r="E201"/>
  <c r="C233"/>
  <c r="G232"/>
  <c r="F233"/>
  <c r="H232"/>
  <c r="G233"/>
  <c r="D233"/>
  <c r="F232"/>
  <c r="H231"/>
  <c r="C231"/>
  <c r="D232"/>
  <c r="F231"/>
  <c r="C232"/>
  <c r="G231"/>
  <c r="D231"/>
  <c r="H233"/>
  <c r="E231"/>
  <c r="E232"/>
  <c r="E233"/>
  <c r="G71" l="1"/>
  <c r="F71"/>
  <c r="F206" l="1"/>
  <c r="F205"/>
  <c r="E206"/>
  <c r="E205"/>
  <c r="G205"/>
  <c r="G206"/>
  <c r="D68" l="1"/>
  <c r="B68"/>
  <c r="B81" i="21"/>
  <c r="C77" i="24"/>
  <c r="C68"/>
  <c r="D71" l="1"/>
  <c r="B70"/>
  <c r="B89" i="21"/>
  <c r="B65"/>
  <c r="B63" i="24"/>
  <c r="B115" i="21"/>
  <c r="B77" i="24"/>
  <c r="B85" i="21"/>
  <c r="B69" i="24"/>
  <c r="D69"/>
  <c r="B71"/>
  <c r="B93" i="21"/>
  <c r="C66" i="24"/>
  <c r="C189" s="1"/>
  <c r="D72"/>
  <c r="C60"/>
  <c r="C67"/>
  <c r="C191" s="1"/>
  <c r="C194"/>
  <c r="C195"/>
  <c r="C193"/>
  <c r="B194"/>
  <c r="B195"/>
  <c r="B193"/>
  <c r="D195"/>
  <c r="D193"/>
  <c r="D194"/>
  <c r="C63"/>
  <c r="B96" i="21"/>
  <c r="B72" i="24"/>
  <c r="D77"/>
  <c r="B67"/>
  <c r="B191" s="1"/>
  <c r="B79" i="21"/>
  <c r="D70" i="24"/>
  <c r="C70"/>
  <c r="C71"/>
  <c r="B66"/>
  <c r="B189" s="1"/>
  <c r="B77" i="21"/>
  <c r="C69" i="24"/>
  <c r="C72"/>
  <c r="C65"/>
  <c r="I68"/>
  <c r="B49" i="21" l="1"/>
  <c r="B59" i="24"/>
  <c r="H70"/>
  <c r="H72"/>
  <c r="I66"/>
  <c r="B64"/>
  <c r="B69" i="21"/>
  <c r="B103"/>
  <c r="B74" i="24"/>
  <c r="B61"/>
  <c r="B57" i="21"/>
  <c r="I67" i="24"/>
  <c r="B209"/>
  <c r="B208"/>
  <c r="B65"/>
  <c r="B73" i="21"/>
  <c r="B107"/>
  <c r="B75" i="24"/>
  <c r="C166"/>
  <c r="C165"/>
  <c r="C167"/>
  <c r="D209"/>
  <c r="D208"/>
  <c r="B205"/>
  <c r="B206"/>
  <c r="D197"/>
  <c r="D199"/>
  <c r="D198"/>
  <c r="I69"/>
  <c r="I77"/>
  <c r="D227" s="1"/>
  <c r="I63"/>
  <c r="B202"/>
  <c r="B203"/>
  <c r="B201"/>
  <c r="D206"/>
  <c r="D205"/>
  <c r="H71"/>
  <c r="C185"/>
  <c r="C187"/>
  <c r="C186"/>
  <c r="C209"/>
  <c r="C208"/>
  <c r="C199"/>
  <c r="C198"/>
  <c r="C197"/>
  <c r="C206"/>
  <c r="C205"/>
  <c r="C203"/>
  <c r="C201"/>
  <c r="C202"/>
  <c r="D203"/>
  <c r="D201"/>
  <c r="D202"/>
  <c r="I72"/>
  <c r="C179"/>
  <c r="C178"/>
  <c r="C177"/>
  <c r="B60"/>
  <c r="B53" i="21"/>
  <c r="I71" i="24"/>
  <c r="B199"/>
  <c r="B198"/>
  <c r="B197"/>
  <c r="B178"/>
  <c r="B177"/>
  <c r="B179"/>
  <c r="B99" i="21"/>
  <c r="B73" i="24"/>
  <c r="I70"/>
  <c r="B61" i="21"/>
  <c r="B62" i="24"/>
  <c r="B229" l="1"/>
  <c r="D229"/>
  <c r="B228"/>
  <c r="B227"/>
  <c r="D228"/>
  <c r="B174"/>
  <c r="B173"/>
  <c r="B175"/>
  <c r="I73"/>
  <c r="B167"/>
  <c r="B166"/>
  <c r="B165"/>
  <c r="I75"/>
  <c r="B185"/>
  <c r="B187"/>
  <c r="B186"/>
  <c r="I61"/>
  <c r="I64"/>
  <c r="H209"/>
  <c r="H208"/>
  <c r="H203"/>
  <c r="H201"/>
  <c r="H202"/>
  <c r="I59"/>
  <c r="B172" i="21"/>
  <c r="I62" i="24"/>
  <c r="B213"/>
  <c r="B211"/>
  <c r="B212"/>
  <c r="I60"/>
  <c r="H206"/>
  <c r="H205"/>
  <c r="C229"/>
  <c r="G228"/>
  <c r="H229"/>
  <c r="G229"/>
  <c r="F229"/>
  <c r="H228"/>
  <c r="F228"/>
  <c r="H227"/>
  <c r="G227"/>
  <c r="F227"/>
  <c r="E229"/>
  <c r="E228"/>
  <c r="E227"/>
  <c r="C227"/>
  <c r="C228"/>
  <c r="B219"/>
  <c r="B221"/>
  <c r="B220"/>
  <c r="I65"/>
  <c r="B171"/>
  <c r="B170"/>
  <c r="B169"/>
  <c r="I74"/>
  <c r="B215" s="1"/>
  <c r="B181"/>
  <c r="B183"/>
  <c r="B182"/>
  <c r="B163"/>
  <c r="B162"/>
  <c r="B161"/>
  <c r="B217" l="1"/>
  <c r="E217"/>
  <c r="G216"/>
  <c r="D215"/>
  <c r="H217"/>
  <c r="C215"/>
  <c r="G217"/>
  <c r="D216"/>
  <c r="F215"/>
  <c r="G215"/>
  <c r="D217"/>
  <c r="F216"/>
  <c r="H215"/>
  <c r="C216"/>
  <c r="C217"/>
  <c r="F217"/>
  <c r="H216"/>
  <c r="E216"/>
  <c r="E215"/>
  <c r="E220"/>
  <c r="G221"/>
  <c r="D220"/>
  <c r="F219"/>
  <c r="C221"/>
  <c r="G220"/>
  <c r="D219"/>
  <c r="H221"/>
  <c r="C220"/>
  <c r="G219"/>
  <c r="F221"/>
  <c r="H220"/>
  <c r="C219"/>
  <c r="D221"/>
  <c r="F220"/>
  <c r="H219"/>
  <c r="E219"/>
  <c r="E221"/>
  <c r="E212"/>
  <c r="G213"/>
  <c r="F213"/>
  <c r="H212"/>
  <c r="C212"/>
  <c r="D211"/>
  <c r="H213"/>
  <c r="G211"/>
  <c r="C213"/>
  <c r="D212"/>
  <c r="F211"/>
  <c r="C211"/>
  <c r="D213"/>
  <c r="F212"/>
  <c r="H211"/>
  <c r="G212"/>
  <c r="E211"/>
  <c r="E213"/>
  <c r="B216"/>
  <c r="J146" i="21" l="1"/>
  <c r="L134" l="1"/>
  <c r="B297" i="6" l="1"/>
  <c r="I297" s="1"/>
  <c r="B307"/>
  <c r="B246"/>
  <c r="C246" s="1"/>
  <c r="G246" s="1"/>
  <c r="B290"/>
  <c r="C330" i="19" s="1"/>
  <c r="B317" i="6"/>
  <c r="F357" i="19" s="1"/>
  <c r="B249" i="6"/>
  <c r="F289" i="19" s="1"/>
  <c r="B245" i="6"/>
  <c r="G285" i="19" s="1"/>
  <c r="I56" i="20" s="1"/>
  <c r="B296" i="6"/>
  <c r="G336" i="19" s="1"/>
  <c r="I66" i="20" s="1"/>
  <c r="B283" i="6"/>
  <c r="D323" i="19" s="1"/>
  <c r="B312" i="6"/>
  <c r="F352" i="19" s="1"/>
  <c r="G149" i="21" s="1"/>
  <c r="B284" i="6"/>
  <c r="C324" i="19" s="1"/>
  <c r="B250" i="6"/>
  <c r="F290" i="19" s="1"/>
  <c r="G87" i="21" s="1"/>
  <c r="B302" i="6"/>
  <c r="F342" i="19" s="1"/>
  <c r="B287" i="6"/>
  <c r="G327" i="19" s="1"/>
  <c r="B291" i="6"/>
  <c r="G331" i="19" s="1"/>
  <c r="B253" i="6"/>
  <c r="C253" s="1"/>
  <c r="G253" s="1"/>
  <c r="B254"/>
  <c r="C254" s="1"/>
  <c r="G254" s="1"/>
  <c r="B238"/>
  <c r="C238" s="1"/>
  <c r="G238" s="1"/>
  <c r="B218"/>
  <c r="C218" s="1"/>
  <c r="G218" s="1"/>
  <c r="B225"/>
  <c r="C225" s="1"/>
  <c r="G225" s="1"/>
  <c r="B237"/>
  <c r="C237" s="1"/>
  <c r="G237" s="1"/>
  <c r="B257"/>
  <c r="C257" s="1"/>
  <c r="G257" s="1"/>
  <c r="B226"/>
  <c r="C226" s="1"/>
  <c r="G226" s="1"/>
  <c r="B260"/>
  <c r="C260" s="1"/>
  <c r="G260" s="1"/>
  <c r="B217"/>
  <c r="C217" s="1"/>
  <c r="G217" s="1"/>
  <c r="B213"/>
  <c r="B214"/>
  <c r="B229"/>
  <c r="C229" s="1"/>
  <c r="G229" s="1"/>
  <c r="B230"/>
  <c r="B319"/>
  <c r="C319" s="1"/>
  <c r="G319" s="1"/>
  <c r="E366" s="1"/>
  <c r="E1048" i="22" s="1"/>
  <c r="B316" i="6"/>
  <c r="C316" s="1"/>
  <c r="G316" s="1"/>
  <c r="E365" s="1"/>
  <c r="E1016" i="22" s="1"/>
  <c r="B295" i="6"/>
  <c r="B309"/>
  <c r="B286"/>
  <c r="C286" s="1"/>
  <c r="G286" s="1"/>
  <c r="E354" s="1"/>
  <c r="C664" i="22" s="1"/>
  <c r="B293" i="6"/>
  <c r="C293" s="1"/>
  <c r="G293" s="1"/>
  <c r="E356" s="1"/>
  <c r="C728" i="22" s="1"/>
  <c r="B289" i="6"/>
  <c r="C289" s="1"/>
  <c r="G289" s="1"/>
  <c r="E355" s="1"/>
  <c r="C696" i="22" s="1"/>
  <c r="B306" i="6"/>
  <c r="C306" s="1"/>
  <c r="G306" s="1"/>
  <c r="E361" s="1"/>
  <c r="E888" i="22" s="1"/>
  <c r="B282" i="6"/>
  <c r="C282" s="1"/>
  <c r="G282" s="1"/>
  <c r="E353" s="1"/>
  <c r="C632" i="22" s="1"/>
  <c r="B271" i="6"/>
  <c r="B267"/>
  <c r="C267" s="1"/>
  <c r="B221"/>
  <c r="C221" s="1"/>
  <c r="B266"/>
  <c r="B220"/>
  <c r="B270"/>
  <c r="C270" s="1"/>
  <c r="B232"/>
  <c r="C232" s="1"/>
  <c r="B278"/>
  <c r="B262"/>
  <c r="B275"/>
  <c r="B274"/>
  <c r="C274" s="1"/>
  <c r="G274" s="1"/>
  <c r="B276"/>
  <c r="C276" s="1"/>
  <c r="B301"/>
  <c r="C301" s="1"/>
  <c r="G301" s="1"/>
  <c r="E359" s="1"/>
  <c r="C824" i="22" s="1"/>
  <c r="B299" i="6"/>
  <c r="C299" s="1"/>
  <c r="G299" s="1"/>
  <c r="E358" s="1"/>
  <c r="E792" i="22" s="1"/>
  <c r="B311" i="6"/>
  <c r="B304"/>
  <c r="C304" s="1"/>
  <c r="G304" s="1"/>
  <c r="E360" s="1"/>
  <c r="C856" i="22" s="1"/>
  <c r="B314" i="6"/>
  <c r="C314" s="1"/>
  <c r="G314" s="1"/>
  <c r="E364" s="1"/>
  <c r="C984" i="22" s="1"/>
  <c r="B240" i="6"/>
  <c r="C240" s="1"/>
  <c r="G240" s="1"/>
  <c r="E341" s="1"/>
  <c r="B242"/>
  <c r="C242" s="1"/>
  <c r="G242" s="1"/>
  <c r="E342" s="1"/>
  <c r="B224"/>
  <c r="C224" s="1"/>
  <c r="G224" s="1"/>
  <c r="B248"/>
  <c r="C248" s="1"/>
  <c r="G248" s="1"/>
  <c r="B228"/>
  <c r="C228" s="1"/>
  <c r="G228" s="1"/>
  <c r="B244"/>
  <c r="C244" s="1"/>
  <c r="G244" s="1"/>
  <c r="B216"/>
  <c r="C216" s="1"/>
  <c r="G216" s="1"/>
  <c r="B236"/>
  <c r="C236" s="1"/>
  <c r="G236" s="1"/>
  <c r="B256"/>
  <c r="C256" s="1"/>
  <c r="G256" s="1"/>
  <c r="E346" s="1"/>
  <c r="E418" i="22" s="1"/>
  <c r="B252" i="6"/>
  <c r="C252" s="1"/>
  <c r="G252" s="1"/>
  <c r="B259"/>
  <c r="C259" s="1"/>
  <c r="G259" s="1"/>
  <c r="E347" s="1"/>
  <c r="E450" i="22" s="1"/>
  <c r="B222" i="6"/>
  <c r="C222" s="1"/>
  <c r="G222" s="1"/>
  <c r="B268"/>
  <c r="C268" s="1"/>
  <c r="B272"/>
  <c r="C272" s="1"/>
  <c r="G272" s="1"/>
  <c r="B279"/>
  <c r="C279" s="1"/>
  <c r="B263"/>
  <c r="C263" s="1"/>
  <c r="B234"/>
  <c r="C234" s="1"/>
  <c r="G234" s="1"/>
  <c r="B233"/>
  <c r="C233" s="1"/>
  <c r="G233" s="1"/>
  <c r="B264"/>
  <c r="C264" s="1"/>
  <c r="B212"/>
  <c r="B280"/>
  <c r="E337" l="1"/>
  <c r="E335"/>
  <c r="C28" i="14" s="1"/>
  <c r="E345" i="6"/>
  <c r="E386" i="22" s="1"/>
  <c r="E340" i="6"/>
  <c r="C31" i="14" s="1"/>
  <c r="G263" i="6"/>
  <c r="E303" i="19"/>
  <c r="G268" i="6"/>
  <c r="E308" i="19"/>
  <c r="C32" i="14"/>
  <c r="D258" i="22"/>
  <c r="G264" i="6"/>
  <c r="E304" i="19"/>
  <c r="G279" i="6"/>
  <c r="E319" i="19"/>
  <c r="C33" i="14"/>
  <c r="D290" i="22"/>
  <c r="F992"/>
  <c r="F994"/>
  <c r="F1002"/>
  <c r="F999"/>
  <c r="F998"/>
  <c r="E984"/>
  <c r="F1008"/>
  <c r="F997"/>
  <c r="F995"/>
  <c r="F1009"/>
  <c r="F1007"/>
  <c r="F987"/>
  <c r="F993"/>
  <c r="F988"/>
  <c r="F996"/>
  <c r="F1004"/>
  <c r="F1003"/>
  <c r="F1006"/>
  <c r="F991"/>
  <c r="F1000"/>
  <c r="F989"/>
  <c r="F1001"/>
  <c r="F990"/>
  <c r="F1005"/>
  <c r="G270" i="6"/>
  <c r="E310" i="19"/>
  <c r="G267" i="6"/>
  <c r="E307" i="19"/>
  <c r="C29" i="14"/>
  <c r="C134" i="22"/>
  <c r="F865"/>
  <c r="F861"/>
  <c r="F866"/>
  <c r="F879"/>
  <c r="F873"/>
  <c r="F870"/>
  <c r="F880"/>
  <c r="F874"/>
  <c r="F878"/>
  <c r="F876"/>
  <c r="F862"/>
  <c r="F860"/>
  <c r="F864"/>
  <c r="E856"/>
  <c r="F875"/>
  <c r="F877"/>
  <c r="F881"/>
  <c r="F863"/>
  <c r="F871"/>
  <c r="F868"/>
  <c r="F872"/>
  <c r="F867"/>
  <c r="F869"/>
  <c r="F859"/>
  <c r="G276" i="6"/>
  <c r="E316" i="19"/>
  <c r="G232" i="6"/>
  <c r="E339" s="1"/>
  <c r="E272" i="19"/>
  <c r="G221" i="6"/>
  <c r="E261" i="19"/>
  <c r="D280" i="6"/>
  <c r="H280"/>
  <c r="J280"/>
  <c r="I280"/>
  <c r="F280"/>
  <c r="E280"/>
  <c r="G320" i="19"/>
  <c r="H320"/>
  <c r="F320"/>
  <c r="J212" i="6"/>
  <c r="I212"/>
  <c r="H212"/>
  <c r="D252" i="19"/>
  <c r="C252"/>
  <c r="E212" i="6"/>
  <c r="F212"/>
  <c r="H252" i="19"/>
  <c r="F233" i="6"/>
  <c r="H233"/>
  <c r="E233"/>
  <c r="J233"/>
  <c r="D233"/>
  <c r="I233"/>
  <c r="D273" i="19"/>
  <c r="F273"/>
  <c r="H273"/>
  <c r="G273"/>
  <c r="C273"/>
  <c r="H234" i="6"/>
  <c r="J234"/>
  <c r="I234"/>
  <c r="E234"/>
  <c r="F234"/>
  <c r="D234"/>
  <c r="C274" i="19"/>
  <c r="F274"/>
  <c r="G274"/>
  <c r="D274"/>
  <c r="H274"/>
  <c r="I272" i="6"/>
  <c r="E272"/>
  <c r="F272"/>
  <c r="D272"/>
  <c r="H272"/>
  <c r="J272"/>
  <c r="G312" i="19"/>
  <c r="C312"/>
  <c r="F312"/>
  <c r="H312"/>
  <c r="D312"/>
  <c r="J222" i="6"/>
  <c r="F222"/>
  <c r="I222"/>
  <c r="E222"/>
  <c r="D222"/>
  <c r="H222"/>
  <c r="G262" i="19"/>
  <c r="D262"/>
  <c r="F262"/>
  <c r="C262"/>
  <c r="H262"/>
  <c r="J259" i="6"/>
  <c r="I259"/>
  <c r="F259"/>
  <c r="E259"/>
  <c r="H259"/>
  <c r="D259"/>
  <c r="H276" i="19"/>
  <c r="H236" i="6"/>
  <c r="G276" i="19"/>
  <c r="D276"/>
  <c r="I236" i="6"/>
  <c r="F276" i="19"/>
  <c r="J236" i="6"/>
  <c r="F236"/>
  <c r="E236"/>
  <c r="D236"/>
  <c r="G268" i="19"/>
  <c r="J228" i="6"/>
  <c r="H228"/>
  <c r="D268" i="19"/>
  <c r="H268"/>
  <c r="F268"/>
  <c r="I228" i="6"/>
  <c r="E228"/>
  <c r="F228"/>
  <c r="D228"/>
  <c r="F311"/>
  <c r="C351" i="19"/>
  <c r="F351"/>
  <c r="G351"/>
  <c r="H311" i="6"/>
  <c r="E311"/>
  <c r="D351" i="19"/>
  <c r="I311" i="6"/>
  <c r="D311"/>
  <c r="J311"/>
  <c r="I816" i="22"/>
  <c r="G792"/>
  <c r="I810"/>
  <c r="I806"/>
  <c r="I808"/>
  <c r="I797"/>
  <c r="I803"/>
  <c r="I807"/>
  <c r="I815"/>
  <c r="I801"/>
  <c r="I811"/>
  <c r="I795"/>
  <c r="I802"/>
  <c r="I799"/>
  <c r="I798"/>
  <c r="I805"/>
  <c r="I813"/>
  <c r="I812"/>
  <c r="I796"/>
  <c r="I814"/>
  <c r="I804"/>
  <c r="I809"/>
  <c r="I800"/>
  <c r="I817"/>
  <c r="H299" i="6"/>
  <c r="F358" s="1"/>
  <c r="I299"/>
  <c r="G358" s="1"/>
  <c r="H339" i="19"/>
  <c r="F339"/>
  <c r="E299" i="6"/>
  <c r="C358" s="1"/>
  <c r="C792" i="22" s="1"/>
  <c r="F299" i="6"/>
  <c r="D358" s="1"/>
  <c r="D792" i="22" s="1"/>
  <c r="G339" i="19"/>
  <c r="J299" i="6"/>
  <c r="H358" s="1"/>
  <c r="D299"/>
  <c r="B358" s="1"/>
  <c r="E275"/>
  <c r="D275"/>
  <c r="J275"/>
  <c r="F275"/>
  <c r="I275"/>
  <c r="H275"/>
  <c r="F315" i="19"/>
  <c r="H315"/>
  <c r="G315"/>
  <c r="C315"/>
  <c r="D315"/>
  <c r="H262" i="6"/>
  <c r="D302" i="19"/>
  <c r="C302"/>
  <c r="J262" i="6"/>
  <c r="I262"/>
  <c r="G302" i="19"/>
  <c r="E262" i="6"/>
  <c r="F302" i="19"/>
  <c r="H302"/>
  <c r="F262" i="6"/>
  <c r="D262"/>
  <c r="H318" i="19"/>
  <c r="I278" i="6"/>
  <c r="G318" i="19"/>
  <c r="H278" i="6"/>
  <c r="J278"/>
  <c r="F318" i="19"/>
  <c r="F278" i="6"/>
  <c r="D278"/>
  <c r="E278"/>
  <c r="D260" i="19"/>
  <c r="C260"/>
  <c r="H220" i="6"/>
  <c r="J220"/>
  <c r="G260" i="19"/>
  <c r="H260"/>
  <c r="F260"/>
  <c r="E220" i="6"/>
  <c r="I220"/>
  <c r="F220"/>
  <c r="D220"/>
  <c r="H266"/>
  <c r="C306" i="19"/>
  <c r="D306"/>
  <c r="J266" i="6"/>
  <c r="H306" i="19"/>
  <c r="F306"/>
  <c r="E266" i="6"/>
  <c r="G306" i="19"/>
  <c r="I266" i="6"/>
  <c r="F266"/>
  <c r="D266"/>
  <c r="F271"/>
  <c r="D271"/>
  <c r="H271"/>
  <c r="J271"/>
  <c r="I271"/>
  <c r="E271"/>
  <c r="C311" i="19"/>
  <c r="D311"/>
  <c r="G311"/>
  <c r="H311"/>
  <c r="F311"/>
  <c r="F735" i="22"/>
  <c r="F737"/>
  <c r="E728"/>
  <c r="F745"/>
  <c r="F747"/>
  <c r="F753"/>
  <c r="F752"/>
  <c r="F738"/>
  <c r="F742"/>
  <c r="F733"/>
  <c r="F741"/>
  <c r="F743"/>
  <c r="F732"/>
  <c r="F740"/>
  <c r="F736"/>
  <c r="F751"/>
  <c r="F748"/>
  <c r="F744"/>
  <c r="F739"/>
  <c r="F749"/>
  <c r="F750"/>
  <c r="F734"/>
  <c r="F746"/>
  <c r="F731"/>
  <c r="I1054"/>
  <c r="I1057"/>
  <c r="G1048"/>
  <c r="I1070"/>
  <c r="I1067"/>
  <c r="I1073"/>
  <c r="I1060"/>
  <c r="I1061"/>
  <c r="I1069"/>
  <c r="I1064"/>
  <c r="I1066"/>
  <c r="I1056"/>
  <c r="I1058"/>
  <c r="I1059"/>
  <c r="I1071"/>
  <c r="I1065"/>
  <c r="I1068"/>
  <c r="I1072"/>
  <c r="I1052"/>
  <c r="I1063"/>
  <c r="I1053"/>
  <c r="I1055"/>
  <c r="I1062"/>
  <c r="I1051"/>
  <c r="C280" i="6"/>
  <c r="D212"/>
  <c r="E273" i="19"/>
  <c r="E274"/>
  <c r="E312"/>
  <c r="E262"/>
  <c r="C212" i="6"/>
  <c r="G212" s="1"/>
  <c r="F252" i="19"/>
  <c r="G252"/>
  <c r="D264" i="6"/>
  <c r="H264"/>
  <c r="E264"/>
  <c r="I264"/>
  <c r="F264"/>
  <c r="J264"/>
  <c r="F304" i="19"/>
  <c r="H304"/>
  <c r="G304"/>
  <c r="C304"/>
  <c r="D304"/>
  <c r="E263" i="6"/>
  <c r="F263"/>
  <c r="I263"/>
  <c r="D263"/>
  <c r="H263"/>
  <c r="J263"/>
  <c r="D303" i="19"/>
  <c r="F303"/>
  <c r="H303"/>
  <c r="C303"/>
  <c r="G303"/>
  <c r="H279" i="6"/>
  <c r="I279"/>
  <c r="F279"/>
  <c r="E279"/>
  <c r="D279"/>
  <c r="J279"/>
  <c r="F319" i="19"/>
  <c r="H319"/>
  <c r="G319"/>
  <c r="I268" i="6"/>
  <c r="D268"/>
  <c r="E268"/>
  <c r="J268"/>
  <c r="H268"/>
  <c r="F268"/>
  <c r="H308" i="19"/>
  <c r="C308"/>
  <c r="D308"/>
  <c r="G308"/>
  <c r="F308"/>
  <c r="J252" i="6"/>
  <c r="I252"/>
  <c r="E252"/>
  <c r="F252"/>
  <c r="D252"/>
  <c r="H252"/>
  <c r="I256"/>
  <c r="J256"/>
  <c r="F256"/>
  <c r="E256"/>
  <c r="D256"/>
  <c r="H256"/>
  <c r="F256" i="19"/>
  <c r="H216" i="6"/>
  <c r="G256" i="19"/>
  <c r="H256"/>
  <c r="D256"/>
  <c r="I216" i="6"/>
  <c r="J216"/>
  <c r="F216"/>
  <c r="E216"/>
  <c r="D216"/>
  <c r="H284" i="19"/>
  <c r="I244" i="6"/>
  <c r="F284" i="19"/>
  <c r="J244" i="6"/>
  <c r="G284" i="19"/>
  <c r="E244" i="6"/>
  <c r="F244"/>
  <c r="D244"/>
  <c r="H244"/>
  <c r="I248"/>
  <c r="J248"/>
  <c r="G288" i="19"/>
  <c r="H288"/>
  <c r="H248" i="6"/>
  <c r="F288" i="19"/>
  <c r="F248" i="6"/>
  <c r="E248"/>
  <c r="D248"/>
  <c r="H224"/>
  <c r="F224"/>
  <c r="D264" i="19"/>
  <c r="I224" i="6"/>
  <c r="H264" i="19"/>
  <c r="F264"/>
  <c r="E224" i="6"/>
  <c r="C264" i="19"/>
  <c r="G264"/>
  <c r="J224" i="6"/>
  <c r="D224"/>
  <c r="J242"/>
  <c r="H342" s="1"/>
  <c r="H242"/>
  <c r="F342" s="1"/>
  <c r="H282" i="19"/>
  <c r="I242" i="6"/>
  <c r="G342" s="1"/>
  <c r="F242"/>
  <c r="D342" s="1"/>
  <c r="D64" i="18" s="1"/>
  <c r="C214" s="1"/>
  <c r="D282" i="19"/>
  <c r="F282"/>
  <c r="G282"/>
  <c r="E242" i="6"/>
  <c r="C342" s="1"/>
  <c r="D242"/>
  <c r="B342" s="1"/>
  <c r="J240"/>
  <c r="H341" s="1"/>
  <c r="H240"/>
  <c r="F341" s="1"/>
  <c r="D280" i="19"/>
  <c r="I240" i="6"/>
  <c r="G341" s="1"/>
  <c r="F240"/>
  <c r="D341" s="1"/>
  <c r="D63" i="18" s="1"/>
  <c r="C213" s="1"/>
  <c r="G280" i="19"/>
  <c r="H280"/>
  <c r="F280"/>
  <c r="E240" i="6"/>
  <c r="C341" s="1"/>
  <c r="D240"/>
  <c r="B341" s="1"/>
  <c r="I314"/>
  <c r="G364" s="1"/>
  <c r="J314"/>
  <c r="H364" s="1"/>
  <c r="F354" i="19"/>
  <c r="H354"/>
  <c r="E314" i="6"/>
  <c r="C364" s="1"/>
  <c r="H314"/>
  <c r="F364" s="1"/>
  <c r="F314"/>
  <c r="D364" s="1"/>
  <c r="D354" i="19"/>
  <c r="C354"/>
  <c r="G354"/>
  <c r="D314" i="6"/>
  <c r="B364" s="1"/>
  <c r="J304"/>
  <c r="H360" s="1"/>
  <c r="H304"/>
  <c r="F360" s="1"/>
  <c r="F304"/>
  <c r="D360" s="1"/>
  <c r="G344" i="19"/>
  <c r="F344"/>
  <c r="H344"/>
  <c r="C344"/>
  <c r="I304" i="6"/>
  <c r="G360" s="1"/>
  <c r="D344" i="19"/>
  <c r="D304" i="6"/>
  <c r="B360" s="1"/>
  <c r="E304"/>
  <c r="C360" s="1"/>
  <c r="F341" i="19"/>
  <c r="F301" i="6"/>
  <c r="C341" i="19"/>
  <c r="H301" i="6"/>
  <c r="D341" i="19"/>
  <c r="G341"/>
  <c r="D301" i="6"/>
  <c r="J301"/>
  <c r="E301"/>
  <c r="I301"/>
  <c r="H276"/>
  <c r="I276"/>
  <c r="E276"/>
  <c r="H316" i="19"/>
  <c r="C316"/>
  <c r="F276" i="6"/>
  <c r="D276"/>
  <c r="J276"/>
  <c r="F316" i="19"/>
  <c r="G316"/>
  <c r="D316"/>
  <c r="F314"/>
  <c r="H314"/>
  <c r="G314"/>
  <c r="C314"/>
  <c r="H274" i="6"/>
  <c r="J274"/>
  <c r="D314" i="19"/>
  <c r="E274" i="6"/>
  <c r="C351" s="1"/>
  <c r="C73" i="18" s="1"/>
  <c r="C190" s="1"/>
  <c r="F274" i="6"/>
  <c r="D351" s="1"/>
  <c r="D73" i="18" s="1"/>
  <c r="C223" s="1"/>
  <c r="I274" i="6"/>
  <c r="D274"/>
  <c r="C272" i="19"/>
  <c r="I232" i="6"/>
  <c r="G339" s="1"/>
  <c r="F272" i="19"/>
  <c r="G272"/>
  <c r="J232" i="6"/>
  <c r="H339" s="1"/>
  <c r="H272" i="19"/>
  <c r="D272"/>
  <c r="H232" i="6"/>
  <c r="F339" s="1"/>
  <c r="D232"/>
  <c r="F232"/>
  <c r="D339" s="1"/>
  <c r="D61" i="18" s="1"/>
  <c r="C211" s="1"/>
  <c r="E232" i="6"/>
  <c r="C339" s="1"/>
  <c r="C61" i="18" s="1"/>
  <c r="C178" s="1"/>
  <c r="J270" i="6"/>
  <c r="H350" s="1"/>
  <c r="H270"/>
  <c r="F350" s="1"/>
  <c r="H310" i="19"/>
  <c r="I270" i="6"/>
  <c r="G350" s="1"/>
  <c r="F310" i="19"/>
  <c r="G310"/>
  <c r="C310"/>
  <c r="F270" i="6"/>
  <c r="D350" s="1"/>
  <c r="D72" i="18" s="1"/>
  <c r="C222" s="1"/>
  <c r="D310" i="19"/>
  <c r="E270" i="6"/>
  <c r="C350" s="1"/>
  <c r="C72" i="18" s="1"/>
  <c r="C189" s="1"/>
  <c r="F221" i="6"/>
  <c r="J221"/>
  <c r="H221"/>
  <c r="H261" i="19"/>
  <c r="C261"/>
  <c r="I221" i="6"/>
  <c r="E221"/>
  <c r="D221"/>
  <c r="F261" i="19"/>
  <c r="D261"/>
  <c r="G261"/>
  <c r="I267" i="6"/>
  <c r="E267"/>
  <c r="D267"/>
  <c r="F267"/>
  <c r="J267"/>
  <c r="H267"/>
  <c r="F307" i="19"/>
  <c r="H307"/>
  <c r="D307"/>
  <c r="G307"/>
  <c r="C307"/>
  <c r="C311" i="6"/>
  <c r="G311" s="1"/>
  <c r="E363" s="1"/>
  <c r="C952" i="22" s="1"/>
  <c r="E314" i="19"/>
  <c r="C275" i="6"/>
  <c r="C262"/>
  <c r="C278"/>
  <c r="C220"/>
  <c r="C266"/>
  <c r="C271"/>
  <c r="D270"/>
  <c r="G329" i="19"/>
  <c r="D329"/>
  <c r="C329"/>
  <c r="F289" i="6"/>
  <c r="E289"/>
  <c r="F329" i="19"/>
  <c r="J289" i="6"/>
  <c r="I289"/>
  <c r="D289"/>
  <c r="H289"/>
  <c r="H309"/>
  <c r="F362" s="1"/>
  <c r="H349" i="19"/>
  <c r="J309" i="6"/>
  <c r="H362" s="1"/>
  <c r="F309"/>
  <c r="D362" s="1"/>
  <c r="D920" i="22" s="1"/>
  <c r="F349" i="19"/>
  <c r="G349"/>
  <c r="I309" i="6"/>
  <c r="G362" s="1"/>
  <c r="E309"/>
  <c r="C362" s="1"/>
  <c r="C920" i="22" s="1"/>
  <c r="D309" i="6"/>
  <c r="B362" s="1"/>
  <c r="F295"/>
  <c r="F335" i="19"/>
  <c r="I295" i="6"/>
  <c r="G335" i="19"/>
  <c r="E295" i="6"/>
  <c r="H295"/>
  <c r="J295"/>
  <c r="D295"/>
  <c r="J316"/>
  <c r="H316"/>
  <c r="G356" i="19"/>
  <c r="F316" i="6"/>
  <c r="I316"/>
  <c r="F356" i="19"/>
  <c r="E316" i="6"/>
  <c r="D316"/>
  <c r="J319"/>
  <c r="H366" s="1"/>
  <c r="I319"/>
  <c r="G366" s="1"/>
  <c r="E319"/>
  <c r="C366" s="1"/>
  <c r="C1048" i="22" s="1"/>
  <c r="F319" i="6"/>
  <c r="D366" s="1"/>
  <c r="D1048" i="22" s="1"/>
  <c r="H359" i="19"/>
  <c r="H319" i="6"/>
  <c r="F366" s="1"/>
  <c r="F359" i="19"/>
  <c r="G359"/>
  <c r="D319" i="6"/>
  <c r="B366" s="1"/>
  <c r="F322" i="19"/>
  <c r="D322"/>
  <c r="G322"/>
  <c r="H322"/>
  <c r="E282" i="6"/>
  <c r="F282"/>
  <c r="C322" i="19"/>
  <c r="J282" i="6"/>
  <c r="D282"/>
  <c r="H282"/>
  <c r="I282"/>
  <c r="E306"/>
  <c r="G346" i="19"/>
  <c r="I306" i="6"/>
  <c r="F306"/>
  <c r="F346" i="19"/>
  <c r="J306" i="6"/>
  <c r="D306"/>
  <c r="H306"/>
  <c r="G333" i="19"/>
  <c r="E293" i="6"/>
  <c r="C356" s="1"/>
  <c r="F293"/>
  <c r="D356" s="1"/>
  <c r="F333" i="19"/>
  <c r="D333"/>
  <c r="H333"/>
  <c r="I293" i="6"/>
  <c r="G356" s="1"/>
  <c r="J293"/>
  <c r="H356" s="1"/>
  <c r="C333" i="19"/>
  <c r="H293" i="6"/>
  <c r="F356" s="1"/>
  <c r="D293"/>
  <c r="B356" s="1"/>
  <c r="J286"/>
  <c r="E286"/>
  <c r="C326" i="19"/>
  <c r="G326"/>
  <c r="H286" i="6"/>
  <c r="I286"/>
  <c r="F286"/>
  <c r="F326" i="19"/>
  <c r="D326"/>
  <c r="H326"/>
  <c r="D286" i="6"/>
  <c r="C309"/>
  <c r="G309" s="1"/>
  <c r="E362" s="1"/>
  <c r="E920" i="22" s="1"/>
  <c r="C295" i="6"/>
  <c r="G295" s="1"/>
  <c r="E357" s="1"/>
  <c r="E760" i="22" s="1"/>
  <c r="I230" i="6"/>
  <c r="D230"/>
  <c r="E230"/>
  <c r="J230"/>
  <c r="H230"/>
  <c r="F230"/>
  <c r="G270" i="19"/>
  <c r="F270"/>
  <c r="H270"/>
  <c r="D270"/>
  <c r="J214" i="6"/>
  <c r="I214"/>
  <c r="E214"/>
  <c r="H214"/>
  <c r="F214"/>
  <c r="D214"/>
  <c r="H254" i="19"/>
  <c r="G254"/>
  <c r="C254"/>
  <c r="D254"/>
  <c r="F254"/>
  <c r="J213" i="6"/>
  <c r="E213"/>
  <c r="D213"/>
  <c r="F253" i="19"/>
  <c r="G253"/>
  <c r="F213" i="6"/>
  <c r="H213"/>
  <c r="I213"/>
  <c r="D253" i="19"/>
  <c r="C253"/>
  <c r="H253"/>
  <c r="J229" i="6"/>
  <c r="D229"/>
  <c r="E229"/>
  <c r="I229"/>
  <c r="H229"/>
  <c r="F229"/>
  <c r="H269" i="19"/>
  <c r="D269"/>
  <c r="G269"/>
  <c r="F269"/>
  <c r="C230" i="6"/>
  <c r="G230" s="1"/>
  <c r="E338" s="1"/>
  <c r="C214"/>
  <c r="G214" s="1"/>
  <c r="C213"/>
  <c r="G213" s="1"/>
  <c r="F217"/>
  <c r="D217"/>
  <c r="E217"/>
  <c r="J217"/>
  <c r="I217"/>
  <c r="H217"/>
  <c r="D257" i="19"/>
  <c r="G257"/>
  <c r="H257"/>
  <c r="F257"/>
  <c r="F226" i="6"/>
  <c r="J226"/>
  <c r="I226"/>
  <c r="H226"/>
  <c r="E226"/>
  <c r="D226"/>
  <c r="C266" i="19"/>
  <c r="H266"/>
  <c r="F266"/>
  <c r="G266"/>
  <c r="D266"/>
  <c r="D260" i="6"/>
  <c r="E260"/>
  <c r="H260"/>
  <c r="J260"/>
  <c r="I260"/>
  <c r="F260"/>
  <c r="H237"/>
  <c r="E237"/>
  <c r="F237"/>
  <c r="I237"/>
  <c r="J237"/>
  <c r="D237"/>
  <c r="F277" i="19"/>
  <c r="H277"/>
  <c r="D277"/>
  <c r="G277"/>
  <c r="J238" i="6"/>
  <c r="I238"/>
  <c r="H238"/>
  <c r="G278" i="19"/>
  <c r="H278"/>
  <c r="F238" i="6"/>
  <c r="E238"/>
  <c r="D238"/>
  <c r="F278" i="19"/>
  <c r="D278"/>
  <c r="J254" i="6"/>
  <c r="E254"/>
  <c r="I254"/>
  <c r="F254"/>
  <c r="H254"/>
  <c r="D254"/>
  <c r="I86" i="20"/>
  <c r="H128" i="21"/>
  <c r="H88" i="20"/>
  <c r="G139" i="21"/>
  <c r="O120"/>
  <c r="F64" i="20"/>
  <c r="J257" i="6"/>
  <c r="E257"/>
  <c r="D257"/>
  <c r="I257"/>
  <c r="H257"/>
  <c r="F257"/>
  <c r="F225"/>
  <c r="I225"/>
  <c r="D225"/>
  <c r="E225"/>
  <c r="J225"/>
  <c r="H225"/>
  <c r="C265" i="19"/>
  <c r="G265"/>
  <c r="D265"/>
  <c r="F265"/>
  <c r="H265"/>
  <c r="I218" i="6"/>
  <c r="E218"/>
  <c r="D218"/>
  <c r="H258" i="19"/>
  <c r="H218" i="6"/>
  <c r="J218"/>
  <c r="F218"/>
  <c r="D258" i="19"/>
  <c r="G258"/>
  <c r="F258"/>
  <c r="J253" i="6"/>
  <c r="E253"/>
  <c r="F253"/>
  <c r="D253"/>
  <c r="H253"/>
  <c r="I253"/>
  <c r="H124" i="21"/>
  <c r="I85" i="20"/>
  <c r="N121" i="21"/>
  <c r="E84" i="20"/>
  <c r="J250" i="6"/>
  <c r="E250"/>
  <c r="H250"/>
  <c r="I250"/>
  <c r="D250"/>
  <c r="F250"/>
  <c r="H290" i="19"/>
  <c r="G290"/>
  <c r="I312" i="6"/>
  <c r="J312"/>
  <c r="E312"/>
  <c r="H312"/>
  <c r="D312"/>
  <c r="F312"/>
  <c r="D352" i="19"/>
  <c r="G352"/>
  <c r="C352"/>
  <c r="H91" i="20"/>
  <c r="G154" i="21"/>
  <c r="H75" i="20"/>
  <c r="H90"/>
  <c r="C323" i="19"/>
  <c r="C250" i="6"/>
  <c r="G250" s="1"/>
  <c r="I291"/>
  <c r="H291"/>
  <c r="J291"/>
  <c r="D291"/>
  <c r="F291"/>
  <c r="E291"/>
  <c r="C331" i="19"/>
  <c r="F331"/>
  <c r="H287" i="6"/>
  <c r="F287"/>
  <c r="E287"/>
  <c r="I287"/>
  <c r="D287"/>
  <c r="J287"/>
  <c r="F327" i="19"/>
  <c r="H327"/>
  <c r="D327"/>
  <c r="C327"/>
  <c r="H302" i="6"/>
  <c r="F302"/>
  <c r="D302"/>
  <c r="I302"/>
  <c r="E302"/>
  <c r="J302"/>
  <c r="D342" i="19"/>
  <c r="G342"/>
  <c r="C342"/>
  <c r="E284" i="6"/>
  <c r="J284"/>
  <c r="I284"/>
  <c r="H284"/>
  <c r="D284"/>
  <c r="F284"/>
  <c r="D324" i="19"/>
  <c r="H324"/>
  <c r="F324"/>
  <c r="G324"/>
  <c r="H283" i="6"/>
  <c r="D283"/>
  <c r="J283"/>
  <c r="F323" i="19"/>
  <c r="G323"/>
  <c r="F283" i="6"/>
  <c r="I283"/>
  <c r="E283"/>
  <c r="H323" i="19"/>
  <c r="H57" i="20"/>
  <c r="G86" i="21"/>
  <c r="N127"/>
  <c r="E65" i="20"/>
  <c r="D331" i="19"/>
  <c r="J296" i="6"/>
  <c r="I296"/>
  <c r="F296"/>
  <c r="H296"/>
  <c r="E296"/>
  <c r="D296"/>
  <c r="J245"/>
  <c r="E245"/>
  <c r="H245"/>
  <c r="F245"/>
  <c r="I245"/>
  <c r="D245"/>
  <c r="C245"/>
  <c r="G245" s="1"/>
  <c r="E343" s="1"/>
  <c r="E307"/>
  <c r="D307"/>
  <c r="I307"/>
  <c r="F307"/>
  <c r="H307"/>
  <c r="J307"/>
  <c r="H133" i="21"/>
  <c r="H82"/>
  <c r="G289" i="19"/>
  <c r="F330"/>
  <c r="H286"/>
  <c r="G286"/>
  <c r="D330"/>
  <c r="F285"/>
  <c r="F347"/>
  <c r="E297" i="6"/>
  <c r="D297"/>
  <c r="F297"/>
  <c r="E249"/>
  <c r="J249"/>
  <c r="H249"/>
  <c r="C249"/>
  <c r="G249" s="1"/>
  <c r="E344" s="1"/>
  <c r="F249"/>
  <c r="D249"/>
  <c r="I249"/>
  <c r="E317"/>
  <c r="H317"/>
  <c r="F317"/>
  <c r="D317"/>
  <c r="J317"/>
  <c r="I317"/>
  <c r="I290"/>
  <c r="F290"/>
  <c r="D290"/>
  <c r="E290"/>
  <c r="H290"/>
  <c r="J290"/>
  <c r="J246"/>
  <c r="I246"/>
  <c r="D246"/>
  <c r="E246"/>
  <c r="H246"/>
  <c r="F246"/>
  <c r="G347" i="19"/>
  <c r="F337"/>
  <c r="G337"/>
  <c r="F336"/>
  <c r="H285"/>
  <c r="G357"/>
  <c r="H289"/>
  <c r="G330"/>
  <c r="F286"/>
  <c r="H297" i="6"/>
  <c r="J297"/>
  <c r="B339" l="1"/>
  <c r="B198" i="22" s="1"/>
  <c r="F351" i="6"/>
  <c r="B350"/>
  <c r="B542" i="22" s="1"/>
  <c r="C553" s="1"/>
  <c r="J24" i="23" s="1"/>
  <c r="B351" i="6"/>
  <c r="D74" i="22"/>
  <c r="D226"/>
  <c r="F755"/>
  <c r="I1075"/>
  <c r="G354" i="6"/>
  <c r="B361"/>
  <c r="C35" i="14"/>
  <c r="E354" i="22"/>
  <c r="C34" i="14"/>
  <c r="E322" i="22"/>
  <c r="C30" i="14"/>
  <c r="D166" i="22"/>
  <c r="I65" i="20"/>
  <c r="H127" i="21"/>
  <c r="H66" i="20"/>
  <c r="G133" i="21"/>
  <c r="O127"/>
  <c r="F65" i="20"/>
  <c r="H64"/>
  <c r="G120" i="21"/>
  <c r="I84" i="20"/>
  <c r="H121" i="21"/>
  <c r="F88" i="20"/>
  <c r="O139" i="21"/>
  <c r="G124"/>
  <c r="H85" i="20"/>
  <c r="E64"/>
  <c r="N120" i="21"/>
  <c r="H149"/>
  <c r="I90" i="20"/>
  <c r="O55" i="21"/>
  <c r="F68" i="20"/>
  <c r="J68"/>
  <c r="I55" i="21"/>
  <c r="F52" i="20"/>
  <c r="O62" i="21"/>
  <c r="F55" i="20"/>
  <c r="O74" i="21"/>
  <c r="I70" i="20"/>
  <c r="H63" i="21"/>
  <c r="G54"/>
  <c r="H50" i="20"/>
  <c r="I66" i="21"/>
  <c r="J53" i="20"/>
  <c r="G51" i="21"/>
  <c r="H67" i="20"/>
  <c r="I51" i="21"/>
  <c r="J67" i="20"/>
  <c r="H74"/>
  <c r="G83" i="21"/>
  <c r="I86"/>
  <c r="J57" i="20"/>
  <c r="I82" i="21"/>
  <c r="J56" i="20"/>
  <c r="H134" i="21"/>
  <c r="I87" i="20"/>
  <c r="I89"/>
  <c r="H144" i="21"/>
  <c r="H56" i="20"/>
  <c r="G82" i="21"/>
  <c r="H83"/>
  <c r="I74" i="20"/>
  <c r="H65"/>
  <c r="G127" i="21"/>
  <c r="J64" i="20"/>
  <c r="I120" i="21"/>
  <c r="I64" i="20"/>
  <c r="H120" i="21"/>
  <c r="H84" i="20"/>
  <c r="G121" i="21"/>
  <c r="F84" i="20"/>
  <c r="O121" i="21"/>
  <c r="I88" i="20"/>
  <c r="H139" i="21"/>
  <c r="E85" i="20"/>
  <c r="N124" i="21"/>
  <c r="I124"/>
  <c r="J85" i="20"/>
  <c r="G128" i="21"/>
  <c r="H86" i="20"/>
  <c r="N149" i="21"/>
  <c r="E90" i="20"/>
  <c r="F90"/>
  <c r="O149" i="21"/>
  <c r="I87"/>
  <c r="J75" i="20"/>
  <c r="I68"/>
  <c r="H55" i="21"/>
  <c r="H52" i="20"/>
  <c r="G62" i="21"/>
  <c r="H62"/>
  <c r="I52" i="20"/>
  <c r="O75" i="21"/>
  <c r="F73" i="20"/>
  <c r="H75" i="21"/>
  <c r="I73" i="20"/>
  <c r="I55"/>
  <c r="H74" i="21"/>
  <c r="I74"/>
  <c r="J55" i="20"/>
  <c r="F70"/>
  <c r="O63" i="21"/>
  <c r="H70" i="20"/>
  <c r="G63" i="21"/>
  <c r="N63"/>
  <c r="E70" i="20"/>
  <c r="J50"/>
  <c r="I54" i="21"/>
  <c r="F50" i="20"/>
  <c r="O54" i="21"/>
  <c r="G66"/>
  <c r="H53" i="20"/>
  <c r="F53"/>
  <c r="O66" i="21"/>
  <c r="J49" i="20"/>
  <c r="I50" i="21"/>
  <c r="O50"/>
  <c r="F49" i="20"/>
  <c r="I49"/>
  <c r="H50" i="21"/>
  <c r="F67" i="20"/>
  <c r="O51" i="21"/>
  <c r="I67" i="20"/>
  <c r="H51" i="21"/>
  <c r="O67"/>
  <c r="F71" i="20"/>
  <c r="G67" i="21"/>
  <c r="H71" i="20"/>
  <c r="O123" i="21"/>
  <c r="F36" i="20"/>
  <c r="E36"/>
  <c r="N123" i="21"/>
  <c r="I130"/>
  <c r="J38" i="20"/>
  <c r="H38"/>
  <c r="G130" i="21"/>
  <c r="I43" i="20"/>
  <c r="H143" i="21"/>
  <c r="N119"/>
  <c r="E35" i="20"/>
  <c r="H119" i="21"/>
  <c r="I35" i="20"/>
  <c r="G119" i="21"/>
  <c r="H35" i="20"/>
  <c r="I48"/>
  <c r="H156" i="21"/>
  <c r="H47" i="20"/>
  <c r="G153" i="21"/>
  <c r="I39" i="20"/>
  <c r="H132" i="21"/>
  <c r="G132"/>
  <c r="H39" i="20"/>
  <c r="E293" i="18"/>
  <c r="G60" i="8"/>
  <c r="G144" s="1"/>
  <c r="I60"/>
  <c r="I144" s="1"/>
  <c r="D60"/>
  <c r="D144" s="1"/>
  <c r="J60"/>
  <c r="J144" s="1"/>
  <c r="B920" i="22"/>
  <c r="B60" i="8"/>
  <c r="B144" s="1"/>
  <c r="C60"/>
  <c r="C144" s="1"/>
  <c r="H60"/>
  <c r="H144" s="1"/>
  <c r="E60"/>
  <c r="E144" s="1"/>
  <c r="B156" i="7"/>
  <c r="F60" i="8"/>
  <c r="F144" s="1"/>
  <c r="G146" i="21"/>
  <c r="H44" i="20"/>
  <c r="N126" i="21"/>
  <c r="E37" i="20"/>
  <c r="H126" i="21"/>
  <c r="I37" i="20"/>
  <c r="G271" i="6"/>
  <c r="E350" s="1"/>
  <c r="E311" i="19"/>
  <c r="G220" i="6"/>
  <c r="E336" s="1"/>
  <c r="E260" i="19"/>
  <c r="G262" i="6"/>
  <c r="E348" s="1"/>
  <c r="E302" i="19"/>
  <c r="F111" i="21"/>
  <c r="G33" i="20"/>
  <c r="E60"/>
  <c r="N104" i="21"/>
  <c r="F60" i="20"/>
  <c r="O104" i="21"/>
  <c r="G104"/>
  <c r="H60" i="20"/>
  <c r="O58" i="21"/>
  <c r="F51" i="20"/>
  <c r="J51"/>
  <c r="I58" i="21"/>
  <c r="I32" i="20"/>
  <c r="H107" i="21"/>
  <c r="B61" i="18"/>
  <c r="C145" s="1"/>
  <c r="B133" i="7"/>
  <c r="O69" i="21"/>
  <c r="F21" i="20"/>
  <c r="H21"/>
  <c r="G69" i="21"/>
  <c r="E21" i="20"/>
  <c r="N69" i="21"/>
  <c r="N111"/>
  <c r="E33" i="20"/>
  <c r="J33"/>
  <c r="I111" i="21"/>
  <c r="F82" i="20"/>
  <c r="O113" i="21"/>
  <c r="G113"/>
  <c r="H82" i="20"/>
  <c r="E82"/>
  <c r="N113" i="21"/>
  <c r="F41" i="20"/>
  <c r="O138" i="21"/>
  <c r="E41" i="20"/>
  <c r="N138" i="21"/>
  <c r="H41" i="20"/>
  <c r="G138" i="21"/>
  <c r="E291" i="18"/>
  <c r="B856" i="22"/>
  <c r="B154" i="7"/>
  <c r="J42" i="20"/>
  <c r="I141" i="21"/>
  <c r="I42" i="20"/>
  <c r="H141" i="21"/>
  <c r="B984" i="22"/>
  <c r="E295" i="18"/>
  <c r="B158" i="7"/>
  <c r="N151" i="21"/>
  <c r="E46" i="20"/>
  <c r="G151" i="21"/>
  <c r="H46" i="20"/>
  <c r="C258" i="22"/>
  <c r="C63" i="18"/>
  <c r="C180" s="1"/>
  <c r="J23" i="20"/>
  <c r="I77" i="21"/>
  <c r="F23" i="20"/>
  <c r="O77" i="21"/>
  <c r="C290" i="22"/>
  <c r="C64" i="18"/>
  <c r="C181" s="1"/>
  <c r="H24" i="20"/>
  <c r="G79" i="21"/>
  <c r="J24" i="20"/>
  <c r="I79" i="21"/>
  <c r="N61"/>
  <c r="E19" i="20"/>
  <c r="H19"/>
  <c r="G61" i="21"/>
  <c r="H85"/>
  <c r="I26" i="20"/>
  <c r="J17"/>
  <c r="I53" i="21"/>
  <c r="H80" i="20"/>
  <c r="G105" i="21"/>
  <c r="F80" i="20"/>
  <c r="O105" i="21"/>
  <c r="I105"/>
  <c r="J80" i="20"/>
  <c r="J63"/>
  <c r="I116" i="21"/>
  <c r="I59" i="20"/>
  <c r="H100" i="21"/>
  <c r="J59" i="20"/>
  <c r="I100" i="21"/>
  <c r="O100"/>
  <c r="F59" i="20"/>
  <c r="N101" i="21"/>
  <c r="E79" i="20"/>
  <c r="I101" i="21"/>
  <c r="J79" i="20"/>
  <c r="H16"/>
  <c r="G49" i="21"/>
  <c r="G69" i="20"/>
  <c r="F59" i="21"/>
  <c r="F71"/>
  <c r="G72" i="20"/>
  <c r="G108" i="21"/>
  <c r="H61" i="20"/>
  <c r="H108" i="21"/>
  <c r="I61" i="20"/>
  <c r="N108" i="21"/>
  <c r="E61" i="20"/>
  <c r="H103" i="21"/>
  <c r="I31" i="20"/>
  <c r="G103" i="21"/>
  <c r="H31" i="20"/>
  <c r="N103" i="21"/>
  <c r="E31" i="20"/>
  <c r="G57" i="21"/>
  <c r="H18" i="20"/>
  <c r="I18"/>
  <c r="H57" i="21"/>
  <c r="O57"/>
  <c r="F18" i="20"/>
  <c r="H34"/>
  <c r="G115" i="21"/>
  <c r="J30" i="20"/>
  <c r="I99" i="21"/>
  <c r="E30" i="20"/>
  <c r="N99" i="21"/>
  <c r="E62" i="20"/>
  <c r="N112" i="21"/>
  <c r="I112"/>
  <c r="J62" i="20"/>
  <c r="G58" i="8"/>
  <c r="G140" s="1"/>
  <c r="I58"/>
  <c r="I140" s="1"/>
  <c r="F58"/>
  <c r="F140" s="1"/>
  <c r="B792" i="22"/>
  <c r="J58" i="8"/>
  <c r="J140" s="1"/>
  <c r="E289" i="18"/>
  <c r="H58" i="8"/>
  <c r="H140" s="1"/>
  <c r="E58"/>
  <c r="E140" s="1"/>
  <c r="D58"/>
  <c r="D140" s="1"/>
  <c r="C58"/>
  <c r="C140" s="1"/>
  <c r="B58"/>
  <c r="B140" s="1"/>
  <c r="B152" i="7"/>
  <c r="H136" i="21"/>
  <c r="I40" i="20"/>
  <c r="J40"/>
  <c r="I136" i="21"/>
  <c r="O148"/>
  <c r="F45" i="20"/>
  <c r="G148" i="21"/>
  <c r="H45" i="20"/>
  <c r="I65" i="21"/>
  <c r="J20" i="20"/>
  <c r="H65" i="21"/>
  <c r="I20" i="20"/>
  <c r="H73" i="21"/>
  <c r="I22" i="20"/>
  <c r="J22"/>
  <c r="I73" i="21"/>
  <c r="N59"/>
  <c r="E69" i="20"/>
  <c r="O59" i="21"/>
  <c r="F69" i="20"/>
  <c r="F81"/>
  <c r="O109" i="21"/>
  <c r="G109"/>
  <c r="H81" i="20"/>
  <c r="H109" i="21"/>
  <c r="I81" i="20"/>
  <c r="F72"/>
  <c r="O71" i="21"/>
  <c r="G71"/>
  <c r="H72" i="20"/>
  <c r="N70" i="21"/>
  <c r="E54" i="20"/>
  <c r="J54"/>
  <c r="I70" i="21"/>
  <c r="O70"/>
  <c r="F54" i="20"/>
  <c r="E16"/>
  <c r="N49" i="21"/>
  <c r="I117"/>
  <c r="J83" i="20"/>
  <c r="F58" i="21"/>
  <c r="G51" i="20"/>
  <c r="F69" i="21"/>
  <c r="G21" i="20"/>
  <c r="F113" i="21"/>
  <c r="G82" i="20"/>
  <c r="B354" i="6"/>
  <c r="D354"/>
  <c r="F354"/>
  <c r="H354"/>
  <c r="F361"/>
  <c r="H361"/>
  <c r="F888" i="22" s="1"/>
  <c r="D361" i="6"/>
  <c r="D888" i="22" s="1"/>
  <c r="G353" i="6"/>
  <c r="B353"/>
  <c r="C353"/>
  <c r="B365"/>
  <c r="D365"/>
  <c r="D1016" i="22" s="1"/>
  <c r="F365" i="6"/>
  <c r="B357"/>
  <c r="F357"/>
  <c r="B355"/>
  <c r="H355"/>
  <c r="D696" i="22" s="1"/>
  <c r="C355" i="6"/>
  <c r="G351"/>
  <c r="H351"/>
  <c r="C359"/>
  <c r="B359"/>
  <c r="H337"/>
  <c r="G337"/>
  <c r="D337"/>
  <c r="D59" i="18" s="1"/>
  <c r="C209" s="1"/>
  <c r="B344" i="6"/>
  <c r="D344"/>
  <c r="F344"/>
  <c r="G344"/>
  <c r="B343"/>
  <c r="C343"/>
  <c r="H343"/>
  <c r="G343"/>
  <c r="B335"/>
  <c r="D335"/>
  <c r="D57" i="18" s="1"/>
  <c r="C207" s="1"/>
  <c r="G335" i="6"/>
  <c r="F335"/>
  <c r="F346"/>
  <c r="C346"/>
  <c r="H346"/>
  <c r="H418" i="22" s="1"/>
  <c r="F345" i="6"/>
  <c r="D345"/>
  <c r="G345"/>
  <c r="G386" i="22" s="1"/>
  <c r="B334" i="6"/>
  <c r="D349"/>
  <c r="D71" i="18" s="1"/>
  <c r="C221" s="1"/>
  <c r="H349" i="6"/>
  <c r="B336"/>
  <c r="G336"/>
  <c r="F336"/>
  <c r="B352"/>
  <c r="F352"/>
  <c r="G352"/>
  <c r="B348"/>
  <c r="C348"/>
  <c r="C70" i="18" s="1"/>
  <c r="C187" s="1"/>
  <c r="G348" i="6"/>
  <c r="F348"/>
  <c r="B363"/>
  <c r="F363"/>
  <c r="D363"/>
  <c r="D338"/>
  <c r="D60" i="18" s="1"/>
  <c r="C210" s="1"/>
  <c r="G338" i="6"/>
  <c r="F338"/>
  <c r="C340"/>
  <c r="H340"/>
  <c r="G340"/>
  <c r="F347"/>
  <c r="D347"/>
  <c r="H347"/>
  <c r="H450" i="22" s="1"/>
  <c r="D334" i="6"/>
  <c r="D56" i="18" s="1"/>
  <c r="C206" s="1"/>
  <c r="F334" i="6"/>
  <c r="H334"/>
  <c r="F883" i="22"/>
  <c r="I91" i="20"/>
  <c r="H154" i="21"/>
  <c r="G134"/>
  <c r="H87" i="20"/>
  <c r="G144" i="21"/>
  <c r="H89" i="20"/>
  <c r="J74"/>
  <c r="I83" i="21"/>
  <c r="I57" i="20"/>
  <c r="H86" i="21"/>
  <c r="F86" i="20"/>
  <c r="O128" i="21"/>
  <c r="J84" i="20"/>
  <c r="I121" i="21"/>
  <c r="E88" i="20"/>
  <c r="N139" i="21"/>
  <c r="O124"/>
  <c r="F85" i="20"/>
  <c r="E86"/>
  <c r="N128" i="21"/>
  <c r="I75" i="20"/>
  <c r="H87" i="21"/>
  <c r="H68" i="20"/>
  <c r="G55" i="21"/>
  <c r="J52" i="20"/>
  <c r="I62" i="21"/>
  <c r="N62"/>
  <c r="E52" i="20"/>
  <c r="G75" i="21"/>
  <c r="H73" i="20"/>
  <c r="I75" i="21"/>
  <c r="J73" i="20"/>
  <c r="G74" i="21"/>
  <c r="H55" i="20"/>
  <c r="I63" i="21"/>
  <c r="J70" i="20"/>
  <c r="I50"/>
  <c r="H54" i="21"/>
  <c r="H66"/>
  <c r="I53" i="20"/>
  <c r="E49"/>
  <c r="N50" i="21"/>
  <c r="G50"/>
  <c r="H49" i="20"/>
  <c r="N51" i="21"/>
  <c r="E67" i="20"/>
  <c r="J71"/>
  <c r="I67" i="21"/>
  <c r="H67"/>
  <c r="I71" i="20"/>
  <c r="I927" i="22"/>
  <c r="I929"/>
  <c r="I931"/>
  <c r="I943"/>
  <c r="I937"/>
  <c r="I935"/>
  <c r="I932"/>
  <c r="I936"/>
  <c r="I945"/>
  <c r="I933"/>
  <c r="I925"/>
  <c r="I941"/>
  <c r="I930"/>
  <c r="I924"/>
  <c r="G920"/>
  <c r="I942"/>
  <c r="I940"/>
  <c r="I928"/>
  <c r="I938"/>
  <c r="I939"/>
  <c r="I926"/>
  <c r="I934"/>
  <c r="I944"/>
  <c r="G925"/>
  <c r="D36" i="23" s="1"/>
  <c r="I923" i="22"/>
  <c r="G924"/>
  <c r="C36" i="23" s="1"/>
  <c r="G926" i="22"/>
  <c r="E36" i="23" s="1"/>
  <c r="G931" i="22"/>
  <c r="J36" i="23" s="1"/>
  <c r="G930" i="22"/>
  <c r="I36" i="23" s="1"/>
  <c r="G927" i="22"/>
  <c r="F36" i="23" s="1"/>
  <c r="G929" i="22"/>
  <c r="H36" i="23" s="1"/>
  <c r="G928" i="22"/>
  <c r="G36" i="23" s="1"/>
  <c r="G944" i="22"/>
  <c r="W36" i="23" s="1"/>
  <c r="G932" i="22"/>
  <c r="K36" i="23" s="1"/>
  <c r="G923" i="22"/>
  <c r="J36" i="20"/>
  <c r="I123" i="21"/>
  <c r="H36" i="20"/>
  <c r="G123" i="21"/>
  <c r="H123"/>
  <c r="I36" i="20"/>
  <c r="B728" i="22"/>
  <c r="E287" i="18"/>
  <c r="B150" i="7"/>
  <c r="E38" i="20"/>
  <c r="N130" i="21"/>
  <c r="O130"/>
  <c r="F38" i="20"/>
  <c r="I38"/>
  <c r="H130" i="21"/>
  <c r="B888" i="22"/>
  <c r="H43" i="20"/>
  <c r="G143" i="21"/>
  <c r="I119"/>
  <c r="J35" i="20"/>
  <c r="O119" i="21"/>
  <c r="F35" i="20"/>
  <c r="B1048" i="22"/>
  <c r="G62" i="8"/>
  <c r="G148" s="1"/>
  <c r="E62"/>
  <c r="E148" s="1"/>
  <c r="F62"/>
  <c r="F148" s="1"/>
  <c r="I62"/>
  <c r="I148" s="1"/>
  <c r="E297" i="18"/>
  <c r="B62" i="8"/>
  <c r="B148" s="1"/>
  <c r="J62"/>
  <c r="J148" s="1"/>
  <c r="D62"/>
  <c r="D148" s="1"/>
  <c r="H62"/>
  <c r="H148" s="1"/>
  <c r="B160" i="7"/>
  <c r="C62" i="8"/>
  <c r="C148" s="1"/>
  <c r="H48" i="20"/>
  <c r="G156" i="21"/>
  <c r="J48" i="20"/>
  <c r="I156" i="21"/>
  <c r="I47" i="20"/>
  <c r="H153" i="21"/>
  <c r="I44" i="20"/>
  <c r="H146" i="21"/>
  <c r="I146"/>
  <c r="J44" i="20"/>
  <c r="H37"/>
  <c r="G126" i="21"/>
  <c r="O126"/>
  <c r="F37" i="20"/>
  <c r="B72" i="18"/>
  <c r="C156" s="1"/>
  <c r="G266" i="6"/>
  <c r="E349" s="1"/>
  <c r="E306" i="19"/>
  <c r="G278" i="6"/>
  <c r="E318" i="19"/>
  <c r="G275" i="6"/>
  <c r="E351" s="1"/>
  <c r="E315" i="19"/>
  <c r="I60" i="20"/>
  <c r="H104" i="21"/>
  <c r="I104"/>
  <c r="J60" i="20"/>
  <c r="I51"/>
  <c r="H58" i="21"/>
  <c r="H51" i="20"/>
  <c r="G58" i="21"/>
  <c r="E51" i="20"/>
  <c r="N58" i="21"/>
  <c r="O107"/>
  <c r="F32" i="20"/>
  <c r="E32"/>
  <c r="N107" i="21"/>
  <c r="H32" i="20"/>
  <c r="G107" i="21"/>
  <c r="I107"/>
  <c r="J32" i="20"/>
  <c r="I69" i="21"/>
  <c r="J21" i="20"/>
  <c r="H69" i="21"/>
  <c r="I21" i="20"/>
  <c r="B572" i="22"/>
  <c r="C583" s="1"/>
  <c r="J25" i="23" s="1"/>
  <c r="B73" i="18"/>
  <c r="C157" s="1"/>
  <c r="B145" i="7"/>
  <c r="O111" i="21"/>
  <c r="F33" i="20"/>
  <c r="H111" i="21"/>
  <c r="I33" i="20"/>
  <c r="H33"/>
  <c r="G111" i="21"/>
  <c r="I82" i="20"/>
  <c r="H113" i="21"/>
  <c r="J82" i="20"/>
  <c r="I113" i="21"/>
  <c r="H138"/>
  <c r="I41" i="20"/>
  <c r="F42"/>
  <c r="O141" i="21"/>
  <c r="N141"/>
  <c r="E42" i="20"/>
  <c r="G141" i="21"/>
  <c r="H42" i="20"/>
  <c r="H151" i="21"/>
  <c r="I46" i="20"/>
  <c r="F46"/>
  <c r="O151" i="21"/>
  <c r="I151"/>
  <c r="J46" i="20"/>
  <c r="B258" i="22"/>
  <c r="F269" s="1"/>
  <c r="J15" i="23" s="1"/>
  <c r="B63" i="18"/>
  <c r="C147" s="1"/>
  <c r="B135" i="7"/>
  <c r="H23" i="20"/>
  <c r="G77" i="21"/>
  <c r="H77"/>
  <c r="I23" i="20"/>
  <c r="B290" i="22"/>
  <c r="F301" s="1"/>
  <c r="J16" i="23" s="1"/>
  <c r="B64" i="18"/>
  <c r="C148" s="1"/>
  <c r="B136" i="7"/>
  <c r="I24" i="20"/>
  <c r="H79" i="21"/>
  <c r="F24" i="20"/>
  <c r="O79" i="21"/>
  <c r="I19" i="20"/>
  <c r="H61" i="21"/>
  <c r="J19" i="20"/>
  <c r="I61" i="21"/>
  <c r="F19" i="20"/>
  <c r="O61" i="21"/>
  <c r="H26" i="20"/>
  <c r="G85" i="21"/>
  <c r="I85"/>
  <c r="J26" i="20"/>
  <c r="I25"/>
  <c r="H81" i="21"/>
  <c r="H25" i="20"/>
  <c r="G81" i="21"/>
  <c r="J25" i="20"/>
  <c r="I81" i="21"/>
  <c r="O53"/>
  <c r="F17" i="20"/>
  <c r="H53" i="21"/>
  <c r="I17" i="20"/>
  <c r="H17"/>
  <c r="G53" i="21"/>
  <c r="H105"/>
  <c r="I80" i="20"/>
  <c r="E80"/>
  <c r="N105" i="21"/>
  <c r="H116"/>
  <c r="I63" i="20"/>
  <c r="G116" i="21"/>
  <c r="H63" i="20"/>
  <c r="E59"/>
  <c r="N100" i="21"/>
  <c r="G100"/>
  <c r="H59" i="20"/>
  <c r="F79"/>
  <c r="O101" i="21"/>
  <c r="H101"/>
  <c r="I79" i="20"/>
  <c r="G101" i="21"/>
  <c r="H79" i="20"/>
  <c r="I16"/>
  <c r="H49" i="21"/>
  <c r="G81" i="20"/>
  <c r="F109" i="21"/>
  <c r="G54" i="20"/>
  <c r="F70" i="21"/>
  <c r="G280" i="6"/>
  <c r="E320" i="19"/>
  <c r="J61" i="20"/>
  <c r="I108" i="21"/>
  <c r="F61" i="20"/>
  <c r="O108" i="21"/>
  <c r="I103"/>
  <c r="J31" i="20"/>
  <c r="F31"/>
  <c r="O103" i="21"/>
  <c r="I57"/>
  <c r="J18" i="20"/>
  <c r="E18"/>
  <c r="N57" i="21"/>
  <c r="H115"/>
  <c r="I34" i="20"/>
  <c r="I115" i="21"/>
  <c r="J34" i="20"/>
  <c r="G99" i="21"/>
  <c r="H30" i="20"/>
  <c r="H99" i="21"/>
  <c r="I30" i="20"/>
  <c r="F30"/>
  <c r="O99" i="21"/>
  <c r="F62" i="20"/>
  <c r="O112" i="21"/>
  <c r="I62" i="20"/>
  <c r="H112" i="21"/>
  <c r="H62" i="20"/>
  <c r="G112" i="21"/>
  <c r="G136"/>
  <c r="H40" i="20"/>
  <c r="H148" i="21"/>
  <c r="I45" i="20"/>
  <c r="N148" i="21"/>
  <c r="E45" i="20"/>
  <c r="H20"/>
  <c r="G65" i="21"/>
  <c r="F20" i="20"/>
  <c r="O65" i="21"/>
  <c r="H22" i="20"/>
  <c r="G73" i="21"/>
  <c r="O73"/>
  <c r="F22" i="20"/>
  <c r="I59" i="21"/>
  <c r="J69" i="20"/>
  <c r="H69"/>
  <c r="G59" i="21"/>
  <c r="I69" i="20"/>
  <c r="H59" i="21"/>
  <c r="I109"/>
  <c r="J81" i="20"/>
  <c r="E81"/>
  <c r="N109" i="21"/>
  <c r="I71"/>
  <c r="J72" i="20"/>
  <c r="H71" i="21"/>
  <c r="I72" i="20"/>
  <c r="N71" i="21"/>
  <c r="E72" i="20"/>
  <c r="I54"/>
  <c r="H70" i="21"/>
  <c r="H54" i="20"/>
  <c r="G70" i="21"/>
  <c r="J16" i="20"/>
  <c r="I49" i="21"/>
  <c r="O49"/>
  <c r="F16" i="20"/>
  <c r="H83"/>
  <c r="G117" i="21"/>
  <c r="I83" i="20"/>
  <c r="H117" i="21"/>
  <c r="G60" i="20"/>
  <c r="F104" i="21"/>
  <c r="F107"/>
  <c r="G32" i="20"/>
  <c r="F302" i="22"/>
  <c r="K16" i="23" s="1"/>
  <c r="F116" i="21"/>
  <c r="G63" i="20"/>
  <c r="G79"/>
  <c r="F101" i="21"/>
  <c r="F270" i="22"/>
  <c r="K15" i="23" s="1"/>
  <c r="F105" i="21"/>
  <c r="G80" i="20"/>
  <c r="G59"/>
  <c r="F100" i="21"/>
  <c r="C354" i="6"/>
  <c r="G361"/>
  <c r="C361"/>
  <c r="C888" i="22" s="1"/>
  <c r="F353" i="6"/>
  <c r="H353"/>
  <c r="D353"/>
  <c r="C365"/>
  <c r="C1016" i="22" s="1"/>
  <c r="G365" i="6"/>
  <c r="H365"/>
  <c r="F1016" i="22" s="1"/>
  <c r="H357" i="6"/>
  <c r="F760" i="22" s="1"/>
  <c r="C357" i="6"/>
  <c r="C760" i="22" s="1"/>
  <c r="G357" i="6"/>
  <c r="D357"/>
  <c r="D760" i="22" s="1"/>
  <c r="F355" i="6"/>
  <c r="G355"/>
  <c r="D355"/>
  <c r="G359"/>
  <c r="H359"/>
  <c r="D824" i="22" s="1"/>
  <c r="F359" i="6"/>
  <c r="D359"/>
  <c r="B337"/>
  <c r="C337"/>
  <c r="C59" i="18" s="1"/>
  <c r="C176" s="1"/>
  <c r="F337" i="6"/>
  <c r="C344"/>
  <c r="H344"/>
  <c r="F343"/>
  <c r="D343"/>
  <c r="C335"/>
  <c r="H335"/>
  <c r="B346"/>
  <c r="D346"/>
  <c r="G346"/>
  <c r="G418" i="22" s="1"/>
  <c r="B345" i="6"/>
  <c r="C345"/>
  <c r="H345"/>
  <c r="H386" i="22" s="1"/>
  <c r="E334" i="6"/>
  <c r="B349"/>
  <c r="G349"/>
  <c r="C349"/>
  <c r="C71" i="18" s="1"/>
  <c r="C188" s="1"/>
  <c r="F349" i="6"/>
  <c r="D336"/>
  <c r="D58" i="18" s="1"/>
  <c r="C208" s="1"/>
  <c r="C336" i="6"/>
  <c r="C58" i="18" s="1"/>
  <c r="C175" s="1"/>
  <c r="H336" i="6"/>
  <c r="C352"/>
  <c r="D352"/>
  <c r="H352"/>
  <c r="D348"/>
  <c r="D70" i="18" s="1"/>
  <c r="C220" s="1"/>
  <c r="H348" i="6"/>
  <c r="I819" i="22"/>
  <c r="H363" i="6"/>
  <c r="D952" i="22" s="1"/>
  <c r="G363" i="6"/>
  <c r="C363"/>
  <c r="B338"/>
  <c r="C338"/>
  <c r="H338"/>
  <c r="B340"/>
  <c r="D340"/>
  <c r="D62" i="18" s="1"/>
  <c r="C212" s="1"/>
  <c r="F340" i="6"/>
  <c r="B347"/>
  <c r="C347"/>
  <c r="G347"/>
  <c r="G450" i="22" s="1"/>
  <c r="C334" i="6"/>
  <c r="C56" i="18" s="1"/>
  <c r="C173" s="1"/>
  <c r="G334" i="6"/>
  <c r="F1011" i="22"/>
  <c r="B144" i="7" l="1"/>
  <c r="J89" i="8" s="1"/>
  <c r="H302" i="22"/>
  <c r="H301"/>
  <c r="H269"/>
  <c r="H270"/>
  <c r="I947"/>
  <c r="C166"/>
  <c r="C60" i="18"/>
  <c r="C177" s="1"/>
  <c r="C74" i="22"/>
  <c r="C57" i="18"/>
  <c r="C174" s="1"/>
  <c r="B450" i="22"/>
  <c r="B69" i="18"/>
  <c r="C153" s="1"/>
  <c r="B141" i="7"/>
  <c r="B60" i="18"/>
  <c r="C144" s="1"/>
  <c r="B166" i="22"/>
  <c r="F178" s="1"/>
  <c r="K12" i="23" s="1"/>
  <c r="B132" i="7"/>
  <c r="D602" i="22"/>
  <c r="D74" i="18"/>
  <c r="C224" s="1"/>
  <c r="B512" i="22"/>
  <c r="C523" s="1"/>
  <c r="J23" i="23" s="1"/>
  <c r="B143" i="7"/>
  <c r="B71" i="18"/>
  <c r="C155" s="1"/>
  <c r="B386" i="22"/>
  <c r="B67" i="18"/>
  <c r="C151" s="1"/>
  <c r="B139" i="7"/>
  <c r="D418" i="22"/>
  <c r="D68" i="18"/>
  <c r="C218" s="1"/>
  <c r="D65"/>
  <c r="C215" s="1"/>
  <c r="D322" i="22"/>
  <c r="B134"/>
  <c r="B59" i="18"/>
  <c r="C143" s="1"/>
  <c r="B131" i="7"/>
  <c r="D90" i="8"/>
  <c r="B90"/>
  <c r="I90"/>
  <c r="G90"/>
  <c r="D772" i="7"/>
  <c r="B31" i="10"/>
  <c r="C90" i="8"/>
  <c r="E90"/>
  <c r="C736" i="7"/>
  <c r="D736"/>
  <c r="F90" i="8"/>
  <c r="J90"/>
  <c r="H90"/>
  <c r="C572" i="22"/>
  <c r="B736" i="7"/>
  <c r="E736" s="1"/>
  <c r="B772" s="1"/>
  <c r="C772" s="1"/>
  <c r="D105" i="8"/>
  <c r="J105"/>
  <c r="C105"/>
  <c r="E105"/>
  <c r="I105"/>
  <c r="H105"/>
  <c r="B105"/>
  <c r="F105"/>
  <c r="G105"/>
  <c r="F1048" i="22"/>
  <c r="G1060"/>
  <c r="K40" i="23" s="1"/>
  <c r="G1055" i="22"/>
  <c r="F40" i="23" s="1"/>
  <c r="G1059" i="22"/>
  <c r="J40" i="23" s="1"/>
  <c r="G1052" i="22"/>
  <c r="C40" i="23" s="1"/>
  <c r="G1054" i="22"/>
  <c r="E40" i="23" s="1"/>
  <c r="G1051" i="22"/>
  <c r="G1056"/>
  <c r="G40" i="23" s="1"/>
  <c r="G1053" i="22"/>
  <c r="D40" i="23" s="1"/>
  <c r="G1058" i="22"/>
  <c r="I40" i="23" s="1"/>
  <c r="G1072" i="22"/>
  <c r="W40" i="23" s="1"/>
  <c r="G1057" i="22"/>
  <c r="H40" i="23" s="1"/>
  <c r="H892" i="22"/>
  <c r="H912"/>
  <c r="H896"/>
  <c r="H900"/>
  <c r="H894"/>
  <c r="H897"/>
  <c r="H895"/>
  <c r="H893"/>
  <c r="H898"/>
  <c r="H899"/>
  <c r="H891"/>
  <c r="D450"/>
  <c r="D69" i="18"/>
  <c r="C219" s="1"/>
  <c r="C226" i="22"/>
  <c r="C62" i="18"/>
  <c r="C179" s="1"/>
  <c r="B952" i="22"/>
  <c r="B157" i="7"/>
  <c r="E294" i="18"/>
  <c r="B70"/>
  <c r="C154" s="1"/>
  <c r="B482" i="22"/>
  <c r="C493" s="1"/>
  <c r="J22" i="23" s="1"/>
  <c r="B142" i="7"/>
  <c r="B58" i="18"/>
  <c r="C142" s="1"/>
  <c r="B106" i="22"/>
  <c r="B130" i="7"/>
  <c r="F386" i="22"/>
  <c r="G71" i="9"/>
  <c r="G111" s="1"/>
  <c r="I71"/>
  <c r="I111" s="1"/>
  <c r="B71"/>
  <c r="B111" s="1"/>
  <c r="D71"/>
  <c r="D111" s="1"/>
  <c r="F71"/>
  <c r="F111" s="1"/>
  <c r="C71"/>
  <c r="C111" s="1"/>
  <c r="J71"/>
  <c r="J111" s="1"/>
  <c r="E71"/>
  <c r="E111" s="1"/>
  <c r="H71"/>
  <c r="H111" s="1"/>
  <c r="C418" i="22"/>
  <c r="C68" i="18"/>
  <c r="C185" s="1"/>
  <c r="C65"/>
  <c r="C182" s="1"/>
  <c r="C322" i="22"/>
  <c r="D354"/>
  <c r="D66" i="18"/>
  <c r="C216" s="1"/>
  <c r="E286"/>
  <c r="B696" i="22"/>
  <c r="B149" i="7"/>
  <c r="J57" i="8"/>
  <c r="J139" s="1"/>
  <c r="D57"/>
  <c r="D139" s="1"/>
  <c r="H57"/>
  <c r="H139" s="1"/>
  <c r="I57"/>
  <c r="I139" s="1"/>
  <c r="E288" i="18"/>
  <c r="B760" i="22"/>
  <c r="G57" i="8"/>
  <c r="G139" s="1"/>
  <c r="F57"/>
  <c r="F139" s="1"/>
  <c r="E57"/>
  <c r="E139" s="1"/>
  <c r="B57"/>
  <c r="B139" s="1"/>
  <c r="C57"/>
  <c r="C139" s="1"/>
  <c r="B151" i="7"/>
  <c r="F99" i="8"/>
  <c r="F142" s="1"/>
  <c r="D99"/>
  <c r="D142" s="1"/>
  <c r="E99"/>
  <c r="E142" s="1"/>
  <c r="G99"/>
  <c r="G142" s="1"/>
  <c r="D856" i="22"/>
  <c r="C99" i="8"/>
  <c r="C142" s="1"/>
  <c r="I99"/>
  <c r="I142" s="1"/>
  <c r="B99"/>
  <c r="B142" s="1"/>
  <c r="J99"/>
  <c r="J142" s="1"/>
  <c r="H99"/>
  <c r="H142" s="1"/>
  <c r="G78"/>
  <c r="H78"/>
  <c r="E78"/>
  <c r="C78"/>
  <c r="B394" i="7"/>
  <c r="B78" i="8"/>
  <c r="J78"/>
  <c r="F78"/>
  <c r="I78"/>
  <c r="D78"/>
  <c r="C198" i="22"/>
  <c r="B101" i="8"/>
  <c r="I101"/>
  <c r="G101"/>
  <c r="H101"/>
  <c r="C101"/>
  <c r="E101"/>
  <c r="D101"/>
  <c r="F101"/>
  <c r="J101"/>
  <c r="F920" i="22"/>
  <c r="E352" i="6"/>
  <c r="C59" i="8"/>
  <c r="C143" s="1"/>
  <c r="F59"/>
  <c r="F143" s="1"/>
  <c r="H59"/>
  <c r="H143" s="1"/>
  <c r="J59"/>
  <c r="J143" s="1"/>
  <c r="E292" i="18"/>
  <c r="C69"/>
  <c r="C186" s="1"/>
  <c r="C450" i="22"/>
  <c r="B226"/>
  <c r="B62" i="18"/>
  <c r="C146" s="1"/>
  <c r="B134" i="7"/>
  <c r="C602" i="22"/>
  <c r="C74" i="18"/>
  <c r="C191" s="1"/>
  <c r="C27" i="14"/>
  <c r="C56" i="10"/>
  <c r="H56" s="1"/>
  <c r="L68" s="1"/>
  <c r="C42" i="22"/>
  <c r="B56" i="10"/>
  <c r="C386" i="22"/>
  <c r="C67" i="18"/>
  <c r="C184" s="1"/>
  <c r="B418" i="22"/>
  <c r="B68" i="18"/>
  <c r="C152" s="1"/>
  <c r="B140" i="7"/>
  <c r="C66" i="18"/>
  <c r="C183" s="1"/>
  <c r="C354" i="22"/>
  <c r="F117" i="21"/>
  <c r="G83" i="20"/>
  <c r="F81" i="8"/>
  <c r="J81"/>
  <c r="H81"/>
  <c r="I81"/>
  <c r="C197" i="7"/>
  <c r="D81" i="8"/>
  <c r="E91" i="9"/>
  <c r="E108" s="1"/>
  <c r="H91"/>
  <c r="H108" s="1"/>
  <c r="D91"/>
  <c r="D108" s="1"/>
  <c r="B91"/>
  <c r="B108" s="1"/>
  <c r="J91"/>
  <c r="J108" s="1"/>
  <c r="G91"/>
  <c r="G108" s="1"/>
  <c r="F91"/>
  <c r="F108" s="1"/>
  <c r="I91"/>
  <c r="I108" s="1"/>
  <c r="D197" i="7"/>
  <c r="B33" i="14"/>
  <c r="C81" i="8"/>
  <c r="E81"/>
  <c r="G81"/>
  <c r="B81"/>
  <c r="B197" i="7"/>
  <c r="E197" s="1"/>
  <c r="B241" s="1"/>
  <c r="C241" s="1"/>
  <c r="C91" i="9"/>
  <c r="C108" s="1"/>
  <c r="E290" i="22"/>
  <c r="F290" s="1"/>
  <c r="J80" i="8"/>
  <c r="E80"/>
  <c r="C196" i="7"/>
  <c r="I80" i="8"/>
  <c r="H80"/>
  <c r="C80"/>
  <c r="F80"/>
  <c r="B80"/>
  <c r="D80"/>
  <c r="G80"/>
  <c r="B32" i="14"/>
  <c r="D196" i="7"/>
  <c r="J90" i="9"/>
  <c r="J107" s="1"/>
  <c r="H90"/>
  <c r="H107" s="1"/>
  <c r="G90"/>
  <c r="G107" s="1"/>
  <c r="I90"/>
  <c r="I107" s="1"/>
  <c r="D90"/>
  <c r="D107" s="1"/>
  <c r="F90"/>
  <c r="F107" s="1"/>
  <c r="E90"/>
  <c r="E107" s="1"/>
  <c r="B90"/>
  <c r="B107" s="1"/>
  <c r="C90"/>
  <c r="C107" s="1"/>
  <c r="B196" i="7"/>
  <c r="E196" s="1"/>
  <c r="B240" s="1"/>
  <c r="C240" s="1"/>
  <c r="E258" i="22"/>
  <c r="F258" s="1"/>
  <c r="G62" i="20"/>
  <c r="F112" i="21"/>
  <c r="G34" i="20"/>
  <c r="F115" i="21"/>
  <c r="G31" i="20"/>
  <c r="F103" i="21"/>
  <c r="E89" i="8"/>
  <c r="D89"/>
  <c r="C735" i="7"/>
  <c r="C89" i="8"/>
  <c r="G89"/>
  <c r="I89"/>
  <c r="B735" i="7"/>
  <c r="E735" s="1"/>
  <c r="B771" s="1"/>
  <c r="C771" s="1"/>
  <c r="I95" i="8"/>
  <c r="I138" s="1"/>
  <c r="H95"/>
  <c r="H138" s="1"/>
  <c r="C95"/>
  <c r="C138" s="1"/>
  <c r="B95"/>
  <c r="B138" s="1"/>
  <c r="D728" i="22"/>
  <c r="D95" i="8"/>
  <c r="D138" s="1"/>
  <c r="E95"/>
  <c r="E138" s="1"/>
  <c r="F95"/>
  <c r="F138" s="1"/>
  <c r="J95"/>
  <c r="J138" s="1"/>
  <c r="G95"/>
  <c r="G138" s="1"/>
  <c r="D733" i="22"/>
  <c r="D30" i="23" s="1"/>
  <c r="D736" i="22"/>
  <c r="G30" i="23" s="1"/>
  <c r="D737" i="22"/>
  <c r="H30" i="23" s="1"/>
  <c r="D732" i="22"/>
  <c r="C30" i="23" s="1"/>
  <c r="D752" i="22"/>
  <c r="W30" i="23" s="1"/>
  <c r="D739" i="22"/>
  <c r="J30" i="23" s="1"/>
  <c r="D731" i="22"/>
  <c r="D734"/>
  <c r="E30" i="23" s="1"/>
  <c r="D735" i="22"/>
  <c r="F30" i="23" s="1"/>
  <c r="D740" i="22"/>
  <c r="K30" i="23" s="1"/>
  <c r="D738" i="22"/>
  <c r="I30" i="23" s="1"/>
  <c r="B36"/>
  <c r="F450" i="22"/>
  <c r="J73" i="9"/>
  <c r="J113" s="1"/>
  <c r="D73"/>
  <c r="D113" s="1"/>
  <c r="G73"/>
  <c r="G113" s="1"/>
  <c r="F73"/>
  <c r="F113" s="1"/>
  <c r="C73"/>
  <c r="C113" s="1"/>
  <c r="B73"/>
  <c r="B113" s="1"/>
  <c r="E73"/>
  <c r="E113" s="1"/>
  <c r="H73"/>
  <c r="H113" s="1"/>
  <c r="I73"/>
  <c r="I113" s="1"/>
  <c r="B74" i="18"/>
  <c r="C158" s="1"/>
  <c r="B146" i="7"/>
  <c r="B602" i="22"/>
  <c r="F613" s="1"/>
  <c r="J26" i="23" s="1"/>
  <c r="B42" i="22"/>
  <c r="B56" i="18"/>
  <c r="C140" s="1"/>
  <c r="B128" i="7"/>
  <c r="D386" i="22"/>
  <c r="D67" i="18"/>
  <c r="C217" s="1"/>
  <c r="H72" i="9"/>
  <c r="H112" s="1"/>
  <c r="F72"/>
  <c r="F112" s="1"/>
  <c r="C72"/>
  <c r="C112" s="1"/>
  <c r="E72"/>
  <c r="E112" s="1"/>
  <c r="I72"/>
  <c r="I112" s="1"/>
  <c r="G72"/>
  <c r="G112" s="1"/>
  <c r="J72"/>
  <c r="J112" s="1"/>
  <c r="B72"/>
  <c r="B112" s="1"/>
  <c r="D72"/>
  <c r="D112" s="1"/>
  <c r="F418" i="22"/>
  <c r="B57" i="18"/>
  <c r="C141" s="1"/>
  <c r="B74" i="22"/>
  <c r="B129" i="7"/>
  <c r="B322" i="22"/>
  <c r="B65" i="18"/>
  <c r="C149" s="1"/>
  <c r="B137" i="7"/>
  <c r="B354" i="22"/>
  <c r="G365" s="1"/>
  <c r="J18" i="23" s="1"/>
  <c r="B66" i="18"/>
  <c r="C150" s="1"/>
  <c r="B138" i="7"/>
  <c r="B824" i="22"/>
  <c r="E290" i="18"/>
  <c r="B153" i="7"/>
  <c r="E296" i="18"/>
  <c r="C61" i="8"/>
  <c r="C147" s="1"/>
  <c r="H61"/>
  <c r="H147" s="1"/>
  <c r="B159" i="7"/>
  <c r="B1016" i="22"/>
  <c r="G61" i="8"/>
  <c r="G147" s="1"/>
  <c r="D61"/>
  <c r="D147" s="1"/>
  <c r="F61"/>
  <c r="F147" s="1"/>
  <c r="B61"/>
  <c r="B147" s="1"/>
  <c r="J61"/>
  <c r="J147" s="1"/>
  <c r="E61"/>
  <c r="E147" s="1"/>
  <c r="I61"/>
  <c r="I147" s="1"/>
  <c r="E284" i="18"/>
  <c r="B147" i="7"/>
  <c r="B632" i="22"/>
  <c r="E285" i="18"/>
  <c r="B664" i="22"/>
  <c r="B148" i="7"/>
  <c r="D97" i="8"/>
  <c r="G97"/>
  <c r="I97"/>
  <c r="H97"/>
  <c r="J97"/>
  <c r="B97"/>
  <c r="C97"/>
  <c r="F97"/>
  <c r="E97"/>
  <c r="F792" i="22"/>
  <c r="G798"/>
  <c r="E32" i="23" s="1"/>
  <c r="G797" i="22"/>
  <c r="D32" i="23" s="1"/>
  <c r="G804" i="22"/>
  <c r="K32" i="23" s="1"/>
  <c r="G803" i="22"/>
  <c r="J32" i="23" s="1"/>
  <c r="G799" i="22"/>
  <c r="F32" i="23" s="1"/>
  <c r="G795" i="22"/>
  <c r="G801"/>
  <c r="H32" i="23" s="1"/>
  <c r="G802" i="22"/>
  <c r="I32" i="23" s="1"/>
  <c r="G816" i="22"/>
  <c r="W32" i="23" s="1"/>
  <c r="G796" i="22"/>
  <c r="C32" i="23" s="1"/>
  <c r="G800" i="22"/>
  <c r="G32" i="23" s="1"/>
  <c r="D984" i="22"/>
  <c r="G103" i="8"/>
  <c r="G146" s="1"/>
  <c r="I103"/>
  <c r="I146" s="1"/>
  <c r="C103"/>
  <c r="C146" s="1"/>
  <c r="E103"/>
  <c r="E146" s="1"/>
  <c r="B103"/>
  <c r="B146" s="1"/>
  <c r="F103"/>
  <c r="F146" s="1"/>
  <c r="D103"/>
  <c r="D146" s="1"/>
  <c r="H103"/>
  <c r="H146" s="1"/>
  <c r="J103"/>
  <c r="J146" s="1"/>
  <c r="D989" i="22"/>
  <c r="D38" i="23" s="1"/>
  <c r="D991" i="22"/>
  <c r="F38" i="23" s="1"/>
  <c r="D994" i="22"/>
  <c r="I38" i="23" s="1"/>
  <c r="D992" i="22"/>
  <c r="G38" i="23" s="1"/>
  <c r="D1008" i="22"/>
  <c r="W38" i="23" s="1"/>
  <c r="D987" i="22"/>
  <c r="D996"/>
  <c r="K38" i="23" s="1"/>
  <c r="D993" i="22"/>
  <c r="H38" i="23" s="1"/>
  <c r="D988" i="22"/>
  <c r="C38" i="23" s="1"/>
  <c r="D995" i="22"/>
  <c r="J38" i="23" s="1"/>
  <c r="D990" i="22"/>
  <c r="E38" i="23" s="1"/>
  <c r="D867" i="22"/>
  <c r="J34" i="23" s="1"/>
  <c r="D865" i="22"/>
  <c r="H34" i="23" s="1"/>
  <c r="D864" i="22"/>
  <c r="G34" i="23" s="1"/>
  <c r="D862" i="22"/>
  <c r="E34" i="23" s="1"/>
  <c r="D880" i="22"/>
  <c r="W34" i="23" s="1"/>
  <c r="D868" i="22"/>
  <c r="K34" i="23" s="1"/>
  <c r="D863" i="22"/>
  <c r="F34" i="23" s="1"/>
  <c r="D860" i="22"/>
  <c r="C34" i="23" s="1"/>
  <c r="D861" i="22"/>
  <c r="D34" i="23" s="1"/>
  <c r="D866" i="22"/>
  <c r="I34" i="23" s="1"/>
  <c r="D859" i="22"/>
  <c r="F99" i="21"/>
  <c r="G30" i="20"/>
  <c r="G18"/>
  <c r="F57" i="21"/>
  <c r="F108"/>
  <c r="G61" i="20"/>
  <c r="F177" i="22"/>
  <c r="J12" i="23" s="1"/>
  <c r="G334" i="22"/>
  <c r="K17" i="23" s="1"/>
  <c r="D59" i="8"/>
  <c r="D143" s="1"/>
  <c r="E59"/>
  <c r="E143" s="1"/>
  <c r="B59"/>
  <c r="B143" s="1"/>
  <c r="G59"/>
  <c r="G143" s="1"/>
  <c r="I59"/>
  <c r="I143" s="1"/>
  <c r="B155" i="7"/>
  <c r="G333" i="22" l="1"/>
  <c r="J17" i="23" s="1"/>
  <c r="G366" i="22"/>
  <c r="K18" i="23" s="1"/>
  <c r="C542" i="22"/>
  <c r="B30" i="10"/>
  <c r="D771" i="7"/>
  <c r="H89" i="8"/>
  <c r="B89"/>
  <c r="D735" i="7"/>
  <c r="F89" i="8"/>
  <c r="H178" i="22"/>
  <c r="I365"/>
  <c r="B34" i="23"/>
  <c r="B38"/>
  <c r="D688" i="22"/>
  <c r="D673"/>
  <c r="D669"/>
  <c r="D672"/>
  <c r="D675"/>
  <c r="D667"/>
  <c r="F667" s="1"/>
  <c r="D670"/>
  <c r="D671"/>
  <c r="D668"/>
  <c r="D676"/>
  <c r="D674"/>
  <c r="D641"/>
  <c r="D644"/>
  <c r="D642"/>
  <c r="D636"/>
  <c r="D637"/>
  <c r="D638"/>
  <c r="D643"/>
  <c r="D656"/>
  <c r="D640"/>
  <c r="D639"/>
  <c r="D635"/>
  <c r="H1026"/>
  <c r="H1025"/>
  <c r="H1022"/>
  <c r="H1023"/>
  <c r="H1028"/>
  <c r="H1019"/>
  <c r="H1024"/>
  <c r="H1020"/>
  <c r="H1021"/>
  <c r="H1040"/>
  <c r="H1027"/>
  <c r="E83" i="8"/>
  <c r="B83"/>
  <c r="C83"/>
  <c r="H93" i="9"/>
  <c r="H110" s="1"/>
  <c r="B35" i="14"/>
  <c r="C217" i="7"/>
  <c r="C449" s="1"/>
  <c r="B431"/>
  <c r="G83" i="8"/>
  <c r="D83"/>
  <c r="F83"/>
  <c r="H83"/>
  <c r="J83"/>
  <c r="I83"/>
  <c r="F93" i="9"/>
  <c r="F110" s="1"/>
  <c r="D217" i="7"/>
  <c r="D449" s="1"/>
  <c r="G93" i="9"/>
  <c r="G110" s="1"/>
  <c r="I93"/>
  <c r="I110" s="1"/>
  <c r="J93"/>
  <c r="J110" s="1"/>
  <c r="C93"/>
  <c r="C110" s="1"/>
  <c r="B93"/>
  <c r="B110" s="1"/>
  <c r="E93"/>
  <c r="E110" s="1"/>
  <c r="D93"/>
  <c r="D110" s="1"/>
  <c r="F354" i="22"/>
  <c r="B217" i="7"/>
  <c r="B430"/>
  <c r="H82" i="8"/>
  <c r="F82"/>
  <c r="E82"/>
  <c r="B82"/>
  <c r="C92" i="9"/>
  <c r="C109" s="1"/>
  <c r="D92"/>
  <c r="D109" s="1"/>
  <c r="F92"/>
  <c r="F109" s="1"/>
  <c r="E92"/>
  <c r="E109" s="1"/>
  <c r="G92"/>
  <c r="G109" s="1"/>
  <c r="J92"/>
  <c r="J109" s="1"/>
  <c r="I92"/>
  <c r="I109" s="1"/>
  <c r="C82" i="8"/>
  <c r="J82"/>
  <c r="I82"/>
  <c r="B34" i="14"/>
  <c r="D82" i="8"/>
  <c r="G82"/>
  <c r="F322" i="22"/>
  <c r="B92" i="9"/>
  <c r="B109" s="1"/>
  <c r="D216" i="7"/>
  <c r="D448" s="1"/>
  <c r="C216"/>
  <c r="C448" s="1"/>
  <c r="H92" i="9"/>
  <c r="H109" s="1"/>
  <c r="B216" i="7"/>
  <c r="F86" i="22"/>
  <c r="F85"/>
  <c r="J429"/>
  <c r="J430"/>
  <c r="M430" s="1"/>
  <c r="H91" i="8"/>
  <c r="B32" i="10"/>
  <c r="E91" i="8"/>
  <c r="J91"/>
  <c r="D91"/>
  <c r="D755" i="7"/>
  <c r="C91" i="8"/>
  <c r="C755" i="7"/>
  <c r="G91" i="8"/>
  <c r="B91"/>
  <c r="D773" i="7"/>
  <c r="I91" i="8"/>
  <c r="F91"/>
  <c r="B755" i="7"/>
  <c r="E755" s="1"/>
  <c r="B773" s="1"/>
  <c r="C773" s="1"/>
  <c r="E602" i="22"/>
  <c r="B30" i="23"/>
  <c r="E737" i="22"/>
  <c r="E734"/>
  <c r="E746"/>
  <c r="E750"/>
  <c r="E748"/>
  <c r="E739"/>
  <c r="E738"/>
  <c r="E741"/>
  <c r="E749"/>
  <c r="E751"/>
  <c r="E753"/>
  <c r="E731"/>
  <c r="E732"/>
  <c r="E740"/>
  <c r="E736"/>
  <c r="E743"/>
  <c r="E745"/>
  <c r="E747"/>
  <c r="E733"/>
  <c r="E744"/>
  <c r="E752"/>
  <c r="E735"/>
  <c r="E742"/>
  <c r="E269"/>
  <c r="G269"/>
  <c r="E270"/>
  <c r="E281"/>
  <c r="G270"/>
  <c r="E280"/>
  <c r="I85" i="8"/>
  <c r="C219" i="7"/>
  <c r="C85" i="8"/>
  <c r="H85"/>
  <c r="D85"/>
  <c r="J85"/>
  <c r="F85"/>
  <c r="G85"/>
  <c r="D219" i="7"/>
  <c r="B85" i="8"/>
  <c r="E85"/>
  <c r="B219" i="7"/>
  <c r="E219" s="1"/>
  <c r="B245" s="1"/>
  <c r="C245" s="1"/>
  <c r="I418" i="22"/>
  <c r="B31" i="14"/>
  <c r="C79" i="8"/>
  <c r="G79"/>
  <c r="B79"/>
  <c r="J79"/>
  <c r="D195" i="7"/>
  <c r="I79" i="8"/>
  <c r="E79"/>
  <c r="F79"/>
  <c r="D79"/>
  <c r="H79"/>
  <c r="C195" i="7"/>
  <c r="D89" i="9"/>
  <c r="D106" s="1"/>
  <c r="C89"/>
  <c r="C106" s="1"/>
  <c r="F89"/>
  <c r="F106" s="1"/>
  <c r="H89"/>
  <c r="H106" s="1"/>
  <c r="E89"/>
  <c r="E106" s="1"/>
  <c r="I89"/>
  <c r="I106" s="1"/>
  <c r="B89"/>
  <c r="B106" s="1"/>
  <c r="J89"/>
  <c r="J106" s="1"/>
  <c r="G89"/>
  <c r="G106" s="1"/>
  <c r="E226" i="22"/>
  <c r="B195" i="7"/>
  <c r="E195" s="1"/>
  <c r="B239" s="1"/>
  <c r="C239" s="1"/>
  <c r="I96" i="8"/>
  <c r="C96"/>
  <c r="H96"/>
  <c r="F96"/>
  <c r="E96"/>
  <c r="B96"/>
  <c r="J96"/>
  <c r="D96"/>
  <c r="G96"/>
  <c r="G760" i="22"/>
  <c r="H765"/>
  <c r="H784"/>
  <c r="H771"/>
  <c r="H766"/>
  <c r="H770"/>
  <c r="H767"/>
  <c r="H764"/>
  <c r="H769"/>
  <c r="H772"/>
  <c r="H768"/>
  <c r="H763"/>
  <c r="E696"/>
  <c r="D94" i="8"/>
  <c r="D137" s="1"/>
  <c r="H94"/>
  <c r="H137" s="1"/>
  <c r="G94"/>
  <c r="G137" s="1"/>
  <c r="C94"/>
  <c r="C137" s="1"/>
  <c r="I94"/>
  <c r="I137" s="1"/>
  <c r="E94"/>
  <c r="E137" s="1"/>
  <c r="J94"/>
  <c r="J137" s="1"/>
  <c r="B94"/>
  <c r="B137" s="1"/>
  <c r="F94"/>
  <c r="F137" s="1"/>
  <c r="J398" i="22"/>
  <c r="J397"/>
  <c r="G102" i="8"/>
  <c r="G145" s="1"/>
  <c r="H102"/>
  <c r="H145" s="1"/>
  <c r="J102"/>
  <c r="J145" s="1"/>
  <c r="D102"/>
  <c r="D145" s="1"/>
  <c r="E952" i="22"/>
  <c r="E102" i="8"/>
  <c r="E145" s="1"/>
  <c r="F102"/>
  <c r="F145" s="1"/>
  <c r="I102"/>
  <c r="I145" s="1"/>
  <c r="C102"/>
  <c r="C145" s="1"/>
  <c r="B102"/>
  <c r="B145" s="1"/>
  <c r="B35" i="23"/>
  <c r="J891" i="22"/>
  <c r="I35" i="23"/>
  <c r="J898" i="22"/>
  <c r="F35" i="23"/>
  <c r="J895" i="22"/>
  <c r="E35" i="23"/>
  <c r="J894" i="22"/>
  <c r="G35" i="23"/>
  <c r="J896" i="22"/>
  <c r="C35" i="23"/>
  <c r="J892" i="22"/>
  <c r="B40" i="23"/>
  <c r="H1059" i="22"/>
  <c r="H1057"/>
  <c r="H1056"/>
  <c r="H1058"/>
  <c r="F1057"/>
  <c r="F1054"/>
  <c r="F1061"/>
  <c r="F1065"/>
  <c r="F1067"/>
  <c r="H1065"/>
  <c r="H1068"/>
  <c r="F1060"/>
  <c r="F1071"/>
  <c r="F1052"/>
  <c r="H1071"/>
  <c r="F1063"/>
  <c r="H1069"/>
  <c r="F1056"/>
  <c r="F1062"/>
  <c r="H1073"/>
  <c r="F1053"/>
  <c r="F1069"/>
  <c r="H1051"/>
  <c r="H1053"/>
  <c r="H1055"/>
  <c r="F1059"/>
  <c r="F1058"/>
  <c r="H1060"/>
  <c r="F1066"/>
  <c r="F1068"/>
  <c r="F1064"/>
  <c r="H1061"/>
  <c r="H1067"/>
  <c r="F1073"/>
  <c r="H1054"/>
  <c r="H1072"/>
  <c r="F1070"/>
  <c r="H1070"/>
  <c r="H1063"/>
  <c r="H1052"/>
  <c r="F1055"/>
  <c r="H1064"/>
  <c r="F1072"/>
  <c r="H1066"/>
  <c r="H1062"/>
  <c r="F1051"/>
  <c r="D146"/>
  <c r="D145"/>
  <c r="G88" i="8"/>
  <c r="I88"/>
  <c r="D770" i="7"/>
  <c r="C734"/>
  <c r="F88" i="8"/>
  <c r="D88"/>
  <c r="D734" i="7"/>
  <c r="E88" i="8"/>
  <c r="J88"/>
  <c r="C88"/>
  <c r="B88"/>
  <c r="B29" i="10"/>
  <c r="H88" i="8"/>
  <c r="B734" i="7"/>
  <c r="E734" s="1"/>
  <c r="B770" s="1"/>
  <c r="C770" s="1"/>
  <c r="C512" i="22"/>
  <c r="I77" i="8"/>
  <c r="D77"/>
  <c r="F77"/>
  <c r="B30" i="14"/>
  <c r="B77" i="8"/>
  <c r="G88" i="9"/>
  <c r="G105" s="1"/>
  <c r="I88"/>
  <c r="I105" s="1"/>
  <c r="F88"/>
  <c r="F105" s="1"/>
  <c r="B88"/>
  <c r="B105" s="1"/>
  <c r="H88"/>
  <c r="H105" s="1"/>
  <c r="D194" i="7"/>
  <c r="D375" s="1"/>
  <c r="C194"/>
  <c r="C375" s="1"/>
  <c r="J77" i="8"/>
  <c r="H77"/>
  <c r="B357" i="7"/>
  <c r="E77" i="8"/>
  <c r="C77"/>
  <c r="G77"/>
  <c r="E88" i="9"/>
  <c r="E105" s="1"/>
  <c r="C88"/>
  <c r="C105" s="1"/>
  <c r="E166" i="22"/>
  <c r="D88" i="9"/>
  <c r="D105" s="1"/>
  <c r="J88"/>
  <c r="J105" s="1"/>
  <c r="B194" i="7"/>
  <c r="J100" i="8"/>
  <c r="G100"/>
  <c r="I100"/>
  <c r="B100"/>
  <c r="H100"/>
  <c r="C100"/>
  <c r="F100"/>
  <c r="D100"/>
  <c r="E100"/>
  <c r="G888" i="22"/>
  <c r="E990"/>
  <c r="E1008"/>
  <c r="E994"/>
  <c r="E998"/>
  <c r="E1000"/>
  <c r="E997"/>
  <c r="E989"/>
  <c r="E1005"/>
  <c r="E991"/>
  <c r="E993"/>
  <c r="E1003"/>
  <c r="E995"/>
  <c r="E996"/>
  <c r="E1002"/>
  <c r="E1006"/>
  <c r="E1001"/>
  <c r="E992"/>
  <c r="E988"/>
  <c r="E999"/>
  <c r="E1004"/>
  <c r="E1007"/>
  <c r="E1009"/>
  <c r="E987"/>
  <c r="B32" i="23"/>
  <c r="F801" i="22"/>
  <c r="F815"/>
  <c r="F798"/>
  <c r="H802"/>
  <c r="H803"/>
  <c r="F816"/>
  <c r="F805"/>
  <c r="F796"/>
  <c r="H797"/>
  <c r="F797"/>
  <c r="F807"/>
  <c r="F811"/>
  <c r="H806"/>
  <c r="H808"/>
  <c r="H817"/>
  <c r="H796"/>
  <c r="F809"/>
  <c r="H811"/>
  <c r="F817"/>
  <c r="F814"/>
  <c r="F813"/>
  <c r="H814"/>
  <c r="F799"/>
  <c r="F804"/>
  <c r="F800"/>
  <c r="H816"/>
  <c r="H804"/>
  <c r="H810"/>
  <c r="F803"/>
  <c r="F802"/>
  <c r="H800"/>
  <c r="H815"/>
  <c r="F812"/>
  <c r="F806"/>
  <c r="H813"/>
  <c r="H812"/>
  <c r="H801"/>
  <c r="F810"/>
  <c r="F808"/>
  <c r="H809"/>
  <c r="H798"/>
  <c r="H799"/>
  <c r="H807"/>
  <c r="H805"/>
  <c r="F795"/>
  <c r="H795"/>
  <c r="C93" i="8"/>
  <c r="C136" s="1"/>
  <c r="H93"/>
  <c r="H136" s="1"/>
  <c r="E93"/>
  <c r="E136" s="1"/>
  <c r="B93"/>
  <c r="B136" s="1"/>
  <c r="J93"/>
  <c r="J136" s="1"/>
  <c r="D93"/>
  <c r="D136" s="1"/>
  <c r="F93"/>
  <c r="F136" s="1"/>
  <c r="G93"/>
  <c r="G136" s="1"/>
  <c r="I93"/>
  <c r="I136" s="1"/>
  <c r="D664" i="22"/>
  <c r="E664" s="1"/>
  <c r="C92" i="8"/>
  <c r="C135" s="1"/>
  <c r="H92"/>
  <c r="H135" s="1"/>
  <c r="I92"/>
  <c r="I135" s="1"/>
  <c r="F92"/>
  <c r="F135" s="1"/>
  <c r="D632" i="22"/>
  <c r="J92" i="8"/>
  <c r="J135" s="1"/>
  <c r="D92"/>
  <c r="D135" s="1"/>
  <c r="G92"/>
  <c r="G135" s="1"/>
  <c r="E92"/>
  <c r="E135" s="1"/>
  <c r="B92"/>
  <c r="B135" s="1"/>
  <c r="F104"/>
  <c r="H104"/>
  <c r="E104"/>
  <c r="B104"/>
  <c r="D104"/>
  <c r="J104"/>
  <c r="C104"/>
  <c r="I104"/>
  <c r="G104"/>
  <c r="G1016" i="22"/>
  <c r="E824"/>
  <c r="J98" i="8"/>
  <c r="J141" s="1"/>
  <c r="H98"/>
  <c r="H141" s="1"/>
  <c r="C98"/>
  <c r="C141" s="1"/>
  <c r="G98"/>
  <c r="G141" s="1"/>
  <c r="D98"/>
  <c r="D141" s="1"/>
  <c r="F98"/>
  <c r="F141" s="1"/>
  <c r="E98"/>
  <c r="E141" s="1"/>
  <c r="B98"/>
  <c r="B141" s="1"/>
  <c r="I98"/>
  <c r="I141" s="1"/>
  <c r="E832" i="22"/>
  <c r="E836"/>
  <c r="E833"/>
  <c r="E829"/>
  <c r="E848"/>
  <c r="E831"/>
  <c r="E830"/>
  <c r="E834"/>
  <c r="E835"/>
  <c r="E828"/>
  <c r="E827"/>
  <c r="C74" i="8"/>
  <c r="H74"/>
  <c r="J74"/>
  <c r="C86" i="9"/>
  <c r="C103" s="1"/>
  <c r="E74" i="8"/>
  <c r="I74"/>
  <c r="G74"/>
  <c r="F74"/>
  <c r="D74"/>
  <c r="B28" i="14"/>
  <c r="B74" i="8"/>
  <c r="H86" i="9"/>
  <c r="H103" s="1"/>
  <c r="C193" i="7"/>
  <c r="C374" s="1"/>
  <c r="D193"/>
  <c r="D374" s="1"/>
  <c r="B356"/>
  <c r="J86" i="9"/>
  <c r="J103" s="1"/>
  <c r="F86"/>
  <c r="F103" s="1"/>
  <c r="E86"/>
  <c r="E103" s="1"/>
  <c r="E74" i="22"/>
  <c r="B193" i="7"/>
  <c r="D86" i="9"/>
  <c r="D103" s="1"/>
  <c r="G86"/>
  <c r="G103" s="1"/>
  <c r="I86"/>
  <c r="I103" s="1"/>
  <c r="B86"/>
  <c r="B103" s="1"/>
  <c r="E73" i="8"/>
  <c r="B27" i="14"/>
  <c r="J73" i="8"/>
  <c r="I73"/>
  <c r="H73"/>
  <c r="C175" i="7"/>
  <c r="D175"/>
  <c r="C73" i="8"/>
  <c r="B73"/>
  <c r="D73"/>
  <c r="G73"/>
  <c r="F73"/>
  <c r="B85" i="9"/>
  <c r="B102" s="1"/>
  <c r="I85"/>
  <c r="I102" s="1"/>
  <c r="G85"/>
  <c r="G102" s="1"/>
  <c r="H85"/>
  <c r="H102" s="1"/>
  <c r="B328" i="7"/>
  <c r="D85" i="9"/>
  <c r="D102" s="1"/>
  <c r="E85"/>
  <c r="E102" s="1"/>
  <c r="D42" i="22"/>
  <c r="F85" i="9"/>
  <c r="F102" s="1"/>
  <c r="C85"/>
  <c r="C102" s="1"/>
  <c r="B175" i="7"/>
  <c r="E175" s="1"/>
  <c r="B233" s="1"/>
  <c r="C233" s="1"/>
  <c r="J85" i="9"/>
  <c r="J102" s="1"/>
  <c r="J461" i="22"/>
  <c r="J462"/>
  <c r="D553"/>
  <c r="AK299" i="7"/>
  <c r="AK584" s="1"/>
  <c r="Y299"/>
  <c r="Y584" s="1"/>
  <c r="AB299"/>
  <c r="AB584" s="1"/>
  <c r="AJ299"/>
  <c r="AJ584" s="1"/>
  <c r="L299"/>
  <c r="L584" s="1"/>
  <c r="C299"/>
  <c r="C584" s="1"/>
  <c r="X299"/>
  <c r="X584" s="1"/>
  <c r="AA299"/>
  <c r="AA584" s="1"/>
  <c r="U299"/>
  <c r="U584" s="1"/>
  <c r="S299"/>
  <c r="S584" s="1"/>
  <c r="K299"/>
  <c r="K584" s="1"/>
  <c r="AC299"/>
  <c r="AC584" s="1"/>
  <c r="G299"/>
  <c r="G584" s="1"/>
  <c r="W299"/>
  <c r="W584" s="1"/>
  <c r="AG299"/>
  <c r="AG584" s="1"/>
  <c r="E299"/>
  <c r="E584" s="1"/>
  <c r="H299"/>
  <c r="H584" s="1"/>
  <c r="AI299"/>
  <c r="AI584" s="1"/>
  <c r="Q299"/>
  <c r="Q584" s="1"/>
  <c r="AF299"/>
  <c r="AF584" s="1"/>
  <c r="I299"/>
  <c r="I584" s="1"/>
  <c r="M299"/>
  <c r="M584" s="1"/>
  <c r="P299"/>
  <c r="P584" s="1"/>
  <c r="D299"/>
  <c r="D584" s="1"/>
  <c r="T299"/>
  <c r="T584" s="1"/>
  <c r="O299"/>
  <c r="O584" s="1"/>
  <c r="AE299"/>
  <c r="AE584" s="1"/>
  <c r="E302" i="22"/>
  <c r="E313"/>
  <c r="E312"/>
  <c r="G301"/>
  <c r="E301"/>
  <c r="G302"/>
  <c r="W300" i="7"/>
  <c r="W585" s="1"/>
  <c r="C300"/>
  <c r="C585" s="1"/>
  <c r="M300"/>
  <c r="M585" s="1"/>
  <c r="I300"/>
  <c r="I585" s="1"/>
  <c r="Q300"/>
  <c r="Q585" s="1"/>
  <c r="AF300"/>
  <c r="AF585" s="1"/>
  <c r="P300"/>
  <c r="P585" s="1"/>
  <c r="H300"/>
  <c r="H585" s="1"/>
  <c r="T300"/>
  <c r="T585" s="1"/>
  <c r="AI300"/>
  <c r="AI585" s="1"/>
  <c r="Y300"/>
  <c r="Y585" s="1"/>
  <c r="AJ300"/>
  <c r="AJ585" s="1"/>
  <c r="S300"/>
  <c r="S585" s="1"/>
  <c r="E300"/>
  <c r="E585" s="1"/>
  <c r="AE300"/>
  <c r="AE585" s="1"/>
  <c r="AB300"/>
  <c r="AB585" s="1"/>
  <c r="AG300"/>
  <c r="AG585" s="1"/>
  <c r="K300"/>
  <c r="K585" s="1"/>
  <c r="AK300"/>
  <c r="AK585" s="1"/>
  <c r="X300"/>
  <c r="X585" s="1"/>
  <c r="AC300"/>
  <c r="AC585" s="1"/>
  <c r="AA300"/>
  <c r="AA585" s="1"/>
  <c r="U300"/>
  <c r="U585" s="1"/>
  <c r="G300"/>
  <c r="G585" s="1"/>
  <c r="L300"/>
  <c r="L585" s="1"/>
  <c r="D300"/>
  <c r="D585" s="1"/>
  <c r="O300"/>
  <c r="O585" s="1"/>
  <c r="E42" i="22"/>
  <c r="D54"/>
  <c r="K8" i="23" s="1"/>
  <c r="D53" i="22"/>
  <c r="J8" i="23" s="1"/>
  <c r="E53" i="14"/>
  <c r="C53"/>
  <c r="D53"/>
  <c r="B53"/>
  <c r="F238" i="22"/>
  <c r="F237"/>
  <c r="H925"/>
  <c r="H924"/>
  <c r="F929"/>
  <c r="H930"/>
  <c r="F942"/>
  <c r="H927"/>
  <c r="H943"/>
  <c r="F941"/>
  <c r="F936"/>
  <c r="H941"/>
  <c r="H934"/>
  <c r="F943"/>
  <c r="H931"/>
  <c r="F928"/>
  <c r="F933"/>
  <c r="F937"/>
  <c r="H935"/>
  <c r="F925"/>
  <c r="H929"/>
  <c r="H942"/>
  <c r="F931"/>
  <c r="H933"/>
  <c r="F923"/>
  <c r="H926"/>
  <c r="F926"/>
  <c r="H932"/>
  <c r="F924"/>
  <c r="F944"/>
  <c r="H938"/>
  <c r="F939"/>
  <c r="F940"/>
  <c r="H936"/>
  <c r="H939"/>
  <c r="H945"/>
  <c r="H944"/>
  <c r="H928"/>
  <c r="F932"/>
  <c r="F935"/>
  <c r="H937"/>
  <c r="F945"/>
  <c r="F927"/>
  <c r="F934"/>
  <c r="F930"/>
  <c r="F938"/>
  <c r="H940"/>
  <c r="H923"/>
  <c r="E864"/>
  <c r="E861"/>
  <c r="E874"/>
  <c r="E870"/>
  <c r="E871"/>
  <c r="E880"/>
  <c r="E868"/>
  <c r="E875"/>
  <c r="E879"/>
  <c r="E881"/>
  <c r="E872"/>
  <c r="E859"/>
  <c r="E863"/>
  <c r="E866"/>
  <c r="E860"/>
  <c r="E877"/>
  <c r="E876"/>
  <c r="E869"/>
  <c r="E862"/>
  <c r="E878"/>
  <c r="E865"/>
  <c r="E873"/>
  <c r="E867"/>
  <c r="E705"/>
  <c r="E701"/>
  <c r="E706"/>
  <c r="E700"/>
  <c r="E704"/>
  <c r="E720"/>
  <c r="E702"/>
  <c r="E708"/>
  <c r="E707"/>
  <c r="E703"/>
  <c r="E699"/>
  <c r="F75" i="8"/>
  <c r="G75"/>
  <c r="B393" i="7"/>
  <c r="B75" i="8"/>
  <c r="J75"/>
  <c r="I75"/>
  <c r="C75"/>
  <c r="H75"/>
  <c r="D75"/>
  <c r="E75"/>
  <c r="C106" i="22"/>
  <c r="D733" i="7"/>
  <c r="G87" i="8"/>
  <c r="I87"/>
  <c r="E87"/>
  <c r="B87"/>
  <c r="D87"/>
  <c r="J87"/>
  <c r="D769" i="7"/>
  <c r="H87" i="8"/>
  <c r="C733" i="7"/>
  <c r="C87" i="8"/>
  <c r="F87"/>
  <c r="B28" i="10"/>
  <c r="B40" s="1"/>
  <c r="D56" s="1"/>
  <c r="E56" s="1"/>
  <c r="G56" s="1"/>
  <c r="K68" s="1"/>
  <c r="B733" i="7"/>
  <c r="E733" s="1"/>
  <c r="B769" s="1"/>
  <c r="C769" s="1"/>
  <c r="C482" i="22"/>
  <c r="E958"/>
  <c r="E976"/>
  <c r="E957"/>
  <c r="E961"/>
  <c r="E964"/>
  <c r="E962"/>
  <c r="E960"/>
  <c r="E963"/>
  <c r="E956"/>
  <c r="E959"/>
  <c r="E955"/>
  <c r="J35" i="23"/>
  <c r="J899" i="22"/>
  <c r="D35" i="23"/>
  <c r="J893" i="22"/>
  <c r="H35" i="23"/>
  <c r="J897" i="22"/>
  <c r="K35" i="23"/>
  <c r="J900" i="22"/>
  <c r="W35" i="23"/>
  <c r="J912" i="22"/>
  <c r="D583"/>
  <c r="B76" i="8"/>
  <c r="C76"/>
  <c r="D76"/>
  <c r="C176" i="7"/>
  <c r="D176"/>
  <c r="G76" i="8"/>
  <c r="E76"/>
  <c r="B29" i="14"/>
  <c r="H76" i="8"/>
  <c r="I76"/>
  <c r="F76"/>
  <c r="J76"/>
  <c r="H87" i="9"/>
  <c r="H104" s="1"/>
  <c r="I87"/>
  <c r="I104" s="1"/>
  <c r="E87"/>
  <c r="E104" s="1"/>
  <c r="B87"/>
  <c r="B104" s="1"/>
  <c r="F87"/>
  <c r="F104" s="1"/>
  <c r="D87"/>
  <c r="D104" s="1"/>
  <c r="D134" i="22"/>
  <c r="J87" i="9"/>
  <c r="J104" s="1"/>
  <c r="C87"/>
  <c r="C104" s="1"/>
  <c r="G87"/>
  <c r="G104" s="1"/>
  <c r="B329" i="7"/>
  <c r="B176"/>
  <c r="E176" s="1"/>
  <c r="B236" s="1"/>
  <c r="C236" s="1"/>
  <c r="C218"/>
  <c r="B84" i="8"/>
  <c r="D84"/>
  <c r="I84"/>
  <c r="J84"/>
  <c r="C84"/>
  <c r="H84"/>
  <c r="E84"/>
  <c r="F84"/>
  <c r="G84"/>
  <c r="D218" i="7"/>
  <c r="I386" i="22"/>
  <c r="B218" i="7"/>
  <c r="E218" s="1"/>
  <c r="B244" s="1"/>
  <c r="C244" s="1"/>
  <c r="C220"/>
  <c r="I86" i="8"/>
  <c r="B86"/>
  <c r="G86"/>
  <c r="C86"/>
  <c r="H86"/>
  <c r="J86"/>
  <c r="D220" i="7"/>
  <c r="E86" i="8"/>
  <c r="F86"/>
  <c r="D86"/>
  <c r="I450" i="22"/>
  <c r="B220" i="7"/>
  <c r="E220" s="1"/>
  <c r="B246" s="1"/>
  <c r="C246" s="1"/>
  <c r="I333" i="22"/>
  <c r="I334"/>
  <c r="H177"/>
  <c r="I366" l="1"/>
  <c r="I28" i="23"/>
  <c r="F674" i="22"/>
  <c r="C28" i="23"/>
  <c r="F668" i="22"/>
  <c r="E28" i="23"/>
  <c r="F670" i="22"/>
  <c r="J28" i="23"/>
  <c r="F675" i="22"/>
  <c r="D28" i="23"/>
  <c r="F669" i="22"/>
  <c r="W28" i="23"/>
  <c r="F688" i="22"/>
  <c r="K28" i="23"/>
  <c r="F676" i="22"/>
  <c r="F28" i="23"/>
  <c r="F671" i="22"/>
  <c r="G28" i="23"/>
  <c r="F672" i="22"/>
  <c r="H28" i="23"/>
  <c r="F673" i="22"/>
  <c r="B782" i="7"/>
  <c r="Y842" s="1"/>
  <c r="H819" i="22"/>
  <c r="H947"/>
  <c r="E1011"/>
  <c r="F53"/>
  <c r="X303" i="7"/>
  <c r="X588" s="1"/>
  <c r="AF303"/>
  <c r="AF588" s="1"/>
  <c r="T303"/>
  <c r="T588" s="1"/>
  <c r="G303"/>
  <c r="G588" s="1"/>
  <c r="L303"/>
  <c r="L588" s="1"/>
  <c r="D303"/>
  <c r="D588" s="1"/>
  <c r="AJ303"/>
  <c r="AJ588" s="1"/>
  <c r="AK303"/>
  <c r="AK588" s="1"/>
  <c r="C303"/>
  <c r="C588" s="1"/>
  <c r="O303"/>
  <c r="O588" s="1"/>
  <c r="Y303"/>
  <c r="Y588" s="1"/>
  <c r="K303"/>
  <c r="K588" s="1"/>
  <c r="S303"/>
  <c r="S588" s="1"/>
  <c r="AE303"/>
  <c r="AE588" s="1"/>
  <c r="AA303"/>
  <c r="AA588" s="1"/>
  <c r="P303"/>
  <c r="P588" s="1"/>
  <c r="AB303"/>
  <c r="AB588" s="1"/>
  <c r="AG303"/>
  <c r="AG588" s="1"/>
  <c r="U303"/>
  <c r="U588" s="1"/>
  <c r="M303"/>
  <c r="M588" s="1"/>
  <c r="H303"/>
  <c r="H588" s="1"/>
  <c r="I303"/>
  <c r="I588" s="1"/>
  <c r="AI303"/>
  <c r="AI588" s="1"/>
  <c r="AC303"/>
  <c r="AC588" s="1"/>
  <c r="W303"/>
  <c r="W588" s="1"/>
  <c r="E303"/>
  <c r="E588" s="1"/>
  <c r="Q303"/>
  <c r="Q588" s="1"/>
  <c r="D487"/>
  <c r="C487"/>
  <c r="AF305"/>
  <c r="AF590" s="1"/>
  <c r="K305"/>
  <c r="K590" s="1"/>
  <c r="Y305"/>
  <c r="Y590" s="1"/>
  <c r="C305"/>
  <c r="C590" s="1"/>
  <c r="S305"/>
  <c r="S590" s="1"/>
  <c r="O305"/>
  <c r="O590" s="1"/>
  <c r="AG305"/>
  <c r="AG590" s="1"/>
  <c r="AK305"/>
  <c r="AK590" s="1"/>
  <c r="E305"/>
  <c r="E590" s="1"/>
  <c r="Q305"/>
  <c r="Q590" s="1"/>
  <c r="T305"/>
  <c r="T590" s="1"/>
  <c r="P305"/>
  <c r="P590" s="1"/>
  <c r="D305"/>
  <c r="D590" s="1"/>
  <c r="AC305"/>
  <c r="AC590" s="1"/>
  <c r="L305"/>
  <c r="L590" s="1"/>
  <c r="AA305"/>
  <c r="AA590" s="1"/>
  <c r="H305"/>
  <c r="H590" s="1"/>
  <c r="AI305"/>
  <c r="AI590" s="1"/>
  <c r="U305"/>
  <c r="U590" s="1"/>
  <c r="AE305"/>
  <c r="AE590" s="1"/>
  <c r="G305"/>
  <c r="G590" s="1"/>
  <c r="M305"/>
  <c r="M590" s="1"/>
  <c r="AJ305"/>
  <c r="AJ590" s="1"/>
  <c r="I305"/>
  <c r="I590" s="1"/>
  <c r="AB305"/>
  <c r="AB590" s="1"/>
  <c r="X305"/>
  <c r="X590" s="1"/>
  <c r="W305"/>
  <c r="W590" s="1"/>
  <c r="K397" i="22"/>
  <c r="K398"/>
  <c r="I408"/>
  <c r="I398"/>
  <c r="I397"/>
  <c r="I409"/>
  <c r="J386"/>
  <c r="O295" i="7"/>
  <c r="O320" s="1"/>
  <c r="C295"/>
  <c r="C320" s="1"/>
  <c r="AE295"/>
  <c r="AE320" s="1"/>
  <c r="AI295"/>
  <c r="AI320" s="1"/>
  <c r="K295"/>
  <c r="K320" s="1"/>
  <c r="AB295"/>
  <c r="AB320" s="1"/>
  <c r="X295"/>
  <c r="X320" s="1"/>
  <c r="AK295"/>
  <c r="AK320" s="1"/>
  <c r="Y295"/>
  <c r="Y320" s="1"/>
  <c r="I295"/>
  <c r="I320" s="1"/>
  <c r="P295"/>
  <c r="P320" s="1"/>
  <c r="L295"/>
  <c r="L320" s="1"/>
  <c r="W295"/>
  <c r="W320" s="1"/>
  <c r="G295"/>
  <c r="G320" s="1"/>
  <c r="T295"/>
  <c r="T320" s="1"/>
  <c r="H295"/>
  <c r="H320" s="1"/>
  <c r="AF295"/>
  <c r="AF320" s="1"/>
  <c r="AA295"/>
  <c r="AA320" s="1"/>
  <c r="AC295"/>
  <c r="AC320" s="1"/>
  <c r="U295"/>
  <c r="U320" s="1"/>
  <c r="AJ295"/>
  <c r="AJ320" s="1"/>
  <c r="AG295"/>
  <c r="AG320" s="1"/>
  <c r="M295"/>
  <c r="M320" s="1"/>
  <c r="S295"/>
  <c r="S320" s="1"/>
  <c r="E295"/>
  <c r="E320" s="1"/>
  <c r="D295"/>
  <c r="D320" s="1"/>
  <c r="Q295"/>
  <c r="Q320" s="1"/>
  <c r="F37" i="23"/>
  <c r="G959" i="22"/>
  <c r="J37" i="23"/>
  <c r="G963" i="22"/>
  <c r="I37" i="23"/>
  <c r="G962" i="22"/>
  <c r="H37" i="23"/>
  <c r="G961" i="22"/>
  <c r="W37" i="23"/>
  <c r="G976" i="22"/>
  <c r="D493"/>
  <c r="B29" i="23"/>
  <c r="G699" i="22"/>
  <c r="J29" i="23"/>
  <c r="G707" i="22"/>
  <c r="E29" i="23"/>
  <c r="G702" i="22"/>
  <c r="G29" i="23"/>
  <c r="G704" i="22"/>
  <c r="I29" i="23"/>
  <c r="G706" i="22"/>
  <c r="H29" i="23"/>
  <c r="G705" i="22"/>
  <c r="K14" i="23"/>
  <c r="H238" i="22"/>
  <c r="E637" i="7"/>
  <c r="E919" s="1"/>
  <c r="E613"/>
  <c r="E890" s="1"/>
  <c r="I613"/>
  <c r="I890" s="1"/>
  <c r="I637"/>
  <c r="I919" s="1"/>
  <c r="F637"/>
  <c r="F919" s="1"/>
  <c r="F613"/>
  <c r="F890" s="1"/>
  <c r="G613"/>
  <c r="G890" s="1"/>
  <c r="G637"/>
  <c r="G919" s="1"/>
  <c r="E612"/>
  <c r="E889" s="1"/>
  <c r="E636"/>
  <c r="E918" s="1"/>
  <c r="J636"/>
  <c r="J918" s="1"/>
  <c r="J612"/>
  <c r="J889" s="1"/>
  <c r="G612"/>
  <c r="G889" s="1"/>
  <c r="G636"/>
  <c r="G918" s="1"/>
  <c r="F612"/>
  <c r="F889" s="1"/>
  <c r="F636"/>
  <c r="F918" s="1"/>
  <c r="H636"/>
  <c r="H918" s="1"/>
  <c r="H612"/>
  <c r="H889" s="1"/>
  <c r="B636"/>
  <c r="B918" s="1"/>
  <c r="B612"/>
  <c r="B889" s="1"/>
  <c r="J21" i="23"/>
  <c r="L461" i="22"/>
  <c r="E54"/>
  <c r="E53"/>
  <c r="D44" i="14"/>
  <c r="D63" s="1"/>
  <c r="C44"/>
  <c r="C63" s="1"/>
  <c r="B44"/>
  <c r="B63" s="1"/>
  <c r="E44"/>
  <c r="E63" s="1"/>
  <c r="B374" i="7"/>
  <c r="E193"/>
  <c r="B234" s="1"/>
  <c r="C234" s="1"/>
  <c r="B33" i="23"/>
  <c r="G827" i="22"/>
  <c r="J33" i="23"/>
  <c r="G835" i="22"/>
  <c r="E33" i="23"/>
  <c r="G830" i="22"/>
  <c r="W33" i="23"/>
  <c r="G848" i="22"/>
  <c r="H33" i="23"/>
  <c r="G833" i="22"/>
  <c r="G33" i="23"/>
  <c r="G832" i="22"/>
  <c r="F835"/>
  <c r="F829"/>
  <c r="F828"/>
  <c r="F831"/>
  <c r="F830"/>
  <c r="F848"/>
  <c r="F827"/>
  <c r="F834"/>
  <c r="F832"/>
  <c r="F833"/>
  <c r="F836"/>
  <c r="F824"/>
  <c r="E640"/>
  <c r="E638"/>
  <c r="E643"/>
  <c r="E637"/>
  <c r="E656"/>
  <c r="E636"/>
  <c r="E644"/>
  <c r="E642"/>
  <c r="E639"/>
  <c r="E641"/>
  <c r="E635"/>
  <c r="E632"/>
  <c r="G899"/>
  <c r="G911"/>
  <c r="G897"/>
  <c r="I898"/>
  <c r="I912"/>
  <c r="I892"/>
  <c r="G892"/>
  <c r="G893"/>
  <c r="I894"/>
  <c r="G898"/>
  <c r="I896"/>
  <c r="G891"/>
  <c r="I891"/>
  <c r="G910"/>
  <c r="G912"/>
  <c r="G900"/>
  <c r="I900"/>
  <c r="I893"/>
  <c r="G895"/>
  <c r="I899"/>
  <c r="G894"/>
  <c r="I895"/>
  <c r="G896"/>
  <c r="I897"/>
  <c r="H888"/>
  <c r="E189"/>
  <c r="G177"/>
  <c r="E188"/>
  <c r="G178"/>
  <c r="E177"/>
  <c r="E178"/>
  <c r="F166"/>
  <c r="J11" i="23"/>
  <c r="F145" i="22"/>
  <c r="F961"/>
  <c r="F964"/>
  <c r="F960"/>
  <c r="F958"/>
  <c r="F963"/>
  <c r="F957"/>
  <c r="F962"/>
  <c r="F959"/>
  <c r="F976"/>
  <c r="F956"/>
  <c r="F955"/>
  <c r="F952"/>
  <c r="K19" i="23"/>
  <c r="L398" i="22"/>
  <c r="B31" i="23"/>
  <c r="J763" i="22"/>
  <c r="K31" i="23"/>
  <c r="J772" i="22"/>
  <c r="C31" i="23"/>
  <c r="J764" i="22"/>
  <c r="I31" i="23"/>
  <c r="J770" i="22"/>
  <c r="J31" i="23"/>
  <c r="J771" i="22"/>
  <c r="D31" i="23"/>
  <c r="J765" i="22"/>
  <c r="E237"/>
  <c r="G237"/>
  <c r="E248"/>
  <c r="E238"/>
  <c r="E249"/>
  <c r="G238"/>
  <c r="F226"/>
  <c r="I441"/>
  <c r="K429"/>
  <c r="I429"/>
  <c r="I430"/>
  <c r="I440"/>
  <c r="K430"/>
  <c r="J418"/>
  <c r="G613"/>
  <c r="E613"/>
  <c r="J20" i="23"/>
  <c r="L429" i="22"/>
  <c r="J9" i="23"/>
  <c r="H85" i="22"/>
  <c r="B448" i="7"/>
  <c r="E216"/>
  <c r="B242" s="1"/>
  <c r="C242" s="1"/>
  <c r="B449"/>
  <c r="E217"/>
  <c r="B243" s="1"/>
  <c r="C243" s="1"/>
  <c r="J39" i="23"/>
  <c r="J1027" i="22"/>
  <c r="D39" i="23"/>
  <c r="J1021" i="22"/>
  <c r="G39" i="23"/>
  <c r="J1024" i="22"/>
  <c r="K39" i="23"/>
  <c r="J1028" i="22"/>
  <c r="E39" i="23"/>
  <c r="J1022" i="22"/>
  <c r="I39" i="23"/>
  <c r="J1026" i="22"/>
  <c r="F27" i="23"/>
  <c r="F639" i="22"/>
  <c r="W27" i="23"/>
  <c r="F656" i="22"/>
  <c r="E27" i="23"/>
  <c r="F638" i="22"/>
  <c r="C27" i="23"/>
  <c r="F636" i="22"/>
  <c r="K27" i="23"/>
  <c r="F644" i="22"/>
  <c r="E883"/>
  <c r="F947"/>
  <c r="F54"/>
  <c r="M461"/>
  <c r="J121" i="9"/>
  <c r="C121"/>
  <c r="D121"/>
  <c r="H121"/>
  <c r="I121"/>
  <c r="F819" i="22"/>
  <c r="F1075"/>
  <c r="M398"/>
  <c r="E755"/>
  <c r="M429"/>
  <c r="K462"/>
  <c r="K461"/>
  <c r="I472"/>
  <c r="I461"/>
  <c r="I473"/>
  <c r="I462"/>
  <c r="J450"/>
  <c r="E146"/>
  <c r="E145"/>
  <c r="E134"/>
  <c r="B37" i="23"/>
  <c r="G955" i="22"/>
  <c r="C37" i="23"/>
  <c r="G956" i="22"/>
  <c r="G37" i="23"/>
  <c r="G960" i="22"/>
  <c r="K37" i="23"/>
  <c r="G964" i="22"/>
  <c r="D37" i="23"/>
  <c r="G957" i="22"/>
  <c r="E37" i="23"/>
  <c r="G958" i="22"/>
  <c r="W842" i="7"/>
  <c r="X842"/>
  <c r="Q842"/>
  <c r="AA842"/>
  <c r="AJ842"/>
  <c r="G842"/>
  <c r="AB842"/>
  <c r="C842"/>
  <c r="D842"/>
  <c r="AF842"/>
  <c r="AK842"/>
  <c r="I842"/>
  <c r="AI842"/>
  <c r="K842"/>
  <c r="F29" i="23"/>
  <c r="G703" i="22"/>
  <c r="K29" i="23"/>
  <c r="G708" i="22"/>
  <c r="W29" i="23"/>
  <c r="G720" i="22"/>
  <c r="C29" i="23"/>
  <c r="G700" i="22"/>
  <c r="D29" i="23"/>
  <c r="G701" i="22"/>
  <c r="J14" i="23"/>
  <c r="H237" i="22"/>
  <c r="C637" i="7"/>
  <c r="C919" s="1"/>
  <c r="C613"/>
  <c r="C890" s="1"/>
  <c r="H613"/>
  <c r="H890" s="1"/>
  <c r="H637"/>
  <c r="H919" s="1"/>
  <c r="D613"/>
  <c r="D890" s="1"/>
  <c r="D637"/>
  <c r="D919" s="1"/>
  <c r="J613"/>
  <c r="J890" s="1"/>
  <c r="J637"/>
  <c r="J919" s="1"/>
  <c r="B637"/>
  <c r="B919" s="1"/>
  <c r="B613"/>
  <c r="B890" s="1"/>
  <c r="I612"/>
  <c r="I889" s="1"/>
  <c r="I636"/>
  <c r="I918" s="1"/>
  <c r="C636"/>
  <c r="C918" s="1"/>
  <c r="C612"/>
  <c r="C889" s="1"/>
  <c r="D612"/>
  <c r="D889" s="1"/>
  <c r="D636"/>
  <c r="D918" s="1"/>
  <c r="K21" i="23"/>
  <c r="L462" i="22"/>
  <c r="W292" i="7"/>
  <c r="W319" s="1"/>
  <c r="O292"/>
  <c r="O319" s="1"/>
  <c r="C292"/>
  <c r="C319" s="1"/>
  <c r="X292"/>
  <c r="X319" s="1"/>
  <c r="AG292"/>
  <c r="AG319" s="1"/>
  <c r="AB292"/>
  <c r="AB319" s="1"/>
  <c r="E292"/>
  <c r="E319" s="1"/>
  <c r="Y292"/>
  <c r="Y319" s="1"/>
  <c r="AJ292"/>
  <c r="AJ319" s="1"/>
  <c r="P292"/>
  <c r="P319" s="1"/>
  <c r="AI292"/>
  <c r="AI319" s="1"/>
  <c r="AE292"/>
  <c r="AE319" s="1"/>
  <c r="AC292"/>
  <c r="AC319" s="1"/>
  <c r="M292"/>
  <c r="M319" s="1"/>
  <c r="U292"/>
  <c r="U319" s="1"/>
  <c r="L292"/>
  <c r="L319" s="1"/>
  <c r="T292"/>
  <c r="T319" s="1"/>
  <c r="AF292"/>
  <c r="AF319" s="1"/>
  <c r="S292"/>
  <c r="S319" s="1"/>
  <c r="G292"/>
  <c r="G319" s="1"/>
  <c r="K292"/>
  <c r="K319" s="1"/>
  <c r="H292"/>
  <c r="H319" s="1"/>
  <c r="AA292"/>
  <c r="AA319" s="1"/>
  <c r="D292"/>
  <c r="D319" s="1"/>
  <c r="AK292"/>
  <c r="AK319" s="1"/>
  <c r="Q292"/>
  <c r="Q319" s="1"/>
  <c r="I292"/>
  <c r="I319" s="1"/>
  <c r="D486"/>
  <c r="C486"/>
  <c r="B486"/>
  <c r="E85" i="22"/>
  <c r="E97"/>
  <c r="G86"/>
  <c r="E86"/>
  <c r="E96"/>
  <c r="G85"/>
  <c r="F74"/>
  <c r="C33" i="23"/>
  <c r="G828" i="22"/>
  <c r="I33" i="23"/>
  <c r="G834" i="22"/>
  <c r="F33" i="23"/>
  <c r="G831" i="22"/>
  <c r="D33" i="23"/>
  <c r="G829" i="22"/>
  <c r="K33" i="23"/>
  <c r="G836" i="22"/>
  <c r="G1023"/>
  <c r="G1021"/>
  <c r="G1026"/>
  <c r="I1022"/>
  <c r="I1027"/>
  <c r="I1024"/>
  <c r="G1020"/>
  <c r="G1038"/>
  <c r="I1026"/>
  <c r="G1039"/>
  <c r="I1025"/>
  <c r="G1028"/>
  <c r="I1020"/>
  <c r="G1019"/>
  <c r="I1019"/>
  <c r="G1027"/>
  <c r="G1024"/>
  <c r="G1022"/>
  <c r="I1021"/>
  <c r="I1040"/>
  <c r="G1025"/>
  <c r="I1023"/>
  <c r="I1028"/>
  <c r="G1040"/>
  <c r="H1016"/>
  <c r="E675"/>
  <c r="E688"/>
  <c r="E668"/>
  <c r="E669"/>
  <c r="E676"/>
  <c r="E672"/>
  <c r="E670"/>
  <c r="E671"/>
  <c r="E673"/>
  <c r="E674"/>
  <c r="E667"/>
  <c r="B375" i="7"/>
  <c r="B487" s="1"/>
  <c r="E194"/>
  <c r="B237" s="1"/>
  <c r="C237" s="1"/>
  <c r="D523" i="22"/>
  <c r="K11" i="23"/>
  <c r="F146" i="22"/>
  <c r="J19" i="23"/>
  <c r="L397" i="22"/>
  <c r="F708"/>
  <c r="F704"/>
  <c r="F720"/>
  <c r="F700"/>
  <c r="F701"/>
  <c r="F705"/>
  <c r="F699"/>
  <c r="F702"/>
  <c r="F703"/>
  <c r="F707"/>
  <c r="F706"/>
  <c r="F696"/>
  <c r="G31" i="23"/>
  <c r="J768" i="22"/>
  <c r="H31" i="23"/>
  <c r="J769" i="22"/>
  <c r="F31" i="23"/>
  <c r="J767" i="22"/>
  <c r="E31" i="23"/>
  <c r="J766" i="22"/>
  <c r="W31" i="23"/>
  <c r="J784" i="22"/>
  <c r="G768"/>
  <c r="G771"/>
  <c r="G764"/>
  <c r="I768"/>
  <c r="I771"/>
  <c r="I766"/>
  <c r="G782"/>
  <c r="G765"/>
  <c r="I784"/>
  <c r="G769"/>
  <c r="I764"/>
  <c r="G770"/>
  <c r="I769"/>
  <c r="I763"/>
  <c r="G772"/>
  <c r="G766"/>
  <c r="G767"/>
  <c r="I767"/>
  <c r="I770"/>
  <c r="G783"/>
  <c r="I772"/>
  <c r="G784"/>
  <c r="I765"/>
  <c r="G763"/>
  <c r="H760"/>
  <c r="AI298" i="7"/>
  <c r="AI583" s="1"/>
  <c r="L298"/>
  <c r="L583" s="1"/>
  <c r="AC298"/>
  <c r="AC583" s="1"/>
  <c r="T298"/>
  <c r="T583" s="1"/>
  <c r="M298"/>
  <c r="M583" s="1"/>
  <c r="AK298"/>
  <c r="AK583" s="1"/>
  <c r="AJ298"/>
  <c r="AJ583" s="1"/>
  <c r="D298"/>
  <c r="D583" s="1"/>
  <c r="I298"/>
  <c r="I583" s="1"/>
  <c r="E298"/>
  <c r="E583" s="1"/>
  <c r="W298"/>
  <c r="W583" s="1"/>
  <c r="S298"/>
  <c r="S583" s="1"/>
  <c r="AG298"/>
  <c r="AG583" s="1"/>
  <c r="O298"/>
  <c r="O583" s="1"/>
  <c r="AE298"/>
  <c r="AE583" s="1"/>
  <c r="AA298"/>
  <c r="AA583" s="1"/>
  <c r="H298"/>
  <c r="H583" s="1"/>
  <c r="U298"/>
  <c r="U583" s="1"/>
  <c r="C298"/>
  <c r="C583" s="1"/>
  <c r="X298"/>
  <c r="X583" s="1"/>
  <c r="Y298"/>
  <c r="Y583" s="1"/>
  <c r="AB298"/>
  <c r="AB583" s="1"/>
  <c r="AF298"/>
  <c r="AF583" s="1"/>
  <c r="Q298"/>
  <c r="Q583" s="1"/>
  <c r="G298"/>
  <c r="G583" s="1"/>
  <c r="K298"/>
  <c r="K583" s="1"/>
  <c r="P298"/>
  <c r="P583" s="1"/>
  <c r="S304"/>
  <c r="S589" s="1"/>
  <c r="U304"/>
  <c r="U589" s="1"/>
  <c r="I304"/>
  <c r="I589" s="1"/>
  <c r="AE304"/>
  <c r="AE589" s="1"/>
  <c r="AK304"/>
  <c r="AK589" s="1"/>
  <c r="Y304"/>
  <c r="Y589" s="1"/>
  <c r="AB304"/>
  <c r="AB589" s="1"/>
  <c r="W304"/>
  <c r="W589" s="1"/>
  <c r="AG304"/>
  <c r="AG589" s="1"/>
  <c r="AJ304"/>
  <c r="AJ589" s="1"/>
  <c r="H304"/>
  <c r="H589" s="1"/>
  <c r="C304"/>
  <c r="C589" s="1"/>
  <c r="L304"/>
  <c r="L589" s="1"/>
  <c r="AF304"/>
  <c r="AF589" s="1"/>
  <c r="Q304"/>
  <c r="Q589" s="1"/>
  <c r="X304"/>
  <c r="X589" s="1"/>
  <c r="P304"/>
  <c r="P589" s="1"/>
  <c r="G304"/>
  <c r="G589" s="1"/>
  <c r="O304"/>
  <c r="O589" s="1"/>
  <c r="M304"/>
  <c r="M589" s="1"/>
  <c r="K304"/>
  <c r="K589" s="1"/>
  <c r="AC304"/>
  <c r="AC589" s="1"/>
  <c r="AA304"/>
  <c r="AA589" s="1"/>
  <c r="E304"/>
  <c r="E589" s="1"/>
  <c r="D304"/>
  <c r="D589" s="1"/>
  <c r="AI304"/>
  <c r="AI589" s="1"/>
  <c r="T304"/>
  <c r="T589" s="1"/>
  <c r="K20" i="23"/>
  <c r="L430" i="22"/>
  <c r="K9" i="23"/>
  <c r="K46" s="1"/>
  <c r="H86" i="22"/>
  <c r="F345"/>
  <c r="F334"/>
  <c r="F344"/>
  <c r="F333"/>
  <c r="H333"/>
  <c r="H334"/>
  <c r="G322"/>
  <c r="H366"/>
  <c r="F376"/>
  <c r="F377"/>
  <c r="H365"/>
  <c r="F365"/>
  <c r="F366"/>
  <c r="G354"/>
  <c r="W39" i="23"/>
  <c r="J1040" i="22"/>
  <c r="C39" i="23"/>
  <c r="J1020" i="22"/>
  <c r="B39" i="23"/>
  <c r="J1019" i="22"/>
  <c r="F39" i="23"/>
  <c r="J1023" i="22"/>
  <c r="H39" i="23"/>
  <c r="J1025" i="22"/>
  <c r="B27" i="23"/>
  <c r="F635" i="22"/>
  <c r="G27" i="23"/>
  <c r="F640" i="22"/>
  <c r="J27" i="23"/>
  <c r="F643" i="22"/>
  <c r="D27" i="23"/>
  <c r="F637" i="22"/>
  <c r="I27" i="23"/>
  <c r="F642" i="22"/>
  <c r="H27" i="23"/>
  <c r="F641" i="22"/>
  <c r="B28" i="23"/>
  <c r="M462" i="22"/>
  <c r="F121" i="9"/>
  <c r="E121"/>
  <c r="G121"/>
  <c r="B121"/>
  <c r="H1075" i="22"/>
  <c r="M397"/>
  <c r="AG842" i="7" l="1"/>
  <c r="T842"/>
  <c r="P842"/>
  <c r="O842"/>
  <c r="E842"/>
  <c r="B864" s="1"/>
  <c r="B925" s="1"/>
  <c r="S842"/>
  <c r="U842"/>
  <c r="F864" s="1"/>
  <c r="F925" s="1"/>
  <c r="H842"/>
  <c r="AC842"/>
  <c r="H864" s="1"/>
  <c r="H925" s="1"/>
  <c r="M842"/>
  <c r="AE842"/>
  <c r="I873" s="1"/>
  <c r="I945" s="1"/>
  <c r="L842"/>
  <c r="J46" i="23"/>
  <c r="B73" i="14"/>
  <c r="B80"/>
  <c r="B75"/>
  <c r="B76"/>
  <c r="B78"/>
  <c r="B74"/>
  <c r="B77"/>
  <c r="B79"/>
  <c r="B72"/>
  <c r="J660" i="7"/>
  <c r="J943" s="1"/>
  <c r="J641"/>
  <c r="J923" s="1"/>
  <c r="J617"/>
  <c r="J894" s="1"/>
  <c r="C617"/>
  <c r="C894" s="1"/>
  <c r="C660"/>
  <c r="C943" s="1"/>
  <c r="C641"/>
  <c r="C923" s="1"/>
  <c r="B660"/>
  <c r="B943" s="1"/>
  <c r="B617"/>
  <c r="B894" s="1"/>
  <c r="B641"/>
  <c r="B923" s="1"/>
  <c r="G660"/>
  <c r="G943" s="1"/>
  <c r="G641"/>
  <c r="G923" s="1"/>
  <c r="G617"/>
  <c r="G894" s="1"/>
  <c r="I641"/>
  <c r="I923" s="1"/>
  <c r="I660"/>
  <c r="I943" s="1"/>
  <c r="I617"/>
  <c r="I894" s="1"/>
  <c r="C635"/>
  <c r="C917" s="1"/>
  <c r="C611"/>
  <c r="C888" s="1"/>
  <c r="B635"/>
  <c r="B917" s="1"/>
  <c r="B611"/>
  <c r="B888" s="1"/>
  <c r="I635"/>
  <c r="I917" s="1"/>
  <c r="I611"/>
  <c r="I888" s="1"/>
  <c r="G635"/>
  <c r="G917" s="1"/>
  <c r="G611"/>
  <c r="G888" s="1"/>
  <c r="J635"/>
  <c r="J917" s="1"/>
  <c r="J611"/>
  <c r="J888" s="1"/>
  <c r="C347"/>
  <c r="I347"/>
  <c r="E347"/>
  <c r="D106" i="12"/>
  <c r="D109" i="13" s="1"/>
  <c r="C74" i="12"/>
  <c r="C86" i="13" s="1"/>
  <c r="C35" i="8"/>
  <c r="C123" s="1"/>
  <c r="C137" i="9" s="1"/>
  <c r="I106" i="12"/>
  <c r="I109" i="13" s="1"/>
  <c r="B75" i="12"/>
  <c r="B87" i="13" s="1"/>
  <c r="B23" i="16" s="1"/>
  <c r="B36" i="8"/>
  <c r="B124" s="1"/>
  <c r="B138" i="9" s="1"/>
  <c r="J107" i="12"/>
  <c r="J110" i="13" s="1"/>
  <c r="D107" i="12"/>
  <c r="D110" i="13" s="1"/>
  <c r="H107" i="12"/>
  <c r="H110" i="13" s="1"/>
  <c r="C75" i="12"/>
  <c r="C87" i="13" s="1"/>
  <c r="C36" i="8"/>
  <c r="C124" s="1"/>
  <c r="C138" i="9" s="1"/>
  <c r="E873" i="7"/>
  <c r="E945" s="1"/>
  <c r="E853"/>
  <c r="E898" s="1"/>
  <c r="E852"/>
  <c r="E897" s="1"/>
  <c r="F854"/>
  <c r="F899" s="1"/>
  <c r="F853"/>
  <c r="F898" s="1"/>
  <c r="F851"/>
  <c r="F896" s="1"/>
  <c r="F855"/>
  <c r="F900" s="1"/>
  <c r="I854"/>
  <c r="I899" s="1"/>
  <c r="I851"/>
  <c r="I896" s="1"/>
  <c r="I852"/>
  <c r="I897" s="1"/>
  <c r="B74" i="12"/>
  <c r="B86" i="13" s="1"/>
  <c r="B22" i="16" s="1"/>
  <c r="B35" i="8"/>
  <c r="B123" s="1"/>
  <c r="B137" i="9" s="1"/>
  <c r="H74" i="12"/>
  <c r="H86" i="13" s="1"/>
  <c r="H35" i="8"/>
  <c r="H123" s="1"/>
  <c r="H137" i="9" s="1"/>
  <c r="F106" i="12"/>
  <c r="F109" i="13" s="1"/>
  <c r="G106" i="12"/>
  <c r="G109" i="13" s="1"/>
  <c r="J74" i="12"/>
  <c r="J86" i="13" s="1"/>
  <c r="J35" i="8"/>
  <c r="J123" s="1"/>
  <c r="J137" i="9" s="1"/>
  <c r="E106" i="12"/>
  <c r="E109" i="13" s="1"/>
  <c r="G107" i="12"/>
  <c r="G110" i="13" s="1"/>
  <c r="F75" i="12"/>
  <c r="F87" i="13" s="1"/>
  <c r="F36" i="8"/>
  <c r="F124" s="1"/>
  <c r="F138" i="9" s="1"/>
  <c r="I107" i="12"/>
  <c r="I110" i="13" s="1"/>
  <c r="E75" i="12"/>
  <c r="E87" i="13" s="1"/>
  <c r="E36" i="8"/>
  <c r="E124" s="1"/>
  <c r="E138" i="9" s="1"/>
  <c r="G348" i="7"/>
  <c r="D348"/>
  <c r="I348"/>
  <c r="E348"/>
  <c r="G618"/>
  <c r="G895" s="1"/>
  <c r="G661"/>
  <c r="G944" s="1"/>
  <c r="G642"/>
  <c r="G924" s="1"/>
  <c r="C661"/>
  <c r="C944" s="1"/>
  <c r="C618"/>
  <c r="C895" s="1"/>
  <c r="C642"/>
  <c r="C924" s="1"/>
  <c r="F661"/>
  <c r="F944" s="1"/>
  <c r="F642"/>
  <c r="F924" s="1"/>
  <c r="F618"/>
  <c r="F895" s="1"/>
  <c r="G640"/>
  <c r="G922" s="1"/>
  <c r="G616"/>
  <c r="G893" s="1"/>
  <c r="G659"/>
  <c r="G942" s="1"/>
  <c r="J616"/>
  <c r="J893" s="1"/>
  <c r="J640"/>
  <c r="J922" s="1"/>
  <c r="J659"/>
  <c r="J942" s="1"/>
  <c r="H640"/>
  <c r="H922" s="1"/>
  <c r="H659"/>
  <c r="H942" s="1"/>
  <c r="H616"/>
  <c r="H893" s="1"/>
  <c r="F640"/>
  <c r="F922" s="1"/>
  <c r="F659"/>
  <c r="F942" s="1"/>
  <c r="F616"/>
  <c r="F893" s="1"/>
  <c r="B640"/>
  <c r="B922" s="1"/>
  <c r="B659"/>
  <c r="B942" s="1"/>
  <c r="B616"/>
  <c r="B893" s="1"/>
  <c r="H641"/>
  <c r="H923" s="1"/>
  <c r="H617"/>
  <c r="H894" s="1"/>
  <c r="H660"/>
  <c r="H943" s="1"/>
  <c r="D641"/>
  <c r="D923" s="1"/>
  <c r="D660"/>
  <c r="D943" s="1"/>
  <c r="D617"/>
  <c r="D894" s="1"/>
  <c r="E641"/>
  <c r="E923" s="1"/>
  <c r="E660"/>
  <c r="E943" s="1"/>
  <c r="E617"/>
  <c r="E894" s="1"/>
  <c r="F641"/>
  <c r="F923" s="1"/>
  <c r="F660"/>
  <c r="F943" s="1"/>
  <c r="F617"/>
  <c r="F894" s="1"/>
  <c r="D611"/>
  <c r="D888" s="1"/>
  <c r="D635"/>
  <c r="D917" s="1"/>
  <c r="H635"/>
  <c r="H917" s="1"/>
  <c r="H611"/>
  <c r="H888" s="1"/>
  <c r="E635"/>
  <c r="E917" s="1"/>
  <c r="E611"/>
  <c r="E888" s="1"/>
  <c r="F611"/>
  <c r="F888" s="1"/>
  <c r="F635"/>
  <c r="F917" s="1"/>
  <c r="K296"/>
  <c r="K366" s="1"/>
  <c r="AA296"/>
  <c r="AA366" s="1"/>
  <c r="T296"/>
  <c r="T366" s="1"/>
  <c r="AJ296"/>
  <c r="AJ366" s="1"/>
  <c r="H296"/>
  <c r="H366" s="1"/>
  <c r="E296"/>
  <c r="E366" s="1"/>
  <c r="O296"/>
  <c r="O366" s="1"/>
  <c r="C296"/>
  <c r="C366" s="1"/>
  <c r="U296"/>
  <c r="U366" s="1"/>
  <c r="I296"/>
  <c r="I366" s="1"/>
  <c r="AF296"/>
  <c r="AF366" s="1"/>
  <c r="AG296"/>
  <c r="AG366" s="1"/>
  <c r="AE296"/>
  <c r="AE366" s="1"/>
  <c r="AI296"/>
  <c r="AI366" s="1"/>
  <c r="AC296"/>
  <c r="AC366" s="1"/>
  <c r="Y296"/>
  <c r="Y366" s="1"/>
  <c r="AK296"/>
  <c r="AK366" s="1"/>
  <c r="AB296"/>
  <c r="AB366" s="1"/>
  <c r="X296"/>
  <c r="X366" s="1"/>
  <c r="P296"/>
  <c r="P366" s="1"/>
  <c r="G296"/>
  <c r="G366" s="1"/>
  <c r="W296"/>
  <c r="W366" s="1"/>
  <c r="S296"/>
  <c r="S366" s="1"/>
  <c r="D296"/>
  <c r="D366" s="1"/>
  <c r="Q296"/>
  <c r="Q366" s="1"/>
  <c r="M296"/>
  <c r="M366" s="1"/>
  <c r="L296"/>
  <c r="L366" s="1"/>
  <c r="H347"/>
  <c r="D347"/>
  <c r="F347"/>
  <c r="J347"/>
  <c r="B347"/>
  <c r="G347"/>
  <c r="D74" i="12"/>
  <c r="D86" i="13" s="1"/>
  <c r="D35" i="8"/>
  <c r="D123" s="1"/>
  <c r="D137" i="9" s="1"/>
  <c r="C106" i="12"/>
  <c r="C109" i="13" s="1"/>
  <c r="I74" i="12"/>
  <c r="I86" i="13" s="1"/>
  <c r="I35" i="8"/>
  <c r="I123" s="1"/>
  <c r="I137" i="9" s="1"/>
  <c r="B107" i="12"/>
  <c r="B110" i="13" s="1"/>
  <c r="B67" i="16" s="1"/>
  <c r="J75" i="12"/>
  <c r="J87" i="13" s="1"/>
  <c r="J36" i="8"/>
  <c r="J124" s="1"/>
  <c r="J138" i="9" s="1"/>
  <c r="D75" i="12"/>
  <c r="D87" i="13" s="1"/>
  <c r="D36" i="8"/>
  <c r="D124" s="1"/>
  <c r="D138" i="9" s="1"/>
  <c r="H75" i="12"/>
  <c r="H87" i="13" s="1"/>
  <c r="H36" i="8"/>
  <c r="H124" s="1"/>
  <c r="H138" i="9" s="1"/>
  <c r="C107" i="12"/>
  <c r="C110" i="13" s="1"/>
  <c r="D864" i="7"/>
  <c r="D925" s="1"/>
  <c r="D873"/>
  <c r="D945" s="1"/>
  <c r="D852"/>
  <c r="D897" s="1"/>
  <c r="D853"/>
  <c r="D898" s="1"/>
  <c r="D854"/>
  <c r="D899" s="1"/>
  <c r="D851"/>
  <c r="D896" s="1"/>
  <c r="D855"/>
  <c r="D900" s="1"/>
  <c r="J864"/>
  <c r="J925" s="1"/>
  <c r="J854"/>
  <c r="J899" s="1"/>
  <c r="J873"/>
  <c r="J945" s="1"/>
  <c r="J851"/>
  <c r="J896" s="1"/>
  <c r="J852"/>
  <c r="J897" s="1"/>
  <c r="J853"/>
  <c r="J898" s="1"/>
  <c r="J855"/>
  <c r="J900" s="1"/>
  <c r="B854"/>
  <c r="B899" s="1"/>
  <c r="B873"/>
  <c r="B945" s="1"/>
  <c r="B851"/>
  <c r="B896" s="1"/>
  <c r="C873"/>
  <c r="C945" s="1"/>
  <c r="C855"/>
  <c r="C900" s="1"/>
  <c r="C854"/>
  <c r="C899" s="1"/>
  <c r="C852"/>
  <c r="C897" s="1"/>
  <c r="C864"/>
  <c r="C925" s="1"/>
  <c r="C853"/>
  <c r="C898" s="1"/>
  <c r="C851"/>
  <c r="C896" s="1"/>
  <c r="H873"/>
  <c r="H945" s="1"/>
  <c r="H854"/>
  <c r="H899" s="1"/>
  <c r="H852"/>
  <c r="H897" s="1"/>
  <c r="G853"/>
  <c r="G898" s="1"/>
  <c r="G855"/>
  <c r="G900" s="1"/>
  <c r="G851"/>
  <c r="G896" s="1"/>
  <c r="G873"/>
  <c r="G945" s="1"/>
  <c r="G854"/>
  <c r="G899" s="1"/>
  <c r="G852"/>
  <c r="G897" s="1"/>
  <c r="G864"/>
  <c r="G925" s="1"/>
  <c r="W302"/>
  <c r="W440" s="1"/>
  <c r="S302"/>
  <c r="S440" s="1"/>
  <c r="G302"/>
  <c r="G440" s="1"/>
  <c r="O302"/>
  <c r="O440" s="1"/>
  <c r="AA302"/>
  <c r="AA440" s="1"/>
  <c r="AC302"/>
  <c r="AC440" s="1"/>
  <c r="T302"/>
  <c r="T440" s="1"/>
  <c r="X302"/>
  <c r="X440" s="1"/>
  <c r="P302"/>
  <c r="P440" s="1"/>
  <c r="AF302"/>
  <c r="AF440" s="1"/>
  <c r="U302"/>
  <c r="U440" s="1"/>
  <c r="I302"/>
  <c r="I440" s="1"/>
  <c r="Q302"/>
  <c r="Q440" s="1"/>
  <c r="AG302"/>
  <c r="AG440" s="1"/>
  <c r="M302"/>
  <c r="M440" s="1"/>
  <c r="AB302"/>
  <c r="AB440" s="1"/>
  <c r="AK302"/>
  <c r="AK440" s="1"/>
  <c r="Y302"/>
  <c r="Y440" s="1"/>
  <c r="AJ302"/>
  <c r="AJ440" s="1"/>
  <c r="H302"/>
  <c r="H440" s="1"/>
  <c r="D302"/>
  <c r="D440" s="1"/>
  <c r="AI302"/>
  <c r="AI440" s="1"/>
  <c r="AE302"/>
  <c r="AE440" s="1"/>
  <c r="C302"/>
  <c r="C440" s="1"/>
  <c r="K302"/>
  <c r="K440" s="1"/>
  <c r="E302"/>
  <c r="E440" s="1"/>
  <c r="L302"/>
  <c r="L440" s="1"/>
  <c r="I301"/>
  <c r="I439" s="1"/>
  <c r="Q301"/>
  <c r="Q439" s="1"/>
  <c r="L301"/>
  <c r="L439" s="1"/>
  <c r="M301"/>
  <c r="M439" s="1"/>
  <c r="U301"/>
  <c r="U439" s="1"/>
  <c r="T301"/>
  <c r="T439" s="1"/>
  <c r="AG301"/>
  <c r="AG439" s="1"/>
  <c r="AA301"/>
  <c r="AA439" s="1"/>
  <c r="G301"/>
  <c r="G439" s="1"/>
  <c r="AI301"/>
  <c r="AI439" s="1"/>
  <c r="W301"/>
  <c r="W439" s="1"/>
  <c r="S301"/>
  <c r="S439" s="1"/>
  <c r="K301"/>
  <c r="K439" s="1"/>
  <c r="AE301"/>
  <c r="AE439" s="1"/>
  <c r="O301"/>
  <c r="O439" s="1"/>
  <c r="C301"/>
  <c r="C439" s="1"/>
  <c r="X301"/>
  <c r="X439" s="1"/>
  <c r="AB301"/>
  <c r="AB439" s="1"/>
  <c r="D301"/>
  <c r="D439" s="1"/>
  <c r="Y301"/>
  <c r="Y439" s="1"/>
  <c r="AJ301"/>
  <c r="AJ439" s="1"/>
  <c r="P301"/>
  <c r="P439" s="1"/>
  <c r="AC301"/>
  <c r="AC439" s="1"/>
  <c r="E301"/>
  <c r="E439" s="1"/>
  <c r="AK301"/>
  <c r="AK439" s="1"/>
  <c r="AF301"/>
  <c r="AF439" s="1"/>
  <c r="H301"/>
  <c r="H439" s="1"/>
  <c r="C293"/>
  <c r="C365" s="1"/>
  <c r="S293"/>
  <c r="S365" s="1"/>
  <c r="E293"/>
  <c r="E365" s="1"/>
  <c r="D293"/>
  <c r="D365" s="1"/>
  <c r="L293"/>
  <c r="L365" s="1"/>
  <c r="T293"/>
  <c r="T365" s="1"/>
  <c r="H293"/>
  <c r="H365" s="1"/>
  <c r="AA293"/>
  <c r="AA365" s="1"/>
  <c r="K293"/>
  <c r="K365" s="1"/>
  <c r="G293"/>
  <c r="G365" s="1"/>
  <c r="AK293"/>
  <c r="AK365" s="1"/>
  <c r="AE293"/>
  <c r="AE365" s="1"/>
  <c r="P293"/>
  <c r="P365" s="1"/>
  <c r="AG293"/>
  <c r="AG365" s="1"/>
  <c r="Y293"/>
  <c r="Y365" s="1"/>
  <c r="AJ293"/>
  <c r="AJ365" s="1"/>
  <c r="AF293"/>
  <c r="AF365" s="1"/>
  <c r="I293"/>
  <c r="I365" s="1"/>
  <c r="AI293"/>
  <c r="AI365" s="1"/>
  <c r="U293"/>
  <c r="U365" s="1"/>
  <c r="AB293"/>
  <c r="AB365" s="1"/>
  <c r="X293"/>
  <c r="X365" s="1"/>
  <c r="Q293"/>
  <c r="Q365" s="1"/>
  <c r="AC293"/>
  <c r="AC365" s="1"/>
  <c r="W293"/>
  <c r="W365" s="1"/>
  <c r="O293"/>
  <c r="O365" s="1"/>
  <c r="M293"/>
  <c r="M365" s="1"/>
  <c r="B106" i="12"/>
  <c r="B109" i="13" s="1"/>
  <c r="B66" i="16" s="1"/>
  <c r="H106" i="12"/>
  <c r="H109" i="13" s="1"/>
  <c r="F74" i="12"/>
  <c r="F86" i="13" s="1"/>
  <c r="F35" i="8"/>
  <c r="F123" s="1"/>
  <c r="F137" i="9" s="1"/>
  <c r="G74" i="12"/>
  <c r="G86" i="13" s="1"/>
  <c r="G35" i="8"/>
  <c r="G123" s="1"/>
  <c r="G137" i="9" s="1"/>
  <c r="J106" i="12"/>
  <c r="J109" i="13" s="1"/>
  <c r="E74" i="12"/>
  <c r="E86" i="13" s="1"/>
  <c r="E35" i="8"/>
  <c r="E123" s="1"/>
  <c r="E137" i="9" s="1"/>
  <c r="G75" i="12"/>
  <c r="G87" i="13" s="1"/>
  <c r="G36" i="8"/>
  <c r="G124" s="1"/>
  <c r="G138" i="9" s="1"/>
  <c r="F107" i="12"/>
  <c r="F110" i="13" s="1"/>
  <c r="I75" i="12"/>
  <c r="I87" i="13" s="1"/>
  <c r="I36" i="8"/>
  <c r="I124" s="1"/>
  <c r="I138" i="9" s="1"/>
  <c r="E107" i="12"/>
  <c r="E110" i="13" s="1"/>
  <c r="F348" i="7"/>
  <c r="H348"/>
  <c r="C348"/>
  <c r="J348"/>
  <c r="B348"/>
  <c r="I661"/>
  <c r="I944" s="1"/>
  <c r="I618"/>
  <c r="I895" s="1"/>
  <c r="I642"/>
  <c r="I924" s="1"/>
  <c r="J661"/>
  <c r="J944" s="1"/>
  <c r="J642"/>
  <c r="J924" s="1"/>
  <c r="J618"/>
  <c r="J895" s="1"/>
  <c r="H642"/>
  <c r="H924" s="1"/>
  <c r="H618"/>
  <c r="H895" s="1"/>
  <c r="H661"/>
  <c r="H944" s="1"/>
  <c r="E618"/>
  <c r="E895" s="1"/>
  <c r="E661"/>
  <c r="E944" s="1"/>
  <c r="E642"/>
  <c r="E924" s="1"/>
  <c r="B642"/>
  <c r="B924" s="1"/>
  <c r="B661"/>
  <c r="B944" s="1"/>
  <c r="B618"/>
  <c r="B895" s="1"/>
  <c r="D618"/>
  <c r="D895" s="1"/>
  <c r="D642"/>
  <c r="D924" s="1"/>
  <c r="D661"/>
  <c r="D944" s="1"/>
  <c r="I616"/>
  <c r="I893" s="1"/>
  <c r="I640"/>
  <c r="I922" s="1"/>
  <c r="I659"/>
  <c r="I942" s="1"/>
  <c r="D659"/>
  <c r="D942" s="1"/>
  <c r="D640"/>
  <c r="D922" s="1"/>
  <c r="D616"/>
  <c r="D893" s="1"/>
  <c r="E659"/>
  <c r="E942" s="1"/>
  <c r="E640"/>
  <c r="E922" s="1"/>
  <c r="E616"/>
  <c r="E893" s="1"/>
  <c r="C659"/>
  <c r="C942" s="1"/>
  <c r="C616"/>
  <c r="C893" s="1"/>
  <c r="C640"/>
  <c r="C922" s="1"/>
  <c r="E854" l="1"/>
  <c r="E899" s="1"/>
  <c r="H855"/>
  <c r="H900" s="1"/>
  <c r="H85" i="12" s="1"/>
  <c r="H851" i="7"/>
  <c r="H896" s="1"/>
  <c r="H853"/>
  <c r="H898" s="1"/>
  <c r="H83" i="12" s="1"/>
  <c r="B855" i="7"/>
  <c r="B900" s="1"/>
  <c r="B852"/>
  <c r="B897" s="1"/>
  <c r="B17" i="8" s="1"/>
  <c r="B131" s="1"/>
  <c r="B145" i="9" s="1"/>
  <c r="B853" i="7"/>
  <c r="B898" s="1"/>
  <c r="I855"/>
  <c r="I900" s="1"/>
  <c r="I85" i="12" s="1"/>
  <c r="I853" i="7"/>
  <c r="I898" s="1"/>
  <c r="I864"/>
  <c r="I925" s="1"/>
  <c r="I113" i="12" s="1"/>
  <c r="F852" i="7"/>
  <c r="F897" s="1"/>
  <c r="F873"/>
  <c r="F945" s="1"/>
  <c r="F56" i="8" s="1"/>
  <c r="F134" s="1"/>
  <c r="F148" i="9" s="1"/>
  <c r="E855" i="7"/>
  <c r="E900" s="1"/>
  <c r="E864"/>
  <c r="E925" s="1"/>
  <c r="E113" i="12" s="1"/>
  <c r="E851" i="7"/>
  <c r="E896" s="1"/>
  <c r="C110" i="12"/>
  <c r="C113" i="13" s="1"/>
  <c r="C133" i="12"/>
  <c r="C127" i="13" s="1"/>
  <c r="E110" i="12"/>
  <c r="E113" i="13" s="1"/>
  <c r="D78" i="12"/>
  <c r="D90" i="13" s="1"/>
  <c r="D53" i="8"/>
  <c r="D127" s="1"/>
  <c r="D141" i="9" s="1"/>
  <c r="D133" i="12"/>
  <c r="D127" i="13" s="1"/>
  <c r="I110" i="12"/>
  <c r="I113" i="13" s="1"/>
  <c r="D135" i="12"/>
  <c r="D129" i="13" s="1"/>
  <c r="D80" i="12"/>
  <c r="D92" i="13" s="1"/>
  <c r="D55" i="8"/>
  <c r="D129" s="1"/>
  <c r="D143" i="9" s="1"/>
  <c r="B135" i="12"/>
  <c r="B129" i="13" s="1"/>
  <c r="B116" i="16" s="1"/>
  <c r="E112" i="12"/>
  <c r="E115" i="13" s="1"/>
  <c r="E80" i="12"/>
  <c r="E92" i="13" s="1"/>
  <c r="E55" i="8"/>
  <c r="E129" s="1"/>
  <c r="E143" i="9" s="1"/>
  <c r="H80" i="12"/>
  <c r="H92" i="13" s="1"/>
  <c r="H55" i="8"/>
  <c r="H129" s="1"/>
  <c r="H143" i="9" s="1"/>
  <c r="J80" i="12"/>
  <c r="J92" i="13" s="1"/>
  <c r="J55" i="8"/>
  <c r="J129" s="1"/>
  <c r="J143" i="9" s="1"/>
  <c r="J135" i="12"/>
  <c r="J129" i="13" s="1"/>
  <c r="I80" i="12"/>
  <c r="I92" i="13" s="1"/>
  <c r="I55" i="8"/>
  <c r="I129" s="1"/>
  <c r="I143" i="9" s="1"/>
  <c r="B299" i="22"/>
  <c r="I23" i="16"/>
  <c r="F67"/>
  <c r="C296" i="22"/>
  <c r="B297"/>
  <c r="G23" i="16"/>
  <c r="B263" i="22"/>
  <c r="E22" i="16"/>
  <c r="C268" i="22"/>
  <c r="J66" i="16"/>
  <c r="G22"/>
  <c r="B265" i="22"/>
  <c r="B264"/>
  <c r="F22" i="16"/>
  <c r="H66"/>
  <c r="C266" i="22"/>
  <c r="E384" i="7"/>
  <c r="I384"/>
  <c r="I472" s="1"/>
  <c r="C384"/>
  <c r="H384"/>
  <c r="H472" s="1"/>
  <c r="F384"/>
  <c r="E496"/>
  <c r="E458"/>
  <c r="D496"/>
  <c r="D458"/>
  <c r="G458"/>
  <c r="G496"/>
  <c r="C496"/>
  <c r="C458"/>
  <c r="B497"/>
  <c r="B459"/>
  <c r="J459"/>
  <c r="J497"/>
  <c r="E459"/>
  <c r="E497"/>
  <c r="F497"/>
  <c r="F459"/>
  <c r="G113" i="12"/>
  <c r="G84"/>
  <c r="G19" i="8"/>
  <c r="G133" s="1"/>
  <c r="G147" i="9" s="1"/>
  <c r="G81" i="12"/>
  <c r="G16" i="8"/>
  <c r="G130" s="1"/>
  <c r="G144" i="9" s="1"/>
  <c r="G83" i="12"/>
  <c r="G18" i="8"/>
  <c r="G132" s="1"/>
  <c r="G146" i="9" s="1"/>
  <c r="H82" i="12"/>
  <c r="H17" i="8"/>
  <c r="H131" s="1"/>
  <c r="H145" i="9" s="1"/>
  <c r="H84" i="12"/>
  <c r="H19" i="8"/>
  <c r="H133" s="1"/>
  <c r="H147" i="9" s="1"/>
  <c r="H136" i="12"/>
  <c r="C81"/>
  <c r="C16" i="8"/>
  <c r="C130" s="1"/>
  <c r="C144" i="9" s="1"/>
  <c r="C113" i="12"/>
  <c r="C84"/>
  <c r="C19" i="8"/>
  <c r="C133" s="1"/>
  <c r="C147" i="9" s="1"/>
  <c r="C136" i="12"/>
  <c r="B81"/>
  <c r="B16" i="8"/>
  <c r="B130" s="1"/>
  <c r="B144" i="9" s="1"/>
  <c r="B136" i="12"/>
  <c r="B84"/>
  <c r="B19" i="8"/>
  <c r="B133" s="1"/>
  <c r="B147" i="9" s="1"/>
  <c r="J85" i="12"/>
  <c r="J56" i="8"/>
  <c r="J134" s="1"/>
  <c r="J148" i="9" s="1"/>
  <c r="J82" i="12"/>
  <c r="J17" i="8"/>
  <c r="J131" s="1"/>
  <c r="J145" i="9" s="1"/>
  <c r="J136" i="12"/>
  <c r="J113"/>
  <c r="D81"/>
  <c r="D16" i="8"/>
  <c r="D130" s="1"/>
  <c r="D144" i="9" s="1"/>
  <c r="D83" i="12"/>
  <c r="D18" i="8"/>
  <c r="D132" s="1"/>
  <c r="D146" i="9" s="1"/>
  <c r="D136" i="12"/>
  <c r="C67" i="16"/>
  <c r="C293" i="22"/>
  <c r="B298"/>
  <c r="H23" i="16"/>
  <c r="B300" i="22"/>
  <c r="J23" i="16"/>
  <c r="C66"/>
  <c r="C261" i="22"/>
  <c r="B262"/>
  <c r="D22" i="16"/>
  <c r="F472" i="7"/>
  <c r="G385"/>
  <c r="J385"/>
  <c r="J473" s="1"/>
  <c r="J507" s="1"/>
  <c r="J524" s="1"/>
  <c r="B385"/>
  <c r="B473" s="1"/>
  <c r="H385"/>
  <c r="H473" s="1"/>
  <c r="F105" i="12"/>
  <c r="F108" i="13" s="1"/>
  <c r="E73" i="12"/>
  <c r="E85" i="13" s="1"/>
  <c r="E34" i="8"/>
  <c r="E122" s="1"/>
  <c r="E136" i="9" s="1"/>
  <c r="H73" i="12"/>
  <c r="H85" i="13" s="1"/>
  <c r="H34" i="8"/>
  <c r="H122" s="1"/>
  <c r="H136" i="9" s="1"/>
  <c r="D105" i="12"/>
  <c r="D108" i="13" s="1"/>
  <c r="F79" i="12"/>
  <c r="F91" i="13" s="1"/>
  <c r="F54" i="8"/>
  <c r="F128" s="1"/>
  <c r="F142" i="9" s="1"/>
  <c r="F111" i="12"/>
  <c r="F114" i="13" s="1"/>
  <c r="E134" i="12"/>
  <c r="E128" i="13" s="1"/>
  <c r="D79" i="12"/>
  <c r="D91" i="13" s="1"/>
  <c r="D54" i="8"/>
  <c r="D128" s="1"/>
  <c r="D142" i="9" s="1"/>
  <c r="D111" i="12"/>
  <c r="D114" i="13" s="1"/>
  <c r="H79" i="12"/>
  <c r="H91" i="13" s="1"/>
  <c r="H54" i="8"/>
  <c r="H128" s="1"/>
  <c r="H142" i="9" s="1"/>
  <c r="B78" i="12"/>
  <c r="B90" i="13" s="1"/>
  <c r="B26" i="16" s="1"/>
  <c r="B53" i="8"/>
  <c r="B127" s="1"/>
  <c r="B141" i="9" s="1"/>
  <c r="B110" i="12"/>
  <c r="B113" i="13" s="1"/>
  <c r="B70" i="16" s="1"/>
  <c r="F133" i="12"/>
  <c r="F127" i="13" s="1"/>
  <c r="H78" i="12"/>
  <c r="H90" i="13" s="1"/>
  <c r="H53" i="8"/>
  <c r="H127" s="1"/>
  <c r="H141" i="9" s="1"/>
  <c r="H110" i="12"/>
  <c r="H113" i="13" s="1"/>
  <c r="J110" i="12"/>
  <c r="J113" i="13" s="1"/>
  <c r="G133" i="12"/>
  <c r="G127" i="13" s="1"/>
  <c r="G110" i="12"/>
  <c r="G113" i="13" s="1"/>
  <c r="F112" i="12"/>
  <c r="F115" i="13" s="1"/>
  <c r="C112" i="12"/>
  <c r="C115" i="13" s="1"/>
  <c r="C135" i="12"/>
  <c r="C129" i="13" s="1"/>
  <c r="G135" i="12"/>
  <c r="G129" i="13" s="1"/>
  <c r="B295" i="22"/>
  <c r="E23" i="16"/>
  <c r="C299" i="22"/>
  <c r="I67" i="16"/>
  <c r="C297" i="22"/>
  <c r="G67" i="16"/>
  <c r="B268" i="22"/>
  <c r="J22" i="16"/>
  <c r="C264" i="22"/>
  <c r="F66" i="16"/>
  <c r="I82" i="12"/>
  <c r="I17" i="8"/>
  <c r="I131" s="1"/>
  <c r="I145" i="9" s="1"/>
  <c r="I81" i="12"/>
  <c r="I16" i="8"/>
  <c r="I130" s="1"/>
  <c r="I144" i="9" s="1"/>
  <c r="I84" i="12"/>
  <c r="I19" i="8"/>
  <c r="I133" s="1"/>
  <c r="I147" i="9" s="1"/>
  <c r="F85" i="12"/>
  <c r="F81"/>
  <c r="F16" i="8"/>
  <c r="F130" s="1"/>
  <c r="F144" i="9" s="1"/>
  <c r="F83" i="12"/>
  <c r="F18" i="8"/>
  <c r="F132" s="1"/>
  <c r="F146" i="9" s="1"/>
  <c r="F84" i="12"/>
  <c r="F19" i="8"/>
  <c r="F133" s="1"/>
  <c r="F147" i="9" s="1"/>
  <c r="E82" i="12"/>
  <c r="E17" i="8"/>
  <c r="E131" s="1"/>
  <c r="E145" i="9" s="1"/>
  <c r="E83" i="12"/>
  <c r="E18" i="8"/>
  <c r="E132" s="1"/>
  <c r="E146" i="9" s="1"/>
  <c r="E136" i="12"/>
  <c r="C298" i="22"/>
  <c r="H67" i="16"/>
  <c r="C294" i="22"/>
  <c r="D67" i="16"/>
  <c r="C300" i="22"/>
  <c r="J67" i="16"/>
  <c r="D66"/>
  <c r="C262" i="22"/>
  <c r="E472" i="7"/>
  <c r="C472"/>
  <c r="J105" i="12"/>
  <c r="J108" i="13" s="1"/>
  <c r="G105" i="12"/>
  <c r="G108" i="13" s="1"/>
  <c r="I105" i="12"/>
  <c r="I108" i="13" s="1"/>
  <c r="B105" i="12"/>
  <c r="B108" i="13" s="1"/>
  <c r="B65" i="16" s="1"/>
  <c r="C105" i="12"/>
  <c r="C108" i="13" s="1"/>
  <c r="I134" i="12"/>
  <c r="I128" i="13" s="1"/>
  <c r="G79" i="12"/>
  <c r="G91" i="13" s="1"/>
  <c r="G54" i="8"/>
  <c r="G128" s="1"/>
  <c r="G142" i="9" s="1"/>
  <c r="G134" i="12"/>
  <c r="G128" i="13" s="1"/>
  <c r="B79" i="12"/>
  <c r="B91" i="13" s="1"/>
  <c r="B27" i="16" s="1"/>
  <c r="B54" i="8"/>
  <c r="B128" s="1"/>
  <c r="B142" i="9" s="1"/>
  <c r="C111" i="12"/>
  <c r="C114" i="13" s="1"/>
  <c r="C79" i="12"/>
  <c r="C91" i="13" s="1"/>
  <c r="C54" i="8"/>
  <c r="C128" s="1"/>
  <c r="C142" i="9" s="1"/>
  <c r="J111" i="12"/>
  <c r="J114" i="13" s="1"/>
  <c r="F89" i="14"/>
  <c r="H89"/>
  <c r="D89"/>
  <c r="E89"/>
  <c r="C89"/>
  <c r="I89"/>
  <c r="G89"/>
  <c r="B89"/>
  <c r="B147" i="16" s="1"/>
  <c r="H94" i="14"/>
  <c r="D94"/>
  <c r="E94"/>
  <c r="F94"/>
  <c r="I94"/>
  <c r="G94"/>
  <c r="C94"/>
  <c r="B94"/>
  <c r="B154" i="16" s="1"/>
  <c r="F95" i="14"/>
  <c r="I95"/>
  <c r="E95"/>
  <c r="D95"/>
  <c r="G95"/>
  <c r="H95"/>
  <c r="C95"/>
  <c r="B95"/>
  <c r="B155" i="16" s="1"/>
  <c r="F92" i="14"/>
  <c r="H92"/>
  <c r="D92"/>
  <c r="I92"/>
  <c r="G92"/>
  <c r="E92"/>
  <c r="C92"/>
  <c r="B92"/>
  <c r="B151" i="16" s="1"/>
  <c r="G90" i="14"/>
  <c r="I90"/>
  <c r="D90"/>
  <c r="F90"/>
  <c r="E90"/>
  <c r="H90"/>
  <c r="C90"/>
  <c r="B90"/>
  <c r="B148" i="16" s="1"/>
  <c r="C78" i="12"/>
  <c r="C90" i="13" s="1"/>
  <c r="C53" i="8"/>
  <c r="C127" s="1"/>
  <c r="C141" i="9" s="1"/>
  <c r="E78" i="12"/>
  <c r="E90" i="13" s="1"/>
  <c r="E53" i="8"/>
  <c r="E127" s="1"/>
  <c r="E141" i="9" s="1"/>
  <c r="E133" i="12"/>
  <c r="E127" i="13" s="1"/>
  <c r="D110" i="12"/>
  <c r="D113" i="13" s="1"/>
  <c r="I133" i="12"/>
  <c r="I127" i="13" s="1"/>
  <c r="I78" i="12"/>
  <c r="I90" i="13" s="1"/>
  <c r="I53" i="8"/>
  <c r="I127" s="1"/>
  <c r="I141" i="9" s="1"/>
  <c r="D112" i="12"/>
  <c r="D115" i="13" s="1"/>
  <c r="B80" i="12"/>
  <c r="B92" i="13" s="1"/>
  <c r="B28" i="16" s="1"/>
  <c r="B55" i="8"/>
  <c r="B129" s="1"/>
  <c r="B143" i="9" s="1"/>
  <c r="B112" i="12"/>
  <c r="B115" i="13" s="1"/>
  <c r="B72" i="16" s="1"/>
  <c r="E135" i="12"/>
  <c r="E129" i="13" s="1"/>
  <c r="H135" i="12"/>
  <c r="H129" i="13" s="1"/>
  <c r="H112" i="12"/>
  <c r="H115" i="13" s="1"/>
  <c r="J112" i="12"/>
  <c r="J115" i="13" s="1"/>
  <c r="I112" i="12"/>
  <c r="I115" i="13" s="1"/>
  <c r="I135" i="12"/>
  <c r="I129" i="13" s="1"/>
  <c r="E67" i="16"/>
  <c r="C295" i="22"/>
  <c r="G384" i="7"/>
  <c r="J384"/>
  <c r="D384"/>
  <c r="B384"/>
  <c r="B496"/>
  <c r="B458"/>
  <c r="I496"/>
  <c r="I458"/>
  <c r="F458"/>
  <c r="F496"/>
  <c r="J496"/>
  <c r="J458"/>
  <c r="H496"/>
  <c r="H458"/>
  <c r="D497"/>
  <c r="D459"/>
  <c r="I459"/>
  <c r="I497"/>
  <c r="H497"/>
  <c r="H459"/>
  <c r="C459"/>
  <c r="C497"/>
  <c r="G459"/>
  <c r="G497"/>
  <c r="G82" i="12"/>
  <c r="G17" i="8"/>
  <c r="G131" s="1"/>
  <c r="G145" i="9" s="1"/>
  <c r="G136" i="12"/>
  <c r="G85"/>
  <c r="G56" i="8"/>
  <c r="G134" s="1"/>
  <c r="G148" i="9" s="1"/>
  <c r="H56" i="8"/>
  <c r="H134" s="1"/>
  <c r="H148" i="9" s="1"/>
  <c r="H81" i="12"/>
  <c r="H16" i="8"/>
  <c r="H130" s="1"/>
  <c r="H144" i="9" s="1"/>
  <c r="H18" i="8"/>
  <c r="H132" s="1"/>
  <c r="H146" i="9" s="1"/>
  <c r="H113" i="12"/>
  <c r="C83"/>
  <c r="C18" i="8"/>
  <c r="C132" s="1"/>
  <c r="C146" i="9" s="1"/>
  <c r="C82" i="12"/>
  <c r="C17" i="8"/>
  <c r="C131" s="1"/>
  <c r="C145" i="9" s="1"/>
  <c r="C85" i="12"/>
  <c r="C56" i="8"/>
  <c r="C134" s="1"/>
  <c r="C148" i="9" s="1"/>
  <c r="B85" i="12"/>
  <c r="B56" i="8"/>
  <c r="B134" s="1"/>
  <c r="B148" i="9" s="1"/>
  <c r="B82" i="12"/>
  <c r="B83"/>
  <c r="B18" i="8"/>
  <c r="B132" s="1"/>
  <c r="B146" i="9" s="1"/>
  <c r="B113" i="12"/>
  <c r="J83"/>
  <c r="J18" i="8"/>
  <c r="J132" s="1"/>
  <c r="J146" i="9" s="1"/>
  <c r="J81" i="12"/>
  <c r="J16" i="8"/>
  <c r="J130" s="1"/>
  <c r="J144" i="9" s="1"/>
  <c r="J84" i="12"/>
  <c r="J19" i="8"/>
  <c r="J133" s="1"/>
  <c r="J147" i="9" s="1"/>
  <c r="D85" i="12"/>
  <c r="D56" i="8"/>
  <c r="D134" s="1"/>
  <c r="D148" i="9" s="1"/>
  <c r="D84" i="12"/>
  <c r="D19" i="8"/>
  <c r="D133" s="1"/>
  <c r="D147" i="9" s="1"/>
  <c r="D82" i="12"/>
  <c r="D17" i="8"/>
  <c r="D131" s="1"/>
  <c r="D145" i="9" s="1"/>
  <c r="D113" i="12"/>
  <c r="D23" i="16"/>
  <c r="B294" i="22"/>
  <c r="E294" s="1"/>
  <c r="B267"/>
  <c r="I22" i="16"/>
  <c r="G472" i="7"/>
  <c r="G506" s="1"/>
  <c r="G523" s="1"/>
  <c r="F385"/>
  <c r="C385"/>
  <c r="C473" s="1"/>
  <c r="C507" s="1"/>
  <c r="I385"/>
  <c r="E385"/>
  <c r="E473" s="1"/>
  <c r="E507" s="1"/>
  <c r="D385"/>
  <c r="F73" i="12"/>
  <c r="F85" i="13" s="1"/>
  <c r="F34" i="8"/>
  <c r="F122" s="1"/>
  <c r="F136" i="9" s="1"/>
  <c r="E105" i="12"/>
  <c r="E108" i="13" s="1"/>
  <c r="H105" i="12"/>
  <c r="H108" i="13" s="1"/>
  <c r="D73" i="12"/>
  <c r="D85" i="13" s="1"/>
  <c r="D34" i="8"/>
  <c r="D122" s="1"/>
  <c r="D136" i="9" s="1"/>
  <c r="F134" i="12"/>
  <c r="F128" i="13" s="1"/>
  <c r="E79" i="12"/>
  <c r="E91" i="13" s="1"/>
  <c r="E54" i="8"/>
  <c r="E128" s="1"/>
  <c r="E142" i="9" s="1"/>
  <c r="E111" i="12"/>
  <c r="E114" i="13" s="1"/>
  <c r="D134" i="12"/>
  <c r="D128" i="13" s="1"/>
  <c r="H134" i="12"/>
  <c r="H128" i="13" s="1"/>
  <c r="H111" i="12"/>
  <c r="H114" i="13" s="1"/>
  <c r="B133" i="12"/>
  <c r="B127" i="13" s="1"/>
  <c r="B114" i="16" s="1"/>
  <c r="F78" i="12"/>
  <c r="F90" i="13" s="1"/>
  <c r="F53" i="8"/>
  <c r="F127" s="1"/>
  <c r="F141" i="9" s="1"/>
  <c r="F110" i="12"/>
  <c r="F113" i="13" s="1"/>
  <c r="H133" i="12"/>
  <c r="H127" i="13" s="1"/>
  <c r="J133" i="12"/>
  <c r="J127" i="13" s="1"/>
  <c r="J78" i="12"/>
  <c r="J90" i="13" s="1"/>
  <c r="J53" i="8"/>
  <c r="J127" s="1"/>
  <c r="J141" i="9" s="1"/>
  <c r="G78" i="12"/>
  <c r="G90" i="13" s="1"/>
  <c r="G53" i="8"/>
  <c r="G127" s="1"/>
  <c r="G141" i="9" s="1"/>
  <c r="F80" i="12"/>
  <c r="F92" i="13" s="1"/>
  <c r="F55" i="8"/>
  <c r="F129" s="1"/>
  <c r="F143" i="9" s="1"/>
  <c r="F135" i="12"/>
  <c r="F129" i="13" s="1"/>
  <c r="C80" i="12"/>
  <c r="C92" i="13" s="1"/>
  <c r="C55" i="8"/>
  <c r="C129" s="1"/>
  <c r="C143" i="9" s="1"/>
  <c r="G112" i="12"/>
  <c r="G115" i="13" s="1"/>
  <c r="G80" i="12"/>
  <c r="G92" i="13" s="1"/>
  <c r="G55" i="8"/>
  <c r="G129" s="1"/>
  <c r="G143" i="9" s="1"/>
  <c r="I473" i="7"/>
  <c r="I507" s="1"/>
  <c r="G473"/>
  <c r="G507" s="1"/>
  <c r="G524" s="1"/>
  <c r="B296" i="22"/>
  <c r="F23" i="16"/>
  <c r="E66"/>
  <c r="C263" i="22"/>
  <c r="C265"/>
  <c r="G66" i="16"/>
  <c r="B266" i="22"/>
  <c r="H22" i="16"/>
  <c r="I56" i="8"/>
  <c r="I134" s="1"/>
  <c r="I148" i="9" s="1"/>
  <c r="I83" i="12"/>
  <c r="I18" i="8"/>
  <c r="I132" s="1"/>
  <c r="I146" i="9" s="1"/>
  <c r="I136" i="12"/>
  <c r="F82"/>
  <c r="F17" i="8"/>
  <c r="F131" s="1"/>
  <c r="F145" i="9" s="1"/>
  <c r="F113" i="12"/>
  <c r="E85"/>
  <c r="E56" i="8"/>
  <c r="E134" s="1"/>
  <c r="E148" i="9" s="1"/>
  <c r="E81" i="12"/>
  <c r="E16" i="8"/>
  <c r="E130" s="1"/>
  <c r="E144" i="9" s="1"/>
  <c r="E84" i="12"/>
  <c r="E19" i="8"/>
  <c r="E133" s="1"/>
  <c r="E147" i="9" s="1"/>
  <c r="C23" i="16"/>
  <c r="B293" i="22"/>
  <c r="E293" s="1"/>
  <c r="C267"/>
  <c r="I66" i="16"/>
  <c r="C22"/>
  <c r="B261" i="22"/>
  <c r="E261" s="1"/>
  <c r="J73" i="12"/>
  <c r="J85" i="13" s="1"/>
  <c r="J34" i="8"/>
  <c r="J122" s="1"/>
  <c r="J136" i="9" s="1"/>
  <c r="G73" i="12"/>
  <c r="G85" i="13" s="1"/>
  <c r="G34" i="8"/>
  <c r="G122" s="1"/>
  <c r="G136" i="9" s="1"/>
  <c r="I73" i="12"/>
  <c r="I85" i="13" s="1"/>
  <c r="I34" i="8"/>
  <c r="I122" s="1"/>
  <c r="I136" i="9" s="1"/>
  <c r="B73" i="12"/>
  <c r="B85" i="13" s="1"/>
  <c r="B21" i="16" s="1"/>
  <c r="B34" i="8"/>
  <c r="B122" s="1"/>
  <c r="B136" i="9" s="1"/>
  <c r="C73" i="12"/>
  <c r="C85" i="13" s="1"/>
  <c r="C34" i="8"/>
  <c r="C122" s="1"/>
  <c r="C136" i="9" s="1"/>
  <c r="I79" i="12"/>
  <c r="I91" i="13" s="1"/>
  <c r="I54" i="8"/>
  <c r="I128" s="1"/>
  <c r="I142" i="9" s="1"/>
  <c r="I111" i="12"/>
  <c r="I114" i="13" s="1"/>
  <c r="G111" i="12"/>
  <c r="G114" i="13" s="1"/>
  <c r="B111" i="12"/>
  <c r="B114" i="13" s="1"/>
  <c r="B71" i="16" s="1"/>
  <c r="B134" i="12"/>
  <c r="B128" i="13" s="1"/>
  <c r="B115" i="16" s="1"/>
  <c r="C134" i="12"/>
  <c r="C128" i="13" s="1"/>
  <c r="J79" i="12"/>
  <c r="J91" i="13" s="1"/>
  <c r="J54" i="8"/>
  <c r="J128" s="1"/>
  <c r="J142" i="9" s="1"/>
  <c r="J134" i="12"/>
  <c r="J128" i="13" s="1"/>
  <c r="I96" i="14"/>
  <c r="F96"/>
  <c r="D96"/>
  <c r="G96"/>
  <c r="H96"/>
  <c r="E96"/>
  <c r="C96"/>
  <c r="B96"/>
  <c r="B156" i="16" s="1"/>
  <c r="H91" i="14"/>
  <c r="F91"/>
  <c r="I91"/>
  <c r="D91"/>
  <c r="E91"/>
  <c r="G91"/>
  <c r="B91"/>
  <c r="B150" i="16" s="1"/>
  <c r="C91" i="14"/>
  <c r="I93"/>
  <c r="D93"/>
  <c r="E93"/>
  <c r="G93"/>
  <c r="H93"/>
  <c r="F93"/>
  <c r="B93"/>
  <c r="B153" i="16" s="1"/>
  <c r="C93" i="14"/>
  <c r="H97"/>
  <c r="F97"/>
  <c r="E97"/>
  <c r="I97"/>
  <c r="G97"/>
  <c r="D97"/>
  <c r="C97"/>
  <c r="B97"/>
  <c r="B157" i="16" s="1"/>
  <c r="F136" i="12" l="1"/>
  <c r="F130" i="13" s="1"/>
  <c r="E506" i="7"/>
  <c r="E523" s="1"/>
  <c r="B507"/>
  <c r="B524" s="1"/>
  <c r="D565" s="1"/>
  <c r="D587" s="1"/>
  <c r="E266" i="22"/>
  <c r="E296"/>
  <c r="E268"/>
  <c r="E295"/>
  <c r="E300"/>
  <c r="E298"/>
  <c r="E297"/>
  <c r="E299"/>
  <c r="E267"/>
  <c r="E262"/>
  <c r="E265"/>
  <c r="E264"/>
  <c r="E263"/>
  <c r="I524" i="7"/>
  <c r="AF544" s="1"/>
  <c r="AF581" s="1"/>
  <c r="C506"/>
  <c r="C523" s="1"/>
  <c r="W544"/>
  <c r="W581" s="1"/>
  <c r="X544"/>
  <c r="X581" s="1"/>
  <c r="AG565"/>
  <c r="AG587" s="1"/>
  <c r="W564"/>
  <c r="W586" s="1"/>
  <c r="Y543"/>
  <c r="Y578" s="1"/>
  <c r="Y564"/>
  <c r="Y586" s="1"/>
  <c r="AI544"/>
  <c r="AI581" s="1"/>
  <c r="AJ565"/>
  <c r="AJ587" s="1"/>
  <c r="AK565"/>
  <c r="AK587" s="1"/>
  <c r="AK544"/>
  <c r="AK581" s="1"/>
  <c r="C565"/>
  <c r="C587" s="1"/>
  <c r="O553"/>
  <c r="O579" s="1"/>
  <c r="P553"/>
  <c r="P579" s="1"/>
  <c r="Q553"/>
  <c r="Q579" s="1"/>
  <c r="O533"/>
  <c r="O577" s="1"/>
  <c r="Q533"/>
  <c r="Q577" s="1"/>
  <c r="P533"/>
  <c r="P577" s="1"/>
  <c r="O543"/>
  <c r="O578" s="1"/>
  <c r="P564"/>
  <c r="P586" s="1"/>
  <c r="Q543"/>
  <c r="Q578" s="1"/>
  <c r="P543"/>
  <c r="P578" s="1"/>
  <c r="Q564"/>
  <c r="Q586" s="1"/>
  <c r="O564"/>
  <c r="O586" s="1"/>
  <c r="C425" i="22"/>
  <c r="G71" i="16"/>
  <c r="I27"/>
  <c r="B427" i="22"/>
  <c r="C21" i="16"/>
  <c r="B229" i="22"/>
  <c r="E96" i="13"/>
  <c r="E32" i="16"/>
  <c r="B577" i="22"/>
  <c r="C577" s="1"/>
  <c r="E33" i="16"/>
  <c r="E97" i="13"/>
  <c r="B607" i="22"/>
  <c r="F77" i="16"/>
  <c r="C608" i="22"/>
  <c r="F116" i="13"/>
  <c r="D608" i="22"/>
  <c r="I31" i="16"/>
  <c r="I95" i="13"/>
  <c r="B551" i="22"/>
  <c r="C551" s="1"/>
  <c r="C28" i="16"/>
  <c r="B453" i="22"/>
  <c r="F28" i="16"/>
  <c r="B456" i="22"/>
  <c r="B393"/>
  <c r="G26" i="16"/>
  <c r="B396" i="22"/>
  <c r="J26" i="16"/>
  <c r="D396" i="22"/>
  <c r="J114" i="16"/>
  <c r="D394" i="22"/>
  <c r="H114" i="16"/>
  <c r="C392" i="22"/>
  <c r="F70" i="16"/>
  <c r="E27"/>
  <c r="B423" i="22"/>
  <c r="D424"/>
  <c r="F115" i="16"/>
  <c r="C231" i="22"/>
  <c r="E65" i="16"/>
  <c r="B232" i="22"/>
  <c r="F21" i="16"/>
  <c r="D32"/>
  <c r="D96" i="13"/>
  <c r="B576" i="22"/>
  <c r="C576" s="1"/>
  <c r="J32" i="16"/>
  <c r="J96" i="13"/>
  <c r="B582" i="22"/>
  <c r="C582" s="1"/>
  <c r="J95" i="13"/>
  <c r="J31" i="16"/>
  <c r="B552" i="22"/>
  <c r="C552" s="1"/>
  <c r="B95" i="13"/>
  <c r="B31" i="16"/>
  <c r="B97" i="13"/>
  <c r="B33" i="16"/>
  <c r="C94" i="13"/>
  <c r="C30" i="16"/>
  <c r="B515" i="22"/>
  <c r="H77" i="16"/>
  <c r="H116" i="13"/>
  <c r="C610" i="22"/>
  <c r="H29" i="16"/>
  <c r="H93" i="13"/>
  <c r="B490" i="22"/>
  <c r="C490" s="1"/>
  <c r="G121" i="16"/>
  <c r="G130" i="13"/>
  <c r="D609" i="22"/>
  <c r="G94" i="13"/>
  <c r="G30" i="16"/>
  <c r="B519" i="22"/>
  <c r="C519" s="1"/>
  <c r="D72" i="16"/>
  <c r="C454" i="22"/>
  <c r="B391"/>
  <c r="E26" i="16"/>
  <c r="C26"/>
  <c r="B389" i="22"/>
  <c r="C148" i="16"/>
  <c r="D77" i="22"/>
  <c r="E148" i="16"/>
  <c r="D79" i="22"/>
  <c r="D148" i="16"/>
  <c r="D78" i="22"/>
  <c r="G148" i="16"/>
  <c r="D81" i="22"/>
  <c r="C151" i="16"/>
  <c r="D169" i="22"/>
  <c r="G151" i="16"/>
  <c r="D173" i="22"/>
  <c r="D151" i="16"/>
  <c r="D170" i="22"/>
  <c r="F151" i="16"/>
  <c r="D172" i="22"/>
  <c r="C155" i="16"/>
  <c r="D293" i="22"/>
  <c r="D297"/>
  <c r="F297" s="1"/>
  <c r="G297" s="1"/>
  <c r="G155" i="16"/>
  <c r="E155"/>
  <c r="D295" i="22"/>
  <c r="F295" s="1"/>
  <c r="G295" s="1"/>
  <c r="F155" i="16"/>
  <c r="D296" i="22"/>
  <c r="F296" s="1"/>
  <c r="G296" s="1"/>
  <c r="C154" i="16"/>
  <c r="D261" i="22"/>
  <c r="I154" i="16"/>
  <c r="D267" i="22"/>
  <c r="F267" s="1"/>
  <c r="G267" s="1"/>
  <c r="E154" i="16"/>
  <c r="D263" i="22"/>
  <c r="F263" s="1"/>
  <c r="G263" s="1"/>
  <c r="H154" i="16"/>
  <c r="D266" i="22"/>
  <c r="F266" s="1"/>
  <c r="G266" s="1"/>
  <c r="G147" i="16"/>
  <c r="C49" i="22"/>
  <c r="C147" i="16"/>
  <c r="C45" i="22"/>
  <c r="D147" i="16"/>
  <c r="C46" i="22"/>
  <c r="F147" i="16"/>
  <c r="C48" i="22"/>
  <c r="C428"/>
  <c r="J71" i="16"/>
  <c r="C27"/>
  <c r="B421" i="22"/>
  <c r="C71" i="16"/>
  <c r="C421" i="22"/>
  <c r="G27" i="16"/>
  <c r="B425" i="22"/>
  <c r="C65" i="16"/>
  <c r="C229" i="22"/>
  <c r="G65" i="16"/>
  <c r="C233" i="22"/>
  <c r="E31" i="16"/>
  <c r="E95" i="13"/>
  <c r="B547" i="22"/>
  <c r="C547" s="1"/>
  <c r="F32" i="16"/>
  <c r="F96" i="13"/>
  <c r="B578" i="22"/>
  <c r="C578" s="1"/>
  <c r="F93" i="13"/>
  <c r="F29" i="16"/>
  <c r="B488" i="22"/>
  <c r="C488" s="1"/>
  <c r="I96" i="13"/>
  <c r="I32" i="16"/>
  <c r="B581" i="22"/>
  <c r="C581" s="1"/>
  <c r="I94" i="13"/>
  <c r="I30" i="16"/>
  <c r="B521" i="22"/>
  <c r="C521" s="1"/>
  <c r="F72" i="16"/>
  <c r="C456" i="22"/>
  <c r="D393"/>
  <c r="G114" i="16"/>
  <c r="C396" i="22"/>
  <c r="J70" i="16"/>
  <c r="C394" i="22"/>
  <c r="H70" i="16"/>
  <c r="B422" i="22"/>
  <c r="D27" i="16"/>
  <c r="E115"/>
  <c r="D423" i="22"/>
  <c r="F71" i="16"/>
  <c r="C424" i="22"/>
  <c r="H21" i="16"/>
  <c r="B234" i="22"/>
  <c r="D121" i="16"/>
  <c r="D130" i="13"/>
  <c r="D606" i="22"/>
  <c r="D31" i="16"/>
  <c r="D95" i="13"/>
  <c r="B546" i="22"/>
  <c r="C546" s="1"/>
  <c r="J30" i="16"/>
  <c r="J94" i="13"/>
  <c r="B522" i="22"/>
  <c r="C522" s="1"/>
  <c r="B93" i="13"/>
  <c r="B29" i="16"/>
  <c r="C130" i="13"/>
  <c r="C121" i="16"/>
  <c r="D605" i="22"/>
  <c r="C29" i="16"/>
  <c r="C93" i="13"/>
  <c r="B485" i="22"/>
  <c r="H96" i="13"/>
  <c r="H32" i="16"/>
  <c r="B580" i="22"/>
  <c r="C580" s="1"/>
  <c r="G31" i="16"/>
  <c r="G95" i="13"/>
  <c r="B549" i="22"/>
  <c r="C549" s="1"/>
  <c r="G93" i="13"/>
  <c r="G29" i="16"/>
  <c r="B489" i="22"/>
  <c r="C489" s="1"/>
  <c r="G32" i="16"/>
  <c r="G96" i="13"/>
  <c r="B579" i="22"/>
  <c r="C579" s="1"/>
  <c r="G116" i="13"/>
  <c r="C609" i="22"/>
  <c r="G77" i="16"/>
  <c r="B460" i="22"/>
  <c r="J28" i="16"/>
  <c r="E28"/>
  <c r="B455" i="22"/>
  <c r="E72" i="16"/>
  <c r="C455" i="22"/>
  <c r="B454"/>
  <c r="D28" i="16"/>
  <c r="D26"/>
  <c r="B390" i="22"/>
  <c r="E70" i="16"/>
  <c r="C391" i="22"/>
  <c r="W543" i="7"/>
  <c r="W578" s="1"/>
  <c r="F473"/>
  <c r="F507" s="1"/>
  <c r="F524" s="1"/>
  <c r="C524"/>
  <c r="D544"/>
  <c r="D581" s="1"/>
  <c r="Y565"/>
  <c r="Y587" s="1"/>
  <c r="E565"/>
  <c r="E587" s="1"/>
  <c r="D473"/>
  <c r="D507" s="1"/>
  <c r="D524" s="1"/>
  <c r="E524"/>
  <c r="H506"/>
  <c r="H523" s="1"/>
  <c r="D472"/>
  <c r="D506" s="1"/>
  <c r="D523" s="1"/>
  <c r="F506"/>
  <c r="F523" s="1"/>
  <c r="J472"/>
  <c r="J506" s="1"/>
  <c r="J523" s="1"/>
  <c r="B472"/>
  <c r="B506" s="1"/>
  <c r="B523" s="1"/>
  <c r="C157" i="16"/>
  <c r="E357" i="22"/>
  <c r="G157" i="16"/>
  <c r="E361" i="22"/>
  <c r="E157" i="16"/>
  <c r="E359" i="22"/>
  <c r="H157" i="16"/>
  <c r="E362" i="22"/>
  <c r="H153" i="16"/>
  <c r="D234" i="22"/>
  <c r="E153" i="16"/>
  <c r="D231" i="22"/>
  <c r="I153" i="16"/>
  <c r="D235" i="22"/>
  <c r="E150" i="16"/>
  <c r="C139" i="22"/>
  <c r="I150" i="16"/>
  <c r="C143" i="22"/>
  <c r="H150" i="16"/>
  <c r="C142" i="22"/>
  <c r="C156" i="16"/>
  <c r="E325" i="22"/>
  <c r="H156" i="16"/>
  <c r="E330" i="22"/>
  <c r="D156" i="16"/>
  <c r="E326" i="22"/>
  <c r="I156" i="16"/>
  <c r="E331" i="22"/>
  <c r="J115" i="16"/>
  <c r="D428" i="22"/>
  <c r="C115" i="16"/>
  <c r="D421" i="22"/>
  <c r="D157" i="16"/>
  <c r="E358" i="22"/>
  <c r="I157" i="16"/>
  <c r="E363" i="22"/>
  <c r="F157" i="16"/>
  <c r="E360" i="22"/>
  <c r="C153" i="16"/>
  <c r="D229" i="22"/>
  <c r="D232"/>
  <c r="F153" i="16"/>
  <c r="G153"/>
  <c r="D233" i="22"/>
  <c r="D153" i="16"/>
  <c r="D230" i="22"/>
  <c r="C150" i="16"/>
  <c r="C137" i="22"/>
  <c r="G150" i="16"/>
  <c r="C141" i="22"/>
  <c r="D150" i="16"/>
  <c r="C138" i="22"/>
  <c r="F150" i="16"/>
  <c r="C140" i="22"/>
  <c r="E327"/>
  <c r="E156" i="16"/>
  <c r="G156"/>
  <c r="E329" i="22"/>
  <c r="F156" i="16"/>
  <c r="E328" i="22"/>
  <c r="J27" i="16"/>
  <c r="B428" i="22"/>
  <c r="I71" i="16"/>
  <c r="C427" i="22"/>
  <c r="B235"/>
  <c r="I21" i="16"/>
  <c r="G21"/>
  <c r="B233" i="22"/>
  <c r="B236"/>
  <c r="J21" i="16"/>
  <c r="E93" i="13"/>
  <c r="E29" i="16"/>
  <c r="B487" i="22"/>
  <c r="C487" s="1"/>
  <c r="E77" i="16"/>
  <c r="E116" i="13"/>
  <c r="C607" i="22"/>
  <c r="F30" i="16"/>
  <c r="F94" i="13"/>
  <c r="B518" i="22"/>
  <c r="C518" s="1"/>
  <c r="I130" i="13"/>
  <c r="I121" i="16"/>
  <c r="D611" i="22"/>
  <c r="I77" i="16"/>
  <c r="C611" i="22"/>
  <c r="I116" i="13"/>
  <c r="I33" i="16"/>
  <c r="I97" i="13"/>
  <c r="B611" i="22"/>
  <c r="W554" i="7"/>
  <c r="W582" s="1"/>
  <c r="X554"/>
  <c r="X582" s="1"/>
  <c r="Y554"/>
  <c r="Y582" s="1"/>
  <c r="Y534"/>
  <c r="Y580" s="1"/>
  <c r="W534"/>
  <c r="W580" s="1"/>
  <c r="X534"/>
  <c r="X580" s="1"/>
  <c r="G28" i="16"/>
  <c r="B457" i="22"/>
  <c r="C457"/>
  <c r="G72" i="16"/>
  <c r="F116"/>
  <c r="D456" i="22"/>
  <c r="B392"/>
  <c r="F26" i="16"/>
  <c r="H71"/>
  <c r="C426" i="22"/>
  <c r="D426"/>
  <c r="H115" i="16"/>
  <c r="D422" i="22"/>
  <c r="D115" i="16"/>
  <c r="E71"/>
  <c r="C423" i="22"/>
  <c r="D21" i="16"/>
  <c r="B230" i="22"/>
  <c r="C234"/>
  <c r="H65" i="16"/>
  <c r="X553" i="7"/>
  <c r="X579" s="1"/>
  <c r="W553"/>
  <c r="W579" s="1"/>
  <c r="Y553"/>
  <c r="Y579" s="1"/>
  <c r="Y533"/>
  <c r="Y577" s="1"/>
  <c r="X533"/>
  <c r="X577" s="1"/>
  <c r="W533"/>
  <c r="W577" s="1"/>
  <c r="D77" i="16"/>
  <c r="D116" i="13"/>
  <c r="C606" i="22"/>
  <c r="D30" i="16"/>
  <c r="D94" i="13"/>
  <c r="B516" i="22"/>
  <c r="C516" s="1"/>
  <c r="D97" i="13"/>
  <c r="D33" i="16"/>
  <c r="B606" i="22"/>
  <c r="J29" i="16"/>
  <c r="J93" i="13"/>
  <c r="B492" i="22"/>
  <c r="C492" s="1"/>
  <c r="B116" i="13"/>
  <c r="B77" i="16"/>
  <c r="B94" i="13"/>
  <c r="B30" i="16"/>
  <c r="C33"/>
  <c r="C97" i="13"/>
  <c r="B605" i="22"/>
  <c r="C95" i="13"/>
  <c r="C31" i="16"/>
  <c r="B545" i="22"/>
  <c r="H31" i="16"/>
  <c r="H95" i="13"/>
  <c r="B550" i="22"/>
  <c r="C550" s="1"/>
  <c r="H33" i="16"/>
  <c r="H97" i="13"/>
  <c r="B610" i="22"/>
  <c r="G97" i="13"/>
  <c r="G33" i="16"/>
  <c r="B609" i="22"/>
  <c r="AK554" i="7"/>
  <c r="AK582" s="1"/>
  <c r="AJ554"/>
  <c r="AJ582" s="1"/>
  <c r="AI554"/>
  <c r="AI582" s="1"/>
  <c r="AK534"/>
  <c r="AK580" s="1"/>
  <c r="AJ534"/>
  <c r="AJ580" s="1"/>
  <c r="AI534"/>
  <c r="AI580" s="1"/>
  <c r="D534"/>
  <c r="D580" s="1"/>
  <c r="D459" i="22"/>
  <c r="I116" i="16"/>
  <c r="I72"/>
  <c r="C459" i="22"/>
  <c r="J72" i="16"/>
  <c r="C460" i="22"/>
  <c r="H72" i="16"/>
  <c r="C458" i="22"/>
  <c r="H116" i="16"/>
  <c r="D458" i="22"/>
  <c r="E116" i="16"/>
  <c r="D455" i="22"/>
  <c r="B395"/>
  <c r="I26" i="16"/>
  <c r="D395" i="22"/>
  <c r="I114" i="16"/>
  <c r="D70"/>
  <c r="C390" i="22"/>
  <c r="D391"/>
  <c r="E114" i="16"/>
  <c r="H148"/>
  <c r="D82" i="22"/>
  <c r="F148" i="16"/>
  <c r="D80" i="22"/>
  <c r="I148" i="16"/>
  <c r="D83" i="22"/>
  <c r="E151" i="16"/>
  <c r="D171" i="22"/>
  <c r="I151" i="16"/>
  <c r="D175" i="22"/>
  <c r="H151" i="16"/>
  <c r="D174" i="22"/>
  <c r="H155" i="16"/>
  <c r="D298" i="22"/>
  <c r="F298" s="1"/>
  <c r="G298" s="1"/>
  <c r="D155" i="16"/>
  <c r="D294" i="22"/>
  <c r="F294" s="1"/>
  <c r="G294" s="1"/>
  <c r="I155" i="16"/>
  <c r="D299" i="22"/>
  <c r="F299" s="1"/>
  <c r="G299" s="1"/>
  <c r="G154" i="16"/>
  <c r="D265" i="22"/>
  <c r="F265" s="1"/>
  <c r="G265" s="1"/>
  <c r="F154" i="16"/>
  <c r="D264" i="22"/>
  <c r="F264" s="1"/>
  <c r="G264" s="1"/>
  <c r="D154" i="16"/>
  <c r="D262" i="22"/>
  <c r="F262" s="1"/>
  <c r="G262" s="1"/>
  <c r="I147" i="16"/>
  <c r="C51" i="22"/>
  <c r="E147" i="16"/>
  <c r="C47" i="22"/>
  <c r="H147" i="16"/>
  <c r="C50" i="22"/>
  <c r="D425"/>
  <c r="G115" i="16"/>
  <c r="I115"/>
  <c r="D427" i="22"/>
  <c r="I65" i="16"/>
  <c r="C235" i="22"/>
  <c r="J65" i="16"/>
  <c r="C236" i="22"/>
  <c r="G553" i="7"/>
  <c r="G579" s="1"/>
  <c r="I553"/>
  <c r="I579" s="1"/>
  <c r="H553"/>
  <c r="H579" s="1"/>
  <c r="G533"/>
  <c r="G577" s="1"/>
  <c r="H533"/>
  <c r="H577" s="1"/>
  <c r="I533"/>
  <c r="I577" s="1"/>
  <c r="D607" i="22"/>
  <c r="E130" i="13"/>
  <c r="E121" i="16"/>
  <c r="E94" i="13"/>
  <c r="E30" i="16"/>
  <c r="B517" i="22"/>
  <c r="C517" s="1"/>
  <c r="F31" i="16"/>
  <c r="F95" i="13"/>
  <c r="B548" i="22"/>
  <c r="C548" s="1"/>
  <c r="F33" i="16"/>
  <c r="F97" i="13"/>
  <c r="B608" i="22"/>
  <c r="I29" i="16"/>
  <c r="I93" i="13"/>
  <c r="B491" i="22"/>
  <c r="C491" s="1"/>
  <c r="D457"/>
  <c r="G116" i="16"/>
  <c r="C116"/>
  <c r="D453" i="22"/>
  <c r="C72" i="16"/>
  <c r="C453" i="22"/>
  <c r="G70" i="16"/>
  <c r="C393" i="22"/>
  <c r="H26" i="16"/>
  <c r="B394" i="22"/>
  <c r="F114" i="16"/>
  <c r="D392" i="22"/>
  <c r="H27" i="16"/>
  <c r="B426" i="22"/>
  <c r="C422"/>
  <c r="D71" i="16"/>
  <c r="F27"/>
  <c r="B424" i="22"/>
  <c r="C230"/>
  <c r="D65" i="16"/>
  <c r="E21"/>
  <c r="B231" i="22"/>
  <c r="F65" i="16"/>
  <c r="C232" i="22"/>
  <c r="D93" i="13"/>
  <c r="D29" i="16"/>
  <c r="B486" i="22"/>
  <c r="C486" s="1"/>
  <c r="J116" i="13"/>
  <c r="C612" i="22"/>
  <c r="J77" i="16"/>
  <c r="D612" i="22"/>
  <c r="J130" i="13"/>
  <c r="J121" i="16"/>
  <c r="J97" i="13"/>
  <c r="J33" i="16"/>
  <c r="B612" i="22"/>
  <c r="B96" i="13"/>
  <c r="B32" i="16"/>
  <c r="B130" i="13"/>
  <c r="B121" i="16"/>
  <c r="C32"/>
  <c r="C96" i="13"/>
  <c r="B575" i="22"/>
  <c r="C77" i="16"/>
  <c r="C116" i="13"/>
  <c r="C605" i="22"/>
  <c r="D610"/>
  <c r="H130" i="13"/>
  <c r="H121" i="16"/>
  <c r="H94" i="13"/>
  <c r="H30" i="16"/>
  <c r="B520" i="22"/>
  <c r="C520" s="1"/>
  <c r="I28" i="16"/>
  <c r="B459" i="22"/>
  <c r="J116" i="16"/>
  <c r="D460" i="22"/>
  <c r="H28" i="16"/>
  <c r="B458" i="22"/>
  <c r="D454"/>
  <c r="D116" i="16"/>
  <c r="C395" i="22"/>
  <c r="I70" i="16"/>
  <c r="D114"/>
  <c r="D390" i="22"/>
  <c r="C114" i="16"/>
  <c r="D389" i="22"/>
  <c r="C70" i="16"/>
  <c r="C389" i="22"/>
  <c r="W565" i="7"/>
  <c r="W587" s="1"/>
  <c r="H507"/>
  <c r="H524" s="1"/>
  <c r="AJ544"/>
  <c r="AJ581" s="1"/>
  <c r="Y544"/>
  <c r="Y581" s="1"/>
  <c r="X565"/>
  <c r="X587" s="1"/>
  <c r="X564"/>
  <c r="X586" s="1"/>
  <c r="X543"/>
  <c r="X578" s="1"/>
  <c r="I506"/>
  <c r="I523" s="1"/>
  <c r="AI565"/>
  <c r="AI587" s="1"/>
  <c r="G564"/>
  <c r="G586" s="1"/>
  <c r="J634" l="1"/>
  <c r="J916" s="1"/>
  <c r="AE565"/>
  <c r="AE587" s="1"/>
  <c r="AE544"/>
  <c r="AE581" s="1"/>
  <c r="C534"/>
  <c r="C580" s="1"/>
  <c r="D554"/>
  <c r="D582" s="1"/>
  <c r="E534"/>
  <c r="E580" s="1"/>
  <c r="B608" s="1"/>
  <c r="B885" s="1"/>
  <c r="E554"/>
  <c r="E582" s="1"/>
  <c r="C554"/>
  <c r="C582" s="1"/>
  <c r="AG554"/>
  <c r="AG582" s="1"/>
  <c r="C544"/>
  <c r="C581" s="1"/>
  <c r="E544"/>
  <c r="E581" s="1"/>
  <c r="F121" i="16"/>
  <c r="G25" i="23"/>
  <c r="D580" i="22"/>
  <c r="C25" i="23"/>
  <c r="D576" i="22"/>
  <c r="F25" i="23"/>
  <c r="D579" i="22"/>
  <c r="H25" i="23"/>
  <c r="D581" i="22"/>
  <c r="E25" i="23"/>
  <c r="D578" i="22"/>
  <c r="I25" i="23"/>
  <c r="D582" i="22"/>
  <c r="D25" i="23"/>
  <c r="D577" i="22"/>
  <c r="H16" i="23"/>
  <c r="H299" i="22"/>
  <c r="C16" i="23"/>
  <c r="H294" i="22"/>
  <c r="G16" i="23"/>
  <c r="H298" i="22"/>
  <c r="E16" i="23"/>
  <c r="H296" i="22"/>
  <c r="D16" i="23"/>
  <c r="H295" i="22"/>
  <c r="F16" i="23"/>
  <c r="H297" i="22"/>
  <c r="C15" i="23"/>
  <c r="H262" i="22"/>
  <c r="E15" i="23"/>
  <c r="H264" i="22"/>
  <c r="F15" i="23"/>
  <c r="H265" i="22"/>
  <c r="G15" i="23"/>
  <c r="H266" i="22"/>
  <c r="D15" i="23"/>
  <c r="H263" i="22"/>
  <c r="H15" i="23"/>
  <c r="H267" i="22"/>
  <c r="AE534" i="7"/>
  <c r="AE580" s="1"/>
  <c r="AE554"/>
  <c r="AE582" s="1"/>
  <c r="G543"/>
  <c r="G578" s="1"/>
  <c r="I543"/>
  <c r="I578" s="1"/>
  <c r="I564"/>
  <c r="I586" s="1"/>
  <c r="H564"/>
  <c r="H586" s="1"/>
  <c r="H543"/>
  <c r="H578" s="1"/>
  <c r="G657"/>
  <c r="G940" s="1"/>
  <c r="G131" i="12" s="1"/>
  <c r="G125" i="13" s="1"/>
  <c r="G634" i="7"/>
  <c r="G916" s="1"/>
  <c r="G104" i="12" s="1"/>
  <c r="G107" i="13" s="1"/>
  <c r="E231" i="22"/>
  <c r="AF534" i="7"/>
  <c r="AF580" s="1"/>
  <c r="AG534"/>
  <c r="AG580" s="1"/>
  <c r="AF554"/>
  <c r="AF582" s="1"/>
  <c r="I428" i="22"/>
  <c r="B658" i="7"/>
  <c r="B941" s="1"/>
  <c r="B132" i="12" s="1"/>
  <c r="B126" i="13" s="1"/>
  <c r="B113" i="16" s="1"/>
  <c r="AF565" i="7"/>
  <c r="AF587" s="1"/>
  <c r="I615" s="1"/>
  <c r="I892" s="1"/>
  <c r="AG544"/>
  <c r="AG581" s="1"/>
  <c r="B639"/>
  <c r="B921" s="1"/>
  <c r="B109" i="12" s="1"/>
  <c r="B112" i="13" s="1"/>
  <c r="B69" i="16" s="1"/>
  <c r="J608" i="7"/>
  <c r="J885" s="1"/>
  <c r="J14" i="8" s="1"/>
  <c r="J119" s="1"/>
  <c r="J133" i="9" s="1"/>
  <c r="G608" i="7"/>
  <c r="G885" s="1"/>
  <c r="G70" i="12" s="1"/>
  <c r="G82" i="13" s="1"/>
  <c r="F232" i="22"/>
  <c r="H232" s="1"/>
  <c r="J609" i="7"/>
  <c r="J886" s="1"/>
  <c r="J104" i="12"/>
  <c r="J107" i="13" s="1"/>
  <c r="AJ553" i="7"/>
  <c r="AJ579" s="1"/>
  <c r="AI553"/>
  <c r="AI579" s="1"/>
  <c r="AK553"/>
  <c r="AK579" s="1"/>
  <c r="AI533"/>
  <c r="AI577" s="1"/>
  <c r="AK533"/>
  <c r="AK577" s="1"/>
  <c r="AJ533"/>
  <c r="AJ577" s="1"/>
  <c r="AK564"/>
  <c r="AK586" s="1"/>
  <c r="AJ564"/>
  <c r="AJ586" s="1"/>
  <c r="AK543"/>
  <c r="AK578" s="1"/>
  <c r="AJ543"/>
  <c r="AJ578" s="1"/>
  <c r="AI543"/>
  <c r="AI578" s="1"/>
  <c r="AI564"/>
  <c r="AI586" s="1"/>
  <c r="M553"/>
  <c r="M579" s="1"/>
  <c r="K553"/>
  <c r="K579" s="1"/>
  <c r="L553"/>
  <c r="L579" s="1"/>
  <c r="L533"/>
  <c r="L577" s="1"/>
  <c r="K533"/>
  <c r="K577" s="1"/>
  <c r="M533"/>
  <c r="M577" s="1"/>
  <c r="K564"/>
  <c r="K586" s="1"/>
  <c r="K543"/>
  <c r="K578" s="1"/>
  <c r="M543"/>
  <c r="M578" s="1"/>
  <c r="L543"/>
  <c r="L578" s="1"/>
  <c r="M564"/>
  <c r="M586" s="1"/>
  <c r="L564"/>
  <c r="L586" s="1"/>
  <c r="T554"/>
  <c r="T582" s="1"/>
  <c r="U554"/>
  <c r="U582" s="1"/>
  <c r="S554"/>
  <c r="S582" s="1"/>
  <c r="T534"/>
  <c r="T580" s="1"/>
  <c r="U534"/>
  <c r="U580" s="1"/>
  <c r="S534"/>
  <c r="S580" s="1"/>
  <c r="S565"/>
  <c r="S587" s="1"/>
  <c r="S544"/>
  <c r="S581" s="1"/>
  <c r="U565"/>
  <c r="U587" s="1"/>
  <c r="T565"/>
  <c r="T587" s="1"/>
  <c r="U544"/>
  <c r="U581" s="1"/>
  <c r="T544"/>
  <c r="T581" s="1"/>
  <c r="AE553"/>
  <c r="AE579" s="1"/>
  <c r="AG553"/>
  <c r="AG579" s="1"/>
  <c r="AF553"/>
  <c r="AF579" s="1"/>
  <c r="AE533"/>
  <c r="AE577" s="1"/>
  <c r="AF533"/>
  <c r="AF577" s="1"/>
  <c r="AG533"/>
  <c r="AG577" s="1"/>
  <c r="AE543"/>
  <c r="AE578" s="1"/>
  <c r="AG543"/>
  <c r="AG578" s="1"/>
  <c r="AF564"/>
  <c r="AF586" s="1"/>
  <c r="AF543"/>
  <c r="AF578" s="1"/>
  <c r="AG564"/>
  <c r="AG586" s="1"/>
  <c r="AE564"/>
  <c r="AE586" s="1"/>
  <c r="AB554"/>
  <c r="AB582" s="1"/>
  <c r="AC554"/>
  <c r="AC582" s="1"/>
  <c r="AA554"/>
  <c r="AA582" s="1"/>
  <c r="AC534"/>
  <c r="AC580" s="1"/>
  <c r="AB534"/>
  <c r="AB580" s="1"/>
  <c r="AA534"/>
  <c r="AA580" s="1"/>
  <c r="AB565"/>
  <c r="AB587" s="1"/>
  <c r="AC544"/>
  <c r="AC581" s="1"/>
  <c r="AA544"/>
  <c r="AA581" s="1"/>
  <c r="AC565"/>
  <c r="AC587" s="1"/>
  <c r="AB544"/>
  <c r="AB581" s="1"/>
  <c r="AA565"/>
  <c r="AA587" s="1"/>
  <c r="J639"/>
  <c r="J921" s="1"/>
  <c r="J658"/>
  <c r="J941" s="1"/>
  <c r="J615"/>
  <c r="J892" s="1"/>
  <c r="I609"/>
  <c r="I886" s="1"/>
  <c r="C575" i="22"/>
  <c r="D575" s="1"/>
  <c r="C22" i="23"/>
  <c r="D486" i="22"/>
  <c r="F608"/>
  <c r="E608"/>
  <c r="D23" i="23"/>
  <c r="D517" i="22"/>
  <c r="J70" i="12"/>
  <c r="J82" i="13" s="1"/>
  <c r="F609" i="22"/>
  <c r="E609"/>
  <c r="G24" i="23"/>
  <c r="D550" i="22"/>
  <c r="F605"/>
  <c r="E605"/>
  <c r="F606"/>
  <c r="E606"/>
  <c r="J392"/>
  <c r="I392"/>
  <c r="E23" i="23"/>
  <c r="D518" i="22"/>
  <c r="D22" i="23"/>
  <c r="D487" i="22"/>
  <c r="P554" i="7"/>
  <c r="P582" s="1"/>
  <c r="Q554"/>
  <c r="Q582" s="1"/>
  <c r="O554"/>
  <c r="O582" s="1"/>
  <c r="O534"/>
  <c r="O580" s="1"/>
  <c r="Q534"/>
  <c r="Q580" s="1"/>
  <c r="P534"/>
  <c r="P580" s="1"/>
  <c r="P544"/>
  <c r="P581" s="1"/>
  <c r="O544"/>
  <c r="O581" s="1"/>
  <c r="Q565"/>
  <c r="Q587" s="1"/>
  <c r="P565"/>
  <c r="P587" s="1"/>
  <c r="Q544"/>
  <c r="Q581" s="1"/>
  <c r="O565"/>
  <c r="O587" s="1"/>
  <c r="I554"/>
  <c r="I582" s="1"/>
  <c r="G554"/>
  <c r="G582" s="1"/>
  <c r="H554"/>
  <c r="H582" s="1"/>
  <c r="I534"/>
  <c r="I580" s="1"/>
  <c r="G534"/>
  <c r="G580" s="1"/>
  <c r="H534"/>
  <c r="H580" s="1"/>
  <c r="H565"/>
  <c r="H587" s="1"/>
  <c r="I565"/>
  <c r="I587" s="1"/>
  <c r="I544"/>
  <c r="I581" s="1"/>
  <c r="G544"/>
  <c r="G581" s="1"/>
  <c r="H544"/>
  <c r="H581" s="1"/>
  <c r="G565"/>
  <c r="G587" s="1"/>
  <c r="G606"/>
  <c r="G883" s="1"/>
  <c r="G633"/>
  <c r="G915" s="1"/>
  <c r="J454" i="22"/>
  <c r="I454"/>
  <c r="F24" i="23"/>
  <c r="D549" i="22"/>
  <c r="C485"/>
  <c r="I23" i="23"/>
  <c r="D522" i="22"/>
  <c r="J422"/>
  <c r="I422"/>
  <c r="J425"/>
  <c r="I425"/>
  <c r="J421"/>
  <c r="I421"/>
  <c r="F261"/>
  <c r="F293"/>
  <c r="J389"/>
  <c r="I389"/>
  <c r="F23" i="23"/>
  <c r="D519" i="22"/>
  <c r="G22" i="23"/>
  <c r="D490" i="22"/>
  <c r="C515"/>
  <c r="J423"/>
  <c r="I423"/>
  <c r="J456"/>
  <c r="I456"/>
  <c r="J453"/>
  <c r="I453"/>
  <c r="H24" i="23"/>
  <c r="D551" i="22"/>
  <c r="T553" i="7"/>
  <c r="T579" s="1"/>
  <c r="U553"/>
  <c r="U579" s="1"/>
  <c r="S553"/>
  <c r="S579" s="1"/>
  <c r="S533"/>
  <c r="S577" s="1"/>
  <c r="T533"/>
  <c r="T577" s="1"/>
  <c r="U533"/>
  <c r="U577" s="1"/>
  <c r="S543"/>
  <c r="S578" s="1"/>
  <c r="U564"/>
  <c r="U586" s="1"/>
  <c r="S564"/>
  <c r="S586" s="1"/>
  <c r="T564"/>
  <c r="T586" s="1"/>
  <c r="U543"/>
  <c r="U578" s="1"/>
  <c r="T543"/>
  <c r="T578" s="1"/>
  <c r="K554"/>
  <c r="K582" s="1"/>
  <c r="M554"/>
  <c r="M582" s="1"/>
  <c r="L554"/>
  <c r="L582" s="1"/>
  <c r="K534"/>
  <c r="K580" s="1"/>
  <c r="M534"/>
  <c r="M580" s="1"/>
  <c r="L534"/>
  <c r="L580" s="1"/>
  <c r="M544"/>
  <c r="M581" s="1"/>
  <c r="L565"/>
  <c r="L587" s="1"/>
  <c r="M565"/>
  <c r="M587" s="1"/>
  <c r="L544"/>
  <c r="L581" s="1"/>
  <c r="K565"/>
  <c r="K587" s="1"/>
  <c r="K544"/>
  <c r="K581" s="1"/>
  <c r="D553"/>
  <c r="D579" s="1"/>
  <c r="C553"/>
  <c r="C579" s="1"/>
  <c r="E553"/>
  <c r="E579" s="1"/>
  <c r="C533"/>
  <c r="C577" s="1"/>
  <c r="E533"/>
  <c r="E577" s="1"/>
  <c r="D533"/>
  <c r="D577" s="1"/>
  <c r="D543"/>
  <c r="D578" s="1"/>
  <c r="C564"/>
  <c r="C586" s="1"/>
  <c r="E543"/>
  <c r="E578" s="1"/>
  <c r="E564"/>
  <c r="E586" s="1"/>
  <c r="D564"/>
  <c r="D586" s="1"/>
  <c r="C543"/>
  <c r="C578" s="1"/>
  <c r="AA553"/>
  <c r="AA579" s="1"/>
  <c r="AC553"/>
  <c r="AC579" s="1"/>
  <c r="AB553"/>
  <c r="AB579" s="1"/>
  <c r="AB533"/>
  <c r="AB577" s="1"/>
  <c r="AA533"/>
  <c r="AA577" s="1"/>
  <c r="AC533"/>
  <c r="AC577" s="1"/>
  <c r="AA543"/>
  <c r="AA578" s="1"/>
  <c r="AA564"/>
  <c r="AA586" s="1"/>
  <c r="AB543"/>
  <c r="AB578" s="1"/>
  <c r="AB564"/>
  <c r="AB586" s="1"/>
  <c r="AC543"/>
  <c r="AC578" s="1"/>
  <c r="AC564"/>
  <c r="AC586" s="1"/>
  <c r="E606"/>
  <c r="E883" s="1"/>
  <c r="E633"/>
  <c r="E915" s="1"/>
  <c r="C657"/>
  <c r="C940" s="1"/>
  <c r="G615"/>
  <c r="G892" s="1"/>
  <c r="G639"/>
  <c r="G921" s="1"/>
  <c r="G658"/>
  <c r="G941" s="1"/>
  <c r="J458" i="22"/>
  <c r="I458"/>
  <c r="J459"/>
  <c r="I459"/>
  <c r="G23" i="23"/>
  <c r="D520" i="22"/>
  <c r="F612"/>
  <c r="E612"/>
  <c r="J424"/>
  <c r="I424"/>
  <c r="J426"/>
  <c r="I426"/>
  <c r="J394"/>
  <c r="I394"/>
  <c r="H22" i="23"/>
  <c r="D491" i="22"/>
  <c r="E24" i="23"/>
  <c r="D548" i="22"/>
  <c r="J395"/>
  <c r="I395"/>
  <c r="F610"/>
  <c r="E610"/>
  <c r="C545"/>
  <c r="I22" i="23"/>
  <c r="D492" i="22"/>
  <c r="C23" i="23"/>
  <c r="D516" i="22"/>
  <c r="J457"/>
  <c r="I457"/>
  <c r="F611"/>
  <c r="E611"/>
  <c r="F229"/>
  <c r="J390"/>
  <c r="I390"/>
  <c r="J455"/>
  <c r="I455"/>
  <c r="F22" i="23"/>
  <c r="D489" i="22"/>
  <c r="C24" i="23"/>
  <c r="D546" i="22"/>
  <c r="H23" i="23"/>
  <c r="D521" i="22"/>
  <c r="E22" i="23"/>
  <c r="D488" i="22"/>
  <c r="D24" i="23"/>
  <c r="D547" i="22"/>
  <c r="J391"/>
  <c r="I391"/>
  <c r="I24" i="23"/>
  <c r="D552" i="22"/>
  <c r="J393"/>
  <c r="I393"/>
  <c r="F607"/>
  <c r="E607"/>
  <c r="E229"/>
  <c r="J427"/>
  <c r="I427"/>
  <c r="E638" i="7"/>
  <c r="E920" s="1"/>
  <c r="E614"/>
  <c r="E891" s="1"/>
  <c r="E657"/>
  <c r="E940" s="1"/>
  <c r="C605"/>
  <c r="C882" s="1"/>
  <c r="G610"/>
  <c r="G887" s="1"/>
  <c r="E236" i="22"/>
  <c r="E235"/>
  <c r="I460"/>
  <c r="E607" i="7"/>
  <c r="E884" s="1"/>
  <c r="G609"/>
  <c r="G886" s="1"/>
  <c r="G614"/>
  <c r="G891" s="1"/>
  <c r="G638"/>
  <c r="G920" s="1"/>
  <c r="C607"/>
  <c r="C884" s="1"/>
  <c r="J610"/>
  <c r="J887" s="1"/>
  <c r="G605"/>
  <c r="G882" s="1"/>
  <c r="G607"/>
  <c r="G884" s="1"/>
  <c r="E230" i="22"/>
  <c r="E233"/>
  <c r="F230"/>
  <c r="F233"/>
  <c r="F235"/>
  <c r="F231"/>
  <c r="F234"/>
  <c r="E234"/>
  <c r="E232"/>
  <c r="I396"/>
  <c r="E605" i="7"/>
  <c r="E882" s="1"/>
  <c r="B615"/>
  <c r="B892" s="1"/>
  <c r="C614" l="1"/>
  <c r="C891" s="1"/>
  <c r="B634"/>
  <c r="B916" s="1"/>
  <c r="I634"/>
  <c r="I916" s="1"/>
  <c r="J33" i="8"/>
  <c r="J120" s="1"/>
  <c r="J134" i="9" s="1"/>
  <c r="C638" i="7"/>
  <c r="C920" s="1"/>
  <c r="I610"/>
  <c r="I887" s="1"/>
  <c r="I15" i="8" s="1"/>
  <c r="I121" s="1"/>
  <c r="I135" i="9" s="1"/>
  <c r="B609" i="7"/>
  <c r="B886" s="1"/>
  <c r="B610"/>
  <c r="B887" s="1"/>
  <c r="B15" i="8" s="1"/>
  <c r="B121" s="1"/>
  <c r="B135" i="9" s="1"/>
  <c r="B70" i="12"/>
  <c r="B82" i="13" s="1"/>
  <c r="B18" i="16" s="1"/>
  <c r="B14" i="8"/>
  <c r="B119" s="1"/>
  <c r="B133" i="9" s="1"/>
  <c r="I639" i="7"/>
  <c r="I921" s="1"/>
  <c r="I109" i="12" s="1"/>
  <c r="I112" i="13" s="1"/>
  <c r="E14" i="23"/>
  <c r="I658" i="7"/>
  <c r="I941" s="1"/>
  <c r="H293" i="22"/>
  <c r="G293"/>
  <c r="H261"/>
  <c r="G261"/>
  <c r="G232"/>
  <c r="J71" i="12"/>
  <c r="J83" i="13" s="1"/>
  <c r="B176" i="22" s="1"/>
  <c r="G14" i="8"/>
  <c r="G119" s="1"/>
  <c r="G133" i="9" s="1"/>
  <c r="I608" i="7"/>
  <c r="I885" s="1"/>
  <c r="I70" i="12" s="1"/>
  <c r="I82" i="13" s="1"/>
  <c r="C606" i="7"/>
  <c r="C883" s="1"/>
  <c r="C633"/>
  <c r="C915" s="1"/>
  <c r="C103" i="12" s="1"/>
  <c r="C106" i="13" s="1"/>
  <c r="C77" i="22" s="1"/>
  <c r="B607" i="7"/>
  <c r="B884" s="1"/>
  <c r="B13" i="8" s="1"/>
  <c r="B118" s="1"/>
  <c r="B132" i="9" s="1"/>
  <c r="H610" i="7"/>
  <c r="H887" s="1"/>
  <c r="H15" i="8" s="1"/>
  <c r="H121" s="1"/>
  <c r="H135" i="9" s="1"/>
  <c r="F610" i="7"/>
  <c r="F887" s="1"/>
  <c r="F15" i="8" s="1"/>
  <c r="F121" s="1"/>
  <c r="F135" i="9" s="1"/>
  <c r="D605" i="7"/>
  <c r="D882" s="1"/>
  <c r="D67" i="12" s="1"/>
  <c r="D79" i="13" s="1"/>
  <c r="C608" i="7"/>
  <c r="C885" s="1"/>
  <c r="C70" i="12" s="1"/>
  <c r="C82" i="13" s="1"/>
  <c r="E610" i="7"/>
  <c r="E887" s="1"/>
  <c r="E72" i="12" s="1"/>
  <c r="E84" i="13" s="1"/>
  <c r="B77" i="12"/>
  <c r="B89" i="13" s="1"/>
  <c r="B25" i="16" s="1"/>
  <c r="B52" i="8"/>
  <c r="B126" s="1"/>
  <c r="B140" i="9" s="1"/>
  <c r="D14" i="23"/>
  <c r="H231" i="22"/>
  <c r="G231"/>
  <c r="F14" i="23"/>
  <c r="H233" i="22"/>
  <c r="G233"/>
  <c r="G67" i="12"/>
  <c r="G79" i="13" s="1"/>
  <c r="G12" i="8"/>
  <c r="G116" s="1"/>
  <c r="B72" i="12"/>
  <c r="B84" i="13" s="1"/>
  <c r="B20" i="16" s="1"/>
  <c r="G76" i="12"/>
  <c r="G88" i="13" s="1"/>
  <c r="G51" i="8"/>
  <c r="G125" s="1"/>
  <c r="G139" i="9" s="1"/>
  <c r="E69" i="12"/>
  <c r="E81" i="13" s="1"/>
  <c r="E13" i="8"/>
  <c r="E118" s="1"/>
  <c r="E132" i="9" s="1"/>
  <c r="I72" i="12"/>
  <c r="I84" i="13" s="1"/>
  <c r="C67" i="12"/>
  <c r="C79" i="13" s="1"/>
  <c r="C12" i="8"/>
  <c r="C116" s="1"/>
  <c r="E76" i="12"/>
  <c r="E88" i="13" s="1"/>
  <c r="E51" i="8"/>
  <c r="E125" s="1"/>
  <c r="E139" i="9" s="1"/>
  <c r="B14" i="23"/>
  <c r="H229" i="22"/>
  <c r="G229"/>
  <c r="B24" i="23"/>
  <c r="D545" i="22"/>
  <c r="G132" i="12"/>
  <c r="G126" i="13" s="1"/>
  <c r="G77" i="12"/>
  <c r="G89" i="13" s="1"/>
  <c r="G52" i="8"/>
  <c r="G126" s="1"/>
  <c r="G140" i="9" s="1"/>
  <c r="C108" i="12"/>
  <c r="C111" i="13" s="1"/>
  <c r="J19" i="16"/>
  <c r="E103" i="12"/>
  <c r="E106" i="13" s="1"/>
  <c r="H657" i="7"/>
  <c r="H940" s="1"/>
  <c r="H614"/>
  <c r="H891" s="1"/>
  <c r="H638"/>
  <c r="H920" s="1"/>
  <c r="B633"/>
  <c r="B915" s="1"/>
  <c r="B606"/>
  <c r="B883" s="1"/>
  <c r="B657"/>
  <c r="B940" s="1"/>
  <c r="B638"/>
  <c r="B920" s="1"/>
  <c r="B614"/>
  <c r="B891" s="1"/>
  <c r="D634"/>
  <c r="D916" s="1"/>
  <c r="D609"/>
  <c r="D886" s="1"/>
  <c r="E21" i="23"/>
  <c r="L456" i="22"/>
  <c r="M456"/>
  <c r="K456"/>
  <c r="D20" i="23"/>
  <c r="L423" i="22"/>
  <c r="M423"/>
  <c r="K423"/>
  <c r="B19" i="23"/>
  <c r="L389" i="22"/>
  <c r="M389"/>
  <c r="K389"/>
  <c r="B16" i="23"/>
  <c r="F20"/>
  <c r="L425" i="22"/>
  <c r="M425"/>
  <c r="K425"/>
  <c r="C20" i="23"/>
  <c r="L422" i="22"/>
  <c r="M422"/>
  <c r="K422"/>
  <c r="C21" i="23"/>
  <c r="L454" i="22"/>
  <c r="M454"/>
  <c r="K454"/>
  <c r="G68" i="12"/>
  <c r="G80" i="13" s="1"/>
  <c r="G32" i="8"/>
  <c r="G117" s="1"/>
  <c r="G131" i="9" s="1"/>
  <c r="C14" i="8"/>
  <c r="C119" s="1"/>
  <c r="C133" i="9" s="1"/>
  <c r="B71" i="12"/>
  <c r="B83" i="13" s="1"/>
  <c r="B19" i="16" s="1"/>
  <c r="B33" i="8"/>
  <c r="B120" s="1"/>
  <c r="B134" i="9" s="1"/>
  <c r="G18" i="16"/>
  <c r="B141" i="22"/>
  <c r="D141" s="1"/>
  <c r="F26" i="23"/>
  <c r="G609" i="22"/>
  <c r="E26" i="23"/>
  <c r="G608" i="22"/>
  <c r="I104" i="12"/>
  <c r="I107" i="13" s="1"/>
  <c r="J77" i="12"/>
  <c r="J89" i="13" s="1"/>
  <c r="J52" i="8"/>
  <c r="J126" s="1"/>
  <c r="J140" i="9" s="1"/>
  <c r="J109" i="12"/>
  <c r="J112" i="13" s="1"/>
  <c r="H609" i="7"/>
  <c r="H886" s="1"/>
  <c r="H634"/>
  <c r="H916" s="1"/>
  <c r="G112" i="16"/>
  <c r="D329" i="22"/>
  <c r="I606" i="7"/>
  <c r="I883" s="1"/>
  <c r="I633"/>
  <c r="I915" s="1"/>
  <c r="F639"/>
  <c r="F921" s="1"/>
  <c r="F658"/>
  <c r="F941" s="1"/>
  <c r="F615"/>
  <c r="F892" s="1"/>
  <c r="F72" i="12"/>
  <c r="F84" i="13" s="1"/>
  <c r="D657" i="7"/>
  <c r="D940" s="1"/>
  <c r="D614"/>
  <c r="D891" s="1"/>
  <c r="D638"/>
  <c r="D920" s="1"/>
  <c r="J606"/>
  <c r="J883" s="1"/>
  <c r="J633"/>
  <c r="J915" s="1"/>
  <c r="J63" i="16"/>
  <c r="C176" i="22"/>
  <c r="E67" i="12"/>
  <c r="E79" i="13" s="1"/>
  <c r="E12" i="8"/>
  <c r="E116" s="1"/>
  <c r="G14" i="23"/>
  <c r="H234" i="22"/>
  <c r="G234"/>
  <c r="H14" i="23"/>
  <c r="H235" i="22"/>
  <c r="G235"/>
  <c r="C14" i="23"/>
  <c r="H230" i="22"/>
  <c r="G230"/>
  <c r="G69" i="12"/>
  <c r="G81" i="13" s="1"/>
  <c r="G13" i="8"/>
  <c r="G118" s="1"/>
  <c r="G132" i="9" s="1"/>
  <c r="J72" i="12"/>
  <c r="J84" i="13" s="1"/>
  <c r="J15" i="8"/>
  <c r="J121" s="1"/>
  <c r="J135" i="9" s="1"/>
  <c r="C69" i="12"/>
  <c r="C81" i="13" s="1"/>
  <c r="C13" i="8"/>
  <c r="C118" s="1"/>
  <c r="C132" i="9" s="1"/>
  <c r="G108" i="12"/>
  <c r="G111" i="13" s="1"/>
  <c r="G71" i="12"/>
  <c r="G83" i="13" s="1"/>
  <c r="G33" i="8"/>
  <c r="G120" s="1"/>
  <c r="G134" i="9" s="1"/>
  <c r="G72" i="12"/>
  <c r="G84" i="13" s="1"/>
  <c r="G15" i="8"/>
  <c r="G121" s="1"/>
  <c r="G135" i="9" s="1"/>
  <c r="C60" i="16"/>
  <c r="E131" i="12"/>
  <c r="E125" i="13" s="1"/>
  <c r="E108" i="12"/>
  <c r="E111" i="13" s="1"/>
  <c r="H20" i="23"/>
  <c r="L427" i="22"/>
  <c r="M427"/>
  <c r="K427"/>
  <c r="D26" i="23"/>
  <c r="G607" i="22"/>
  <c r="F19" i="23"/>
  <c r="L393" i="22"/>
  <c r="M393"/>
  <c r="K393"/>
  <c r="D19" i="23"/>
  <c r="L391" i="22"/>
  <c r="M391"/>
  <c r="K391"/>
  <c r="D21" i="23"/>
  <c r="L455" i="22"/>
  <c r="M455"/>
  <c r="K455"/>
  <c r="C19" i="23"/>
  <c r="L390" i="22"/>
  <c r="M390"/>
  <c r="K390"/>
  <c r="H26" i="23"/>
  <c r="G611" i="22"/>
  <c r="F21" i="23"/>
  <c r="L457" i="22"/>
  <c r="M457"/>
  <c r="K457"/>
  <c r="G26" i="23"/>
  <c r="G610" i="22"/>
  <c r="H19" i="23"/>
  <c r="L395" i="22"/>
  <c r="M395"/>
  <c r="K395"/>
  <c r="G19" i="23"/>
  <c r="L394" i="22"/>
  <c r="M394"/>
  <c r="K394"/>
  <c r="G20" i="23"/>
  <c r="L426" i="22"/>
  <c r="M426"/>
  <c r="K426"/>
  <c r="E20" i="23"/>
  <c r="L424" i="22"/>
  <c r="M424"/>
  <c r="K424"/>
  <c r="I26" i="23"/>
  <c r="G612" i="22"/>
  <c r="H21" i="23"/>
  <c r="L459" i="22"/>
  <c r="M459"/>
  <c r="K459"/>
  <c r="G21" i="23"/>
  <c r="L458" i="22"/>
  <c r="M458"/>
  <c r="K458"/>
  <c r="G109" i="12"/>
  <c r="G112" i="13" s="1"/>
  <c r="C76" i="12"/>
  <c r="C88" i="13" s="1"/>
  <c r="C51" i="8"/>
  <c r="C125" s="1"/>
  <c r="C139" i="9" s="1"/>
  <c r="C131" i="12"/>
  <c r="C125" i="13" s="1"/>
  <c r="E68" i="12"/>
  <c r="E80" i="13" s="1"/>
  <c r="E32" i="8"/>
  <c r="E117" s="1"/>
  <c r="E131" i="9" s="1"/>
  <c r="H633" i="7"/>
  <c r="H915" s="1"/>
  <c r="H606"/>
  <c r="H883" s="1"/>
  <c r="D658"/>
  <c r="D941" s="1"/>
  <c r="D639"/>
  <c r="D921" s="1"/>
  <c r="D615"/>
  <c r="D892" s="1"/>
  <c r="F614"/>
  <c r="F891" s="1"/>
  <c r="F657"/>
  <c r="F940" s="1"/>
  <c r="F638"/>
  <c r="F920" s="1"/>
  <c r="F606"/>
  <c r="F883" s="1"/>
  <c r="F633"/>
  <c r="F915" s="1"/>
  <c r="B21" i="23"/>
  <c r="L453" i="22"/>
  <c r="M453"/>
  <c r="K453"/>
  <c r="B23" i="23"/>
  <c r="D515" i="22"/>
  <c r="B15" i="23"/>
  <c r="B20"/>
  <c r="L421" i="22"/>
  <c r="M421"/>
  <c r="K421"/>
  <c r="B22" i="23"/>
  <c r="D485" i="22"/>
  <c r="G103" i="12"/>
  <c r="G106" i="13" s="1"/>
  <c r="C615" i="7"/>
  <c r="C892" s="1"/>
  <c r="C639"/>
  <c r="C921" s="1"/>
  <c r="C658"/>
  <c r="C941" s="1"/>
  <c r="C634"/>
  <c r="C916" s="1"/>
  <c r="C609"/>
  <c r="C886" s="1"/>
  <c r="E658"/>
  <c r="E941" s="1"/>
  <c r="E615"/>
  <c r="E892" s="1"/>
  <c r="E639"/>
  <c r="E921" s="1"/>
  <c r="E609"/>
  <c r="E886" s="1"/>
  <c r="E634"/>
  <c r="E916" s="1"/>
  <c r="B104" i="12"/>
  <c r="B107" i="13" s="1"/>
  <c r="B63" i="16" s="1"/>
  <c r="E19" i="23"/>
  <c r="L392" i="22"/>
  <c r="M392"/>
  <c r="K392"/>
  <c r="C26" i="23"/>
  <c r="G606" i="22"/>
  <c r="B26" i="23"/>
  <c r="G605" i="22"/>
  <c r="J18" i="16"/>
  <c r="B144" i="22"/>
  <c r="B25" i="23"/>
  <c r="I71" i="12"/>
  <c r="I83" i="13" s="1"/>
  <c r="I33" i="8"/>
  <c r="I120" s="1"/>
  <c r="I134" i="9" s="1"/>
  <c r="I132" i="12"/>
  <c r="I126" i="13" s="1"/>
  <c r="I77" i="12"/>
  <c r="I89" i="13" s="1"/>
  <c r="I52" i="8"/>
  <c r="I126" s="1"/>
  <c r="I140" i="9" s="1"/>
  <c r="J132" i="12"/>
  <c r="J126" i="13" s="1"/>
  <c r="H658" i="7"/>
  <c r="H941" s="1"/>
  <c r="H639"/>
  <c r="H921" s="1"/>
  <c r="H615"/>
  <c r="H892" s="1"/>
  <c r="C173" i="22"/>
  <c r="G63" i="16"/>
  <c r="I638" i="7"/>
  <c r="I920" s="1"/>
  <c r="I657"/>
  <c r="I940" s="1"/>
  <c r="I614"/>
  <c r="I891" s="1"/>
  <c r="F634"/>
  <c r="F916" s="1"/>
  <c r="F609"/>
  <c r="F886" s="1"/>
  <c r="D606"/>
  <c r="D883" s="1"/>
  <c r="D633"/>
  <c r="D915" s="1"/>
  <c r="J614"/>
  <c r="J891" s="1"/>
  <c r="J657"/>
  <c r="J940" s="1"/>
  <c r="J638"/>
  <c r="J920" s="1"/>
  <c r="B605"/>
  <c r="B882" s="1"/>
  <c r="D608"/>
  <c r="D885" s="1"/>
  <c r="F605"/>
  <c r="F882" s="1"/>
  <c r="I607"/>
  <c r="I884" s="1"/>
  <c r="H605"/>
  <c r="H882" s="1"/>
  <c r="H607"/>
  <c r="H884" s="1"/>
  <c r="D610"/>
  <c r="D887" s="1"/>
  <c r="F607"/>
  <c r="F884" s="1"/>
  <c r="C610"/>
  <c r="C887" s="1"/>
  <c r="E608"/>
  <c r="E885" s="1"/>
  <c r="H608"/>
  <c r="H885" s="1"/>
  <c r="I605"/>
  <c r="I882" s="1"/>
  <c r="F608"/>
  <c r="F885" s="1"/>
  <c r="D607"/>
  <c r="D884" s="1"/>
  <c r="J605"/>
  <c r="J882" s="1"/>
  <c r="J607"/>
  <c r="J884" s="1"/>
  <c r="B69" i="12" l="1"/>
  <c r="B81" i="13" s="1"/>
  <c r="B17" i="16" s="1"/>
  <c r="D12" i="8"/>
  <c r="D116" s="1"/>
  <c r="H72" i="12"/>
  <c r="H84" i="13" s="1"/>
  <c r="B206" i="22" s="1"/>
  <c r="C206" s="1"/>
  <c r="E15" i="8"/>
  <c r="E121" s="1"/>
  <c r="E135" i="9" s="1"/>
  <c r="I14" i="8"/>
  <c r="I119" s="1"/>
  <c r="I133" i="9" s="1"/>
  <c r="B143" i="22"/>
  <c r="D143" s="1"/>
  <c r="H11" i="23" s="1"/>
  <c r="I18" i="16"/>
  <c r="C32" i="8"/>
  <c r="C117" s="1"/>
  <c r="C131" i="9" s="1"/>
  <c r="C68" i="12"/>
  <c r="C80" i="13" s="1"/>
  <c r="J69" i="12"/>
  <c r="J81" i="13" s="1"/>
  <c r="J13" i="8"/>
  <c r="J118" s="1"/>
  <c r="J132" i="9" s="1"/>
  <c r="D69" i="12"/>
  <c r="D81" i="13" s="1"/>
  <c r="D13" i="8"/>
  <c r="D118" s="1"/>
  <c r="D132" i="9" s="1"/>
  <c r="I67" i="12"/>
  <c r="I79" i="13" s="1"/>
  <c r="I12" i="8"/>
  <c r="I116" s="1"/>
  <c r="E70" i="12"/>
  <c r="E82" i="13" s="1"/>
  <c r="E14" i="8"/>
  <c r="E119" s="1"/>
  <c r="E133" i="9" s="1"/>
  <c r="D72" i="12"/>
  <c r="D84" i="13" s="1"/>
  <c r="D15" i="8"/>
  <c r="D121" s="1"/>
  <c r="D135" i="9" s="1"/>
  <c r="H67" i="12"/>
  <c r="H79" i="13" s="1"/>
  <c r="H12" i="8"/>
  <c r="H116" s="1"/>
  <c r="I69" i="12"/>
  <c r="I81" i="13" s="1"/>
  <c r="I13" i="8"/>
  <c r="I118" s="1"/>
  <c r="I132" i="9" s="1"/>
  <c r="F67" i="12"/>
  <c r="F79" i="13" s="1"/>
  <c r="F12" i="8"/>
  <c r="F116" s="1"/>
  <c r="B67" i="12"/>
  <c r="B79" i="13" s="1"/>
  <c r="B15" i="16" s="1"/>
  <c r="B12" i="8"/>
  <c r="B116" s="1"/>
  <c r="J108" i="12"/>
  <c r="J111" i="13" s="1"/>
  <c r="J76" i="12"/>
  <c r="J88" i="13" s="1"/>
  <c r="J51" i="8"/>
  <c r="J125" s="1"/>
  <c r="J139" i="9" s="1"/>
  <c r="D68" i="12"/>
  <c r="D80" i="13" s="1"/>
  <c r="D32" i="8"/>
  <c r="D117" s="1"/>
  <c r="D131" i="9" s="1"/>
  <c r="F104" i="12"/>
  <c r="F107" i="13" s="1"/>
  <c r="I131" i="12"/>
  <c r="I125" i="13" s="1"/>
  <c r="H77" i="12"/>
  <c r="H89" i="13" s="1"/>
  <c r="H52" i="8"/>
  <c r="H126" s="1"/>
  <c r="H140" i="9" s="1"/>
  <c r="H132" i="12"/>
  <c r="H126" i="13" s="1"/>
  <c r="D364" i="22"/>
  <c r="J113" i="16"/>
  <c r="I19"/>
  <c r="B175" i="22"/>
  <c r="E104" i="12"/>
  <c r="E107" i="13" s="1"/>
  <c r="E109" i="12"/>
  <c r="E112" i="13" s="1"/>
  <c r="E132" i="12"/>
  <c r="E126" i="13" s="1"/>
  <c r="C104" i="12"/>
  <c r="C107" i="13" s="1"/>
  <c r="C109" i="12"/>
  <c r="C112" i="13" s="1"/>
  <c r="C81" i="22"/>
  <c r="G60" i="16"/>
  <c r="F103" i="12"/>
  <c r="F106" i="13" s="1"/>
  <c r="F108" i="12"/>
  <c r="F111" i="13" s="1"/>
  <c r="F76" i="12"/>
  <c r="F88" i="13" s="1"/>
  <c r="F51" i="8"/>
  <c r="F125" s="1"/>
  <c r="F139" i="9" s="1"/>
  <c r="D109" i="12"/>
  <c r="D112" i="13" s="1"/>
  <c r="H68" i="12"/>
  <c r="H80" i="13" s="1"/>
  <c r="H32" i="8"/>
  <c r="H117" s="1"/>
  <c r="H131" i="9" s="1"/>
  <c r="B79" i="22"/>
  <c r="E16" i="16"/>
  <c r="C24"/>
  <c r="B325" i="22"/>
  <c r="G69" i="16"/>
  <c r="C361" i="22"/>
  <c r="G20" i="16"/>
  <c r="B205" i="22"/>
  <c r="C205" s="1"/>
  <c r="C329"/>
  <c r="G68" i="16"/>
  <c r="G17"/>
  <c r="B113" i="22"/>
  <c r="C113" s="1"/>
  <c r="E130" i="9"/>
  <c r="E15" i="16"/>
  <c r="B47" i="22"/>
  <c r="D47" s="1"/>
  <c r="J68" i="12"/>
  <c r="J80" i="13" s="1"/>
  <c r="J32" i="8"/>
  <c r="J117" s="1"/>
  <c r="J131" i="9" s="1"/>
  <c r="B46" i="22"/>
  <c r="D46" s="1"/>
  <c r="D15" i="16"/>
  <c r="D108" i="12"/>
  <c r="D111" i="13" s="1"/>
  <c r="D131" i="12"/>
  <c r="D125" i="13" s="1"/>
  <c r="F77" i="12"/>
  <c r="F89" i="13" s="1"/>
  <c r="F52" i="8"/>
  <c r="F126" s="1"/>
  <c r="F140" i="9" s="1"/>
  <c r="F109" i="12"/>
  <c r="F112" i="13" s="1"/>
  <c r="I68" i="12"/>
  <c r="I80" i="13" s="1"/>
  <c r="I32" i="8"/>
  <c r="I117" s="1"/>
  <c r="I131" i="9" s="1"/>
  <c r="H104" i="12"/>
  <c r="H107" i="13" s="1"/>
  <c r="J25" i="16"/>
  <c r="B364" i="22"/>
  <c r="I69" i="16"/>
  <c r="C363" i="22"/>
  <c r="I63" i="16"/>
  <c r="C175" i="22"/>
  <c r="B203"/>
  <c r="C203" s="1"/>
  <c r="E20" i="16"/>
  <c r="C18"/>
  <c r="B137" i="22"/>
  <c r="D71" i="12"/>
  <c r="D83" i="13" s="1"/>
  <c r="D33" i="8"/>
  <c r="D120" s="1"/>
  <c r="D134" i="9" s="1"/>
  <c r="B108" i="12"/>
  <c r="B111" i="13" s="1"/>
  <c r="B68" i="16" s="1"/>
  <c r="B68" i="12"/>
  <c r="B80" i="13" s="1"/>
  <c r="B16" i="16" s="1"/>
  <c r="B32" i="8"/>
  <c r="B117" s="1"/>
  <c r="B131" i="9" s="1"/>
  <c r="H108" i="12"/>
  <c r="H111" i="13" s="1"/>
  <c r="H131" i="12"/>
  <c r="H125" i="13" s="1"/>
  <c r="C79" i="22"/>
  <c r="E60" i="16"/>
  <c r="G25"/>
  <c r="B361" i="22"/>
  <c r="C130" i="9"/>
  <c r="E17" i="16"/>
  <c r="B111" i="22"/>
  <c r="C111" s="1"/>
  <c r="J67" i="12"/>
  <c r="J79" i="13" s="1"/>
  <c r="J12" i="8"/>
  <c r="J116" s="1"/>
  <c r="F70" i="12"/>
  <c r="F82" i="13" s="1"/>
  <c r="F14" i="8"/>
  <c r="F119" s="1"/>
  <c r="F133" i="9" s="1"/>
  <c r="H70" i="12"/>
  <c r="H82" i="13" s="1"/>
  <c r="H14" i="8"/>
  <c r="H119" s="1"/>
  <c r="H133" i="9" s="1"/>
  <c r="C72" i="12"/>
  <c r="C84" i="13" s="1"/>
  <c r="C15" i="8"/>
  <c r="C121" s="1"/>
  <c r="C135" i="9" s="1"/>
  <c r="F69" i="12"/>
  <c r="F81" i="13" s="1"/>
  <c r="F13" i="8"/>
  <c r="F118" s="1"/>
  <c r="F132" i="9" s="1"/>
  <c r="H69" i="12"/>
  <c r="H81" i="13" s="1"/>
  <c r="H13" i="8"/>
  <c r="H118" s="1"/>
  <c r="H132" i="9" s="1"/>
  <c r="D70" i="12"/>
  <c r="D82" i="13" s="1"/>
  <c r="D14" i="8"/>
  <c r="D119" s="1"/>
  <c r="D133" i="9" s="1"/>
  <c r="J131" i="12"/>
  <c r="J125" i="13" s="1"/>
  <c r="D103" i="12"/>
  <c r="D106" i="13" s="1"/>
  <c r="F71" i="12"/>
  <c r="F83" i="13" s="1"/>
  <c r="F33" i="8"/>
  <c r="F120" s="1"/>
  <c r="F134" i="9" s="1"/>
  <c r="I76" i="12"/>
  <c r="I88" i="13" s="1"/>
  <c r="I51" i="8"/>
  <c r="I125" s="1"/>
  <c r="I139" i="9" s="1"/>
  <c r="I108" i="12"/>
  <c r="I111" i="13" s="1"/>
  <c r="H109" i="12"/>
  <c r="H112" i="13" s="1"/>
  <c r="I25" i="16"/>
  <c r="B363" i="22"/>
  <c r="D363"/>
  <c r="I113" i="16"/>
  <c r="E71" i="12"/>
  <c r="E83" i="13" s="1"/>
  <c r="E33" i="8"/>
  <c r="E120" s="1"/>
  <c r="E134" i="9" s="1"/>
  <c r="E77" i="12"/>
  <c r="E89" i="13" s="1"/>
  <c r="E52" i="8"/>
  <c r="E126" s="1"/>
  <c r="E140" i="9" s="1"/>
  <c r="C71" i="12"/>
  <c r="C83" i="13" s="1"/>
  <c r="C33" i="8"/>
  <c r="C120" s="1"/>
  <c r="C134" i="9" s="1"/>
  <c r="C132" i="12"/>
  <c r="C126" i="13" s="1"/>
  <c r="C77" i="12"/>
  <c r="C89" i="13" s="1"/>
  <c r="C52" i="8"/>
  <c r="C126" s="1"/>
  <c r="C140" i="9" s="1"/>
  <c r="F68" i="12"/>
  <c r="F80" i="13" s="1"/>
  <c r="F32" i="8"/>
  <c r="F117" s="1"/>
  <c r="F131" i="9" s="1"/>
  <c r="F131" i="12"/>
  <c r="F125" i="13" s="1"/>
  <c r="D77" i="12"/>
  <c r="D89" i="13" s="1"/>
  <c r="D52" i="8"/>
  <c r="D126" s="1"/>
  <c r="D140" i="9" s="1"/>
  <c r="D132" i="12"/>
  <c r="D126" i="13" s="1"/>
  <c r="H103" i="12"/>
  <c r="H106" i="13" s="1"/>
  <c r="C112" i="16"/>
  <c r="D325" i="22"/>
  <c r="C327"/>
  <c r="E68" i="16"/>
  <c r="D327" i="22"/>
  <c r="E112" i="16"/>
  <c r="G19"/>
  <c r="B173" i="22"/>
  <c r="C17" i="16"/>
  <c r="B109" i="22"/>
  <c r="J20" i="16"/>
  <c r="B208" i="22"/>
  <c r="C208" s="1"/>
  <c r="J103" i="12"/>
  <c r="J106" i="13" s="1"/>
  <c r="D130" i="9"/>
  <c r="D76" i="12"/>
  <c r="D88" i="13" s="1"/>
  <c r="D51" i="8"/>
  <c r="D125" s="1"/>
  <c r="D139" i="9" s="1"/>
  <c r="F20" i="16"/>
  <c r="B204" i="22"/>
  <c r="C204" s="1"/>
  <c r="F132" i="12"/>
  <c r="F126" i="13" s="1"/>
  <c r="I103" i="12"/>
  <c r="I106" i="13" s="1"/>
  <c r="H20" i="16"/>
  <c r="H71" i="12"/>
  <c r="H83" i="13" s="1"/>
  <c r="H33" i="8"/>
  <c r="H120" s="1"/>
  <c r="H134" i="9" s="1"/>
  <c r="C364" i="22"/>
  <c r="J69" i="16"/>
  <c r="F11" i="23"/>
  <c r="F141" i="22"/>
  <c r="E141"/>
  <c r="G16" i="16"/>
  <c r="B81" i="22"/>
  <c r="D104" i="12"/>
  <c r="D107" i="13" s="1"/>
  <c r="B76" i="12"/>
  <c r="B88" i="13" s="1"/>
  <c r="B24" i="16" s="1"/>
  <c r="B51" i="8"/>
  <c r="B125" s="1"/>
  <c r="B139" i="9" s="1"/>
  <c r="B131" i="12"/>
  <c r="B125" i="13" s="1"/>
  <c r="B112" i="16" s="1"/>
  <c r="B103" i="12"/>
  <c r="B106" i="13" s="1"/>
  <c r="B60" i="16" s="1"/>
  <c r="H76" i="12"/>
  <c r="H88" i="13" s="1"/>
  <c r="H51" i="8"/>
  <c r="H125" s="1"/>
  <c r="H139" i="9" s="1"/>
  <c r="C68" i="16"/>
  <c r="C325" i="22"/>
  <c r="D361"/>
  <c r="G113" i="16"/>
  <c r="E24"/>
  <c r="B327" i="22"/>
  <c r="C15" i="16"/>
  <c r="B45" i="22"/>
  <c r="I20" i="16"/>
  <c r="B207" i="22"/>
  <c r="C207" s="1"/>
  <c r="B329"/>
  <c r="G24" i="16"/>
  <c r="G130" i="9"/>
  <c r="G156" s="1"/>
  <c r="G156" i="8"/>
  <c r="B49" i="22"/>
  <c r="D49" s="1"/>
  <c r="G15" i="16"/>
  <c r="E176" i="22"/>
  <c r="F143" l="1"/>
  <c r="E143"/>
  <c r="C16" i="16"/>
  <c r="B77" i="22"/>
  <c r="G214" i="9"/>
  <c r="G108" i="10" s="1"/>
  <c r="P11" i="12" s="1"/>
  <c r="P46" s="1"/>
  <c r="D156" i="8"/>
  <c r="F364" i="22"/>
  <c r="H13" i="23"/>
  <c r="D207" i="22"/>
  <c r="D45"/>
  <c r="F327"/>
  <c r="G327"/>
  <c r="C170"/>
  <c r="D63" i="16"/>
  <c r="H19"/>
  <c r="B174" i="22"/>
  <c r="C83"/>
  <c r="I60" i="16"/>
  <c r="F113"/>
  <c r="D360" i="22"/>
  <c r="J60" i="16"/>
  <c r="C84" i="22"/>
  <c r="I13" i="23"/>
  <c r="D208" i="22"/>
  <c r="C109"/>
  <c r="E173"/>
  <c r="F173"/>
  <c r="D113" i="16"/>
  <c r="D358" i="22"/>
  <c r="D25" i="16"/>
  <c r="B358" i="22"/>
  <c r="F112" i="16"/>
  <c r="D328" i="22"/>
  <c r="C19" i="16"/>
  <c r="B169" i="22"/>
  <c r="B359"/>
  <c r="E25" i="16"/>
  <c r="H69"/>
  <c r="C362" i="22"/>
  <c r="C331"/>
  <c r="I68" i="16"/>
  <c r="F19"/>
  <c r="B172" i="22"/>
  <c r="C78"/>
  <c r="D60" i="16"/>
  <c r="D332" i="22"/>
  <c r="J112" i="16"/>
  <c r="B114" i="22"/>
  <c r="C114" s="1"/>
  <c r="H17" i="16"/>
  <c r="B140" i="22"/>
  <c r="D140" s="1"/>
  <c r="F18" i="16"/>
  <c r="D10" i="23"/>
  <c r="D111" i="22"/>
  <c r="F361"/>
  <c r="G361"/>
  <c r="D137"/>
  <c r="I16" i="16"/>
  <c r="B83" i="22"/>
  <c r="F69" i="16"/>
  <c r="C360" i="22"/>
  <c r="B84"/>
  <c r="J16" i="16"/>
  <c r="E79" i="22"/>
  <c r="F79"/>
  <c r="F24" i="16"/>
  <c r="B328" i="22"/>
  <c r="C328"/>
  <c r="F68" i="16"/>
  <c r="C80" i="22"/>
  <c r="F60" i="16"/>
  <c r="C359" i="22"/>
  <c r="E69" i="16"/>
  <c r="E63"/>
  <c r="C171" i="22"/>
  <c r="H113" i="16"/>
  <c r="D362" i="22"/>
  <c r="B78"/>
  <c r="D16" i="16"/>
  <c r="B130" i="9"/>
  <c r="B156" s="1"/>
  <c r="B156" i="8"/>
  <c r="I17" i="16"/>
  <c r="B115" i="22"/>
  <c r="C115" s="1"/>
  <c r="D20" i="16"/>
  <c r="B202" i="22"/>
  <c r="C202" s="1"/>
  <c r="E18" i="16"/>
  <c r="B139" i="22"/>
  <c r="D139" s="1"/>
  <c r="I130" i="9"/>
  <c r="I156" s="1"/>
  <c r="I156" i="8"/>
  <c r="B51" i="22"/>
  <c r="D51" s="1"/>
  <c r="I15" i="16"/>
  <c r="J17"/>
  <c r="B116" i="22"/>
  <c r="C116" s="1"/>
  <c r="F8" i="23"/>
  <c r="F49" i="22"/>
  <c r="E49"/>
  <c r="F329"/>
  <c r="G329"/>
  <c r="B330"/>
  <c r="H24" i="16"/>
  <c r="E81" i="22"/>
  <c r="F81"/>
  <c r="G13" i="23"/>
  <c r="D206" i="22"/>
  <c r="E13" i="23"/>
  <c r="D204" i="22"/>
  <c r="D24" i="16"/>
  <c r="B326" i="22"/>
  <c r="C82"/>
  <c r="H60" i="16"/>
  <c r="B80" i="22"/>
  <c r="F16" i="16"/>
  <c r="C25"/>
  <c r="B357" i="22"/>
  <c r="C113" i="16"/>
  <c r="D357" i="22"/>
  <c r="B171"/>
  <c r="E19" i="16"/>
  <c r="F363" i="22"/>
  <c r="G363"/>
  <c r="B331"/>
  <c r="I24" i="16"/>
  <c r="D18"/>
  <c r="B138" i="22"/>
  <c r="D138" s="1"/>
  <c r="F17" i="16"/>
  <c r="B112" i="22"/>
  <c r="C112" s="1"/>
  <c r="C20" i="16"/>
  <c r="B201" i="22"/>
  <c r="H18" i="16"/>
  <c r="B142" i="22"/>
  <c r="D142" s="1"/>
  <c r="J130" i="9"/>
  <c r="J156" s="1"/>
  <c r="B165" s="1"/>
  <c r="J203" s="1"/>
  <c r="J11" i="13" s="1"/>
  <c r="J156" i="8"/>
  <c r="B52" i="22"/>
  <c r="J15" i="16"/>
  <c r="D330" i="22"/>
  <c r="H112" i="16"/>
  <c r="H68"/>
  <c r="C330" i="22"/>
  <c r="D19" i="16"/>
  <c r="B170" i="22"/>
  <c r="D13" i="23"/>
  <c r="D203" i="22"/>
  <c r="C174"/>
  <c r="H63" i="16"/>
  <c r="F25"/>
  <c r="B360" i="22"/>
  <c r="D112" i="16"/>
  <c r="D326" i="22"/>
  <c r="D68" i="16"/>
  <c r="C326" i="22"/>
  <c r="C8" i="23"/>
  <c r="F46" i="22"/>
  <c r="E46"/>
  <c r="D8" i="23"/>
  <c r="F47" i="22"/>
  <c r="E47"/>
  <c r="F10" i="23"/>
  <c r="D113" i="22"/>
  <c r="F13" i="23"/>
  <c r="D205" i="22"/>
  <c r="F325"/>
  <c r="G325"/>
  <c r="B82"/>
  <c r="H16" i="16"/>
  <c r="D69"/>
  <c r="C358" i="22"/>
  <c r="C69" i="16"/>
  <c r="C357" i="22"/>
  <c r="C63" i="16"/>
  <c r="C169" i="22"/>
  <c r="D359"/>
  <c r="E113" i="16"/>
  <c r="E175" i="22"/>
  <c r="F175"/>
  <c r="H25" i="16"/>
  <c r="B362" i="22"/>
  <c r="D331"/>
  <c r="I112" i="16"/>
  <c r="C172" i="22"/>
  <c r="F63" i="16"/>
  <c r="B332" i="22"/>
  <c r="J24" i="16"/>
  <c r="J68"/>
  <c r="C332" i="22"/>
  <c r="F130" i="9"/>
  <c r="F156" s="1"/>
  <c r="F156" i="8"/>
  <c r="B48" i="22"/>
  <c r="D48" s="1"/>
  <c r="F15" i="16"/>
  <c r="H130" i="9"/>
  <c r="H156" s="1"/>
  <c r="H156" i="8"/>
  <c r="H15" i="16"/>
  <c r="B50" i="22"/>
  <c r="D50" s="1"/>
  <c r="D17" i="16"/>
  <c r="B110" i="22"/>
  <c r="C110" s="1"/>
  <c r="C156" i="8"/>
  <c r="E156" i="9"/>
  <c r="D156"/>
  <c r="C156"/>
  <c r="E156" i="8"/>
  <c r="E84" i="22" l="1"/>
  <c r="P131" i="12"/>
  <c r="P125" i="13" s="1"/>
  <c r="D340" i="22" s="1"/>
  <c r="P103" i="12"/>
  <c r="P106" i="13" s="1"/>
  <c r="R60" i="16" s="1"/>
  <c r="P111" i="12"/>
  <c r="P114" i="13" s="1"/>
  <c r="R71" i="16" s="1"/>
  <c r="P68" i="12"/>
  <c r="P80" i="13" s="1"/>
  <c r="B92" i="22" s="1"/>
  <c r="P69" i="12"/>
  <c r="P81" i="13" s="1"/>
  <c r="B122" i="22" s="1"/>
  <c r="C122" s="1"/>
  <c r="P85" i="12"/>
  <c r="R33" i="16" s="1"/>
  <c r="P36" i="12"/>
  <c r="P65" i="13" s="1"/>
  <c r="P23" i="15" s="1"/>
  <c r="P35" s="1"/>
  <c r="H468" i="22" s="1"/>
  <c r="P81" i="12"/>
  <c r="R29" i="16" s="1"/>
  <c r="P140" i="12"/>
  <c r="R131" i="16" s="1"/>
  <c r="D214" i="9"/>
  <c r="P79" i="12"/>
  <c r="P91" i="13" s="1"/>
  <c r="B436" i="22" s="1"/>
  <c r="P75" i="12"/>
  <c r="P87" i="13" s="1"/>
  <c r="B308" i="22" s="1"/>
  <c r="P41" i="12"/>
  <c r="P70" i="13" s="1"/>
  <c r="P38" i="12"/>
  <c r="P67" i="13" s="1"/>
  <c r="P118" i="12"/>
  <c r="C1034" i="22" s="1"/>
  <c r="P52" i="12"/>
  <c r="R44" i="16" s="1"/>
  <c r="P76" i="12"/>
  <c r="P88" i="13" s="1"/>
  <c r="R24" i="16" s="1"/>
  <c r="P72" i="12"/>
  <c r="P84" i="13" s="1"/>
  <c r="R20" i="16" s="1"/>
  <c r="P104" i="12"/>
  <c r="P107" i="13" s="1"/>
  <c r="C184" i="22" s="1"/>
  <c r="P80" i="12"/>
  <c r="P92" i="13" s="1"/>
  <c r="R28" i="16" s="1"/>
  <c r="P135" i="12"/>
  <c r="P129" i="13" s="1"/>
  <c r="R116" i="16" s="1"/>
  <c r="P136" i="12"/>
  <c r="P130" i="13" s="1"/>
  <c r="P133" i="12"/>
  <c r="P127" i="13" s="1"/>
  <c r="D404" i="22" s="1"/>
  <c r="P113" i="12"/>
  <c r="C619" i="22" s="1"/>
  <c r="P107" i="12"/>
  <c r="P110" i="13" s="1"/>
  <c r="C308" i="22" s="1"/>
  <c r="P53" i="12"/>
  <c r="R45" i="16" s="1"/>
  <c r="P27" i="12"/>
  <c r="P56" i="13" s="1"/>
  <c r="P48" i="12"/>
  <c r="R40" i="16" s="1"/>
  <c r="P115" i="12"/>
  <c r="C810" i="22" s="1"/>
  <c r="P62" i="15"/>
  <c r="P77" s="1"/>
  <c r="D714" i="22" s="1"/>
  <c r="P138" i="12"/>
  <c r="D810" i="22" s="1"/>
  <c r="P23" i="12"/>
  <c r="P52" i="13" s="1"/>
  <c r="P89" i="12"/>
  <c r="B938" i="22" s="1"/>
  <c r="P35" i="12"/>
  <c r="P64" i="13" s="1"/>
  <c r="P22" i="15" s="1"/>
  <c r="P34" s="1"/>
  <c r="H436" i="22" s="1"/>
  <c r="P86" i="12"/>
  <c r="B778" i="22" s="1"/>
  <c r="P141" i="12"/>
  <c r="R134" i="16" s="1"/>
  <c r="P119" i="12"/>
  <c r="R91" i="16" s="1"/>
  <c r="P54" i="12"/>
  <c r="P87"/>
  <c r="B810" i="22" s="1"/>
  <c r="P117" i="12"/>
  <c r="C938" i="22" s="1"/>
  <c r="P55" i="12"/>
  <c r="F77" i="22"/>
  <c r="E77"/>
  <c r="E214" i="9"/>
  <c r="D20" i="10" s="1"/>
  <c r="E68" s="1"/>
  <c r="F332" i="22"/>
  <c r="P71" i="12"/>
  <c r="P83" i="13" s="1"/>
  <c r="R19" i="16" s="1"/>
  <c r="P132" i="12"/>
  <c r="P126" i="13" s="1"/>
  <c r="D372" i="22" s="1"/>
  <c r="P67" i="12"/>
  <c r="P79" i="13" s="1"/>
  <c r="B60" i="22" s="1"/>
  <c r="P109" i="12"/>
  <c r="P112" i="13" s="1"/>
  <c r="C372" i="22" s="1"/>
  <c r="P108" i="12"/>
  <c r="P111" i="13" s="1"/>
  <c r="R68" i="16" s="1"/>
  <c r="P77" i="12"/>
  <c r="P89" i="13" s="1"/>
  <c r="R25" i="16" s="1"/>
  <c r="P70" i="12"/>
  <c r="P82" i="13" s="1"/>
  <c r="R18" i="16" s="1"/>
  <c r="P73" i="12"/>
  <c r="P85" i="13" s="1"/>
  <c r="B244" i="22" s="1"/>
  <c r="P112" i="12"/>
  <c r="P115" i="13" s="1"/>
  <c r="C468" i="22" s="1"/>
  <c r="P134" i="12"/>
  <c r="P128" i="13" s="1"/>
  <c r="R115" i="16" s="1"/>
  <c r="P110" i="12"/>
  <c r="P113" i="13" s="1"/>
  <c r="R70" i="16" s="1"/>
  <c r="P78" i="12"/>
  <c r="P90" i="13" s="1"/>
  <c r="R26" i="16" s="1"/>
  <c r="P82" i="12"/>
  <c r="P94" i="13" s="1"/>
  <c r="P105" i="12"/>
  <c r="P108" i="13" s="1"/>
  <c r="C244" i="22" s="1"/>
  <c r="P83" i="12"/>
  <c r="R31" i="16" s="1"/>
  <c r="P84" i="12"/>
  <c r="P96" i="13" s="1"/>
  <c r="P106" i="12"/>
  <c r="P109" i="13" s="1"/>
  <c r="C276" i="22" s="1"/>
  <c r="P74" i="12"/>
  <c r="P86" i="13" s="1"/>
  <c r="B276" i="22" s="1"/>
  <c r="P11" i="13"/>
  <c r="P42" s="1"/>
  <c r="P66" i="15"/>
  <c r="P81" s="1"/>
  <c r="R297" i="16" s="1"/>
  <c r="P25" i="12"/>
  <c r="P54" i="13" s="1"/>
  <c r="P40" i="12"/>
  <c r="P69" i="13" s="1"/>
  <c r="P24" i="12"/>
  <c r="P53" i="13" s="1"/>
  <c r="P44" i="12"/>
  <c r="R36" i="16" s="1"/>
  <c r="P65" i="15"/>
  <c r="P80" s="1"/>
  <c r="F906" i="22" s="1"/>
  <c r="P90" i="12"/>
  <c r="R46" i="16" s="1"/>
  <c r="P39" i="12"/>
  <c r="P68" i="13" s="1"/>
  <c r="P30" i="12"/>
  <c r="P59" i="13" s="1"/>
  <c r="P42" i="12"/>
  <c r="B650" i="22" s="1"/>
  <c r="D650" s="1"/>
  <c r="P142" i="12"/>
  <c r="D1066" i="22" s="1"/>
  <c r="P64" i="15"/>
  <c r="P79" s="1"/>
  <c r="R293" i="16" s="1"/>
  <c r="P34" i="12"/>
  <c r="P63" i="13" s="1"/>
  <c r="P21" i="15" s="1"/>
  <c r="P33" s="1"/>
  <c r="H404" i="22" s="1"/>
  <c r="P88" i="12"/>
  <c r="B906" i="22" s="1"/>
  <c r="P43" i="12"/>
  <c r="B682" i="22" s="1"/>
  <c r="D682" s="1"/>
  <c r="P114" i="12"/>
  <c r="R82" i="16" s="1"/>
  <c r="P91" i="12"/>
  <c r="R47" i="16" s="1"/>
  <c r="P45" i="12"/>
  <c r="R37" i="16" s="1"/>
  <c r="P63" i="15"/>
  <c r="P78" s="1"/>
  <c r="F778" i="22" s="1"/>
  <c r="P116" i="12"/>
  <c r="C906" i="22" s="1"/>
  <c r="P33" i="12"/>
  <c r="P62" i="13" s="1"/>
  <c r="P137" i="12"/>
  <c r="R126" i="16" s="1"/>
  <c r="P139" i="12"/>
  <c r="R130" i="16" s="1"/>
  <c r="P28" i="12"/>
  <c r="P57" i="13" s="1"/>
  <c r="P49" i="12"/>
  <c r="R41" i="16" s="1"/>
  <c r="P67" i="15"/>
  <c r="P82" s="1"/>
  <c r="R299" i="16" s="1"/>
  <c r="P31" i="12"/>
  <c r="P60" i="13" s="1"/>
  <c r="P26" i="12"/>
  <c r="P55" i="13" s="1"/>
  <c r="P29" i="12"/>
  <c r="P58" i="13" s="1"/>
  <c r="P47" i="12"/>
  <c r="P51"/>
  <c r="P37"/>
  <c r="P66" i="13" s="1"/>
  <c r="P32" i="12"/>
  <c r="P61" i="13" s="1"/>
  <c r="P50" i="12"/>
  <c r="J214" i="9"/>
  <c r="I20" i="10" s="1"/>
  <c r="J68" s="1"/>
  <c r="C20"/>
  <c r="D68" s="1"/>
  <c r="E8" i="23"/>
  <c r="F48" i="22"/>
  <c r="E48"/>
  <c r="E82"/>
  <c r="F82"/>
  <c r="F360"/>
  <c r="G360"/>
  <c r="E170"/>
  <c r="F170"/>
  <c r="G11" i="23"/>
  <c r="F142" i="22"/>
  <c r="E142"/>
  <c r="C201"/>
  <c r="E10" i="23"/>
  <c r="D112" i="22"/>
  <c r="C11" i="23"/>
  <c r="F138" i="22"/>
  <c r="E138"/>
  <c r="H18" i="23"/>
  <c r="I363" i="22"/>
  <c r="H363"/>
  <c r="F357"/>
  <c r="G357"/>
  <c r="F326"/>
  <c r="G326"/>
  <c r="F9" i="23"/>
  <c r="H81" i="22"/>
  <c r="G81"/>
  <c r="F17" i="23"/>
  <c r="I329" i="22"/>
  <c r="H329"/>
  <c r="H8" i="23"/>
  <c r="F51" i="22"/>
  <c r="E51"/>
  <c r="E78"/>
  <c r="F78"/>
  <c r="E11" i="23"/>
  <c r="F140" i="22"/>
  <c r="E140"/>
  <c r="G10" i="23"/>
  <c r="D114" i="22"/>
  <c r="F359"/>
  <c r="G359"/>
  <c r="R281" i="16"/>
  <c r="C10" i="23"/>
  <c r="D110" i="22"/>
  <c r="G8" i="23"/>
  <c r="F50" i="22"/>
  <c r="E50"/>
  <c r="F362"/>
  <c r="G362"/>
  <c r="H12" i="23"/>
  <c r="H175" i="22"/>
  <c r="G175"/>
  <c r="B17" i="23"/>
  <c r="I325" i="22"/>
  <c r="H325"/>
  <c r="J144" i="13"/>
  <c r="J43"/>
  <c r="J146"/>
  <c r="J41"/>
  <c r="J158"/>
  <c r="J40"/>
  <c r="J143"/>
  <c r="J152"/>
  <c r="J30"/>
  <c r="J42"/>
  <c r="J147"/>
  <c r="J148"/>
  <c r="J150"/>
  <c r="J151"/>
  <c r="J160"/>
  <c r="J27"/>
  <c r="J157"/>
  <c r="J39"/>
  <c r="J149"/>
  <c r="J145"/>
  <c r="J156"/>
  <c r="J142"/>
  <c r="J159"/>
  <c r="J26"/>
  <c r="J90" i="14" s="1"/>
  <c r="J33" i="13"/>
  <c r="J95" i="14" s="1"/>
  <c r="J29" i="13"/>
  <c r="J92" i="14" s="1"/>
  <c r="J28" i="13"/>
  <c r="J91" i="14" s="1"/>
  <c r="J35" i="13"/>
  <c r="J97" i="14" s="1"/>
  <c r="J25" i="13"/>
  <c r="J89" i="14" s="1"/>
  <c r="J34" i="13"/>
  <c r="J96" i="14" s="1"/>
  <c r="J32" i="13"/>
  <c r="J94" i="14" s="1"/>
  <c r="J31" i="13"/>
  <c r="J93" i="14" s="1"/>
  <c r="J36" i="13"/>
  <c r="J155"/>
  <c r="J154"/>
  <c r="J153"/>
  <c r="J38"/>
  <c r="J37"/>
  <c r="F331" i="22"/>
  <c r="G331"/>
  <c r="E171"/>
  <c r="F171"/>
  <c r="E80"/>
  <c r="F80"/>
  <c r="F330"/>
  <c r="G330"/>
  <c r="I10" i="23"/>
  <c r="D116" i="22"/>
  <c r="D11" i="23"/>
  <c r="F139" i="22"/>
  <c r="E139"/>
  <c r="C13" i="23"/>
  <c r="D202" i="22"/>
  <c r="H10" i="23"/>
  <c r="D115" i="22"/>
  <c r="F328"/>
  <c r="G328"/>
  <c r="D9" i="23"/>
  <c r="H79" i="22"/>
  <c r="G79"/>
  <c r="E83"/>
  <c r="F83"/>
  <c r="B11" i="23"/>
  <c r="F137" i="22"/>
  <c r="E137"/>
  <c r="F18" i="23"/>
  <c r="I361" i="22"/>
  <c r="H361"/>
  <c r="E172"/>
  <c r="F172"/>
  <c r="E169"/>
  <c r="F169"/>
  <c r="F358"/>
  <c r="G358"/>
  <c r="F12" i="23"/>
  <c r="H173" i="22"/>
  <c r="G173"/>
  <c r="B10" i="23"/>
  <c r="D109" i="22"/>
  <c r="E174"/>
  <c r="F174"/>
  <c r="D17" i="23"/>
  <c r="I327" i="22"/>
  <c r="H327"/>
  <c r="B8" i="23"/>
  <c r="F45" i="22"/>
  <c r="E45"/>
  <c r="C214" i="9"/>
  <c r="H214"/>
  <c r="F214"/>
  <c r="I214"/>
  <c r="B214"/>
  <c r="R289" i="16" l="1"/>
  <c r="R112"/>
  <c r="Q28" i="23"/>
  <c r="F682" i="22"/>
  <c r="E682"/>
  <c r="P27" i="13"/>
  <c r="R72" i="16"/>
  <c r="D906" i="22"/>
  <c r="G906" s="1"/>
  <c r="R90" i="16"/>
  <c r="C436" i="22"/>
  <c r="R17" i="16"/>
  <c r="R127"/>
  <c r="R83"/>
  <c r="D938" i="22"/>
  <c r="G938" s="1"/>
  <c r="Q36" i="23" s="1"/>
  <c r="R27" i="16"/>
  <c r="D468" i="22"/>
  <c r="R63" i="16"/>
  <c r="B340" i="22"/>
  <c r="E308"/>
  <c r="E276"/>
  <c r="D970"/>
  <c r="R32" i="16"/>
  <c r="D778" i="22"/>
  <c r="P36" i="13"/>
  <c r="R198" i="16" s="1"/>
  <c r="B499" i="22"/>
  <c r="C499" s="1"/>
  <c r="D499" s="1"/>
  <c r="B468"/>
  <c r="I468" s="1"/>
  <c r="B214"/>
  <c r="C214" s="1"/>
  <c r="Q13" i="23" s="1"/>
  <c r="R22" i="16"/>
  <c r="R65"/>
  <c r="C1066" i="22"/>
  <c r="R38" i="16"/>
  <c r="R43"/>
  <c r="R67"/>
  <c r="R114"/>
  <c r="R42"/>
  <c r="P32" i="13"/>
  <c r="P94" i="14" s="1"/>
  <c r="R154" i="16" s="1"/>
  <c r="P43" i="13"/>
  <c r="B184" i="22"/>
  <c r="E184" s="1"/>
  <c r="B970"/>
  <c r="E970" s="1"/>
  <c r="B1002"/>
  <c r="D1002" s="1"/>
  <c r="Q38" i="23" s="1"/>
  <c r="R23" i="16"/>
  <c r="P93" i="13"/>
  <c r="R121" i="16"/>
  <c r="P97" i="13"/>
  <c r="C92" i="22"/>
  <c r="E92" s="1"/>
  <c r="R16" i="16"/>
  <c r="B746" i="22"/>
  <c r="D746" s="1"/>
  <c r="Q30" i="23" s="1"/>
  <c r="R34" i="16"/>
  <c r="P26" i="13"/>
  <c r="P90" i="14" s="1"/>
  <c r="D92" i="22" s="1"/>
  <c r="F92" s="1"/>
  <c r="P28" i="13"/>
  <c r="P91" i="14" s="1"/>
  <c r="R150" i="16" s="1"/>
  <c r="P159" i="13"/>
  <c r="P158"/>
  <c r="P41"/>
  <c r="R30" i="16"/>
  <c r="C340" i="22"/>
  <c r="R87" i="16"/>
  <c r="D1034" i="22"/>
  <c r="R280" i="16"/>
  <c r="B842" i="22"/>
  <c r="P116" i="13"/>
  <c r="D619" i="22"/>
  <c r="B619"/>
  <c r="R86" i="16"/>
  <c r="C778" i="22"/>
  <c r="D842"/>
  <c r="E842" s="1"/>
  <c r="R295" i="16"/>
  <c r="P34" i="13"/>
  <c r="P96" i="14" s="1"/>
  <c r="E340" i="22" s="1"/>
  <c r="P35" i="13"/>
  <c r="P97" i="14" s="1"/>
  <c r="R157" i="16" s="1"/>
  <c r="P25" i="13"/>
  <c r="P89" i="14" s="1"/>
  <c r="C60" i="22" s="1"/>
  <c r="D60" s="1"/>
  <c r="P154" i="13"/>
  <c r="R239" i="16" s="1"/>
  <c r="P40" i="13"/>
  <c r="P150"/>
  <c r="P157"/>
  <c r="P149"/>
  <c r="P142"/>
  <c r="P146"/>
  <c r="R66" i="16"/>
  <c r="P95" i="13"/>
  <c r="B529" i="22"/>
  <c r="C529" s="1"/>
  <c r="D529" s="1"/>
  <c r="C404"/>
  <c r="B152"/>
  <c r="R15" i="16"/>
  <c r="R77"/>
  <c r="R291"/>
  <c r="B1066" i="22"/>
  <c r="R35" i="16"/>
  <c r="R279"/>
  <c r="R135"/>
  <c r="B1034" i="22"/>
  <c r="B714"/>
  <c r="E714" s="1"/>
  <c r="B404"/>
  <c r="D436"/>
  <c r="I436" s="1"/>
  <c r="R21" i="16"/>
  <c r="B372" i="22"/>
  <c r="F372" s="1"/>
  <c r="R69" i="16"/>
  <c r="R113"/>
  <c r="R39"/>
  <c r="G810" i="22"/>
  <c r="Q32" i="23" s="1"/>
  <c r="B589" i="22"/>
  <c r="C589" s="1"/>
  <c r="F46" i="23"/>
  <c r="B874" i="22"/>
  <c r="D874" s="1"/>
  <c r="Q34" i="23" s="1"/>
  <c r="H77" i="22"/>
  <c r="B9" i="23"/>
  <c r="G77" i="22"/>
  <c r="P29" i="13"/>
  <c r="P92" i="14" s="1"/>
  <c r="R151" i="16" s="1"/>
  <c r="P33" i="13"/>
  <c r="P95" i="14" s="1"/>
  <c r="D308" i="22" s="1"/>
  <c r="F308" s="1"/>
  <c r="G308" s="1"/>
  <c r="P155" i="13"/>
  <c r="R240" i="16" s="1"/>
  <c r="P37" i="13"/>
  <c r="R199" i="16" s="1"/>
  <c r="P31" i="13"/>
  <c r="P93" i="14" s="1"/>
  <c r="D244" i="22" s="1"/>
  <c r="F244" s="1"/>
  <c r="P153" i="13"/>
  <c r="R238" i="16" s="1"/>
  <c r="P38" i="13"/>
  <c r="F468" i="22" s="1"/>
  <c r="P152" i="13"/>
  <c r="P160"/>
  <c r="P143"/>
  <c r="P147"/>
  <c r="P144"/>
  <c r="P39"/>
  <c r="P30"/>
  <c r="P156"/>
  <c r="P151"/>
  <c r="P145"/>
  <c r="P148"/>
  <c r="B559" i="22"/>
  <c r="C559" s="1"/>
  <c r="Q24" i="23" s="1"/>
  <c r="F1034" i="22"/>
  <c r="E244"/>
  <c r="Q27" i="23"/>
  <c r="F650" i="22"/>
  <c r="E650"/>
  <c r="E12" i="23"/>
  <c r="H172" i="22"/>
  <c r="G172"/>
  <c r="F396"/>
  <c r="J198" i="16"/>
  <c r="J154"/>
  <c r="D268" i="22"/>
  <c r="J155" i="16"/>
  <c r="D300" i="22"/>
  <c r="G18" i="23"/>
  <c r="I362" i="22"/>
  <c r="H362"/>
  <c r="C17" i="23"/>
  <c r="I326" i="22"/>
  <c r="H326"/>
  <c r="B18" i="23"/>
  <c r="I357" i="22"/>
  <c r="H357"/>
  <c r="C12" i="23"/>
  <c r="H170" i="22"/>
  <c r="G170"/>
  <c r="E18" i="23"/>
  <c r="I360" i="22"/>
  <c r="H360"/>
  <c r="G9" i="23"/>
  <c r="H82" i="22"/>
  <c r="G82"/>
  <c r="G20" i="10"/>
  <c r="H68" s="1"/>
  <c r="E17" i="23"/>
  <c r="I328" i="22"/>
  <c r="H328"/>
  <c r="F460"/>
  <c r="J200" i="16"/>
  <c r="G428" i="22"/>
  <c r="J239" i="16"/>
  <c r="C52" i="22"/>
  <c r="J147" i="16"/>
  <c r="J150"/>
  <c r="C144" i="22"/>
  <c r="H20" i="10"/>
  <c r="I68" s="1"/>
  <c r="E20"/>
  <c r="F68" s="1"/>
  <c r="B20"/>
  <c r="C68" s="1"/>
  <c r="R148" i="16"/>
  <c r="C152" i="22"/>
  <c r="G12" i="23"/>
  <c r="H174" i="22"/>
  <c r="G174"/>
  <c r="C18" i="23"/>
  <c r="I358" i="22"/>
  <c r="H358"/>
  <c r="B12" i="23"/>
  <c r="H169" i="22"/>
  <c r="G169"/>
  <c r="H9" i="23"/>
  <c r="H83" i="22"/>
  <c r="G83"/>
  <c r="G17" i="23"/>
  <c r="I330" i="22"/>
  <c r="H330"/>
  <c r="E9" i="23"/>
  <c r="H80" i="22"/>
  <c r="G80"/>
  <c r="D12" i="23"/>
  <c r="H171" i="22"/>
  <c r="G171"/>
  <c r="H17" i="23"/>
  <c r="I331" i="22"/>
  <c r="H331"/>
  <c r="F428"/>
  <c r="J199" i="16"/>
  <c r="G396" i="22"/>
  <c r="J238" i="16"/>
  <c r="J240"/>
  <c r="G460" i="22"/>
  <c r="J153" i="16"/>
  <c r="D236" i="22"/>
  <c r="J156" i="16"/>
  <c r="E332" i="22"/>
  <c r="E364"/>
  <c r="J157" i="16"/>
  <c r="J151"/>
  <c r="D176" i="22"/>
  <c r="J148" i="16"/>
  <c r="D84" i="22"/>
  <c r="Q10" i="23"/>
  <c r="D122" i="22"/>
  <c r="D214"/>
  <c r="D18" i="23"/>
  <c r="I359" i="22"/>
  <c r="H359"/>
  <c r="C9" i="23"/>
  <c r="H78" i="22"/>
  <c r="G78"/>
  <c r="B13" i="23"/>
  <c r="D201" i="22"/>
  <c r="Q25" i="23" l="1"/>
  <c r="D589" i="22"/>
  <c r="Q22" i="23"/>
  <c r="F404" i="22"/>
  <c r="E372"/>
  <c r="G372" s="1"/>
  <c r="I372" s="1"/>
  <c r="H906"/>
  <c r="Q35" i="23" s="1"/>
  <c r="F340" i="22"/>
  <c r="D276"/>
  <c r="F276" s="1"/>
  <c r="G276" s="1"/>
  <c r="G1066"/>
  <c r="Q40" i="23" s="1"/>
  <c r="G340" i="22"/>
  <c r="I340" s="1"/>
  <c r="Q16" i="23"/>
  <c r="H308" i="22"/>
  <c r="E46" i="23"/>
  <c r="Q23"/>
  <c r="R147" i="16"/>
  <c r="D152" i="22"/>
  <c r="F152" s="1"/>
  <c r="R156" i="16"/>
  <c r="G778" i="22"/>
  <c r="E619"/>
  <c r="H778"/>
  <c r="Q31" i="23" s="1"/>
  <c r="G436" i="22"/>
  <c r="F619"/>
  <c r="G619" s="1"/>
  <c r="F436"/>
  <c r="J436" s="1"/>
  <c r="R155" i="16"/>
  <c r="G404" i="22"/>
  <c r="I404"/>
  <c r="R153" i="16"/>
  <c r="H1034" i="22"/>
  <c r="Q39" i="23" s="1"/>
  <c r="G468" i="22"/>
  <c r="G1034"/>
  <c r="Q29" i="23"/>
  <c r="G714" i="22"/>
  <c r="R200" i="16"/>
  <c r="D184" i="22"/>
  <c r="F184" s="1"/>
  <c r="Q12" i="23" s="1"/>
  <c r="J468" i="22"/>
  <c r="Q21" i="23" s="1"/>
  <c r="D559" i="22"/>
  <c r="H46" i="23"/>
  <c r="F714" i="22"/>
  <c r="B46" i="23"/>
  <c r="G46"/>
  <c r="Q33"/>
  <c r="G842" i="22"/>
  <c r="F842"/>
  <c r="C46" i="23"/>
  <c r="F84" i="22"/>
  <c r="F176"/>
  <c r="G332"/>
  <c r="F236"/>
  <c r="D52"/>
  <c r="J460"/>
  <c r="Q14" i="23"/>
  <c r="H244" i="22"/>
  <c r="G244"/>
  <c r="J396"/>
  <c r="Q37" i="23"/>
  <c r="G970" i="22"/>
  <c r="F970"/>
  <c r="G364"/>
  <c r="J428"/>
  <c r="Q8" i="23"/>
  <c r="F60" i="22"/>
  <c r="E60"/>
  <c r="Q18" i="23"/>
  <c r="Q9"/>
  <c r="H92" i="22"/>
  <c r="G92"/>
  <c r="H340"/>
  <c r="M68" i="10"/>
  <c r="D144" i="22"/>
  <c r="F300"/>
  <c r="F268"/>
  <c r="D46" i="23"/>
  <c r="H372" i="22" l="1"/>
  <c r="J906"/>
  <c r="Q17" i="23"/>
  <c r="Q11"/>
  <c r="J404" i="22"/>
  <c r="Q19" i="23" s="1"/>
  <c r="I906" i="22"/>
  <c r="H276"/>
  <c r="Q15" i="23"/>
  <c r="J778" i="22"/>
  <c r="E152"/>
  <c r="H300"/>
  <c r="G300"/>
  <c r="H268"/>
  <c r="G268"/>
  <c r="H184"/>
  <c r="Q26" i="23"/>
  <c r="I778" i="22"/>
  <c r="J1034"/>
  <c r="G184"/>
  <c r="I1034"/>
  <c r="K468"/>
  <c r="L468"/>
  <c r="M468"/>
  <c r="I11" i="23"/>
  <c r="F144" i="22"/>
  <c r="E144"/>
  <c r="B90" i="10"/>
  <c r="B108" s="1"/>
  <c r="K11" i="12" s="1"/>
  <c r="F90" i="10"/>
  <c r="C90"/>
  <c r="L90"/>
  <c r="L99" s="1"/>
  <c r="H90"/>
  <c r="J90"/>
  <c r="I90"/>
  <c r="E90"/>
  <c r="G90"/>
  <c r="D90"/>
  <c r="K90"/>
  <c r="K99" s="1"/>
  <c r="I20" i="23"/>
  <c r="L428" i="22"/>
  <c r="M428"/>
  <c r="K428"/>
  <c r="I19" i="23"/>
  <c r="L396" i="22"/>
  <c r="M396"/>
  <c r="K396"/>
  <c r="I8" i="23"/>
  <c r="F52" i="22"/>
  <c r="E52"/>
  <c r="I14" i="23"/>
  <c r="H236" i="22"/>
  <c r="G236"/>
  <c r="I17" i="23"/>
  <c r="I332" i="22"/>
  <c r="H332"/>
  <c r="I12" i="23"/>
  <c r="H176" i="22"/>
  <c r="G176"/>
  <c r="I9" i="23"/>
  <c r="H84" i="22"/>
  <c r="G84"/>
  <c r="I15" i="23"/>
  <c r="I16"/>
  <c r="I18"/>
  <c r="I364" i="22"/>
  <c r="H364"/>
  <c r="Q20" i="23"/>
  <c r="L436" i="22"/>
  <c r="M436"/>
  <c r="K436"/>
  <c r="I21" i="23"/>
  <c r="L460" i="22"/>
  <c r="M460"/>
  <c r="K460"/>
  <c r="M404" l="1"/>
  <c r="L404"/>
  <c r="K404"/>
  <c r="Q46" i="23"/>
  <c r="B126" i="10"/>
  <c r="B136"/>
  <c r="B165"/>
  <c r="B129"/>
  <c r="B128"/>
  <c r="B139"/>
  <c r="B137"/>
  <c r="B135"/>
  <c r="B138"/>
  <c r="B123"/>
  <c r="B124"/>
  <c r="B125"/>
  <c r="B148"/>
  <c r="B163"/>
  <c r="B164"/>
  <c r="B162"/>
  <c r="B127"/>
  <c r="B131"/>
  <c r="B130"/>
  <c r="B122"/>
  <c r="B166"/>
  <c r="B121"/>
  <c r="B143"/>
  <c r="B152"/>
  <c r="B149"/>
  <c r="B153"/>
  <c r="B141"/>
  <c r="B145"/>
  <c r="B147"/>
  <c r="B151"/>
  <c r="B146"/>
  <c r="B140"/>
  <c r="B150"/>
  <c r="B133"/>
  <c r="B144"/>
  <c r="B142"/>
  <c r="B132"/>
  <c r="B134"/>
  <c r="I108"/>
  <c r="R11" i="12" s="1"/>
  <c r="I99" i="10"/>
  <c r="H108"/>
  <c r="Q11" i="12" s="1"/>
  <c r="H99" i="10"/>
  <c r="C108"/>
  <c r="L11" i="12" s="1"/>
  <c r="C99" i="10"/>
  <c r="K47" i="12"/>
  <c r="K46"/>
  <c r="K51"/>
  <c r="K55"/>
  <c r="K50"/>
  <c r="K54"/>
  <c r="K40"/>
  <c r="K69" i="13" s="1"/>
  <c r="K25" i="12"/>
  <c r="K54" i="13" s="1"/>
  <c r="K39" i="12"/>
  <c r="K68" i="13" s="1"/>
  <c r="K33" i="12"/>
  <c r="K62" i="13" s="1"/>
  <c r="K41" i="12"/>
  <c r="K70" i="13" s="1"/>
  <c r="K27" i="12"/>
  <c r="K56" i="13" s="1"/>
  <c r="K29" i="12"/>
  <c r="K58" i="13" s="1"/>
  <c r="K30" i="12"/>
  <c r="K59" i="13" s="1"/>
  <c r="K24" i="12"/>
  <c r="K53" i="13" s="1"/>
  <c r="K32" i="12"/>
  <c r="K61" i="13" s="1"/>
  <c r="K38" i="12"/>
  <c r="K67" i="13" s="1"/>
  <c r="K37" i="12"/>
  <c r="K66" i="13" s="1"/>
  <c r="K28" i="12"/>
  <c r="K57" i="13" s="1"/>
  <c r="K26" i="12"/>
  <c r="K55" i="13" s="1"/>
  <c r="K23" i="12"/>
  <c r="K52" i="13" s="1"/>
  <c r="K31" i="12"/>
  <c r="K60" i="13" s="1"/>
  <c r="K65" i="15"/>
  <c r="K80" s="1"/>
  <c r="K64"/>
  <c r="K79" s="1"/>
  <c r="K66"/>
  <c r="K81" s="1"/>
  <c r="K11" i="13"/>
  <c r="K34" i="12"/>
  <c r="K63" i="13" s="1"/>
  <c r="K21" i="15" s="1"/>
  <c r="K33" s="1"/>
  <c r="K62"/>
  <c r="K77" s="1"/>
  <c r="K67"/>
  <c r="K82" s="1"/>
  <c r="K36" i="12"/>
  <c r="K65" i="13" s="1"/>
  <c r="K23" i="15" s="1"/>
  <c r="K35" s="1"/>
  <c r="K63"/>
  <c r="K78" s="1"/>
  <c r="K35" i="12"/>
  <c r="K64" i="13" s="1"/>
  <c r="K22" i="15" s="1"/>
  <c r="K34" s="1"/>
  <c r="K140" i="12"/>
  <c r="K49"/>
  <c r="K139"/>
  <c r="K116"/>
  <c r="K89"/>
  <c r="K117"/>
  <c r="K137"/>
  <c r="K119"/>
  <c r="K142"/>
  <c r="K141"/>
  <c r="K42"/>
  <c r="K53"/>
  <c r="K44"/>
  <c r="K114"/>
  <c r="K138"/>
  <c r="K52"/>
  <c r="K91"/>
  <c r="K45"/>
  <c r="K115"/>
  <c r="K86"/>
  <c r="K87"/>
  <c r="K118"/>
  <c r="K48"/>
  <c r="K43"/>
  <c r="K88"/>
  <c r="K90"/>
  <c r="K75"/>
  <c r="K87" i="13" s="1"/>
  <c r="K74" i="12"/>
  <c r="K86" i="13" s="1"/>
  <c r="K107" i="12"/>
  <c r="K110" i="13" s="1"/>
  <c r="K106" i="12"/>
  <c r="K109" i="13" s="1"/>
  <c r="K81" i="12"/>
  <c r="K110"/>
  <c r="K113" i="13" s="1"/>
  <c r="K105" i="12"/>
  <c r="K108" i="13" s="1"/>
  <c r="K112" i="12"/>
  <c r="K115" i="13" s="1"/>
  <c r="K85" i="12"/>
  <c r="K83"/>
  <c r="K133"/>
  <c r="K127" i="13" s="1"/>
  <c r="K111" i="12"/>
  <c r="K114" i="13" s="1"/>
  <c r="K134" i="12"/>
  <c r="K128" i="13" s="1"/>
  <c r="K135" i="12"/>
  <c r="K129" i="13" s="1"/>
  <c r="K136" i="12"/>
  <c r="K84"/>
  <c r="K78"/>
  <c r="K90" i="13" s="1"/>
  <c r="K79" i="12"/>
  <c r="K91" i="13" s="1"/>
  <c r="K80" i="12"/>
  <c r="K92" i="13" s="1"/>
  <c r="K82" i="12"/>
  <c r="K113"/>
  <c r="K73"/>
  <c r="K85" i="13" s="1"/>
  <c r="K132" i="12"/>
  <c r="K126" i="13" s="1"/>
  <c r="K70" i="12"/>
  <c r="K82" i="13" s="1"/>
  <c r="K109" i="12"/>
  <c r="K112" i="13" s="1"/>
  <c r="K71" i="12"/>
  <c r="K83" i="13" s="1"/>
  <c r="K104" i="12"/>
  <c r="K107" i="13" s="1"/>
  <c r="K77" i="12"/>
  <c r="K89" i="13" s="1"/>
  <c r="K72" i="12"/>
  <c r="K84" i="13" s="1"/>
  <c r="K69" i="12"/>
  <c r="K81" i="13" s="1"/>
  <c r="K131" i="12"/>
  <c r="K125" i="13" s="1"/>
  <c r="K103" i="12"/>
  <c r="K106" i="13" s="1"/>
  <c r="K67" i="12"/>
  <c r="K79" i="13" s="1"/>
  <c r="K108" i="12"/>
  <c r="K111" i="13" s="1"/>
  <c r="K68" i="12"/>
  <c r="K80" i="13" s="1"/>
  <c r="K76" i="12"/>
  <c r="K88" i="13" s="1"/>
  <c r="I46" i="23"/>
  <c r="D108" i="10"/>
  <c r="M11" i="12" s="1"/>
  <c r="D99" i="10"/>
  <c r="E108"/>
  <c r="N11" i="12" s="1"/>
  <c r="E99" i="10"/>
  <c r="J108"/>
  <c r="S11" i="12" s="1"/>
  <c r="J99" i="10"/>
  <c r="C135"/>
  <c r="C138"/>
  <c r="C126"/>
  <c r="C123"/>
  <c r="C136"/>
  <c r="C128"/>
  <c r="C149"/>
  <c r="C139"/>
  <c r="C137"/>
  <c r="C147"/>
  <c r="C129"/>
  <c r="C143"/>
  <c r="C151"/>
  <c r="C145"/>
  <c r="C153"/>
  <c r="C125"/>
  <c r="C142"/>
  <c r="C134"/>
  <c r="C122"/>
  <c r="C121"/>
  <c r="C146"/>
  <c r="C150"/>
  <c r="C127"/>
  <c r="C140"/>
  <c r="C141"/>
  <c r="C152"/>
  <c r="C130"/>
  <c r="C144"/>
  <c r="C132"/>
  <c r="C133"/>
  <c r="C124"/>
  <c r="C131"/>
  <c r="C148"/>
  <c r="F108"/>
  <c r="O11" i="12" s="1"/>
  <c r="F99" i="10"/>
  <c r="O47" i="12" l="1"/>
  <c r="O54"/>
  <c r="O55"/>
  <c r="O23"/>
  <c r="O52" i="13" s="1"/>
  <c r="O41" i="12"/>
  <c r="O70" i="13" s="1"/>
  <c r="O31" i="12"/>
  <c r="O60" i="13" s="1"/>
  <c r="O33" i="12"/>
  <c r="O62" i="13" s="1"/>
  <c r="O24" i="12"/>
  <c r="O53" i="13" s="1"/>
  <c r="O25" i="12"/>
  <c r="O54" i="13" s="1"/>
  <c r="O37" i="12"/>
  <c r="O66" i="13" s="1"/>
  <c r="O30" i="12"/>
  <c r="O59" i="13" s="1"/>
  <c r="O39" i="12"/>
  <c r="O68" i="13" s="1"/>
  <c r="O38" i="12"/>
  <c r="O67" i="13" s="1"/>
  <c r="O50" i="12"/>
  <c r="O26"/>
  <c r="O55" i="13" s="1"/>
  <c r="O29" i="12"/>
  <c r="O58" i="13" s="1"/>
  <c r="O32" i="12"/>
  <c r="O61" i="13" s="1"/>
  <c r="O86" i="12"/>
  <c r="O138"/>
  <c r="O116"/>
  <c r="O62" i="15"/>
  <c r="O77" s="1"/>
  <c r="O46" i="12"/>
  <c r="O51"/>
  <c r="O40"/>
  <c r="O69" i="13" s="1"/>
  <c r="O28" i="12"/>
  <c r="O57" i="13" s="1"/>
  <c r="O27" i="12"/>
  <c r="O56" i="13" s="1"/>
  <c r="O119" i="12"/>
  <c r="O66" i="15"/>
  <c r="O81" s="1"/>
  <c r="O49" i="12"/>
  <c r="O91"/>
  <c r="O118"/>
  <c r="O63" i="15"/>
  <c r="O78" s="1"/>
  <c r="O141" i="12"/>
  <c r="O114"/>
  <c r="O140"/>
  <c r="O67" i="15"/>
  <c r="O82" s="1"/>
  <c r="O88" i="12"/>
  <c r="O45"/>
  <c r="O64" i="15"/>
  <c r="O79" s="1"/>
  <c r="O89" i="12"/>
  <c r="O36"/>
  <c r="O65" i="13" s="1"/>
  <c r="O23" i="15" s="1"/>
  <c r="O35" s="1"/>
  <c r="O44" i="12"/>
  <c r="O52"/>
  <c r="O48"/>
  <c r="O11" i="13"/>
  <c r="O43" i="12"/>
  <c r="O117"/>
  <c r="O65" i="15"/>
  <c r="O80" s="1"/>
  <c r="O139" i="12"/>
  <c r="O53"/>
  <c r="O42"/>
  <c r="O137"/>
  <c r="O34"/>
  <c r="O63" i="13" s="1"/>
  <c r="O21" i="15" s="1"/>
  <c r="O33" s="1"/>
  <c r="O142" i="12"/>
  <c r="O87"/>
  <c r="O115"/>
  <c r="O35"/>
  <c r="O64" i="13" s="1"/>
  <c r="O22" i="15" s="1"/>
  <c r="O34" s="1"/>
  <c r="O90" i="12"/>
  <c r="O106"/>
  <c r="O109" i="13" s="1"/>
  <c r="O74" i="12"/>
  <c r="O86" i="13" s="1"/>
  <c r="O107" i="12"/>
  <c r="O110" i="13" s="1"/>
  <c r="O75" i="12"/>
  <c r="O87" i="13" s="1"/>
  <c r="O111" i="12"/>
  <c r="O114" i="13" s="1"/>
  <c r="O112" i="12"/>
  <c r="O115" i="13" s="1"/>
  <c r="O81" i="12"/>
  <c r="O84"/>
  <c r="O73"/>
  <c r="O85" i="13" s="1"/>
  <c r="O134" i="12"/>
  <c r="O128" i="13" s="1"/>
  <c r="O110" i="12"/>
  <c r="O113" i="13" s="1"/>
  <c r="O80" i="12"/>
  <c r="O92" i="13" s="1"/>
  <c r="O136" i="12"/>
  <c r="O113"/>
  <c r="O105"/>
  <c r="O108" i="13" s="1"/>
  <c r="O79" i="12"/>
  <c r="O91" i="13" s="1"/>
  <c r="O133" i="12"/>
  <c r="O127" i="13" s="1"/>
  <c r="O85" i="12"/>
  <c r="O83"/>
  <c r="O78"/>
  <c r="O90" i="13" s="1"/>
  <c r="O135" i="12"/>
  <c r="O129" i="13" s="1"/>
  <c r="O82" i="12"/>
  <c r="O72"/>
  <c r="O84" i="13" s="1"/>
  <c r="O103" i="12"/>
  <c r="O106" i="13" s="1"/>
  <c r="O108" i="12"/>
  <c r="O111" i="13" s="1"/>
  <c r="O76" i="12"/>
  <c r="O88" i="13" s="1"/>
  <c r="O109" i="12"/>
  <c r="O112" i="13" s="1"/>
  <c r="O70" i="12"/>
  <c r="O82" i="13" s="1"/>
  <c r="O71" i="12"/>
  <c r="O83" i="13" s="1"/>
  <c r="O131" i="12"/>
  <c r="O125" i="13" s="1"/>
  <c r="O132" i="12"/>
  <c r="O126" i="13" s="1"/>
  <c r="O67" i="12"/>
  <c r="O79" i="13" s="1"/>
  <c r="O104" i="12"/>
  <c r="O107" i="13" s="1"/>
  <c r="O77" i="12"/>
  <c r="O89" i="13" s="1"/>
  <c r="O69" i="12"/>
  <c r="O81" i="13" s="1"/>
  <c r="O68" i="12"/>
  <c r="O80" i="13" s="1"/>
  <c r="W157" i="16"/>
  <c r="E377" i="22"/>
  <c r="G377" s="1"/>
  <c r="W159" i="16"/>
  <c r="E441" i="22"/>
  <c r="J441" s="1"/>
  <c r="W170" i="16"/>
  <c r="E783" i="22"/>
  <c r="H783" s="1"/>
  <c r="W178" i="16"/>
  <c r="E1039" i="22"/>
  <c r="H1039" s="1"/>
  <c r="W166" i="16"/>
  <c r="C655" i="22"/>
  <c r="D655" s="1"/>
  <c r="W176" i="16"/>
  <c r="C975" i="22"/>
  <c r="E975" s="1"/>
  <c r="W147" i="16"/>
  <c r="C65" i="22"/>
  <c r="D65" s="1"/>
  <c r="W160" i="16"/>
  <c r="E473" i="22"/>
  <c r="J473" s="1"/>
  <c r="W151" i="16"/>
  <c r="D189" i="22"/>
  <c r="F189" s="1"/>
  <c r="E815"/>
  <c r="G815" s="1"/>
  <c r="V32" i="23" s="1"/>
  <c r="W171" i="16"/>
  <c r="W169"/>
  <c r="C751" i="22"/>
  <c r="D751" s="1"/>
  <c r="V30" i="23" s="1"/>
  <c r="W173" i="16"/>
  <c r="C879" i="22"/>
  <c r="D879" s="1"/>
  <c r="V34" i="23" s="1"/>
  <c r="W154" i="16"/>
  <c r="D281" i="22"/>
  <c r="F281" s="1"/>
  <c r="G281" s="1"/>
  <c r="M16" i="16"/>
  <c r="B87" i="22"/>
  <c r="B55"/>
  <c r="M15" i="16"/>
  <c r="D335" i="22"/>
  <c r="M112" i="16"/>
  <c r="M20"/>
  <c r="B209" i="22"/>
  <c r="C179"/>
  <c r="M63" i="16"/>
  <c r="C367" i="22"/>
  <c r="M69" i="16"/>
  <c r="D367" i="22"/>
  <c r="M113" i="16"/>
  <c r="K116" i="13"/>
  <c r="C614" i="22"/>
  <c r="M77" i="16"/>
  <c r="B463" i="22"/>
  <c r="M28" i="16"/>
  <c r="M26"/>
  <c r="B399" i="22"/>
  <c r="K130" i="13"/>
  <c r="M121" i="16"/>
  <c r="D614" i="22"/>
  <c r="D431"/>
  <c r="M115" i="16"/>
  <c r="M114"/>
  <c r="D399" i="22"/>
  <c r="M33" i="16"/>
  <c r="K97" i="13"/>
  <c r="B614" i="22"/>
  <c r="M65" i="16"/>
  <c r="C239" i="22"/>
  <c r="K93" i="13"/>
  <c r="M29" i="16"/>
  <c r="B494" i="22"/>
  <c r="C303"/>
  <c r="M67" i="16"/>
  <c r="M23"/>
  <c r="B303" i="22"/>
  <c r="B901"/>
  <c r="M42" i="16"/>
  <c r="B837" i="22"/>
  <c r="M40" i="16"/>
  <c r="B805" i="22"/>
  <c r="M39" i="16"/>
  <c r="C805" i="22"/>
  <c r="M83" i="16"/>
  <c r="B1061" i="22"/>
  <c r="M47" i="16"/>
  <c r="D805" i="22"/>
  <c r="M127" i="16"/>
  <c r="B709" i="22"/>
  <c r="M36" i="16"/>
  <c r="B645" i="22"/>
  <c r="M34" i="16"/>
  <c r="D1061" i="22"/>
  <c r="M135" i="16"/>
  <c r="D773" i="22"/>
  <c r="M126" i="16"/>
  <c r="B933" i="22"/>
  <c r="M43" i="16"/>
  <c r="D901" i="22"/>
  <c r="M130" i="16"/>
  <c r="M131"/>
  <c r="D933" i="22"/>
  <c r="F773"/>
  <c r="M291" i="16"/>
  <c r="F1029" i="22"/>
  <c r="M299" i="16"/>
  <c r="H399" i="22"/>
  <c r="M279" i="16"/>
  <c r="D965" i="22"/>
  <c r="M297" i="16"/>
  <c r="F901" i="22"/>
  <c r="M295" i="16"/>
  <c r="L55" i="12"/>
  <c r="L47"/>
  <c r="L54"/>
  <c r="L46"/>
  <c r="L51"/>
  <c r="L27"/>
  <c r="L56" i="13" s="1"/>
  <c r="L65" i="15"/>
  <c r="L80" s="1"/>
  <c r="L114" i="12"/>
  <c r="L88"/>
  <c r="L31"/>
  <c r="L60" i="13" s="1"/>
  <c r="L23" i="12"/>
  <c r="L52" i="13" s="1"/>
  <c r="L26" i="12"/>
  <c r="L55" i="13" s="1"/>
  <c r="L37" i="12"/>
  <c r="L66" i="13" s="1"/>
  <c r="L40" i="12"/>
  <c r="L69" i="13" s="1"/>
  <c r="L29" i="12"/>
  <c r="L58" i="13" s="1"/>
  <c r="L116" i="12"/>
  <c r="L141"/>
  <c r="L139"/>
  <c r="L52"/>
  <c r="L138"/>
  <c r="L43"/>
  <c r="L50"/>
  <c r="L28"/>
  <c r="L57" i="13" s="1"/>
  <c r="L38" i="12"/>
  <c r="L67" i="13" s="1"/>
  <c r="L25" i="12"/>
  <c r="L54" i="13" s="1"/>
  <c r="L32" i="12"/>
  <c r="L61" i="13" s="1"/>
  <c r="L33" i="12"/>
  <c r="L62" i="13" s="1"/>
  <c r="L24" i="12"/>
  <c r="L53" i="13" s="1"/>
  <c r="L39" i="12"/>
  <c r="L68" i="13" s="1"/>
  <c r="L30" i="12"/>
  <c r="L59" i="13" s="1"/>
  <c r="L41" i="12"/>
  <c r="L70" i="13" s="1"/>
  <c r="L115" i="12"/>
  <c r="L118"/>
  <c r="L63" i="15"/>
  <c r="L78" s="1"/>
  <c r="L117" i="12"/>
  <c r="L53"/>
  <c r="L140"/>
  <c r="L89"/>
  <c r="L91"/>
  <c r="L119"/>
  <c r="L86"/>
  <c r="L42"/>
  <c r="L48"/>
  <c r="L35"/>
  <c r="L64" i="13" s="1"/>
  <c r="L22" i="15" s="1"/>
  <c r="L34" s="1"/>
  <c r="L45" i="12"/>
  <c r="L66" i="15"/>
  <c r="L81" s="1"/>
  <c r="L34" i="12"/>
  <c r="L63" i="13" s="1"/>
  <c r="L21" i="15" s="1"/>
  <c r="L33" s="1"/>
  <c r="L67"/>
  <c r="L82" s="1"/>
  <c r="L44" i="12"/>
  <c r="L62" i="15"/>
  <c r="L77" s="1"/>
  <c r="L87" i="12"/>
  <c r="L11" i="13"/>
  <c r="L64" i="15"/>
  <c r="L79" s="1"/>
  <c r="L137" i="12"/>
  <c r="L142"/>
  <c r="L49"/>
  <c r="L90"/>
  <c r="L36"/>
  <c r="L65" i="13" s="1"/>
  <c r="L23" i="15" s="1"/>
  <c r="L35" s="1"/>
  <c r="L106" i="12"/>
  <c r="L109" i="13" s="1"/>
  <c r="L107" i="12"/>
  <c r="L110" i="13" s="1"/>
  <c r="L74" i="12"/>
  <c r="L86" i="13" s="1"/>
  <c r="L75" i="12"/>
  <c r="L87" i="13" s="1"/>
  <c r="L81" i="12"/>
  <c r="L136"/>
  <c r="L105"/>
  <c r="L108" i="13" s="1"/>
  <c r="L111" i="12"/>
  <c r="L114" i="13" s="1"/>
  <c r="L79" i="12"/>
  <c r="L91" i="13" s="1"/>
  <c r="L78" i="12"/>
  <c r="L90" i="13" s="1"/>
  <c r="L82" i="12"/>
  <c r="L80"/>
  <c r="L92" i="13" s="1"/>
  <c r="L73" i="12"/>
  <c r="L85" i="13" s="1"/>
  <c r="L134" i="12"/>
  <c r="L128" i="13" s="1"/>
  <c r="L110" i="12"/>
  <c r="L113" i="13" s="1"/>
  <c r="L133" i="12"/>
  <c r="L127" i="13" s="1"/>
  <c r="L113" i="12"/>
  <c r="L84"/>
  <c r="L112"/>
  <c r="L115" i="13" s="1"/>
  <c r="L135" i="12"/>
  <c r="L129" i="13" s="1"/>
  <c r="L83" i="12"/>
  <c r="L85"/>
  <c r="L68"/>
  <c r="L80" i="13" s="1"/>
  <c r="L103" i="12"/>
  <c r="L106" i="13" s="1"/>
  <c r="L70" i="12"/>
  <c r="L82" i="13" s="1"/>
  <c r="L76" i="12"/>
  <c r="L88" i="13" s="1"/>
  <c r="L67" i="12"/>
  <c r="L79" i="13" s="1"/>
  <c r="L108" i="12"/>
  <c r="L111" i="13" s="1"/>
  <c r="L69" i="12"/>
  <c r="L81" i="13" s="1"/>
  <c r="L131" i="12"/>
  <c r="L125" i="13" s="1"/>
  <c r="L71" i="12"/>
  <c r="L83" i="13" s="1"/>
  <c r="L104" i="12"/>
  <c r="L107" i="13" s="1"/>
  <c r="L109" i="12"/>
  <c r="L112" i="13" s="1"/>
  <c r="L72" i="12"/>
  <c r="L84" i="13" s="1"/>
  <c r="L132" i="12"/>
  <c r="L126" i="13" s="1"/>
  <c r="L77" i="12"/>
  <c r="L89" i="13" s="1"/>
  <c r="Q54" i="12"/>
  <c r="Q50"/>
  <c r="Q33"/>
  <c r="Q62" i="13" s="1"/>
  <c r="Q40" i="12"/>
  <c r="Q69" i="13" s="1"/>
  <c r="Q47" i="12"/>
  <c r="Q51"/>
  <c r="Q46"/>
  <c r="Q27"/>
  <c r="Q56" i="13" s="1"/>
  <c r="Q41" i="12"/>
  <c r="Q70" i="13" s="1"/>
  <c r="Q39" i="12"/>
  <c r="Q68" i="13" s="1"/>
  <c r="Q26" i="12"/>
  <c r="Q55" i="13" s="1"/>
  <c r="Q29" i="12"/>
  <c r="Q58" i="13" s="1"/>
  <c r="Q25" i="12"/>
  <c r="Q54" i="13" s="1"/>
  <c r="Q66" i="15"/>
  <c r="Q81" s="1"/>
  <c r="Q142" i="12"/>
  <c r="Q65" i="15"/>
  <c r="Q80" s="1"/>
  <c r="Q141" i="12"/>
  <c r="Q90"/>
  <c r="Q63" i="15"/>
  <c r="Q78" s="1"/>
  <c r="Q53" i="12"/>
  <c r="Q31"/>
  <c r="Q60" i="13" s="1"/>
  <c r="Q55" i="12"/>
  <c r="Q38"/>
  <c r="Q67" i="13" s="1"/>
  <c r="Q32" i="12"/>
  <c r="Q61" i="13" s="1"/>
  <c r="Q24" i="12"/>
  <c r="Q53" i="13" s="1"/>
  <c r="Q28" i="12"/>
  <c r="Q57" i="13" s="1"/>
  <c r="Q23" i="12"/>
  <c r="Q52" i="13" s="1"/>
  <c r="Q30" i="12"/>
  <c r="Q59" i="13" s="1"/>
  <c r="Q37" i="12"/>
  <c r="Q66" i="13" s="1"/>
  <c r="Q140" i="12"/>
  <c r="Q89"/>
  <c r="Q114"/>
  <c r="Q49"/>
  <c r="Q64" i="15"/>
  <c r="Q79" s="1"/>
  <c r="Q48" i="12"/>
  <c r="Q42"/>
  <c r="Q138"/>
  <c r="Q117"/>
  <c r="Q44"/>
  <c r="Q116"/>
  <c r="Q115"/>
  <c r="Q34"/>
  <c r="Q63" i="13" s="1"/>
  <c r="Q21" i="15" s="1"/>
  <c r="Q33" s="1"/>
  <c r="Q139" i="12"/>
  <c r="Q62" i="15"/>
  <c r="Q77" s="1"/>
  <c r="Q36" i="12"/>
  <c r="Q65" i="13" s="1"/>
  <c r="Q23" i="15" s="1"/>
  <c r="Q35" s="1"/>
  <c r="Q52" i="12"/>
  <c r="Q11" i="13"/>
  <c r="Q45" i="12"/>
  <c r="Q118"/>
  <c r="Q91"/>
  <c r="Q119"/>
  <c r="Q137"/>
  <c r="Q88"/>
  <c r="Q87"/>
  <c r="Q67" i="15"/>
  <c r="Q82" s="1"/>
  <c r="Q86" i="12"/>
  <c r="Q35"/>
  <c r="Q64" i="13" s="1"/>
  <c r="Q22" i="15" s="1"/>
  <c r="Q34" s="1"/>
  <c r="Q43" i="12"/>
  <c r="Q107"/>
  <c r="Q110" i="13" s="1"/>
  <c r="Q75" i="12"/>
  <c r="Q87" i="13" s="1"/>
  <c r="Q106" i="12"/>
  <c r="Q109" i="13" s="1"/>
  <c r="Q74" i="12"/>
  <c r="Q86" i="13" s="1"/>
  <c r="Q84" i="12"/>
  <c r="Q73"/>
  <c r="Q85" i="13" s="1"/>
  <c r="Q110" i="12"/>
  <c r="Q113" i="13" s="1"/>
  <c r="Q81" i="12"/>
  <c r="Q113"/>
  <c r="Q133"/>
  <c r="Q127" i="13" s="1"/>
  <c r="Q80" i="12"/>
  <c r="Q92" i="13" s="1"/>
  <c r="Q82" i="12"/>
  <c r="Q136"/>
  <c r="Q79"/>
  <c r="Q91" i="13" s="1"/>
  <c r="Q78" i="12"/>
  <c r="Q90" i="13" s="1"/>
  <c r="Q135" i="12"/>
  <c r="Q129" i="13" s="1"/>
  <c r="Q112" i="12"/>
  <c r="Q115" i="13" s="1"/>
  <c r="Q85" i="12"/>
  <c r="Q83"/>
  <c r="Q105"/>
  <c r="Q108" i="13" s="1"/>
  <c r="Q134" i="12"/>
  <c r="Q128" i="13" s="1"/>
  <c r="Q111" i="12"/>
  <c r="Q114" i="13" s="1"/>
  <c r="Q72" i="12"/>
  <c r="Q84" i="13" s="1"/>
  <c r="Q132" i="12"/>
  <c r="Q126" i="13" s="1"/>
  <c r="Q69" i="12"/>
  <c r="Q81" i="13" s="1"/>
  <c r="Q109" i="12"/>
  <c r="Q112" i="13" s="1"/>
  <c r="Q71" i="12"/>
  <c r="Q83" i="13" s="1"/>
  <c r="Q67" i="12"/>
  <c r="Q79" i="13" s="1"/>
  <c r="Q77" i="12"/>
  <c r="Q89" i="13" s="1"/>
  <c r="Q68" i="12"/>
  <c r="Q80" i="13" s="1"/>
  <c r="Q104" i="12"/>
  <c r="Q107" i="13" s="1"/>
  <c r="Q108" i="12"/>
  <c r="Q111" i="13" s="1"/>
  <c r="Q131" i="12"/>
  <c r="Q125" i="13" s="1"/>
  <c r="Q70" i="12"/>
  <c r="Q82" i="13" s="1"/>
  <c r="Q103" i="12"/>
  <c r="Q106" i="13" s="1"/>
  <c r="Q76" i="12"/>
  <c r="Q88" i="13" s="1"/>
  <c r="R46" i="12"/>
  <c r="R55"/>
  <c r="R38"/>
  <c r="R67" i="13" s="1"/>
  <c r="R51" i="12"/>
  <c r="R47"/>
  <c r="R29"/>
  <c r="R58" i="13" s="1"/>
  <c r="R40" i="12"/>
  <c r="R69" i="13" s="1"/>
  <c r="R50" i="12"/>
  <c r="R33"/>
  <c r="R62" i="13" s="1"/>
  <c r="R37" i="12"/>
  <c r="R66" i="13" s="1"/>
  <c r="R27" i="12"/>
  <c r="R56" i="13" s="1"/>
  <c r="R28" i="12"/>
  <c r="R57" i="13" s="1"/>
  <c r="R39" i="12"/>
  <c r="R68" i="13" s="1"/>
  <c r="R31" i="12"/>
  <c r="R60" i="13" s="1"/>
  <c r="R32" i="12"/>
  <c r="R61" i="13" s="1"/>
  <c r="R137" i="12"/>
  <c r="R142"/>
  <c r="R86"/>
  <c r="R67" i="15"/>
  <c r="R82" s="1"/>
  <c r="R62"/>
  <c r="R77" s="1"/>
  <c r="R119" i="12"/>
  <c r="R54"/>
  <c r="R25"/>
  <c r="R54" i="13" s="1"/>
  <c r="R23" i="12"/>
  <c r="R52" i="13" s="1"/>
  <c r="R26" i="12"/>
  <c r="R55" i="13" s="1"/>
  <c r="R41" i="12"/>
  <c r="R70" i="13" s="1"/>
  <c r="R24" i="12"/>
  <c r="R53" i="13" s="1"/>
  <c r="R30" i="12"/>
  <c r="R59" i="13" s="1"/>
  <c r="R91" i="12"/>
  <c r="R43"/>
  <c r="R45"/>
  <c r="R63" i="15"/>
  <c r="R78" s="1"/>
  <c r="R90" i="12"/>
  <c r="R114"/>
  <c r="R44"/>
  <c r="R64" i="15"/>
  <c r="R79" s="1"/>
  <c r="R87" i="12"/>
  <c r="R36"/>
  <c r="R65" i="13" s="1"/>
  <c r="R23" i="15" s="1"/>
  <c r="R35" s="1"/>
  <c r="R118" i="12"/>
  <c r="R141"/>
  <c r="R34"/>
  <c r="R63" i="13" s="1"/>
  <c r="R21" i="15" s="1"/>
  <c r="R33" s="1"/>
  <c r="R42" i="12"/>
  <c r="R49"/>
  <c r="R66" i="15"/>
  <c r="R81" s="1"/>
  <c r="R89" i="12"/>
  <c r="R115"/>
  <c r="R48"/>
  <c r="R53"/>
  <c r="R138"/>
  <c r="R88"/>
  <c r="R116"/>
  <c r="R117"/>
  <c r="R65" i="15"/>
  <c r="R80" s="1"/>
  <c r="R35" i="12"/>
  <c r="R64" i="13" s="1"/>
  <c r="R22" i="15" s="1"/>
  <c r="R34" s="1"/>
  <c r="R52" i="12"/>
  <c r="R140"/>
  <c r="R139"/>
  <c r="R11" i="13"/>
  <c r="R107" i="12"/>
  <c r="R110" i="13" s="1"/>
  <c r="R75" i="12"/>
  <c r="R87" i="13" s="1"/>
  <c r="R106" i="12"/>
  <c r="R109" i="13" s="1"/>
  <c r="R74" i="12"/>
  <c r="R86" i="13" s="1"/>
  <c r="R82" i="12"/>
  <c r="R84"/>
  <c r="R83"/>
  <c r="R79"/>
  <c r="R91" i="13" s="1"/>
  <c r="R110" i="12"/>
  <c r="R113" i="13" s="1"/>
  <c r="R80" i="12"/>
  <c r="R92" i="13" s="1"/>
  <c r="R81" i="12"/>
  <c r="R105"/>
  <c r="R108" i="13" s="1"/>
  <c r="R134" i="12"/>
  <c r="R128" i="13" s="1"/>
  <c r="R133" i="12"/>
  <c r="R127" i="13" s="1"/>
  <c r="R78" i="12"/>
  <c r="R90" i="13" s="1"/>
  <c r="R112" i="12"/>
  <c r="R115" i="13" s="1"/>
  <c r="R135" i="12"/>
  <c r="R129" i="13" s="1"/>
  <c r="R85" i="12"/>
  <c r="R113"/>
  <c r="R136"/>
  <c r="R73"/>
  <c r="R85" i="13" s="1"/>
  <c r="R111" i="12"/>
  <c r="R114" i="13" s="1"/>
  <c r="R70" i="12"/>
  <c r="R82" i="13" s="1"/>
  <c r="R104" i="12"/>
  <c r="R107" i="13" s="1"/>
  <c r="R109" i="12"/>
  <c r="R112" i="13" s="1"/>
  <c r="R71" i="12"/>
  <c r="R83" i="13" s="1"/>
  <c r="R72" i="12"/>
  <c r="R84" i="13" s="1"/>
  <c r="R132" i="12"/>
  <c r="R126" i="13" s="1"/>
  <c r="R77" i="12"/>
  <c r="R89" i="13" s="1"/>
  <c r="R67" i="12"/>
  <c r="R79" i="13" s="1"/>
  <c r="R69" i="12"/>
  <c r="R81" i="13" s="1"/>
  <c r="R68" i="12"/>
  <c r="R80" i="13" s="1"/>
  <c r="R108" i="12"/>
  <c r="R111" i="13" s="1"/>
  <c r="R103" i="12"/>
  <c r="R106" i="13" s="1"/>
  <c r="R131" i="12"/>
  <c r="R125" i="13" s="1"/>
  <c r="R76" i="12"/>
  <c r="R88" i="13" s="1"/>
  <c r="D132" i="10"/>
  <c r="E408" i="22"/>
  <c r="V158" i="16"/>
  <c r="D144" i="10"/>
  <c r="E782" i="22"/>
  <c r="V170" i="16"/>
  <c r="D150" i="10"/>
  <c r="C974" i="22"/>
  <c r="V176" i="16"/>
  <c r="E344" s="1"/>
  <c r="D146" i="10"/>
  <c r="C846" i="22"/>
  <c r="V172" i="16"/>
  <c r="D147" i="10"/>
  <c r="C878" i="22"/>
  <c r="V173" i="16"/>
  <c r="E341" s="1"/>
  <c r="D141" i="10"/>
  <c r="C686" i="22"/>
  <c r="V167" i="16"/>
  <c r="D149" i="10"/>
  <c r="E942" i="22"/>
  <c r="V175" i="16"/>
  <c r="D143" i="10"/>
  <c r="C750" i="22"/>
  <c r="V169" i="16"/>
  <c r="V33"/>
  <c r="D623" i="22"/>
  <c r="C623"/>
  <c r="V77" i="16"/>
  <c r="V121"/>
  <c r="B623" i="22"/>
  <c r="D130" i="10"/>
  <c r="V156" i="16"/>
  <c r="E344" i="22"/>
  <c r="G344" s="1"/>
  <c r="V153" i="16"/>
  <c r="D127" i="10"/>
  <c r="D248" i="22"/>
  <c r="F248" s="1"/>
  <c r="V31" i="16"/>
  <c r="B563" i="22"/>
  <c r="C563" s="1"/>
  <c r="D148" i="10"/>
  <c r="E910" i="22"/>
  <c r="V174" i="16"/>
  <c r="V150"/>
  <c r="D124" i="10"/>
  <c r="C156" i="22"/>
  <c r="D156" s="1"/>
  <c r="V154" i="16"/>
  <c r="D128" i="10"/>
  <c r="D280" i="22"/>
  <c r="F280" s="1"/>
  <c r="G280" s="1"/>
  <c r="V32" i="16"/>
  <c r="B593" i="22"/>
  <c r="C593" s="1"/>
  <c r="D138" i="10"/>
  <c r="D137"/>
  <c r="D126"/>
  <c r="W174" i="16"/>
  <c r="E911" i="22"/>
  <c r="H911" s="1"/>
  <c r="W150" i="16"/>
  <c r="C157" i="22"/>
  <c r="D157" s="1"/>
  <c r="W158" i="16"/>
  <c r="E409" i="22"/>
  <c r="J409" s="1"/>
  <c r="W156" i="16"/>
  <c r="E345" i="22"/>
  <c r="G345" s="1"/>
  <c r="W167" i="16"/>
  <c r="C687" i="22"/>
  <c r="D687" s="1"/>
  <c r="W153" i="16"/>
  <c r="D249" i="22"/>
  <c r="F249" s="1"/>
  <c r="W172" i="16"/>
  <c r="C847" i="22"/>
  <c r="E847" s="1"/>
  <c r="W148" i="16"/>
  <c r="D97" i="22"/>
  <c r="F97" s="1"/>
  <c r="W168" i="16"/>
  <c r="C719" i="22"/>
  <c r="E719" s="1"/>
  <c r="E1071"/>
  <c r="G1071" s="1"/>
  <c r="V40" i="23" s="1"/>
  <c r="W179" i="16"/>
  <c r="C1007" i="22"/>
  <c r="D1007" s="1"/>
  <c r="V38" i="23" s="1"/>
  <c r="W177" i="16"/>
  <c r="W155"/>
  <c r="D313" i="22"/>
  <c r="F313" s="1"/>
  <c r="G313" s="1"/>
  <c r="W175" i="16"/>
  <c r="E943" i="22"/>
  <c r="G943" s="1"/>
  <c r="V36" i="23" s="1"/>
  <c r="S50" i="12"/>
  <c r="S54"/>
  <c r="S51"/>
  <c r="S33"/>
  <c r="S62" i="13" s="1"/>
  <c r="S46" i="12"/>
  <c r="S24"/>
  <c r="S53" i="13" s="1"/>
  <c r="S27" i="12"/>
  <c r="S56" i="13" s="1"/>
  <c r="S41" i="12"/>
  <c r="S70" i="13" s="1"/>
  <c r="S26" i="12"/>
  <c r="S55" i="13" s="1"/>
  <c r="S23" i="12"/>
  <c r="S52" i="13" s="1"/>
  <c r="S38" i="12"/>
  <c r="S67" i="13" s="1"/>
  <c r="S25" i="12"/>
  <c r="S54" i="13" s="1"/>
  <c r="S39" i="12"/>
  <c r="S68" i="13" s="1"/>
  <c r="S86" i="12"/>
  <c r="S118"/>
  <c r="S45"/>
  <c r="S47"/>
  <c r="S55"/>
  <c r="S29"/>
  <c r="S58" i="13" s="1"/>
  <c r="S30" i="12"/>
  <c r="S59" i="13" s="1"/>
  <c r="S31" i="12"/>
  <c r="S60" i="13" s="1"/>
  <c r="S28" i="12"/>
  <c r="S57" i="13" s="1"/>
  <c r="S37" i="12"/>
  <c r="S66" i="13" s="1"/>
  <c r="S32" i="12"/>
  <c r="S61" i="13" s="1"/>
  <c r="S40" i="12"/>
  <c r="S69" i="13" s="1"/>
  <c r="S139" i="12"/>
  <c r="S138"/>
  <c r="S67" i="15"/>
  <c r="S82" s="1"/>
  <c r="S52" i="12"/>
  <c r="S64" i="15"/>
  <c r="S79" s="1"/>
  <c r="S117" i="12"/>
  <c r="S42"/>
  <c r="S142"/>
  <c r="S115"/>
  <c r="S116"/>
  <c r="S36"/>
  <c r="S65" i="13" s="1"/>
  <c r="S23" i="15" s="1"/>
  <c r="S35" s="1"/>
  <c r="S65"/>
  <c r="S80" s="1"/>
  <c r="S35" i="12"/>
  <c r="S64" i="13" s="1"/>
  <c r="S22" i="15" s="1"/>
  <c r="S34" s="1"/>
  <c r="S43" i="12"/>
  <c r="S87"/>
  <c r="S34"/>
  <c r="S63" i="13" s="1"/>
  <c r="S21" i="15" s="1"/>
  <c r="S33" s="1"/>
  <c r="S89" i="12"/>
  <c r="S49"/>
  <c r="S66" i="15"/>
  <c r="S81" s="1"/>
  <c r="S88" i="12"/>
  <c r="S63" i="15"/>
  <c r="S78" s="1"/>
  <c r="S62"/>
  <c r="S77" s="1"/>
  <c r="S114" i="12"/>
  <c r="S141"/>
  <c r="S44"/>
  <c r="S119"/>
  <c r="S53"/>
  <c r="S48"/>
  <c r="S137"/>
  <c r="S140"/>
  <c r="S91"/>
  <c r="S90"/>
  <c r="S11" i="13"/>
  <c r="S107" i="12"/>
  <c r="S110" i="13" s="1"/>
  <c r="S74" i="12"/>
  <c r="S86" i="13" s="1"/>
  <c r="S75" i="12"/>
  <c r="S87" i="13" s="1"/>
  <c r="S106" i="12"/>
  <c r="S109" i="13" s="1"/>
  <c r="S80" i="12"/>
  <c r="S92" i="13" s="1"/>
  <c r="S82" i="12"/>
  <c r="S110"/>
  <c r="S113" i="13" s="1"/>
  <c r="S111" i="12"/>
  <c r="S114" i="13" s="1"/>
  <c r="S83" i="12"/>
  <c r="S84"/>
  <c r="S133"/>
  <c r="S127" i="13" s="1"/>
  <c r="S78" i="12"/>
  <c r="S90" i="13" s="1"/>
  <c r="S134" i="12"/>
  <c r="S128" i="13" s="1"/>
  <c r="S79" i="12"/>
  <c r="S91" i="13" s="1"/>
  <c r="S135" i="12"/>
  <c r="S129" i="13" s="1"/>
  <c r="S85" i="12"/>
  <c r="S136"/>
  <c r="S113"/>
  <c r="S105"/>
  <c r="S108" i="13" s="1"/>
  <c r="S112" i="12"/>
  <c r="S115" i="13" s="1"/>
  <c r="S81" i="12"/>
  <c r="S73"/>
  <c r="S85" i="13" s="1"/>
  <c r="S104" i="12"/>
  <c r="S107" i="13" s="1"/>
  <c r="S71" i="12"/>
  <c r="S83" i="13" s="1"/>
  <c r="S70" i="12"/>
  <c r="S82" i="13" s="1"/>
  <c r="S77" i="12"/>
  <c r="S89" i="13" s="1"/>
  <c r="S132" i="12"/>
  <c r="S126" i="13" s="1"/>
  <c r="S109" i="12"/>
  <c r="S112" i="13" s="1"/>
  <c r="S72" i="12"/>
  <c r="S84" i="13" s="1"/>
  <c r="S69" i="12"/>
  <c r="S81" i="13" s="1"/>
  <c r="S68" i="12"/>
  <c r="S80" i="13" s="1"/>
  <c r="S131" i="12"/>
  <c r="S125" i="13" s="1"/>
  <c r="S103" i="12"/>
  <c r="S106" i="13" s="1"/>
  <c r="S108" i="12"/>
  <c r="S111" i="13" s="1"/>
  <c r="S76" i="12"/>
  <c r="S88" i="13" s="1"/>
  <c r="S67" i="12"/>
  <c r="S79" i="13" s="1"/>
  <c r="N46" i="12"/>
  <c r="N51"/>
  <c r="N41"/>
  <c r="N70" i="13" s="1"/>
  <c r="N33" i="12"/>
  <c r="N62" i="13" s="1"/>
  <c r="N23" i="12"/>
  <c r="N52" i="13" s="1"/>
  <c r="N40" i="12"/>
  <c r="N69" i="13" s="1"/>
  <c r="N28" i="12"/>
  <c r="N57" i="13" s="1"/>
  <c r="N38" i="12"/>
  <c r="N67" i="13" s="1"/>
  <c r="N50" i="12"/>
  <c r="N55"/>
  <c r="N67" i="15"/>
  <c r="N82" s="1"/>
  <c r="N89" i="12"/>
  <c r="N140"/>
  <c r="N117"/>
  <c r="N54"/>
  <c r="N47"/>
  <c r="N29"/>
  <c r="N58" i="13" s="1"/>
  <c r="N37" i="12"/>
  <c r="N66" i="13" s="1"/>
  <c r="N39" i="12"/>
  <c r="N68" i="13" s="1"/>
  <c r="N27" i="12"/>
  <c r="N56" i="13" s="1"/>
  <c r="N30" i="12"/>
  <c r="N59" i="13" s="1"/>
  <c r="N31" i="12"/>
  <c r="N60" i="13" s="1"/>
  <c r="N26" i="12"/>
  <c r="N55" i="13" s="1"/>
  <c r="N32" i="12"/>
  <c r="N61" i="13" s="1"/>
  <c r="N25" i="12"/>
  <c r="N54" i="13" s="1"/>
  <c r="N24" i="12"/>
  <c r="N53" i="13" s="1"/>
  <c r="N138" i="12"/>
  <c r="N53"/>
  <c r="N142"/>
  <c r="N119"/>
  <c r="N48"/>
  <c r="N86"/>
  <c r="N91"/>
  <c r="N88"/>
  <c r="N90"/>
  <c r="N36"/>
  <c r="N65" i="13" s="1"/>
  <c r="N23" i="15" s="1"/>
  <c r="N35" s="1"/>
  <c r="N118" i="12"/>
  <c r="N137"/>
  <c r="N35"/>
  <c r="N64" i="13" s="1"/>
  <c r="N22" i="15" s="1"/>
  <c r="N34" s="1"/>
  <c r="N114" i="12"/>
  <c r="N63" i="15"/>
  <c r="N78" s="1"/>
  <c r="N52" i="12"/>
  <c r="N65" i="15"/>
  <c r="N80" s="1"/>
  <c r="N139" i="12"/>
  <c r="N49"/>
  <c r="N141"/>
  <c r="N45"/>
  <c r="N66" i="15"/>
  <c r="N81" s="1"/>
  <c r="N43" i="12"/>
  <c r="N115"/>
  <c r="N62" i="15"/>
  <c r="N77" s="1"/>
  <c r="N64"/>
  <c r="N79" s="1"/>
  <c r="N42" i="12"/>
  <c r="N34"/>
  <c r="N63" i="13" s="1"/>
  <c r="N21" i="15" s="1"/>
  <c r="N33" s="1"/>
  <c r="N87" i="12"/>
  <c r="N116"/>
  <c r="N44"/>
  <c r="N11" i="13"/>
  <c r="N75" i="12"/>
  <c r="N87" i="13" s="1"/>
  <c r="N74" i="12"/>
  <c r="N86" i="13" s="1"/>
  <c r="N106" i="12"/>
  <c r="N109" i="13" s="1"/>
  <c r="N107" i="12"/>
  <c r="N110" i="13" s="1"/>
  <c r="N110" i="12"/>
  <c r="N113" i="13" s="1"/>
  <c r="N112" i="12"/>
  <c r="N115" i="13" s="1"/>
  <c r="N80" i="12"/>
  <c r="N92" i="13" s="1"/>
  <c r="N134" i="12"/>
  <c r="N128" i="13" s="1"/>
  <c r="N83" i="12"/>
  <c r="N78"/>
  <c r="N90" i="13" s="1"/>
  <c r="N105" i="12"/>
  <c r="N108" i="13" s="1"/>
  <c r="N79" i="12"/>
  <c r="N91" i="13" s="1"/>
  <c r="N85" i="12"/>
  <c r="N84"/>
  <c r="N73"/>
  <c r="N85" i="13" s="1"/>
  <c r="N82" i="12"/>
  <c r="N136"/>
  <c r="N133"/>
  <c r="N127" i="13" s="1"/>
  <c r="N135" i="12"/>
  <c r="N129" i="13" s="1"/>
  <c r="N111" i="12"/>
  <c r="N114" i="13" s="1"/>
  <c r="N113" i="12"/>
  <c r="N81"/>
  <c r="N69"/>
  <c r="N81" i="13" s="1"/>
  <c r="N103" i="12"/>
  <c r="N106" i="13" s="1"/>
  <c r="N72" i="12"/>
  <c r="N84" i="13" s="1"/>
  <c r="N67" i="12"/>
  <c r="N79" i="13" s="1"/>
  <c r="N68" i="12"/>
  <c r="N80" i="13" s="1"/>
  <c r="N76" i="12"/>
  <c r="N88" i="13" s="1"/>
  <c r="N131" i="12"/>
  <c r="N125" i="13" s="1"/>
  <c r="N108" i="12"/>
  <c r="N111" i="13" s="1"/>
  <c r="N70" i="12"/>
  <c r="N82" i="13" s="1"/>
  <c r="N104" i="12"/>
  <c r="N107" i="13" s="1"/>
  <c r="N109" i="12"/>
  <c r="N112" i="13" s="1"/>
  <c r="N77" i="12"/>
  <c r="N89" i="13" s="1"/>
  <c r="N132" i="12"/>
  <c r="N126" i="13" s="1"/>
  <c r="N71" i="12"/>
  <c r="N83" i="13" s="1"/>
  <c r="M47" i="12"/>
  <c r="M54"/>
  <c r="M40"/>
  <c r="M69" i="13" s="1"/>
  <c r="M55" i="12"/>
  <c r="M50"/>
  <c r="M46"/>
  <c r="M51"/>
  <c r="M28"/>
  <c r="M57" i="13" s="1"/>
  <c r="M37" i="12"/>
  <c r="M66" i="13" s="1"/>
  <c r="M119" i="12"/>
  <c r="M48"/>
  <c r="M64" i="15"/>
  <c r="M79" s="1"/>
  <c r="M86" i="12"/>
  <c r="M42"/>
  <c r="M49"/>
  <c r="M137"/>
  <c r="M30"/>
  <c r="M59" i="13" s="1"/>
  <c r="M33" i="12"/>
  <c r="M62" i="13" s="1"/>
  <c r="M29" i="12"/>
  <c r="M58" i="13" s="1"/>
  <c r="M39" i="12"/>
  <c r="M68" i="13" s="1"/>
  <c r="M31" i="12"/>
  <c r="M60" i="13" s="1"/>
  <c r="M36" i="12"/>
  <c r="M65" i="13" s="1"/>
  <c r="M23" i="15" s="1"/>
  <c r="M35" s="1"/>
  <c r="M140" i="12"/>
  <c r="M53"/>
  <c r="M117"/>
  <c r="M118"/>
  <c r="M24"/>
  <c r="M53" i="13" s="1"/>
  <c r="M23" i="12"/>
  <c r="M52" i="13" s="1"/>
  <c r="M26" i="12"/>
  <c r="M55" i="13" s="1"/>
  <c r="M27" i="12"/>
  <c r="M56" i="13" s="1"/>
  <c r="M43" i="12"/>
  <c r="M63" i="15"/>
  <c r="M78" s="1"/>
  <c r="M44" i="12"/>
  <c r="M41"/>
  <c r="M70" i="13" s="1"/>
  <c r="M25" i="12"/>
  <c r="M54" i="13" s="1"/>
  <c r="M38" i="12"/>
  <c r="M67" i="13" s="1"/>
  <c r="M32" i="12"/>
  <c r="M61" i="13" s="1"/>
  <c r="M115" i="12"/>
  <c r="M88"/>
  <c r="M114"/>
  <c r="M138"/>
  <c r="M62" i="15"/>
  <c r="M77" s="1"/>
  <c r="M67"/>
  <c r="M82" s="1"/>
  <c r="M142" i="12"/>
  <c r="M45"/>
  <c r="M52"/>
  <c r="M35"/>
  <c r="M64" i="13" s="1"/>
  <c r="M22" i="15" s="1"/>
  <c r="M34" s="1"/>
  <c r="M91" i="12"/>
  <c r="M141"/>
  <c r="M34"/>
  <c r="M63" i="13" s="1"/>
  <c r="M21" i="15" s="1"/>
  <c r="M33" s="1"/>
  <c r="M90" i="12"/>
  <c r="M89"/>
  <c r="M116"/>
  <c r="M66" i="15"/>
  <c r="M81" s="1"/>
  <c r="M139" i="12"/>
  <c r="M65" i="15"/>
  <c r="M80" s="1"/>
  <c r="M87" i="12"/>
  <c r="M11" i="13"/>
  <c r="M106" i="12"/>
  <c r="M109" i="13" s="1"/>
  <c r="M107" i="12"/>
  <c r="M110" i="13" s="1"/>
  <c r="M74" i="12"/>
  <c r="M86" i="13" s="1"/>
  <c r="M75" i="12"/>
  <c r="M87" i="13" s="1"/>
  <c r="M78" i="12"/>
  <c r="M90" i="13" s="1"/>
  <c r="M80" i="12"/>
  <c r="M92" i="13" s="1"/>
  <c r="M83" i="12"/>
  <c r="M136"/>
  <c r="M79"/>
  <c r="M91" i="13" s="1"/>
  <c r="M112" i="12"/>
  <c r="M115" i="13" s="1"/>
  <c r="M84" i="12"/>
  <c r="M133"/>
  <c r="M127" i="13" s="1"/>
  <c r="M135" i="12"/>
  <c r="M129" i="13" s="1"/>
  <c r="M81" i="12"/>
  <c r="M105"/>
  <c r="M108" i="13" s="1"/>
  <c r="M111" i="12"/>
  <c r="M114" i="13" s="1"/>
  <c r="M110" i="12"/>
  <c r="M113" i="13" s="1"/>
  <c r="M85" i="12"/>
  <c r="M82"/>
  <c r="M113"/>
  <c r="M73"/>
  <c r="M85" i="13" s="1"/>
  <c r="M134" i="12"/>
  <c r="M128" i="13" s="1"/>
  <c r="M67" i="12"/>
  <c r="M79" i="13" s="1"/>
  <c r="M72" i="12"/>
  <c r="M84" i="13" s="1"/>
  <c r="M68" i="12"/>
  <c r="M80" i="13" s="1"/>
  <c r="M103" i="12"/>
  <c r="M106" i="13" s="1"/>
  <c r="M77" i="12"/>
  <c r="M89" i="13" s="1"/>
  <c r="M132" i="12"/>
  <c r="M126" i="13" s="1"/>
  <c r="M104" i="12"/>
  <c r="M107" i="13" s="1"/>
  <c r="M69" i="12"/>
  <c r="M81" i="13" s="1"/>
  <c r="M109" i="12"/>
  <c r="M112" i="13" s="1"/>
  <c r="M108" i="12"/>
  <c r="M111" i="13" s="1"/>
  <c r="M131" i="12"/>
  <c r="M125" i="13" s="1"/>
  <c r="M71" i="12"/>
  <c r="M83" i="13" s="1"/>
  <c r="M70" i="12"/>
  <c r="M82" i="13" s="1"/>
  <c r="M76" i="12"/>
  <c r="M88" i="13" s="1"/>
  <c r="B335" i="22"/>
  <c r="M24" i="16"/>
  <c r="C335" i="22"/>
  <c r="M68" i="16"/>
  <c r="M60"/>
  <c r="C87" i="22"/>
  <c r="M17" i="16"/>
  <c r="B117" i="22"/>
  <c r="M25" i="16"/>
  <c r="B367" i="22"/>
  <c r="M19" i="16"/>
  <c r="B179" i="22"/>
  <c r="B147"/>
  <c r="M18" i="16"/>
  <c r="M21"/>
  <c r="B239" i="22"/>
  <c r="M30" i="16"/>
  <c r="K94" i="13"/>
  <c r="B524" i="22"/>
  <c r="B431"/>
  <c r="M27" i="16"/>
  <c r="M32"/>
  <c r="K96" i="13"/>
  <c r="B584" i="22"/>
  <c r="D463"/>
  <c r="M116" i="16"/>
  <c r="M71"/>
  <c r="C431" i="22"/>
  <c r="M31" i="16"/>
  <c r="K95" i="13"/>
  <c r="B554" i="22"/>
  <c r="M72" i="16"/>
  <c r="C463" i="22"/>
  <c r="C399"/>
  <c r="M70" i="16"/>
  <c r="M66"/>
  <c r="C271" i="22"/>
  <c r="B271"/>
  <c r="M22" i="16"/>
  <c r="B1029" i="22"/>
  <c r="M46" i="16"/>
  <c r="B677" i="22"/>
  <c r="M35" i="16"/>
  <c r="C1029" i="22"/>
  <c r="M90" i="16"/>
  <c r="B773" i="22"/>
  <c r="M38" i="16"/>
  <c r="B741" i="22"/>
  <c r="M37" i="16"/>
  <c r="B965" i="22"/>
  <c r="M44" i="16"/>
  <c r="C773" i="22"/>
  <c r="M82" i="16"/>
  <c r="B997" i="22"/>
  <c r="M45" i="16"/>
  <c r="D1029" i="22"/>
  <c r="M134" i="16"/>
  <c r="C1061" i="22"/>
  <c r="M91" i="16"/>
  <c r="C933" i="22"/>
  <c r="M87" i="16"/>
  <c r="C901" i="22"/>
  <c r="M86" i="16"/>
  <c r="B869" i="22"/>
  <c r="M41" i="16"/>
  <c r="H431" i="22"/>
  <c r="M280" i="16"/>
  <c r="H463" i="22"/>
  <c r="M281" i="16"/>
  <c r="D709" i="22"/>
  <c r="M289" i="16"/>
  <c r="K159" i="13"/>
  <c r="K144"/>
  <c r="K142"/>
  <c r="K147"/>
  <c r="K43"/>
  <c r="K39"/>
  <c r="K152"/>
  <c r="K148"/>
  <c r="K158"/>
  <c r="K41"/>
  <c r="K151"/>
  <c r="K146"/>
  <c r="K156"/>
  <c r="K149"/>
  <c r="K157"/>
  <c r="K42"/>
  <c r="K27"/>
  <c r="K160"/>
  <c r="K30"/>
  <c r="K145"/>
  <c r="K40"/>
  <c r="K143"/>
  <c r="K150"/>
  <c r="K36"/>
  <c r="K154"/>
  <c r="K38"/>
  <c r="K35"/>
  <c r="K97" i="14" s="1"/>
  <c r="K33" i="13"/>
  <c r="K95" i="14" s="1"/>
  <c r="K31" i="13"/>
  <c r="K93" i="14" s="1"/>
  <c r="K29" i="13"/>
  <c r="K92" i="14" s="1"/>
  <c r="K34" i="13"/>
  <c r="K96" i="14" s="1"/>
  <c r="K25" i="13"/>
  <c r="K89" i="14" s="1"/>
  <c r="K37" i="13"/>
  <c r="K155"/>
  <c r="K153"/>
  <c r="K28"/>
  <c r="K91" i="14" s="1"/>
  <c r="K32" i="13"/>
  <c r="K94" i="14" s="1"/>
  <c r="K26" i="13"/>
  <c r="K90" i="14" s="1"/>
  <c r="D837" i="22"/>
  <c r="M293" i="16"/>
  <c r="D134" i="10"/>
  <c r="E472" i="22"/>
  <c r="V160" i="16"/>
  <c r="D142" i="10"/>
  <c r="C718" i="22"/>
  <c r="V168" i="16"/>
  <c r="E336" s="1"/>
  <c r="D133" i="10"/>
  <c r="E440" i="22"/>
  <c r="V159" i="16"/>
  <c r="D140" i="10"/>
  <c r="C654" i="22"/>
  <c r="V166" i="16"/>
  <c r="E334" s="1"/>
  <c r="D151" i="10"/>
  <c r="C1006" i="22"/>
  <c r="V177" i="16"/>
  <c r="E345" s="1"/>
  <c r="D145" i="10"/>
  <c r="E814" i="22"/>
  <c r="V171" i="16"/>
  <c r="D153" i="10"/>
  <c r="E1070" i="22"/>
  <c r="V179" i="16"/>
  <c r="E347" s="1"/>
  <c r="D152" i="10"/>
  <c r="V178" i="16"/>
  <c r="E1038" i="22"/>
  <c r="V147" i="16"/>
  <c r="D121" i="10"/>
  <c r="C64" i="22"/>
  <c r="D64" s="1"/>
  <c r="D122" i="10"/>
  <c r="V148" i="16"/>
  <c r="D96" i="22"/>
  <c r="F96" s="1"/>
  <c r="D131" i="10"/>
  <c r="V157" i="16"/>
  <c r="E376" i="22"/>
  <c r="G376" s="1"/>
  <c r="V29" i="16"/>
  <c r="B503" i="22"/>
  <c r="C503" s="1"/>
  <c r="V30" i="16"/>
  <c r="B533" i="22"/>
  <c r="C533" s="1"/>
  <c r="V151" i="16"/>
  <c r="D125" i="10"/>
  <c r="D188" i="22"/>
  <c r="F188" s="1"/>
  <c r="D129" i="10"/>
  <c r="V155" i="16"/>
  <c r="D312" i="22"/>
  <c r="F312" s="1"/>
  <c r="G312" s="1"/>
  <c r="D123" i="10"/>
  <c r="D135"/>
  <c r="D139"/>
  <c r="D136"/>
  <c r="V28" i="23" l="1"/>
  <c r="F687" i="22"/>
  <c r="E687"/>
  <c r="U25" i="23"/>
  <c r="D593" i="22"/>
  <c r="E346" i="16"/>
  <c r="E50" i="19" s="1"/>
  <c r="E327" i="16"/>
  <c r="E31" i="19" s="1"/>
  <c r="E328" i="16"/>
  <c r="E32" i="19" s="1"/>
  <c r="E337" i="16"/>
  <c r="E41" i="19" s="1"/>
  <c r="E338" i="16"/>
  <c r="E303" i="22"/>
  <c r="E271"/>
  <c r="V16" i="23"/>
  <c r="H313" i="22"/>
  <c r="U16" i="23"/>
  <c r="H312" i="22"/>
  <c r="V15" i="23"/>
  <c r="H281" i="22"/>
  <c r="U15" i="23"/>
  <c r="H280" i="22"/>
  <c r="E339" i="16"/>
  <c r="E43" i="19" s="1"/>
  <c r="U23" i="23"/>
  <c r="D533" i="22"/>
  <c r="U22" i="23"/>
  <c r="D503" i="22"/>
  <c r="U12" i="23"/>
  <c r="H188" i="22"/>
  <c r="G188"/>
  <c r="U9" i="23"/>
  <c r="H96" i="22"/>
  <c r="G96"/>
  <c r="H1038"/>
  <c r="G1070"/>
  <c r="U40" i="23" s="1"/>
  <c r="D1006" i="22"/>
  <c r="U38" i="23" s="1"/>
  <c r="E38" i="19"/>
  <c r="J440" i="22"/>
  <c r="E40" i="19"/>
  <c r="J472" i="22"/>
  <c r="M148" i="16"/>
  <c r="D87" i="22"/>
  <c r="M150" i="16"/>
  <c r="C147" i="22"/>
  <c r="M240" i="16"/>
  <c r="G463" i="22"/>
  <c r="M147" i="16"/>
  <c r="C55" i="22"/>
  <c r="D179"/>
  <c r="M151" i="16"/>
  <c r="M155"/>
  <c r="D303" i="22"/>
  <c r="F463"/>
  <c r="M200" i="16"/>
  <c r="M198"/>
  <c r="F399" i="22"/>
  <c r="C554"/>
  <c r="C524"/>
  <c r="F335"/>
  <c r="O18" i="16"/>
  <c r="B149" i="22"/>
  <c r="O112" i="16"/>
  <c r="D337" i="22"/>
  <c r="O69" i="16"/>
  <c r="C369" i="22"/>
  <c r="O63" i="16"/>
  <c r="C181" i="22"/>
  <c r="O25" i="16"/>
  <c r="B369" i="22"/>
  <c r="B89"/>
  <c r="O16" i="16"/>
  <c r="B57" i="22"/>
  <c r="O15" i="16"/>
  <c r="O21"/>
  <c r="B241" i="22"/>
  <c r="O30" i="16"/>
  <c r="M94" i="13"/>
  <c r="B526" i="22"/>
  <c r="C526" s="1"/>
  <c r="O70" i="16"/>
  <c r="C401" i="22"/>
  <c r="C241"/>
  <c r="O65" i="16"/>
  <c r="O116"/>
  <c r="D465" i="22"/>
  <c r="O32" i="16"/>
  <c r="M96" i="13"/>
  <c r="B586" i="22"/>
  <c r="C586" s="1"/>
  <c r="O27" i="16"/>
  <c r="B433" i="22"/>
  <c r="M95" i="13"/>
  <c r="O31" i="16"/>
  <c r="B556" i="22"/>
  <c r="C556" s="1"/>
  <c r="B401"/>
  <c r="O26" i="16"/>
  <c r="B273" i="22"/>
  <c r="O22" i="16"/>
  <c r="C273" i="22"/>
  <c r="O66" i="16"/>
  <c r="O39"/>
  <c r="B807" i="22"/>
  <c r="O130" i="16"/>
  <c r="D903" i="22"/>
  <c r="O86" i="16"/>
  <c r="C903" i="22"/>
  <c r="O46" i="16"/>
  <c r="B1031" i="22"/>
  <c r="D1031"/>
  <c r="O134" i="16"/>
  <c r="H433" i="22"/>
  <c r="O280" i="16"/>
  <c r="O37"/>
  <c r="B743" i="22"/>
  <c r="D743" s="1"/>
  <c r="N30" i="23" s="1"/>
  <c r="F1031" i="22"/>
  <c r="O299" i="16"/>
  <c r="O127"/>
  <c r="D807" i="22"/>
  <c r="O42" i="16"/>
  <c r="B903" i="22"/>
  <c r="O36" i="16"/>
  <c r="B711" i="22"/>
  <c r="U18" i="23"/>
  <c r="I376" i="22"/>
  <c r="H376"/>
  <c r="U8" i="23"/>
  <c r="F64" i="22"/>
  <c r="E64"/>
  <c r="E51" i="19"/>
  <c r="G814" i="22"/>
  <c r="U32" i="23" s="1"/>
  <c r="E49" i="19"/>
  <c r="D654" i="22"/>
  <c r="E718"/>
  <c r="M154" i="16"/>
  <c r="D271" i="22"/>
  <c r="M238" i="16"/>
  <c r="G399" i="22"/>
  <c r="M199" i="16"/>
  <c r="F431" i="22"/>
  <c r="E335"/>
  <c r="M156" i="16"/>
  <c r="D239" i="22"/>
  <c r="M153" i="16"/>
  <c r="E367" i="22"/>
  <c r="M157" i="16"/>
  <c r="G431" i="22"/>
  <c r="M239" i="16"/>
  <c r="D869" i="22"/>
  <c r="D997"/>
  <c r="E965"/>
  <c r="D741"/>
  <c r="H773"/>
  <c r="G773"/>
  <c r="D677"/>
  <c r="H1029"/>
  <c r="G1029"/>
  <c r="C584"/>
  <c r="D584" s="1"/>
  <c r="I431"/>
  <c r="E239"/>
  <c r="E179"/>
  <c r="F367"/>
  <c r="C117"/>
  <c r="B337"/>
  <c r="O24" i="16"/>
  <c r="B181" i="22"/>
  <c r="O19" i="16"/>
  <c r="O68"/>
  <c r="C337" i="22"/>
  <c r="O17" i="16"/>
  <c r="B119" i="22"/>
  <c r="C119" s="1"/>
  <c r="D369"/>
  <c r="O113" i="16"/>
  <c r="C89" i="22"/>
  <c r="O60" i="16"/>
  <c r="O20"/>
  <c r="B211" i="22"/>
  <c r="C211" s="1"/>
  <c r="O115" i="16"/>
  <c r="D433" i="22"/>
  <c r="O77" i="16"/>
  <c r="M116" i="13"/>
  <c r="C616" i="22"/>
  <c r="O33" i="16"/>
  <c r="M97" i="13"/>
  <c r="B616" i="22"/>
  <c r="O71" i="16"/>
  <c r="C433" i="22"/>
  <c r="M93" i="13"/>
  <c r="O29" i="16"/>
  <c r="B496" i="22"/>
  <c r="C496" s="1"/>
  <c r="O114" i="16"/>
  <c r="D401" i="22"/>
  <c r="O72" i="16"/>
  <c r="C465" i="22"/>
  <c r="O121" i="16"/>
  <c r="M130" i="13"/>
  <c r="D616" i="22"/>
  <c r="O28" i="16"/>
  <c r="B465" i="22"/>
  <c r="O23" i="16"/>
  <c r="B305" i="22"/>
  <c r="C305"/>
  <c r="O67" i="16"/>
  <c r="M158" i="13"/>
  <c r="M159"/>
  <c r="M142"/>
  <c r="M157"/>
  <c r="M30"/>
  <c r="M40"/>
  <c r="M42"/>
  <c r="M151"/>
  <c r="M39"/>
  <c r="M27"/>
  <c r="M143"/>
  <c r="M150"/>
  <c r="M43"/>
  <c r="M41"/>
  <c r="M152"/>
  <c r="M148"/>
  <c r="M160"/>
  <c r="M156"/>
  <c r="M149"/>
  <c r="M144"/>
  <c r="M145"/>
  <c r="M146"/>
  <c r="M147"/>
  <c r="M153"/>
  <c r="M36"/>
  <c r="M37"/>
  <c r="M33"/>
  <c r="M95" i="14" s="1"/>
  <c r="M38" i="13"/>
  <c r="M154"/>
  <c r="M34"/>
  <c r="M96" i="14" s="1"/>
  <c r="M26" i="13"/>
  <c r="M90" i="14" s="1"/>
  <c r="M31" i="13"/>
  <c r="M93" i="14" s="1"/>
  <c r="M155" i="13"/>
  <c r="M32"/>
  <c r="M94" i="14" s="1"/>
  <c r="M35" i="13"/>
  <c r="M97" i="14" s="1"/>
  <c r="M29" i="13"/>
  <c r="M92" i="14" s="1"/>
  <c r="M28" i="13"/>
  <c r="M91" i="14" s="1"/>
  <c r="M25" i="13"/>
  <c r="M89" i="14" s="1"/>
  <c r="O295" i="16"/>
  <c r="F903" i="22"/>
  <c r="D967"/>
  <c r="O297" i="16"/>
  <c r="B935" i="22"/>
  <c r="O43" i="16"/>
  <c r="O279"/>
  <c r="H401" i="22"/>
  <c r="B1063"/>
  <c r="O47" i="16"/>
  <c r="O44"/>
  <c r="B967" i="22"/>
  <c r="O135" i="16"/>
  <c r="D1063" i="22"/>
  <c r="D711"/>
  <c r="O289" i="16"/>
  <c r="O82"/>
  <c r="C775" i="22"/>
  <c r="O83" i="16"/>
  <c r="C807" i="22"/>
  <c r="F775"/>
  <c r="O291" i="16"/>
  <c r="O90"/>
  <c r="C1031" i="22"/>
  <c r="B999"/>
  <c r="D999" s="1"/>
  <c r="N38" i="23" s="1"/>
  <c r="O45" i="16"/>
  <c r="O281"/>
  <c r="H465" i="22"/>
  <c r="D775"/>
  <c r="O126" i="16"/>
  <c r="O34"/>
  <c r="B647" i="22"/>
  <c r="D647" s="1"/>
  <c r="O293" i="16"/>
  <c r="D839" i="22"/>
  <c r="C1063"/>
  <c r="O91" i="16"/>
  <c r="B182" i="22"/>
  <c r="P19" i="16"/>
  <c r="P25"/>
  <c r="B370" i="22"/>
  <c r="P63" i="16"/>
  <c r="C182" i="22"/>
  <c r="P68" i="16"/>
  <c r="C338" i="22"/>
  <c r="P24" i="16"/>
  <c r="B338" i="22"/>
  <c r="B58"/>
  <c r="P15" i="16"/>
  <c r="P60"/>
  <c r="C90" i="22"/>
  <c r="N93" i="13"/>
  <c r="P29" i="16"/>
  <c r="B497" i="22"/>
  <c r="C497" s="1"/>
  <c r="P71" i="16"/>
  <c r="C434" i="22"/>
  <c r="P114" i="16"/>
  <c r="D402" i="22"/>
  <c r="P30" i="16"/>
  <c r="B527" i="22"/>
  <c r="C527" s="1"/>
  <c r="N94" i="13"/>
  <c r="P32" i="16"/>
  <c r="N96" i="13"/>
  <c r="B587" i="22"/>
  <c r="C587" s="1"/>
  <c r="P27" i="16"/>
  <c r="B434" i="22"/>
  <c r="P26" i="16"/>
  <c r="B402" i="22"/>
  <c r="D434"/>
  <c r="P115" i="16"/>
  <c r="P72"/>
  <c r="C466" i="22"/>
  <c r="P67" i="16"/>
  <c r="C306" i="22"/>
  <c r="B274"/>
  <c r="P22" i="16"/>
  <c r="N149" i="13"/>
  <c r="N146"/>
  <c r="N145"/>
  <c r="N27"/>
  <c r="N142"/>
  <c r="N42"/>
  <c r="N43"/>
  <c r="N39"/>
  <c r="N152"/>
  <c r="N143"/>
  <c r="N156"/>
  <c r="N148"/>
  <c r="N147"/>
  <c r="N157"/>
  <c r="N160"/>
  <c r="N150"/>
  <c r="N41"/>
  <c r="N40"/>
  <c r="N158"/>
  <c r="N30"/>
  <c r="N144"/>
  <c r="N151"/>
  <c r="N159"/>
  <c r="N155"/>
  <c r="N38"/>
  <c r="N153"/>
  <c r="N37"/>
  <c r="N154"/>
  <c r="N32"/>
  <c r="N94" i="14" s="1"/>
  <c r="N35" i="13"/>
  <c r="N97" i="14" s="1"/>
  <c r="N29" i="13"/>
  <c r="N92" i="14" s="1"/>
  <c r="N28" i="13"/>
  <c r="N91" i="14" s="1"/>
  <c r="N26" i="13"/>
  <c r="N90" i="14" s="1"/>
  <c r="N25" i="13"/>
  <c r="N89" i="14" s="1"/>
  <c r="N36" i="13"/>
  <c r="N33"/>
  <c r="N95" i="14" s="1"/>
  <c r="N31" i="13"/>
  <c r="N93" i="14" s="1"/>
  <c r="N34" i="13"/>
  <c r="N96" i="14" s="1"/>
  <c r="C904" i="22"/>
  <c r="P86" i="16"/>
  <c r="H402" i="22"/>
  <c r="P279" i="16"/>
  <c r="D840" i="22"/>
  <c r="P293" i="16"/>
  <c r="C808" i="22"/>
  <c r="P83" i="16"/>
  <c r="D968" i="22"/>
  <c r="P297" i="16"/>
  <c r="D1032" i="22"/>
  <c r="P134" i="16"/>
  <c r="D904" i="22"/>
  <c r="P130" i="16"/>
  <c r="B968" i="22"/>
  <c r="E968" s="1"/>
  <c r="P44" i="16"/>
  <c r="C776" i="22"/>
  <c r="P82" i="16"/>
  <c r="P126"/>
  <c r="D776" i="22"/>
  <c r="P281" i="16"/>
  <c r="H466" i="22"/>
  <c r="P42" i="16"/>
  <c r="B904" i="22"/>
  <c r="B776"/>
  <c r="P38" i="16"/>
  <c r="C1064" i="22"/>
  <c r="P91" i="16"/>
  <c r="B1000" i="22"/>
  <c r="D1000" s="1"/>
  <c r="O38" i="23" s="1"/>
  <c r="P45" i="16"/>
  <c r="P87"/>
  <c r="C936" i="22"/>
  <c r="B936"/>
  <c r="P43" i="16"/>
  <c r="B63" i="22"/>
  <c r="U15" i="16"/>
  <c r="C343" i="22"/>
  <c r="U68" i="16"/>
  <c r="D343" i="22"/>
  <c r="U112" i="16"/>
  <c r="U17"/>
  <c r="B125" i="22"/>
  <c r="C125" s="1"/>
  <c r="U69" i="16"/>
  <c r="C375" i="22"/>
  <c r="U25" i="16"/>
  <c r="B375" i="22"/>
  <c r="U19" i="16"/>
  <c r="B187" i="22"/>
  <c r="U21" i="16"/>
  <c r="B247" i="22"/>
  <c r="U72" i="16"/>
  <c r="C471" i="22"/>
  <c r="C622"/>
  <c r="S116" i="13"/>
  <c r="U77" i="16"/>
  <c r="U33"/>
  <c r="S97" i="13"/>
  <c r="B622" i="22"/>
  <c r="U27" i="16"/>
  <c r="B439" i="22"/>
  <c r="U26" i="16"/>
  <c r="B407" i="22"/>
  <c r="S96" i="13"/>
  <c r="U32" i="16"/>
  <c r="B592" i="22"/>
  <c r="C592" s="1"/>
  <c r="U71" i="16"/>
  <c r="C439" i="22"/>
  <c r="S94" i="13"/>
  <c r="U30" i="16"/>
  <c r="B532" i="22"/>
  <c r="C532" s="1"/>
  <c r="U66" i="16"/>
  <c r="C279" i="22"/>
  <c r="U22" i="16"/>
  <c r="B279" i="22"/>
  <c r="E279" s="1"/>
  <c r="S41" i="13"/>
  <c r="S40"/>
  <c r="S159"/>
  <c r="S43"/>
  <c r="S27"/>
  <c r="S156"/>
  <c r="S152"/>
  <c r="S142"/>
  <c r="S160"/>
  <c r="S42"/>
  <c r="S158"/>
  <c r="S150"/>
  <c r="S148"/>
  <c r="S157"/>
  <c r="S144"/>
  <c r="S146"/>
  <c r="S30"/>
  <c r="S143"/>
  <c r="S151"/>
  <c r="S149"/>
  <c r="S39"/>
  <c r="S145"/>
  <c r="S147"/>
  <c r="S36"/>
  <c r="S37"/>
  <c r="S33"/>
  <c r="S95" i="14" s="1"/>
  <c r="S32" i="13"/>
  <c r="S94" i="14" s="1"/>
  <c r="S26" i="13"/>
  <c r="S90" i="14" s="1"/>
  <c r="S35" i="13"/>
  <c r="S97" i="14" s="1"/>
  <c r="S34" i="13"/>
  <c r="S96" i="14" s="1"/>
  <c r="S28" i="13"/>
  <c r="S91" i="14" s="1"/>
  <c r="S25" i="13"/>
  <c r="S89" i="14" s="1"/>
  <c r="S38" i="13"/>
  <c r="S154"/>
  <c r="S153"/>
  <c r="S155"/>
  <c r="S31"/>
  <c r="S93" i="14" s="1"/>
  <c r="S29" i="13"/>
  <c r="S92" i="14" s="1"/>
  <c r="B1069" i="22"/>
  <c r="U47" i="16"/>
  <c r="U126"/>
  <c r="D781" i="22"/>
  <c r="B1005"/>
  <c r="D1005" s="1"/>
  <c r="T38" i="23" s="1"/>
  <c r="U45" i="16"/>
  <c r="B717" i="22"/>
  <c r="U36" i="16"/>
  <c r="U82"/>
  <c r="C781" i="22"/>
  <c r="F781"/>
  <c r="U291" i="16"/>
  <c r="D973" i="22"/>
  <c r="U297" i="16"/>
  <c r="B941" i="22"/>
  <c r="U43" i="16"/>
  <c r="B813" i="22"/>
  <c r="U39" i="16"/>
  <c r="H439" i="22"/>
  <c r="U280" i="16"/>
  <c r="U281"/>
  <c r="H471" i="22"/>
  <c r="C813"/>
  <c r="U83" i="16"/>
  <c r="B653" i="22"/>
  <c r="D653" s="1"/>
  <c r="U34" i="16"/>
  <c r="U293"/>
  <c r="D845" i="22"/>
  <c r="F1037"/>
  <c r="U299" i="16"/>
  <c r="U130"/>
  <c r="D909" i="22"/>
  <c r="B749"/>
  <c r="D749" s="1"/>
  <c r="T30" i="23" s="1"/>
  <c r="U37" i="16"/>
  <c r="U38"/>
  <c r="B781" i="22"/>
  <c r="V29" i="23"/>
  <c r="G719" i="22"/>
  <c r="F719"/>
  <c r="V9" i="23"/>
  <c r="H97" i="22"/>
  <c r="G97"/>
  <c r="V33" i="23"/>
  <c r="G847" i="22"/>
  <c r="F847"/>
  <c r="V14" i="23"/>
  <c r="H249" i="22"/>
  <c r="G249"/>
  <c r="V17" i="23"/>
  <c r="I345" i="22"/>
  <c r="H345"/>
  <c r="V19" i="23"/>
  <c r="L409" i="22"/>
  <c r="M409"/>
  <c r="K409"/>
  <c r="V11" i="23"/>
  <c r="F157" i="22"/>
  <c r="E157"/>
  <c r="V35" i="23"/>
  <c r="J911" i="22"/>
  <c r="I911"/>
  <c r="U17" i="23"/>
  <c r="I344" i="22"/>
  <c r="H344"/>
  <c r="D750"/>
  <c r="U30" i="23" s="1"/>
  <c r="D686" i="22"/>
  <c r="E45" i="19"/>
  <c r="E846" i="22"/>
  <c r="E48" i="19"/>
  <c r="H782" i="22"/>
  <c r="D342"/>
  <c r="T112" i="16"/>
  <c r="C342" i="22"/>
  <c r="T68" i="16"/>
  <c r="B124" i="22"/>
  <c r="C124" s="1"/>
  <c r="T17" i="16"/>
  <c r="B374" i="22"/>
  <c r="T25" i="16"/>
  <c r="T20"/>
  <c r="B216" i="22"/>
  <c r="C216" s="1"/>
  <c r="C374"/>
  <c r="T69" i="16"/>
  <c r="B154" i="22"/>
  <c r="T18" i="16"/>
  <c r="T21"/>
  <c r="B246" i="22"/>
  <c r="T77" i="16"/>
  <c r="R116" i="13"/>
  <c r="C621" i="22"/>
  <c r="D470"/>
  <c r="T116" i="16"/>
  <c r="T26"/>
  <c r="B406" i="22"/>
  <c r="T115" i="16"/>
  <c r="D438" i="22"/>
  <c r="T29" i="16"/>
  <c r="R93" i="13"/>
  <c r="B501" i="22"/>
  <c r="C501" s="1"/>
  <c r="T70" i="16"/>
  <c r="C406" i="22"/>
  <c r="T31" i="16"/>
  <c r="R95" i="13"/>
  <c r="B561" i="22"/>
  <c r="C561" s="1"/>
  <c r="T30" i="16"/>
  <c r="B531" i="22"/>
  <c r="C531" s="1"/>
  <c r="R94" i="13"/>
  <c r="T66" i="16"/>
  <c r="C278" i="22"/>
  <c r="T67" i="16"/>
  <c r="C310" i="22"/>
  <c r="T130" i="16"/>
  <c r="D908" i="22"/>
  <c r="B972"/>
  <c r="T44" i="16"/>
  <c r="F908" i="22"/>
  <c r="T295" i="16"/>
  <c r="C908" i="22"/>
  <c r="T86" i="16"/>
  <c r="T127"/>
  <c r="D812" i="22"/>
  <c r="B844"/>
  <c r="T40" i="16"/>
  <c r="B940" i="22"/>
  <c r="T43" i="16"/>
  <c r="B876" i="22"/>
  <c r="D876" s="1"/>
  <c r="S34" i="23" s="1"/>
  <c r="T41" i="16"/>
  <c r="H406" i="22"/>
  <c r="T279" i="16"/>
  <c r="T90"/>
  <c r="C1036" i="22"/>
  <c r="B812"/>
  <c r="T39" i="16"/>
  <c r="B716" i="22"/>
  <c r="T36" i="16"/>
  <c r="T46"/>
  <c r="B1036" i="22"/>
  <c r="T37" i="16"/>
  <c r="B748" i="22"/>
  <c r="D748" s="1"/>
  <c r="S30" i="23" s="1"/>
  <c r="B1068" i="22"/>
  <c r="T47" i="16"/>
  <c r="C1068" i="22"/>
  <c r="T91" i="16"/>
  <c r="F1036" i="22"/>
  <c r="T299" i="16"/>
  <c r="T135"/>
  <c r="D1068" i="22"/>
  <c r="S60" i="16"/>
  <c r="C93" i="22"/>
  <c r="S112" i="16"/>
  <c r="D341" i="22"/>
  <c r="C185"/>
  <c r="S63" i="16"/>
  <c r="B373" i="22"/>
  <c r="S25" i="16"/>
  <c r="B185" i="22"/>
  <c r="E185" s="1"/>
  <c r="S19" i="16"/>
  <c r="S17"/>
  <c r="B123" i="22"/>
  <c r="C123" s="1"/>
  <c r="S20" i="16"/>
  <c r="B215" i="22"/>
  <c r="C215" s="1"/>
  <c r="D437"/>
  <c r="S115" i="16"/>
  <c r="S31"/>
  <c r="Q95" i="13"/>
  <c r="B560" i="22"/>
  <c r="C560" s="1"/>
  <c r="S72" i="16"/>
  <c r="C469" i="22"/>
  <c r="S26" i="16"/>
  <c r="B405" i="22"/>
  <c r="D620"/>
  <c r="S121" i="16"/>
  <c r="Q130" i="13"/>
  <c r="B469" i="22"/>
  <c r="S28" i="16"/>
  <c r="Q116" i="13"/>
  <c r="S77" i="16"/>
  <c r="C620" i="22"/>
  <c r="C405"/>
  <c r="S70" i="16"/>
  <c r="S32"/>
  <c r="Q96" i="13"/>
  <c r="B590" i="22"/>
  <c r="C590" s="1"/>
  <c r="S66" i="16"/>
  <c r="C277" i="22"/>
  <c r="C309"/>
  <c r="S67" i="16"/>
  <c r="S280"/>
  <c r="H437" i="22"/>
  <c r="S299" i="16"/>
  <c r="F1035" i="22"/>
  <c r="S42" i="16"/>
  <c r="B907" i="22"/>
  <c r="C1067"/>
  <c r="S91" i="16"/>
  <c r="C1035" i="22"/>
  <c r="S90" i="16"/>
  <c r="Q40" i="13"/>
  <c r="Q158"/>
  <c r="Q148"/>
  <c r="Q42"/>
  <c r="Q157"/>
  <c r="Q149"/>
  <c r="Q41"/>
  <c r="Q27"/>
  <c r="Q152"/>
  <c r="Q147"/>
  <c r="Q143"/>
  <c r="Q156"/>
  <c r="Q151"/>
  <c r="Q160"/>
  <c r="Q142"/>
  <c r="Q150"/>
  <c r="Q43"/>
  <c r="Q145"/>
  <c r="Q39"/>
  <c r="Q159"/>
  <c r="Q30"/>
  <c r="Q144"/>
  <c r="Q146"/>
  <c r="Q154"/>
  <c r="Q155"/>
  <c r="Q38"/>
  <c r="Q29"/>
  <c r="Q92" i="14" s="1"/>
  <c r="Q153" i="13"/>
  <c r="Q36"/>
  <c r="Q33"/>
  <c r="Q95" i="14" s="1"/>
  <c r="Q37" i="13"/>
  <c r="Q32"/>
  <c r="Q94" i="14" s="1"/>
  <c r="Q35" i="13"/>
  <c r="Q97" i="14" s="1"/>
  <c r="Q34" i="13"/>
  <c r="Q96" i="14" s="1"/>
  <c r="Q26" i="13"/>
  <c r="Q90" i="14" s="1"/>
  <c r="Q28" i="13"/>
  <c r="Q91" i="14" s="1"/>
  <c r="Q31" i="13"/>
  <c r="Q93" i="14" s="1"/>
  <c r="Q25" i="13"/>
  <c r="Q89" i="14" s="1"/>
  <c r="H469" i="22"/>
  <c r="S281" i="16"/>
  <c r="D907" i="22"/>
  <c r="S130" i="16"/>
  <c r="C811" i="22"/>
  <c r="S83" i="16"/>
  <c r="B715" i="22"/>
  <c r="S36" i="16"/>
  <c r="D811" i="22"/>
  <c r="S127" i="16"/>
  <c r="S40"/>
  <c r="B843" i="22"/>
  <c r="S41" i="16"/>
  <c r="B875" i="22"/>
  <c r="D875" s="1"/>
  <c r="R34" i="23" s="1"/>
  <c r="S43" i="16"/>
  <c r="B939" i="22"/>
  <c r="S291" i="16"/>
  <c r="F779" i="22"/>
  <c r="S134" i="16"/>
  <c r="D1035" i="22"/>
  <c r="S135" i="16"/>
  <c r="D1067" i="22"/>
  <c r="D368"/>
  <c r="N113" i="16"/>
  <c r="N69"/>
  <c r="C368" i="22"/>
  <c r="B180"/>
  <c r="N19" i="16"/>
  <c r="N17"/>
  <c r="B118" i="22"/>
  <c r="C118" s="1"/>
  <c r="B56"/>
  <c r="N15" i="16"/>
  <c r="B148" i="22"/>
  <c r="N18" i="16"/>
  <c r="N16"/>
  <c r="B88" i="22"/>
  <c r="N31" i="16"/>
  <c r="L95" i="13"/>
  <c r="B555" i="22"/>
  <c r="C555" s="1"/>
  <c r="N72" i="16"/>
  <c r="C464" i="22"/>
  <c r="C615"/>
  <c r="L116" i="13"/>
  <c r="N77" i="16"/>
  <c r="C400" i="22"/>
  <c r="N70" i="16"/>
  <c r="N21"/>
  <c r="B240" i="22"/>
  <c r="L94" i="13"/>
  <c r="N30" i="16"/>
  <c r="B525" i="22"/>
  <c r="C525" s="1"/>
  <c r="N27" i="16"/>
  <c r="B432" i="22"/>
  <c r="C240"/>
  <c r="N65" i="16"/>
  <c r="L93" i="13"/>
  <c r="N29" i="16"/>
  <c r="B495" i="22"/>
  <c r="C495" s="1"/>
  <c r="N22" i="16"/>
  <c r="B272" i="22"/>
  <c r="N66" i="16"/>
  <c r="C272" i="22"/>
  <c r="B1030"/>
  <c r="N46" i="16"/>
  <c r="N135"/>
  <c r="D1062" i="22"/>
  <c r="D838"/>
  <c r="N293" i="16"/>
  <c r="N39"/>
  <c r="B806" i="22"/>
  <c r="N36" i="16"/>
  <c r="B710" i="22"/>
  <c r="N279" i="16"/>
  <c r="H400" i="22"/>
  <c r="B742"/>
  <c r="D742" s="1"/>
  <c r="M30" i="23" s="1"/>
  <c r="N37" i="16"/>
  <c r="B838" i="22"/>
  <c r="E838" s="1"/>
  <c r="N40" i="16"/>
  <c r="N38"/>
  <c r="B774" i="22"/>
  <c r="N47" i="16"/>
  <c r="B1062" i="22"/>
  <c r="D934"/>
  <c r="N131" i="16"/>
  <c r="C934" i="22"/>
  <c r="N87" i="16"/>
  <c r="C1030" i="22"/>
  <c r="N90" i="16"/>
  <c r="N35"/>
  <c r="B678" i="22"/>
  <c r="D678" s="1"/>
  <c r="N44" i="16"/>
  <c r="B966" i="22"/>
  <c r="N134" i="16"/>
  <c r="D1030" i="22"/>
  <c r="B902"/>
  <c r="N42" i="16"/>
  <c r="F902" i="22"/>
  <c r="N295" i="16"/>
  <c r="G933" i="22"/>
  <c r="D645"/>
  <c r="E709"/>
  <c r="G1061"/>
  <c r="G805"/>
  <c r="E837"/>
  <c r="H901"/>
  <c r="G901"/>
  <c r="F614"/>
  <c r="E614"/>
  <c r="I399"/>
  <c r="Q17" i="16"/>
  <c r="B121" i="22"/>
  <c r="C121" s="1"/>
  <c r="Q63" i="16"/>
  <c r="C183" i="22"/>
  <c r="D371"/>
  <c r="Q113" i="16"/>
  <c r="B183" i="22"/>
  <c r="Q19" i="16"/>
  <c r="Q69"/>
  <c r="C371" i="22"/>
  <c r="C339"/>
  <c r="Q68" i="16"/>
  <c r="B213" i="22"/>
  <c r="C213" s="1"/>
  <c r="Q20" i="16"/>
  <c r="Q116"/>
  <c r="D467" i="22"/>
  <c r="O95" i="13"/>
  <c r="Q31" i="16"/>
  <c r="B558" i="22"/>
  <c r="C558" s="1"/>
  <c r="D403"/>
  <c r="Q114" i="16"/>
  <c r="Q65"/>
  <c r="C243" i="22"/>
  <c r="Q121" i="16"/>
  <c r="D618" i="22"/>
  <c r="O130" i="13"/>
  <c r="Q70" i="16"/>
  <c r="C403" i="22"/>
  <c r="Q21" i="16"/>
  <c r="B243" i="22"/>
  <c r="Q29" i="16"/>
  <c r="O93" i="13"/>
  <c r="B498" i="22"/>
  <c r="C498" s="1"/>
  <c r="C435"/>
  <c r="Q71" i="16"/>
  <c r="Q67"/>
  <c r="C307" i="22"/>
  <c r="Q66" i="16"/>
  <c r="C275" i="22"/>
  <c r="H435"/>
  <c r="Q280" i="16"/>
  <c r="B809" i="22"/>
  <c r="Q39" i="16"/>
  <c r="Q279"/>
  <c r="H403" i="22"/>
  <c r="B649"/>
  <c r="D649" s="1"/>
  <c r="Q34" i="16"/>
  <c r="D905" i="22"/>
  <c r="Q130" i="16"/>
  <c r="Q87"/>
  <c r="C937" i="22"/>
  <c r="O146" i="13"/>
  <c r="O42"/>
  <c r="O142"/>
  <c r="O40"/>
  <c r="O160"/>
  <c r="O151"/>
  <c r="O143"/>
  <c r="O148"/>
  <c r="O158"/>
  <c r="O30"/>
  <c r="O147"/>
  <c r="O159"/>
  <c r="O145"/>
  <c r="O156"/>
  <c r="O39"/>
  <c r="O144"/>
  <c r="O41"/>
  <c r="O43"/>
  <c r="O27"/>
  <c r="O152"/>
  <c r="O157"/>
  <c r="O150"/>
  <c r="O149"/>
  <c r="O37"/>
  <c r="O38"/>
  <c r="O154"/>
  <c r="O29"/>
  <c r="O92" i="14" s="1"/>
  <c r="O26" i="13"/>
  <c r="O90" i="14" s="1"/>
  <c r="O155" i="13"/>
  <c r="O36"/>
  <c r="O32"/>
  <c r="O94" i="14" s="1"/>
  <c r="O153" i="13"/>
  <c r="O33"/>
  <c r="O95" i="14" s="1"/>
  <c r="O31" i="13"/>
  <c r="O93" i="14" s="1"/>
  <c r="O34" i="13"/>
  <c r="O96" i="14" s="1"/>
  <c r="O28" i="13"/>
  <c r="O91" i="14" s="1"/>
  <c r="O35" i="13"/>
  <c r="O97" i="14" s="1"/>
  <c r="O25" i="13"/>
  <c r="O89" i="14" s="1"/>
  <c r="Q44" i="16"/>
  <c r="B969" i="22"/>
  <c r="Q281" i="16"/>
  <c r="H467" i="22"/>
  <c r="D841"/>
  <c r="Q293" i="16"/>
  <c r="B905" i="22"/>
  <c r="Q42" i="16"/>
  <c r="Q131"/>
  <c r="D937" i="22"/>
  <c r="Q134" i="16"/>
  <c r="D1033" i="22"/>
  <c r="C1033"/>
  <c r="Q90" i="16"/>
  <c r="B873" i="22"/>
  <c r="D873" s="1"/>
  <c r="P34" i="23" s="1"/>
  <c r="Q41" i="16"/>
  <c r="C1065" i="22"/>
  <c r="Q91" i="16"/>
  <c r="D713" i="22"/>
  <c r="Q289" i="16"/>
  <c r="D809" i="22"/>
  <c r="Q127" i="16"/>
  <c r="E342"/>
  <c r="E343"/>
  <c r="E326"/>
  <c r="B679" i="22"/>
  <c r="D679" s="1"/>
  <c r="O35" i="16"/>
  <c r="C935" i="22"/>
  <c r="O87" i="16"/>
  <c r="D935" i="22"/>
  <c r="O131" i="16"/>
  <c r="O41"/>
  <c r="B871" i="22"/>
  <c r="D871" s="1"/>
  <c r="N34" i="23" s="1"/>
  <c r="B775" i="22"/>
  <c r="O38" i="16"/>
  <c r="O40"/>
  <c r="B839" i="22"/>
  <c r="E839" s="1"/>
  <c r="P113" i="16"/>
  <c r="D370" i="22"/>
  <c r="P69" i="16"/>
  <c r="C370" i="22"/>
  <c r="P18" i="16"/>
  <c r="B150" i="22"/>
  <c r="P112" i="16"/>
  <c r="D338" i="22"/>
  <c r="B90"/>
  <c r="P16" i="16"/>
  <c r="P20"/>
  <c r="B212" i="22"/>
  <c r="C212" s="1"/>
  <c r="P17" i="16"/>
  <c r="B120" i="22"/>
  <c r="C120" s="1"/>
  <c r="N116" i="13"/>
  <c r="C617" i="22"/>
  <c r="P77" i="16"/>
  <c r="D466" i="22"/>
  <c r="P116" i="16"/>
  <c r="N130" i="13"/>
  <c r="P121" i="16"/>
  <c r="D617" i="22"/>
  <c r="P21" i="16"/>
  <c r="B242" i="22"/>
  <c r="N97" i="13"/>
  <c r="P33" i="16"/>
  <c r="B617" i="22"/>
  <c r="C242"/>
  <c r="P65" i="16"/>
  <c r="N95" i="13"/>
  <c r="P31" i="16"/>
  <c r="B557" i="22"/>
  <c r="C557" s="1"/>
  <c r="P28" i="16"/>
  <c r="B466" i="22"/>
  <c r="C402"/>
  <c r="P70" i="16"/>
  <c r="P66"/>
  <c r="C274" i="22"/>
  <c r="B306"/>
  <c r="E306" s="1"/>
  <c r="P23" i="16"/>
  <c r="P36"/>
  <c r="B712" i="22"/>
  <c r="B808"/>
  <c r="P39" i="16"/>
  <c r="B648" i="22"/>
  <c r="D648" s="1"/>
  <c r="P34" i="16"/>
  <c r="P289"/>
  <c r="D712" i="22"/>
  <c r="P35" i="16"/>
  <c r="B680" i="22"/>
  <c r="D680" s="1"/>
  <c r="B744"/>
  <c r="D744" s="1"/>
  <c r="O30" i="23" s="1"/>
  <c r="P37" i="16"/>
  <c r="B872" i="22"/>
  <c r="D872" s="1"/>
  <c r="O34" i="23" s="1"/>
  <c r="P41" i="16"/>
  <c r="F904" i="22"/>
  <c r="P295" i="16"/>
  <c r="P291"/>
  <c r="F776" i="22"/>
  <c r="H434"/>
  <c r="P280" i="16"/>
  <c r="C1032" i="22"/>
  <c r="P90" i="16"/>
  <c r="P46"/>
  <c r="B1032" i="22"/>
  <c r="P47" i="16"/>
  <c r="B1064" i="22"/>
  <c r="B840"/>
  <c r="P40" i="16"/>
  <c r="D1064" i="22"/>
  <c r="P135" i="16"/>
  <c r="P127"/>
  <c r="D808" i="22"/>
  <c r="P131" i="16"/>
  <c r="D936" i="22"/>
  <c r="F1032"/>
  <c r="P299" i="16"/>
  <c r="U24"/>
  <c r="B343" i="22"/>
  <c r="F343" s="1"/>
  <c r="C95"/>
  <c r="U60" i="16"/>
  <c r="U16"/>
  <c r="B95" i="22"/>
  <c r="U20" i="16"/>
  <c r="B217" i="22"/>
  <c r="C217" s="1"/>
  <c r="U113" i="16"/>
  <c r="D375" i="22"/>
  <c r="B155"/>
  <c r="U18" i="16"/>
  <c r="U63"/>
  <c r="C187" i="22"/>
  <c r="S93" i="13"/>
  <c r="B502" i="22"/>
  <c r="C502" s="1"/>
  <c r="U29" i="16"/>
  <c r="C247" i="22"/>
  <c r="U65" i="16"/>
  <c r="S130" i="13"/>
  <c r="D622" i="22"/>
  <c r="U121" i="16"/>
  <c r="U116"/>
  <c r="D471" i="22"/>
  <c r="D439"/>
  <c r="U115" i="16"/>
  <c r="U114"/>
  <c r="D407" i="22"/>
  <c r="S95" i="13"/>
  <c r="B562" i="22"/>
  <c r="C562" s="1"/>
  <c r="U31" i="16"/>
  <c r="U70"/>
  <c r="C407" i="22"/>
  <c r="B471"/>
  <c r="U28" i="16"/>
  <c r="U23"/>
  <c r="B311" i="22"/>
  <c r="C311"/>
  <c r="U67" i="16"/>
  <c r="U46"/>
  <c r="B1037" i="22"/>
  <c r="U131" i="16"/>
  <c r="D941" i="22"/>
  <c r="B845"/>
  <c r="U40" i="16"/>
  <c r="C1069" i="22"/>
  <c r="U91" i="16"/>
  <c r="D1037" i="22"/>
  <c r="U134" i="16"/>
  <c r="D717" i="22"/>
  <c r="U289" i="16"/>
  <c r="B909" i="22"/>
  <c r="U42" i="16"/>
  <c r="U41"/>
  <c r="B877" i="22"/>
  <c r="D877" s="1"/>
  <c r="T34" i="23" s="1"/>
  <c r="U279" i="16"/>
  <c r="H407" i="22"/>
  <c r="B685"/>
  <c r="D685" s="1"/>
  <c r="U35" i="16"/>
  <c r="F909" i="22"/>
  <c r="U295" i="16"/>
  <c r="C909" i="22"/>
  <c r="U86" i="16"/>
  <c r="D1069" i="22"/>
  <c r="U135" i="16"/>
  <c r="U87"/>
  <c r="C941" i="22"/>
  <c r="U44" i="16"/>
  <c r="B973" i="22"/>
  <c r="U127" i="16"/>
  <c r="D813" i="22"/>
  <c r="U90" i="16"/>
  <c r="C1037" i="22"/>
  <c r="U11" i="23"/>
  <c r="F156" i="22"/>
  <c r="E156"/>
  <c r="H910"/>
  <c r="U24" i="23"/>
  <c r="D563" i="22"/>
  <c r="U14" i="23"/>
  <c r="H248" i="22"/>
  <c r="G248"/>
  <c r="F623"/>
  <c r="E623"/>
  <c r="G942"/>
  <c r="U36" i="23" s="1"/>
  <c r="D878" i="22"/>
  <c r="U34" i="23" s="1"/>
  <c r="E974" i="22"/>
  <c r="E42" i="19"/>
  <c r="J408" i="22"/>
  <c r="T24" i="16"/>
  <c r="B342" i="22"/>
  <c r="C94"/>
  <c r="T60" i="16"/>
  <c r="B94" i="22"/>
  <c r="E94" s="1"/>
  <c r="T16" i="16"/>
  <c r="B62" i="22"/>
  <c r="T15" i="16"/>
  <c r="D374" i="22"/>
  <c r="T113" i="16"/>
  <c r="B186" i="22"/>
  <c r="T19" i="16"/>
  <c r="T63"/>
  <c r="C186" i="22"/>
  <c r="T71" i="16"/>
  <c r="C438" i="22"/>
  <c r="T121" i="16"/>
  <c r="D621" i="22"/>
  <c r="R130" i="13"/>
  <c r="T33" i="16"/>
  <c r="R97" i="13"/>
  <c r="B621" i="22"/>
  <c r="C470"/>
  <c r="T72" i="16"/>
  <c r="T114"/>
  <c r="D406" i="22"/>
  <c r="C246"/>
  <c r="T65" i="16"/>
  <c r="T28"/>
  <c r="B470" i="22"/>
  <c r="T27" i="16"/>
  <c r="B438" i="22"/>
  <c r="R96" i="13"/>
  <c r="T32" i="16"/>
  <c r="B591" i="22"/>
  <c r="C591" s="1"/>
  <c r="B278"/>
  <c r="E278" s="1"/>
  <c r="T22" i="16"/>
  <c r="B310" i="22"/>
  <c r="E310" s="1"/>
  <c r="T23" i="16"/>
  <c r="R30" i="13"/>
  <c r="R42"/>
  <c r="R148"/>
  <c r="R144"/>
  <c r="R27"/>
  <c r="R157"/>
  <c r="R143"/>
  <c r="R147"/>
  <c r="R160"/>
  <c r="R152"/>
  <c r="R146"/>
  <c r="R155"/>
  <c r="R34"/>
  <c r="R96" i="14" s="1"/>
  <c r="R31" i="13"/>
  <c r="R93" i="14" s="1"/>
  <c r="R35" i="13"/>
  <c r="R97" i="14" s="1"/>
  <c r="R26" i="13"/>
  <c r="R90" i="14" s="1"/>
  <c r="R25" i="13"/>
  <c r="R89" i="14" s="1"/>
  <c r="R150" i="13"/>
  <c r="R158"/>
  <c r="R40"/>
  <c r="R142"/>
  <c r="R43"/>
  <c r="R156"/>
  <c r="R41"/>
  <c r="R39"/>
  <c r="R149"/>
  <c r="R145"/>
  <c r="R159"/>
  <c r="R151"/>
  <c r="R153"/>
  <c r="R36"/>
  <c r="R154"/>
  <c r="R32"/>
  <c r="R94" i="14" s="1"/>
  <c r="R38" i="13"/>
  <c r="R37"/>
  <c r="R33"/>
  <c r="R95" i="14" s="1"/>
  <c r="R28" i="13"/>
  <c r="R91" i="14" s="1"/>
  <c r="R29" i="13"/>
  <c r="R92" i="14" s="1"/>
  <c r="T131" i="16"/>
  <c r="D940" i="22"/>
  <c r="T280" i="16"/>
  <c r="H438" i="22"/>
  <c r="T87" i="16"/>
  <c r="C940" i="22"/>
  <c r="B908"/>
  <c r="T42" i="16"/>
  <c r="B1004" i="22"/>
  <c r="D1004" s="1"/>
  <c r="S38" i="23" s="1"/>
  <c r="T45" i="16"/>
  <c r="C812" i="22"/>
  <c r="T83" i="16"/>
  <c r="T297"/>
  <c r="D972" i="22"/>
  <c r="T34" i="16"/>
  <c r="B652" i="22"/>
  <c r="D652" s="1"/>
  <c r="T134" i="16"/>
  <c r="D1036" i="22"/>
  <c r="T281" i="16"/>
  <c r="H470" i="22"/>
  <c r="T293" i="16"/>
  <c r="D844" i="22"/>
  <c r="C780"/>
  <c r="T82" i="16"/>
  <c r="T291"/>
  <c r="F780" i="22"/>
  <c r="T35" i="16"/>
  <c r="B684" i="22"/>
  <c r="D684" s="1"/>
  <c r="T289" i="16"/>
  <c r="D716" i="22"/>
  <c r="B780"/>
  <c r="T38" i="16"/>
  <c r="D780" i="22"/>
  <c r="T126" i="16"/>
  <c r="S24"/>
  <c r="B341" i="22"/>
  <c r="B153"/>
  <c r="S18" i="16"/>
  <c r="S68"/>
  <c r="C341" i="22"/>
  <c r="B93"/>
  <c r="S16" i="16"/>
  <c r="S15"/>
  <c r="B61" i="22"/>
  <c r="S69" i="16"/>
  <c r="C373" i="22"/>
  <c r="S113" i="16"/>
  <c r="D373" i="22"/>
  <c r="S71" i="16"/>
  <c r="C437" i="22"/>
  <c r="C245"/>
  <c r="S65" i="16"/>
  <c r="S33"/>
  <c r="Q97" i="13"/>
  <c r="B620" i="22"/>
  <c r="D469"/>
  <c r="S116" i="16"/>
  <c r="B437" i="22"/>
  <c r="S27" i="16"/>
  <c r="S30"/>
  <c r="Q94" i="13"/>
  <c r="B530" i="22"/>
  <c r="C530" s="1"/>
  <c r="S114" i="16"/>
  <c r="D405" i="22"/>
  <c r="S29" i="16"/>
  <c r="B500" i="22"/>
  <c r="C500" s="1"/>
  <c r="Q93" i="13"/>
  <c r="B245" i="22"/>
  <c r="S21" i="16"/>
  <c r="B277" i="22"/>
  <c r="S22" i="16"/>
  <c r="B309" i="22"/>
  <c r="S23" i="16"/>
  <c r="S35"/>
  <c r="B683" i="22"/>
  <c r="D683" s="1"/>
  <c r="S38" i="16"/>
  <c r="B779" i="22"/>
  <c r="S39" i="16"/>
  <c r="B811" i="22"/>
  <c r="D779"/>
  <c r="S126" i="16"/>
  <c r="B1067" i="22"/>
  <c r="S47" i="16"/>
  <c r="B747" i="22"/>
  <c r="D747" s="1"/>
  <c r="R30" i="23" s="1"/>
  <c r="S37" i="16"/>
  <c r="S44"/>
  <c r="B971" i="22"/>
  <c r="S289" i="16"/>
  <c r="D715" i="22"/>
  <c r="H405"/>
  <c r="S279" i="16"/>
  <c r="C907" i="22"/>
  <c r="S86" i="16"/>
  <c r="S87"/>
  <c r="C939" i="22"/>
  <c r="B651"/>
  <c r="D651" s="1"/>
  <c r="S34" i="16"/>
  <c r="D843" i="22"/>
  <c r="S293" i="16"/>
  <c r="S82"/>
  <c r="C779" i="22"/>
  <c r="S131" i="16"/>
  <c r="D939" i="22"/>
  <c r="S45" i="16"/>
  <c r="B1003" i="22"/>
  <c r="D1003" s="1"/>
  <c r="R38" i="23" s="1"/>
  <c r="S46" i="16"/>
  <c r="B1035" i="22"/>
  <c r="S295" i="16"/>
  <c r="F907" i="22"/>
  <c r="D971"/>
  <c r="S297" i="16"/>
  <c r="N25"/>
  <c r="B368" i="22"/>
  <c r="N20" i="16"/>
  <c r="B210" i="22"/>
  <c r="C210" s="1"/>
  <c r="C180"/>
  <c r="N63" i="16"/>
  <c r="D336" i="22"/>
  <c r="N112" i="16"/>
  <c r="C336" i="22"/>
  <c r="N68" i="16"/>
  <c r="B336" i="22"/>
  <c r="F336" s="1"/>
  <c r="N24" i="16"/>
  <c r="N60"/>
  <c r="C88" i="22"/>
  <c r="N33" i="16"/>
  <c r="L97" i="13"/>
  <c r="B615" i="22"/>
  <c r="D464"/>
  <c r="N116" i="16"/>
  <c r="N32"/>
  <c r="L96" i="13"/>
  <c r="B585" i="22"/>
  <c r="C585" s="1"/>
  <c r="N114" i="16"/>
  <c r="D400" i="22"/>
  <c r="D432"/>
  <c r="N115" i="16"/>
  <c r="B464" i="22"/>
  <c r="N28" i="16"/>
  <c r="B400" i="22"/>
  <c r="N26" i="16"/>
  <c r="N71"/>
  <c r="C432" i="22"/>
  <c r="N121" i="16"/>
  <c r="D615" i="22"/>
  <c r="L130" i="13"/>
  <c r="B304" i="22"/>
  <c r="N23" i="16"/>
  <c r="N67"/>
  <c r="C304" i="22"/>
  <c r="N281" i="16"/>
  <c r="H464" i="22"/>
  <c r="B870"/>
  <c r="D870" s="1"/>
  <c r="M34" i="23" s="1"/>
  <c r="N41" i="16"/>
  <c r="N126"/>
  <c r="D774" i="22"/>
  <c r="L147" i="13"/>
  <c r="L148"/>
  <c r="L158"/>
  <c r="L149"/>
  <c r="L42"/>
  <c r="L143"/>
  <c r="L144"/>
  <c r="L30"/>
  <c r="L40"/>
  <c r="L160"/>
  <c r="L151"/>
  <c r="L142"/>
  <c r="L146"/>
  <c r="L27"/>
  <c r="L152"/>
  <c r="L43"/>
  <c r="L41"/>
  <c r="L156"/>
  <c r="L157"/>
  <c r="L159"/>
  <c r="L39"/>
  <c r="L145"/>
  <c r="L150"/>
  <c r="L36"/>
  <c r="L37"/>
  <c r="L155"/>
  <c r="L33"/>
  <c r="L95" i="14" s="1"/>
  <c r="L35" i="13"/>
  <c r="L97" i="14" s="1"/>
  <c r="L31" i="13"/>
  <c r="L93" i="14" s="1"/>
  <c r="L26" i="13"/>
  <c r="L90" i="14" s="1"/>
  <c r="L38" i="13"/>
  <c r="L153"/>
  <c r="L154"/>
  <c r="L32"/>
  <c r="L94" i="14" s="1"/>
  <c r="L29" i="13"/>
  <c r="L92" i="14" s="1"/>
  <c r="L34" i="13"/>
  <c r="L96" i="14" s="1"/>
  <c r="L28" i="13"/>
  <c r="L91" i="14" s="1"/>
  <c r="L25" i="13"/>
  <c r="L89" i="14" s="1"/>
  <c r="D710" i="22"/>
  <c r="N289" i="16"/>
  <c r="F1030" i="22"/>
  <c r="N299" i="16"/>
  <c r="D966" i="22"/>
  <c r="N297" i="16"/>
  <c r="H432" i="22"/>
  <c r="N280" i="16"/>
  <c r="B646" i="22"/>
  <c r="D646" s="1"/>
  <c r="N34" i="16"/>
  <c r="N91"/>
  <c r="C1062" i="22"/>
  <c r="N43" i="16"/>
  <c r="B934" i="22"/>
  <c r="B998"/>
  <c r="D998" s="1"/>
  <c r="M38" i="23" s="1"/>
  <c r="N45" i="16"/>
  <c r="F774" i="22"/>
  <c r="N291" i="16"/>
  <c r="N83"/>
  <c r="C806" i="22"/>
  <c r="D806"/>
  <c r="N127" i="16"/>
  <c r="D902" i="22"/>
  <c r="N130" i="16"/>
  <c r="N86"/>
  <c r="C902" i="22"/>
  <c r="N82" i="16"/>
  <c r="C774" i="22"/>
  <c r="C494"/>
  <c r="I463"/>
  <c r="C209"/>
  <c r="E87"/>
  <c r="V12" i="23"/>
  <c r="H189" i="22"/>
  <c r="G189"/>
  <c r="V21" i="23"/>
  <c r="L473" i="22"/>
  <c r="M473"/>
  <c r="K473"/>
  <c r="V8" i="23"/>
  <c r="F65" i="22"/>
  <c r="E65"/>
  <c r="V37" i="23"/>
  <c r="G975" i="22"/>
  <c r="F975"/>
  <c r="V27" i="23"/>
  <c r="F655" i="22"/>
  <c r="E655"/>
  <c r="V39" i="23"/>
  <c r="J1039" i="22"/>
  <c r="I1039"/>
  <c r="V31" i="23"/>
  <c r="J783" i="22"/>
  <c r="I783"/>
  <c r="V20" i="23"/>
  <c r="L441" i="22"/>
  <c r="M441"/>
  <c r="K441"/>
  <c r="V18" i="23"/>
  <c r="I377" i="22"/>
  <c r="H377"/>
  <c r="Q16" i="16"/>
  <c r="B91" i="22"/>
  <c r="B371"/>
  <c r="Q25" i="16"/>
  <c r="B59" i="22"/>
  <c r="Q15" i="16"/>
  <c r="D339" i="22"/>
  <c r="Q112" i="16"/>
  <c r="Q18"/>
  <c r="B151" i="22"/>
  <c r="B339"/>
  <c r="Q24" i="16"/>
  <c r="C91" i="22"/>
  <c r="Q60" i="16"/>
  <c r="O94" i="13"/>
  <c r="B528" i="22"/>
  <c r="C528" s="1"/>
  <c r="Q30" i="16"/>
  <c r="B403" i="22"/>
  <c r="Q26" i="16"/>
  <c r="O97" i="13"/>
  <c r="B618" i="22"/>
  <c r="Q33" i="16"/>
  <c r="B435" i="22"/>
  <c r="Q27" i="16"/>
  <c r="Q77"/>
  <c r="C618" i="22"/>
  <c r="O116" i="13"/>
  <c r="B467" i="22"/>
  <c r="Q28" i="16"/>
  <c r="D435" i="22"/>
  <c r="Q115" i="16"/>
  <c r="Q32"/>
  <c r="O96" i="13"/>
  <c r="B588" i="22"/>
  <c r="C588" s="1"/>
  <c r="C467"/>
  <c r="Q72" i="16"/>
  <c r="Q23"/>
  <c r="B307" i="22"/>
  <c r="E307" s="1"/>
  <c r="B275"/>
  <c r="Q22" i="16"/>
  <c r="Q46"/>
  <c r="B1033" i="22"/>
  <c r="Q83" i="16"/>
  <c r="C809" i="22"/>
  <c r="Q135" i="16"/>
  <c r="D1065" i="22"/>
  <c r="Q126" i="16"/>
  <c r="D777" i="22"/>
  <c r="Q45" i="16"/>
  <c r="B1001" i="22"/>
  <c r="D1001" s="1"/>
  <c r="P38" i="23" s="1"/>
  <c r="F905" i="22"/>
  <c r="Q295" i="16"/>
  <c r="B681" i="22"/>
  <c r="D681" s="1"/>
  <c r="Q35" i="16"/>
  <c r="B841" i="22"/>
  <c r="Q40" i="16"/>
  <c r="B713" i="22"/>
  <c r="Q36" i="16"/>
  <c r="Q43"/>
  <c r="B937" i="22"/>
  <c r="Q37" i="16"/>
  <c r="B745" i="22"/>
  <c r="D745" s="1"/>
  <c r="P30" i="23" s="1"/>
  <c r="F1033" i="22"/>
  <c r="Q299" i="16"/>
  <c r="C777" i="22"/>
  <c r="Q82" i="16"/>
  <c r="F777" i="22"/>
  <c r="Q291" i="16"/>
  <c r="B1065" i="22"/>
  <c r="Q47" i="16"/>
  <c r="D969" i="22"/>
  <c r="Q297" i="16"/>
  <c r="Q86"/>
  <c r="C905" i="22"/>
  <c r="Q38" i="16"/>
  <c r="B777" i="22"/>
  <c r="E335" i="16"/>
  <c r="E340"/>
  <c r="E275" i="22" l="1"/>
  <c r="F339"/>
  <c r="E277"/>
  <c r="B315" i="16"/>
  <c r="B12" i="18" s="1"/>
  <c r="B140" s="1"/>
  <c r="C323" i="16"/>
  <c r="C20" i="18" s="1"/>
  <c r="B181" s="1"/>
  <c r="C319" i="16"/>
  <c r="G811" i="22"/>
  <c r="R32" i="23" s="1"/>
  <c r="F342" i="22"/>
  <c r="P28" i="23"/>
  <c r="F681" i="22"/>
  <c r="E681"/>
  <c r="R28" i="23"/>
  <c r="F683" i="22"/>
  <c r="E683"/>
  <c r="N28" i="23"/>
  <c r="F679" i="22"/>
  <c r="E679"/>
  <c r="M28" i="23"/>
  <c r="F678" i="22"/>
  <c r="E678"/>
  <c r="U28" i="23"/>
  <c r="F686" i="22"/>
  <c r="E686"/>
  <c r="S28" i="23"/>
  <c r="F684" i="22"/>
  <c r="E684"/>
  <c r="T28" i="23"/>
  <c r="F685" i="22"/>
  <c r="E685"/>
  <c r="O28" i="23"/>
  <c r="F680" i="22"/>
  <c r="E680"/>
  <c r="F677"/>
  <c r="E677"/>
  <c r="S25" i="23"/>
  <c r="D591" i="22"/>
  <c r="T25" i="23"/>
  <c r="D592" i="22"/>
  <c r="P25" i="23"/>
  <c r="D588" i="22"/>
  <c r="M25" i="23"/>
  <c r="D585" i="22"/>
  <c r="R25" i="23"/>
  <c r="D590" i="22"/>
  <c r="O25" i="23"/>
  <c r="D587" i="22"/>
  <c r="N25" i="23"/>
  <c r="D586" i="22"/>
  <c r="E304"/>
  <c r="E305"/>
  <c r="E309"/>
  <c r="E311"/>
  <c r="E272"/>
  <c r="E274"/>
  <c r="E273"/>
  <c r="D339" i="16"/>
  <c r="D36" i="18" s="1"/>
  <c r="B230" s="1"/>
  <c r="H326" i="16"/>
  <c r="H30" i="19" s="1"/>
  <c r="H89" s="1"/>
  <c r="H411" i="22" s="1"/>
  <c r="H413" s="1"/>
  <c r="B339" i="16"/>
  <c r="B36" i="18" s="1"/>
  <c r="B164" s="1"/>
  <c r="D325" i="16"/>
  <c r="D22" i="18" s="1"/>
  <c r="B216" s="1"/>
  <c r="E713" i="22"/>
  <c r="P29" i="23" s="1"/>
  <c r="E841" i="22"/>
  <c r="P33" i="23" s="1"/>
  <c r="D347" i="16"/>
  <c r="D51" i="19" s="1"/>
  <c r="F371" i="22"/>
  <c r="D342" i="16"/>
  <c r="D46" i="19" s="1"/>
  <c r="G934" i="22"/>
  <c r="M36" i="23" s="1"/>
  <c r="G1067" i="22"/>
  <c r="R40" i="23" s="1"/>
  <c r="I437" i="22"/>
  <c r="E973"/>
  <c r="G973" s="1"/>
  <c r="E840"/>
  <c r="O33" i="23" s="1"/>
  <c r="E90" i="22"/>
  <c r="B343" i="16"/>
  <c r="B47" i="19" s="1"/>
  <c r="D338" i="16"/>
  <c r="D35" i="18" s="1"/>
  <c r="B229" s="1"/>
  <c r="D327" i="16"/>
  <c r="D24" i="18" s="1"/>
  <c r="B218" s="1"/>
  <c r="B326" i="16"/>
  <c r="B23" i="18" s="1"/>
  <c r="B151" s="1"/>
  <c r="B334" i="16"/>
  <c r="B31" i="18" s="1"/>
  <c r="B159" s="1"/>
  <c r="H327" i="16"/>
  <c r="H31" i="19" s="1"/>
  <c r="H90" s="1"/>
  <c r="H443" i="22" s="1"/>
  <c r="H445" s="1"/>
  <c r="H336" i="16"/>
  <c r="H40" i="19" s="1"/>
  <c r="H99" s="1"/>
  <c r="D721" i="22" s="1"/>
  <c r="D723" s="1"/>
  <c r="B341" i="16"/>
  <c r="B38" i="18" s="1"/>
  <c r="B166" s="1"/>
  <c r="D333" i="16"/>
  <c r="D30" i="18" s="1"/>
  <c r="B224" s="1"/>
  <c r="C321" i="16"/>
  <c r="C18" i="18" s="1"/>
  <c r="B179" s="1"/>
  <c r="D324" i="16"/>
  <c r="D21" i="18" s="1"/>
  <c r="B215" s="1"/>
  <c r="C325" i="16"/>
  <c r="C22" i="18" s="1"/>
  <c r="B183" s="1"/>
  <c r="B342" i="16"/>
  <c r="B46" i="19" s="1"/>
  <c r="C339" i="16"/>
  <c r="C43" i="19" s="1"/>
  <c r="H344" i="16"/>
  <c r="H48" i="19" s="1"/>
  <c r="H107" s="1"/>
  <c r="D977" i="22" s="1"/>
  <c r="D979" s="1"/>
  <c r="B347" i="16"/>
  <c r="B51" i="19" s="1"/>
  <c r="H338" i="16"/>
  <c r="H42" i="19" s="1"/>
  <c r="H101" s="1"/>
  <c r="F785" i="22" s="1"/>
  <c r="F787" s="1"/>
  <c r="H346" i="16"/>
  <c r="H50" i="19" s="1"/>
  <c r="G937" i="22"/>
  <c r="P36" i="23" s="1"/>
  <c r="B336" i="16"/>
  <c r="B40" i="19" s="1"/>
  <c r="B340" i="16"/>
  <c r="B37" i="18" s="1"/>
  <c r="B165" s="1"/>
  <c r="H342" i="16"/>
  <c r="H46" i="19" s="1"/>
  <c r="H105" s="1"/>
  <c r="F913" i="22" s="1"/>
  <c r="F915" s="1"/>
  <c r="I403"/>
  <c r="C347" i="16"/>
  <c r="C51" i="19" s="1"/>
  <c r="H328" i="16"/>
  <c r="H32" i="19" s="1"/>
  <c r="H91" s="1"/>
  <c r="H475" i="22" s="1"/>
  <c r="H477" s="1"/>
  <c r="C324" i="16"/>
  <c r="C21" i="18" s="1"/>
  <c r="B182" s="1"/>
  <c r="F368" i="22"/>
  <c r="B329" i="16"/>
  <c r="B37" i="17" s="1"/>
  <c r="E93" i="22"/>
  <c r="E845"/>
  <c r="G845" s="1"/>
  <c r="I471"/>
  <c r="C326" i="16"/>
  <c r="C23" i="18" s="1"/>
  <c r="B184" s="1"/>
  <c r="I466" i="22"/>
  <c r="E181"/>
  <c r="D328" i="16"/>
  <c r="D25" i="18" s="1"/>
  <c r="B219" s="1"/>
  <c r="I467" i="22"/>
  <c r="E91"/>
  <c r="E95"/>
  <c r="G1064"/>
  <c r="O40" i="23" s="1"/>
  <c r="B345" i="16"/>
  <c r="B42" i="18" s="1"/>
  <c r="B170" s="1"/>
  <c r="B333" i="16"/>
  <c r="B30" i="18" s="1"/>
  <c r="B158" s="1"/>
  <c r="D326" i="16"/>
  <c r="D23" i="18" s="1"/>
  <c r="B217" s="1"/>
  <c r="B320" i="16"/>
  <c r="B17" i="18" s="1"/>
  <c r="B145" s="1"/>
  <c r="B316" i="16"/>
  <c r="B13" i="18" s="1"/>
  <c r="B141" s="1"/>
  <c r="C333" i="16"/>
  <c r="B41" i="17" s="1"/>
  <c r="E183" i="22"/>
  <c r="C346" i="16"/>
  <c r="C50" i="19" s="1"/>
  <c r="C343" i="16"/>
  <c r="C40" i="18" s="1"/>
  <c r="B201" s="1"/>
  <c r="B337" i="16"/>
  <c r="B41" i="19" s="1"/>
  <c r="H340" i="16"/>
  <c r="H44" i="19" s="1"/>
  <c r="H103" s="1"/>
  <c r="D849" i="22" s="1"/>
  <c r="D851" s="1"/>
  <c r="B346" i="16"/>
  <c r="B50" i="19" s="1"/>
  <c r="B330" i="16"/>
  <c r="B27" i="18" s="1"/>
  <c r="B155" s="1"/>
  <c r="C327" i="16"/>
  <c r="C24" i="18" s="1"/>
  <c r="B185" s="1"/>
  <c r="E182" i="22"/>
  <c r="E967"/>
  <c r="G967" s="1"/>
  <c r="C338" i="16"/>
  <c r="C42" i="19" s="1"/>
  <c r="C342" i="16"/>
  <c r="C39" i="18" s="1"/>
  <c r="B200" s="1"/>
  <c r="B328" i="16"/>
  <c r="B25" i="18" s="1"/>
  <c r="B153" s="1"/>
  <c r="B332" i="16"/>
  <c r="B40" i="17" s="1"/>
  <c r="B324" i="16"/>
  <c r="B21" i="18" s="1"/>
  <c r="B149" s="1"/>
  <c r="E971" i="22"/>
  <c r="G971" s="1"/>
  <c r="B323" i="16"/>
  <c r="B20" i="18" s="1"/>
  <c r="B148" s="1"/>
  <c r="C316" i="16"/>
  <c r="C13" i="18" s="1"/>
  <c r="B174" s="1"/>
  <c r="D343" i="16"/>
  <c r="D40" i="18" s="1"/>
  <c r="B234" s="1"/>
  <c r="D346" i="16"/>
  <c r="D50" i="19" s="1"/>
  <c r="B344" i="16"/>
  <c r="B48" i="19" s="1"/>
  <c r="B335" i="16"/>
  <c r="B32" i="18" s="1"/>
  <c r="B160" s="1"/>
  <c r="B338" i="16"/>
  <c r="B35" i="18" s="1"/>
  <c r="B163" s="1"/>
  <c r="C322" i="16"/>
  <c r="C19" i="18" s="1"/>
  <c r="B180" s="1"/>
  <c r="B322" i="16"/>
  <c r="B19" i="18" s="1"/>
  <c r="B147" s="1"/>
  <c r="B331" i="16"/>
  <c r="B39" i="17" s="1"/>
  <c r="B327" i="16"/>
  <c r="B24" i="18" s="1"/>
  <c r="B152" s="1"/>
  <c r="C328" i="16"/>
  <c r="C25" i="18" s="1"/>
  <c r="B186" s="1"/>
  <c r="B321" i="16"/>
  <c r="B18" i="18" s="1"/>
  <c r="B146" s="1"/>
  <c r="B319" i="16"/>
  <c r="B16" i="18" s="1"/>
  <c r="B144" s="1"/>
  <c r="B325" i="16"/>
  <c r="B22" i="18" s="1"/>
  <c r="B150" s="1"/>
  <c r="B317" i="16"/>
  <c r="B25" i="17" s="1"/>
  <c r="H109" i="19"/>
  <c r="F1041" i="22" s="1"/>
  <c r="F1043" s="1"/>
  <c r="E44" i="19"/>
  <c r="F618" i="22"/>
  <c r="E618"/>
  <c r="N147" i="16"/>
  <c r="C56" i="22"/>
  <c r="D56" s="1"/>
  <c r="N156" i="16"/>
  <c r="E336" i="22"/>
  <c r="G336" s="1"/>
  <c r="N154" i="16"/>
  <c r="D272" i="22"/>
  <c r="F272" s="1"/>
  <c r="G272" s="1"/>
  <c r="N238" i="16"/>
  <c r="G400" i="22"/>
  <c r="D88"/>
  <c r="F88" s="1"/>
  <c r="N148" i="16"/>
  <c r="E368" i="22"/>
  <c r="G368" s="1"/>
  <c r="N157" i="16"/>
  <c r="N240"/>
  <c r="G464" i="22"/>
  <c r="F400"/>
  <c r="N198" i="16"/>
  <c r="F615" i="22"/>
  <c r="E615"/>
  <c r="R27" i="23"/>
  <c r="F651" i="22"/>
  <c r="E651"/>
  <c r="R22" i="23"/>
  <c r="D500" i="22"/>
  <c r="R23" i="23"/>
  <c r="D530" i="22"/>
  <c r="S27" i="23"/>
  <c r="F652" i="22"/>
  <c r="E652"/>
  <c r="T151" i="16"/>
  <c r="D186" i="22"/>
  <c r="F186" s="1"/>
  <c r="T155" i="16"/>
  <c r="D310" i="22"/>
  <c r="F310" s="1"/>
  <c r="G310" s="1"/>
  <c r="T200" i="16"/>
  <c r="F470" i="22"/>
  <c r="T239" i="16"/>
  <c r="G438" i="22"/>
  <c r="G406"/>
  <c r="T238" i="16"/>
  <c r="D94" i="22"/>
  <c r="F94" s="1"/>
  <c r="T148" i="16"/>
  <c r="D246" i="22"/>
  <c r="F246" s="1"/>
  <c r="T153" i="16"/>
  <c r="T240"/>
  <c r="G470" i="22"/>
  <c r="U26" i="23"/>
  <c r="G623" i="22"/>
  <c r="U35" i="23"/>
  <c r="J910" i="22"/>
  <c r="I910"/>
  <c r="H909"/>
  <c r="G909"/>
  <c r="T24" i="23"/>
  <c r="D562" i="22"/>
  <c r="T22" i="23"/>
  <c r="D502" i="22"/>
  <c r="T13" i="23"/>
  <c r="D217" i="22"/>
  <c r="H1032"/>
  <c r="G1032"/>
  <c r="O24" i="23"/>
  <c r="D557" i="22"/>
  <c r="O10" i="23"/>
  <c r="D120" i="22"/>
  <c r="O13" i="23"/>
  <c r="D212" i="22"/>
  <c r="N33" i="23"/>
  <c r="G839" i="22"/>
  <c r="F839"/>
  <c r="E47" i="19"/>
  <c r="Q147" i="16"/>
  <c r="C59" i="22"/>
  <c r="D59" s="1"/>
  <c r="Q150" i="16"/>
  <c r="C151" i="22"/>
  <c r="D151" s="1"/>
  <c r="Q153" i="16"/>
  <c r="D243" i="22"/>
  <c r="F243" s="1"/>
  <c r="G403"/>
  <c r="Q238" i="16"/>
  <c r="Q198"/>
  <c r="F403" i="22"/>
  <c r="D91"/>
  <c r="F91" s="1"/>
  <c r="Q148" i="16"/>
  <c r="Q239"/>
  <c r="G435" i="22"/>
  <c r="Q199" i="16"/>
  <c r="F435" i="22"/>
  <c r="J435" s="1"/>
  <c r="P22" i="23"/>
  <c r="D498" i="22"/>
  <c r="P24" i="23"/>
  <c r="D558" i="22"/>
  <c r="P13" i="23"/>
  <c r="D213" i="22"/>
  <c r="H902"/>
  <c r="G902"/>
  <c r="M33" i="23"/>
  <c r="G838" i="22"/>
  <c r="F838"/>
  <c r="H1030"/>
  <c r="G1030"/>
  <c r="M23" i="23"/>
  <c r="D525" i="22"/>
  <c r="M24" i="23"/>
  <c r="D555" i="22"/>
  <c r="S153" i="16"/>
  <c r="D245" i="22"/>
  <c r="F245" s="1"/>
  <c r="S148" i="16"/>
  <c r="D93" i="22"/>
  <c r="F93" s="1"/>
  <c r="S157" i="16"/>
  <c r="E373" i="22"/>
  <c r="G373" s="1"/>
  <c r="S199" i="16"/>
  <c r="F437" i="22"/>
  <c r="S198" i="16"/>
  <c r="F405" i="22"/>
  <c r="D185"/>
  <c r="F185" s="1"/>
  <c r="S151" i="16"/>
  <c r="S240"/>
  <c r="G469" i="22"/>
  <c r="R24" i="23"/>
  <c r="D560" i="22"/>
  <c r="S23" i="23"/>
  <c r="D531" i="22"/>
  <c r="S24" i="23"/>
  <c r="D561" i="22"/>
  <c r="S10" i="23"/>
  <c r="D124" i="22"/>
  <c r="T27" i="23"/>
  <c r="F653" i="22"/>
  <c r="E653"/>
  <c r="U153" i="16"/>
  <c r="D247" i="22"/>
  <c r="F247" s="1"/>
  <c r="G407"/>
  <c r="U238" i="16"/>
  <c r="U200"/>
  <c r="F471" i="22"/>
  <c r="C155"/>
  <c r="D155" s="1"/>
  <c r="U150" i="16"/>
  <c r="U157"/>
  <c r="E375" i="22"/>
  <c r="G375" s="1"/>
  <c r="U154" i="16"/>
  <c r="D279" i="22"/>
  <c r="F279" s="1"/>
  <c r="G279" s="1"/>
  <c r="U199" i="16"/>
  <c r="F439" i="22"/>
  <c r="H776"/>
  <c r="G776"/>
  <c r="O37" i="23"/>
  <c r="G968" i="22"/>
  <c r="F968"/>
  <c r="P153" i="16"/>
  <c r="D242" i="22"/>
  <c r="F242" s="1"/>
  <c r="F402"/>
  <c r="P198" i="16"/>
  <c r="D90" i="22"/>
  <c r="F90" s="1"/>
  <c r="P148" i="16"/>
  <c r="P151"/>
  <c r="D182" i="22"/>
  <c r="F182" s="1"/>
  <c r="P154" i="16"/>
  <c r="D274" i="22"/>
  <c r="F274" s="1"/>
  <c r="G274" s="1"/>
  <c r="P199" i="16"/>
  <c r="F434" i="22"/>
  <c r="P200" i="16"/>
  <c r="F466" i="22"/>
  <c r="N27" i="23"/>
  <c r="F647" i="22"/>
  <c r="E647"/>
  <c r="O150" i="16"/>
  <c r="C149" i="22"/>
  <c r="D149" s="1"/>
  <c r="O157" i="16"/>
  <c r="E369" i="22"/>
  <c r="G369" s="1"/>
  <c r="G465"/>
  <c r="O240" i="16"/>
  <c r="D89" i="22"/>
  <c r="F89" s="1"/>
  <c r="O148" i="16"/>
  <c r="G433" i="22"/>
  <c r="O239" i="16"/>
  <c r="O155"/>
  <c r="D305" i="22"/>
  <c r="F305" s="1"/>
  <c r="G305" s="1"/>
  <c r="F401"/>
  <c r="O198" i="16"/>
  <c r="N22" i="23"/>
  <c r="D496" i="22"/>
  <c r="L10" i="23"/>
  <c r="D117" i="22"/>
  <c r="L25" i="23"/>
  <c r="L39"/>
  <c r="J1029" i="22"/>
  <c r="I1029"/>
  <c r="L28" i="23"/>
  <c r="G367" i="22"/>
  <c r="F239"/>
  <c r="G335"/>
  <c r="U27" i="23"/>
  <c r="F654" i="22"/>
  <c r="E654"/>
  <c r="E109" i="19"/>
  <c r="E163" s="1"/>
  <c r="H903" i="22"/>
  <c r="G903"/>
  <c r="H1031"/>
  <c r="G1031"/>
  <c r="N24" i="23"/>
  <c r="D556" i="22"/>
  <c r="N23" i="23"/>
  <c r="D526" i="22"/>
  <c r="L23" i="23"/>
  <c r="D524" i="22"/>
  <c r="L24" i="23"/>
  <c r="D554" i="22"/>
  <c r="J463"/>
  <c r="F179"/>
  <c r="U21" i="23"/>
  <c r="L472" i="22"/>
  <c r="M472"/>
  <c r="K472"/>
  <c r="U20" i="23"/>
  <c r="L440" i="22"/>
  <c r="M440"/>
  <c r="K440"/>
  <c r="U39" i="23"/>
  <c r="J1038" i="22"/>
  <c r="I1038"/>
  <c r="G1065"/>
  <c r="P40" i="23" s="1"/>
  <c r="I435" i="22"/>
  <c r="V46" i="23"/>
  <c r="I400" i="22"/>
  <c r="I464"/>
  <c r="E245"/>
  <c r="F341"/>
  <c r="E186"/>
  <c r="B318" i="16"/>
  <c r="E712" i="22"/>
  <c r="E242"/>
  <c r="E969"/>
  <c r="I432"/>
  <c r="E180"/>
  <c r="E715"/>
  <c r="I469"/>
  <c r="I405"/>
  <c r="F373"/>
  <c r="G1068"/>
  <c r="S40" i="23" s="1"/>
  <c r="E716" i="22"/>
  <c r="G812"/>
  <c r="S32" i="23" s="1"/>
  <c r="G940" i="22"/>
  <c r="S36" i="23" s="1"/>
  <c r="E844" i="22"/>
  <c r="E972"/>
  <c r="I406"/>
  <c r="F374"/>
  <c r="G813"/>
  <c r="T32" i="23" s="1"/>
  <c r="G941" i="22"/>
  <c r="T36" i="23" s="1"/>
  <c r="E717" i="22"/>
  <c r="G1069"/>
  <c r="T40" i="23" s="1"/>
  <c r="G936" i="22"/>
  <c r="O36" i="23" s="1"/>
  <c r="F338" i="22"/>
  <c r="F370"/>
  <c r="G1063"/>
  <c r="N40" i="23" s="1"/>
  <c r="G935" i="22"/>
  <c r="N36" i="23" s="1"/>
  <c r="F337" i="22"/>
  <c r="E711"/>
  <c r="G807"/>
  <c r="N32" i="23" s="1"/>
  <c r="E89" i="22"/>
  <c r="C16" i="18"/>
  <c r="B177" s="1"/>
  <c r="E39" i="19"/>
  <c r="H777" i="22"/>
  <c r="G777"/>
  <c r="H1033"/>
  <c r="G1033"/>
  <c r="P23" i="23"/>
  <c r="D528" i="22"/>
  <c r="L13" i="23"/>
  <c r="D209" i="22"/>
  <c r="L22" i="23"/>
  <c r="D494" i="22"/>
  <c r="M27" i="23"/>
  <c r="F646" i="22"/>
  <c r="E646"/>
  <c r="N150" i="16"/>
  <c r="C148" i="22"/>
  <c r="D148" s="1"/>
  <c r="N151" i="16"/>
  <c r="D180" i="22"/>
  <c r="F180" s="1"/>
  <c r="G432"/>
  <c r="N239" i="16"/>
  <c r="N200"/>
  <c r="F464" i="22"/>
  <c r="N153" i="16"/>
  <c r="D240" i="22"/>
  <c r="F240" s="1"/>
  <c r="D304"/>
  <c r="F304" s="1"/>
  <c r="G304" s="1"/>
  <c r="N155" i="16"/>
  <c r="F432" i="22"/>
  <c r="J432" s="1"/>
  <c r="N199" i="16"/>
  <c r="M13" i="23"/>
  <c r="D210" i="22"/>
  <c r="H1035"/>
  <c r="G1035"/>
  <c r="H779"/>
  <c r="G779"/>
  <c r="F620"/>
  <c r="E620"/>
  <c r="H780"/>
  <c r="G780"/>
  <c r="H908"/>
  <c r="G908"/>
  <c r="T150" i="16"/>
  <c r="C154" i="22"/>
  <c r="D154" s="1"/>
  <c r="F438"/>
  <c r="T199" i="16"/>
  <c r="T154"/>
  <c r="D278" i="22"/>
  <c r="F278" s="1"/>
  <c r="G278" s="1"/>
  <c r="F406"/>
  <c r="T198" i="16"/>
  <c r="C62" i="22"/>
  <c r="D62" s="1"/>
  <c r="T147" i="16"/>
  <c r="E374" i="22"/>
  <c r="G374" s="1"/>
  <c r="T157" i="16"/>
  <c r="T156"/>
  <c r="E342" i="22"/>
  <c r="G342" s="1"/>
  <c r="F621"/>
  <c r="E621"/>
  <c r="U19" i="23"/>
  <c r="L408" i="22"/>
  <c r="M408"/>
  <c r="K408"/>
  <c r="E101" i="19"/>
  <c r="E155" s="1"/>
  <c r="U37" i="23"/>
  <c r="G974" i="22"/>
  <c r="F974"/>
  <c r="E100" i="19"/>
  <c r="E154" s="1"/>
  <c r="E333" s="1"/>
  <c r="H1037" i="22"/>
  <c r="G1037"/>
  <c r="O27" i="23"/>
  <c r="F648" i="22"/>
  <c r="E648"/>
  <c r="F617"/>
  <c r="E617"/>
  <c r="H775"/>
  <c r="G775"/>
  <c r="E30" i="19"/>
  <c r="E46"/>
  <c r="H905" i="22"/>
  <c r="G905"/>
  <c r="Q157" i="16"/>
  <c r="E371" i="22"/>
  <c r="G371" s="1"/>
  <c r="Q156" i="16"/>
  <c r="E339" i="22"/>
  <c r="G339" s="1"/>
  <c r="Q155" i="16"/>
  <c r="D307" i="22"/>
  <c r="F307" s="1"/>
  <c r="G307" s="1"/>
  <c r="Q154" i="16"/>
  <c r="D275" i="22"/>
  <c r="F275" s="1"/>
  <c r="G275" s="1"/>
  <c r="G467"/>
  <c r="Q240" i="16"/>
  <c r="D183" i="22"/>
  <c r="F183" s="1"/>
  <c r="Q151" i="16"/>
  <c r="F467" i="22"/>
  <c r="J467" s="1"/>
  <c r="Q200" i="16"/>
  <c r="P27" i="23"/>
  <c r="F649" i="22"/>
  <c r="E649"/>
  <c r="P10" i="23"/>
  <c r="D121" i="22"/>
  <c r="L26" i="23"/>
  <c r="G614" i="22"/>
  <c r="L35" i="23"/>
  <c r="J901" i="22"/>
  <c r="I901"/>
  <c r="L33" i="23"/>
  <c r="G837" i="22"/>
  <c r="F837"/>
  <c r="L32" i="23"/>
  <c r="L40"/>
  <c r="L29"/>
  <c r="G709" i="22"/>
  <c r="F709"/>
  <c r="L27" i="23"/>
  <c r="F645" i="22"/>
  <c r="E645"/>
  <c r="L36" i="23"/>
  <c r="H774" i="22"/>
  <c r="G774"/>
  <c r="M22" i="23"/>
  <c r="D495" i="22"/>
  <c r="M10" i="23"/>
  <c r="D118" i="22"/>
  <c r="S147" i="16"/>
  <c r="C61" i="22"/>
  <c r="D61" s="1"/>
  <c r="S150" i="16"/>
  <c r="C153" i="22"/>
  <c r="D153" s="1"/>
  <c r="S156" i="16"/>
  <c r="E341" i="22"/>
  <c r="G341" s="1"/>
  <c r="S154" i="16"/>
  <c r="D277" i="22"/>
  <c r="F277" s="1"/>
  <c r="G277" s="1"/>
  <c r="S155" i="16"/>
  <c r="D309" i="22"/>
  <c r="F309" s="1"/>
  <c r="G309" s="1"/>
  <c r="G405"/>
  <c r="S238" i="16"/>
  <c r="F469" i="22"/>
  <c r="S200" i="16"/>
  <c r="G437" i="22"/>
  <c r="S239" i="16"/>
  <c r="H907" i="22"/>
  <c r="G907"/>
  <c r="R13" i="23"/>
  <c r="D215" i="22"/>
  <c r="R10" i="23"/>
  <c r="D123" i="22"/>
  <c r="H1036"/>
  <c r="G1036"/>
  <c r="S22" i="23"/>
  <c r="D501" i="22"/>
  <c r="S13" i="23"/>
  <c r="D216" i="22"/>
  <c r="U31" i="23"/>
  <c r="J782" i="22"/>
  <c r="I782"/>
  <c r="E107" i="19"/>
  <c r="E161" s="1"/>
  <c r="U33" i="23"/>
  <c r="G846" i="22"/>
  <c r="F846"/>
  <c r="E104" i="19"/>
  <c r="E158" s="1"/>
  <c r="E344" s="1"/>
  <c r="H781" i="22"/>
  <c r="G781"/>
  <c r="U151" i="16"/>
  <c r="D187" i="22"/>
  <c r="F187" s="1"/>
  <c r="U240" i="16"/>
  <c r="G471" i="22"/>
  <c r="G439"/>
  <c r="U239" i="16"/>
  <c r="U147"/>
  <c r="C63" i="22"/>
  <c r="D63" s="1"/>
  <c r="E343"/>
  <c r="G343" s="1"/>
  <c r="U156" i="16"/>
  <c r="D95" i="22"/>
  <c r="F95" s="1"/>
  <c r="U148" i="16"/>
  <c r="U155"/>
  <c r="D311" i="22"/>
  <c r="F311" s="1"/>
  <c r="G311" s="1"/>
  <c r="F407"/>
  <c r="U198" i="16"/>
  <c r="T23" i="23"/>
  <c r="D532" i="22"/>
  <c r="F622"/>
  <c r="E622"/>
  <c r="T10" i="23"/>
  <c r="D125" i="22"/>
  <c r="H904"/>
  <c r="G904"/>
  <c r="P156" i="16"/>
  <c r="E338" i="22"/>
  <c r="G338" s="1"/>
  <c r="D306"/>
  <c r="F306" s="1"/>
  <c r="G306" s="1"/>
  <c r="P155" i="16"/>
  <c r="P147"/>
  <c r="C58" i="22"/>
  <c r="D58" s="1"/>
  <c r="P150" i="16"/>
  <c r="C150" i="22"/>
  <c r="D150" s="1"/>
  <c r="E370"/>
  <c r="G370" s="1"/>
  <c r="P157" i="16"/>
  <c r="P239"/>
  <c r="G434" i="22"/>
  <c r="P238" i="16"/>
  <c r="G402" i="22"/>
  <c r="P240" i="16"/>
  <c r="G466" i="22"/>
  <c r="O23" i="23"/>
  <c r="D527" i="22"/>
  <c r="O22" i="23"/>
  <c r="D497" i="22"/>
  <c r="O147" i="16"/>
  <c r="C57" i="22"/>
  <c r="D57" s="1"/>
  <c r="O151" i="16"/>
  <c r="D181" i="22"/>
  <c r="F181" s="1"/>
  <c r="O154" i="16"/>
  <c r="D273" i="22"/>
  <c r="F273" s="1"/>
  <c r="G273" s="1"/>
  <c r="O153" i="16"/>
  <c r="D241" i="22"/>
  <c r="F241" s="1"/>
  <c r="O156" i="16"/>
  <c r="E337" i="22"/>
  <c r="G337" s="1"/>
  <c r="O200" i="16"/>
  <c r="F465" i="22"/>
  <c r="O199" i="16"/>
  <c r="F433" i="22"/>
  <c r="G401"/>
  <c r="O238" i="16"/>
  <c r="F616" i="22"/>
  <c r="E616"/>
  <c r="N13" i="23"/>
  <c r="D211" i="22"/>
  <c r="N10" i="23"/>
  <c r="D119" i="22"/>
  <c r="L31" i="23"/>
  <c r="J773" i="22"/>
  <c r="I773"/>
  <c r="L30" i="23"/>
  <c r="L37"/>
  <c r="G965" i="22"/>
  <c r="F965"/>
  <c r="L38" i="23"/>
  <c r="L34"/>
  <c r="J431" i="22"/>
  <c r="F271"/>
  <c r="E91" i="19"/>
  <c r="E145" s="1"/>
  <c r="U29" i="23"/>
  <c r="G718" i="22"/>
  <c r="F718"/>
  <c r="E90" i="19"/>
  <c r="E108"/>
  <c r="E162" s="1"/>
  <c r="E354" s="1"/>
  <c r="E110"/>
  <c r="J399" i="22"/>
  <c r="F303"/>
  <c r="D55"/>
  <c r="D147"/>
  <c r="F87"/>
  <c r="E99" i="19"/>
  <c r="E153" s="1"/>
  <c r="E97"/>
  <c r="E102"/>
  <c r="E156" s="1"/>
  <c r="E339" s="1"/>
  <c r="I438" i="22"/>
  <c r="I470"/>
  <c r="G808"/>
  <c r="O32" i="23" s="1"/>
  <c r="G809" i="22"/>
  <c r="P32" i="23" s="1"/>
  <c r="E243" i="22"/>
  <c r="E966"/>
  <c r="G1062"/>
  <c r="M40" i="23" s="1"/>
  <c r="E710" i="22"/>
  <c r="G806"/>
  <c r="M32" i="23" s="1"/>
  <c r="E240" i="22"/>
  <c r="E88"/>
  <c r="G939"/>
  <c r="R36" i="23" s="1"/>
  <c r="E843" i="22"/>
  <c r="E246"/>
  <c r="I407"/>
  <c r="I439"/>
  <c r="E247"/>
  <c r="E187"/>
  <c r="F375"/>
  <c r="I402"/>
  <c r="I434"/>
  <c r="I465"/>
  <c r="I401"/>
  <c r="I433"/>
  <c r="E241"/>
  <c r="F369"/>
  <c r="D43" i="19" l="1"/>
  <c r="G840" i="22"/>
  <c r="E321" i="16"/>
  <c r="E25" i="19" s="1"/>
  <c r="H303" i="22"/>
  <c r="G303"/>
  <c r="H271"/>
  <c r="G271"/>
  <c r="T16" i="23"/>
  <c r="H311" i="22"/>
  <c r="R16" i="23"/>
  <c r="H309" i="22"/>
  <c r="P16" i="23"/>
  <c r="H307" i="22"/>
  <c r="M16" i="23"/>
  <c r="H304" i="22"/>
  <c r="S16" i="23"/>
  <c r="H310" i="22"/>
  <c r="O16" i="23"/>
  <c r="H306" i="22"/>
  <c r="N16" i="23"/>
  <c r="H305" i="22"/>
  <c r="N15" i="23"/>
  <c r="H273" i="22"/>
  <c r="R15" i="23"/>
  <c r="H277" i="22"/>
  <c r="P15" i="23"/>
  <c r="H275" i="22"/>
  <c r="O15" i="23"/>
  <c r="H274" i="22"/>
  <c r="M15" i="23"/>
  <c r="H272" i="22"/>
  <c r="S15" i="23"/>
  <c r="H278" i="22"/>
  <c r="T15" i="23"/>
  <c r="H279" i="22"/>
  <c r="B42" i="17"/>
  <c r="F973" i="22"/>
  <c r="B43" i="19"/>
  <c r="B102" s="1"/>
  <c r="B817" i="22" s="1"/>
  <c r="B819" s="1"/>
  <c r="D39" i="18"/>
  <c r="B233" s="1"/>
  <c r="D233" s="1"/>
  <c r="G713" i="22"/>
  <c r="D44" i="18"/>
  <c r="B238" s="1"/>
  <c r="D238" s="1"/>
  <c r="B42" i="19"/>
  <c r="B101" s="1"/>
  <c r="B785" i="22" s="1"/>
  <c r="B45" i="19"/>
  <c r="B104" s="1"/>
  <c r="B881" i="22" s="1"/>
  <c r="B883" s="1"/>
  <c r="R37" i="23"/>
  <c r="B44" i="19"/>
  <c r="B103" s="1"/>
  <c r="B849" i="22" s="1"/>
  <c r="B851" s="1"/>
  <c r="B29" i="18"/>
  <c r="B157" s="1"/>
  <c r="D157" s="1"/>
  <c r="T37" i="23"/>
  <c r="D42" i="19"/>
  <c r="D101" s="1"/>
  <c r="D785" i="22" s="1"/>
  <c r="D787" s="1"/>
  <c r="B33" i="18"/>
  <c r="B161" s="1"/>
  <c r="D161" s="1"/>
  <c r="C36"/>
  <c r="B197" s="1"/>
  <c r="D197" s="1"/>
  <c r="B26"/>
  <c r="B154" s="1"/>
  <c r="D154" s="1"/>
  <c r="B44"/>
  <c r="B172" s="1"/>
  <c r="D172" s="1"/>
  <c r="B49" i="17"/>
  <c r="B53"/>
  <c r="B47"/>
  <c r="T33" i="23"/>
  <c r="F713" i="22"/>
  <c r="B48" i="17"/>
  <c r="D47" i="19"/>
  <c r="D106" s="1"/>
  <c r="D945" i="22" s="1"/>
  <c r="D947" s="1"/>
  <c r="B38" i="17"/>
  <c r="C47" i="19"/>
  <c r="C106" s="1"/>
  <c r="C945" i="22" s="1"/>
  <c r="C947" s="1"/>
  <c r="C44" i="18"/>
  <c r="B205" s="1"/>
  <c r="D205" s="1"/>
  <c r="B51" i="17"/>
  <c r="F845" i="22"/>
  <c r="B41" i="18"/>
  <c r="B169" s="1"/>
  <c r="D169" s="1"/>
  <c r="N37" i="23"/>
  <c r="J407" i="22"/>
  <c r="T19" i="23" s="1"/>
  <c r="J469" i="22"/>
  <c r="L469" s="1"/>
  <c r="B50" i="17"/>
  <c r="F971" i="22"/>
  <c r="G841"/>
  <c r="B40" i="18"/>
  <c r="B168" s="1"/>
  <c r="D168" s="1"/>
  <c r="B39"/>
  <c r="B167" s="1"/>
  <c r="D167" s="1"/>
  <c r="B38" i="19"/>
  <c r="B97" s="1"/>
  <c r="B657" i="22" s="1"/>
  <c r="B659" s="1"/>
  <c r="C46" i="19"/>
  <c r="C105" s="1"/>
  <c r="C913" i="22" s="1"/>
  <c r="C915" s="1"/>
  <c r="C43" i="18"/>
  <c r="B204" s="1"/>
  <c r="D204" s="1"/>
  <c r="B28"/>
  <c r="B156" s="1"/>
  <c r="D156" s="1"/>
  <c r="B39" i="19"/>
  <c r="B98" s="1"/>
  <c r="B689" i="22" s="1"/>
  <c r="B691" s="1"/>
  <c r="D43" i="18"/>
  <c r="B237" s="1"/>
  <c r="E319" i="16"/>
  <c r="E23" i="19" s="1"/>
  <c r="B14" i="18"/>
  <c r="B142" s="1"/>
  <c r="D142" s="1"/>
  <c r="J433" i="22"/>
  <c r="N20" i="23" s="1"/>
  <c r="J465" i="22"/>
  <c r="N21" i="23" s="1"/>
  <c r="F967" i="22"/>
  <c r="F840"/>
  <c r="J406"/>
  <c r="S19" i="23" s="1"/>
  <c r="B43" i="17"/>
  <c r="F841" i="22"/>
  <c r="B46" i="17"/>
  <c r="B43" i="18"/>
  <c r="B171" s="1"/>
  <c r="D171" s="1"/>
  <c r="B34"/>
  <c r="B162" s="1"/>
  <c r="D162" s="1"/>
  <c r="C30"/>
  <c r="B191" s="1"/>
  <c r="D191" s="1"/>
  <c r="B28" i="17"/>
  <c r="G328" i="16"/>
  <c r="G32" i="19" s="1"/>
  <c r="G326" i="16"/>
  <c r="G30" i="19" s="1"/>
  <c r="U46" i="23"/>
  <c r="F328" i="16"/>
  <c r="F32" i="19" s="1"/>
  <c r="E324" i="16"/>
  <c r="B32" i="17" s="1"/>
  <c r="E316" i="16"/>
  <c r="B24" i="17" s="1"/>
  <c r="J438" i="22"/>
  <c r="S20" i="23" s="1"/>
  <c r="J464" i="22"/>
  <c r="M21" i="23" s="1"/>
  <c r="B44" i="17"/>
  <c r="B52"/>
  <c r="B55"/>
  <c r="B54"/>
  <c r="B45"/>
  <c r="B49" i="19"/>
  <c r="B108" s="1"/>
  <c r="B1009" i="22" s="1"/>
  <c r="B1011" s="1"/>
  <c r="H161" i="19"/>
  <c r="H351" s="1"/>
  <c r="C35" i="18"/>
  <c r="B196" s="1"/>
  <c r="D196" s="1"/>
  <c r="G327" i="16"/>
  <c r="G31" i="19" s="1"/>
  <c r="G90" s="1"/>
  <c r="G443" i="22" s="1"/>
  <c r="G445" s="1"/>
  <c r="H157" i="19"/>
  <c r="H342" s="1"/>
  <c r="E323" i="16"/>
  <c r="B31" i="17" s="1"/>
  <c r="E315" i="16"/>
  <c r="E19" i="19" s="1"/>
  <c r="F326" i="16"/>
  <c r="H153" i="19"/>
  <c r="H330" s="1"/>
  <c r="H144"/>
  <c r="H296" s="1"/>
  <c r="E322" i="16"/>
  <c r="E26" i="19" s="1"/>
  <c r="F327" i="16"/>
  <c r="B35" i="17" s="1"/>
  <c r="H155" i="19"/>
  <c r="H336" s="1"/>
  <c r="E329"/>
  <c r="E331"/>
  <c r="E330"/>
  <c r="G89"/>
  <c r="G411" i="22" s="1"/>
  <c r="G413" s="1"/>
  <c r="G91" i="19"/>
  <c r="G475" i="22" s="1"/>
  <c r="G477" s="1"/>
  <c r="B23" i="17"/>
  <c r="E356" i="19"/>
  <c r="E357"/>
  <c r="G38" i="20"/>
  <c r="F130" i="21"/>
  <c r="E335" i="19"/>
  <c r="E337"/>
  <c r="E336"/>
  <c r="C657" i="22"/>
  <c r="L9" i="23"/>
  <c r="H87" i="22"/>
  <c r="G87"/>
  <c r="L8" i="23"/>
  <c r="F55" i="22"/>
  <c r="E55"/>
  <c r="L19" i="23"/>
  <c r="L399" i="22"/>
  <c r="M399"/>
  <c r="K399"/>
  <c r="E1073"/>
  <c r="E443"/>
  <c r="E299" i="19"/>
  <c r="E300"/>
  <c r="B27" i="17"/>
  <c r="B29"/>
  <c r="M29" i="23"/>
  <c r="G710" i="22"/>
  <c r="F710"/>
  <c r="M37" i="23"/>
  <c r="G966" i="22"/>
  <c r="F966"/>
  <c r="E817"/>
  <c r="C1009"/>
  <c r="E475"/>
  <c r="L15" i="23"/>
  <c r="L20"/>
  <c r="L431" i="22"/>
  <c r="M431"/>
  <c r="K431"/>
  <c r="N26" i="23"/>
  <c r="G616" i="22"/>
  <c r="O11" i="23"/>
  <c r="F150" i="22"/>
  <c r="E150"/>
  <c r="O8" i="23"/>
  <c r="F58" i="22"/>
  <c r="E58"/>
  <c r="O17" i="23"/>
  <c r="I338" i="22"/>
  <c r="H338"/>
  <c r="T8" i="23"/>
  <c r="F63" i="22"/>
  <c r="E63"/>
  <c r="T12" i="23"/>
  <c r="H187" i="22"/>
  <c r="G187"/>
  <c r="C881"/>
  <c r="C977"/>
  <c r="R17" i="23"/>
  <c r="I341" i="22"/>
  <c r="H341"/>
  <c r="R11" i="23"/>
  <c r="F153" i="22"/>
  <c r="E153"/>
  <c r="R8" i="23"/>
  <c r="F61" i="22"/>
  <c r="E61"/>
  <c r="P17" i="23"/>
  <c r="I339" i="22"/>
  <c r="H339"/>
  <c r="P18" i="23"/>
  <c r="I371" i="22"/>
  <c r="H371"/>
  <c r="E105" i="19"/>
  <c r="E159" s="1"/>
  <c r="E89"/>
  <c r="E143" s="1"/>
  <c r="S17" i="23"/>
  <c r="I342" i="22"/>
  <c r="H342"/>
  <c r="S11" i="23"/>
  <c r="F154" i="22"/>
  <c r="E154"/>
  <c r="R39" i="23"/>
  <c r="J1035" i="22"/>
  <c r="I1035"/>
  <c r="M20" i="23"/>
  <c r="L432" i="22"/>
  <c r="M432"/>
  <c r="K432"/>
  <c r="E98" i="19"/>
  <c r="E152" s="1"/>
  <c r="D229" i="18"/>
  <c r="D230"/>
  <c r="D165"/>
  <c r="D218"/>
  <c r="S37" i="23"/>
  <c r="G972" i="22"/>
  <c r="F972"/>
  <c r="S29" i="23"/>
  <c r="G716" i="22"/>
  <c r="F716"/>
  <c r="P37" i="23"/>
  <c r="G969" i="22"/>
  <c r="F969"/>
  <c r="B15" i="18"/>
  <c r="B143" s="1"/>
  <c r="L17" i="23"/>
  <c r="I335" i="22"/>
  <c r="H335"/>
  <c r="L14" i="23"/>
  <c r="H239" i="22"/>
  <c r="G239"/>
  <c r="L18" i="23"/>
  <c r="I367" i="22"/>
  <c r="H367"/>
  <c r="N18" i="23"/>
  <c r="I369" i="22"/>
  <c r="H369"/>
  <c r="N11" i="23"/>
  <c r="F149" i="22"/>
  <c r="E149"/>
  <c r="O9" i="23"/>
  <c r="H90" i="22"/>
  <c r="G90"/>
  <c r="T18" i="23"/>
  <c r="I375" i="22"/>
  <c r="H375"/>
  <c r="T14" i="23"/>
  <c r="H247" i="22"/>
  <c r="G247"/>
  <c r="R12" i="23"/>
  <c r="H185" i="22"/>
  <c r="G185"/>
  <c r="M39" i="23"/>
  <c r="J1030" i="22"/>
  <c r="I1030"/>
  <c r="P20" i="23"/>
  <c r="L435" i="22"/>
  <c r="M435"/>
  <c r="K435"/>
  <c r="P14" i="23"/>
  <c r="H243" i="22"/>
  <c r="G243"/>
  <c r="P11" i="23"/>
  <c r="F151" i="22"/>
  <c r="E151"/>
  <c r="P8" i="23"/>
  <c r="F59" i="22"/>
  <c r="E59"/>
  <c r="E106" i="19"/>
  <c r="E160" s="1"/>
  <c r="E349" s="1"/>
  <c r="O39" i="23"/>
  <c r="J1032" i="22"/>
  <c r="I1032"/>
  <c r="S14" i="23"/>
  <c r="H246" i="22"/>
  <c r="G246"/>
  <c r="S9" i="23"/>
  <c r="H94" i="22"/>
  <c r="G94"/>
  <c r="M26" i="23"/>
  <c r="G615" i="22"/>
  <c r="M18" i="23"/>
  <c r="I368" i="22"/>
  <c r="H368"/>
  <c r="M9" i="23"/>
  <c r="H88" i="22"/>
  <c r="G88"/>
  <c r="P26" i="23"/>
  <c r="G618" i="22"/>
  <c r="D110" i="19"/>
  <c r="D1073" i="22" s="1"/>
  <c r="D1075" s="1"/>
  <c r="B99" i="19"/>
  <c r="B721" i="22" s="1"/>
  <c r="B723" s="1"/>
  <c r="B105" i="19"/>
  <c r="B913" i="22" s="1"/>
  <c r="D181" i="18"/>
  <c r="D183"/>
  <c r="D215"/>
  <c r="D105" i="19"/>
  <c r="D913" i="22" s="1"/>
  <c r="D915" s="1"/>
  <c r="C102" i="19"/>
  <c r="C817" i="22" s="1"/>
  <c r="C819" s="1"/>
  <c r="D140" i="18"/>
  <c r="D150"/>
  <c r="D144"/>
  <c r="D146"/>
  <c r="D152"/>
  <c r="D180"/>
  <c r="D182"/>
  <c r="D149"/>
  <c r="B110" i="19"/>
  <c r="B1073" i="22" s="1"/>
  <c r="B1075" s="1"/>
  <c r="D155" i="18"/>
  <c r="B100" i="19"/>
  <c r="B753" i="22" s="1"/>
  <c r="B755" s="1"/>
  <c r="C109" i="19"/>
  <c r="C1041" i="22" s="1"/>
  <c r="C1043" s="1"/>
  <c r="D141" i="18"/>
  <c r="D158"/>
  <c r="D219"/>
  <c r="D224"/>
  <c r="D166"/>
  <c r="C110" i="19"/>
  <c r="C1073" i="22" s="1"/>
  <c r="C1075" s="1"/>
  <c r="C101" i="19"/>
  <c r="C785" i="22" s="1"/>
  <c r="C787" s="1"/>
  <c r="E151" i="19"/>
  <c r="E164"/>
  <c r="E359" s="1"/>
  <c r="E144"/>
  <c r="E318" i="16"/>
  <c r="H159" i="19"/>
  <c r="H143"/>
  <c r="J402" i="22"/>
  <c r="J439"/>
  <c r="J471"/>
  <c r="J403"/>
  <c r="J400"/>
  <c r="H145" i="19"/>
  <c r="H163"/>
  <c r="R33" i="23"/>
  <c r="G843" i="22"/>
  <c r="F843"/>
  <c r="G40" i="20"/>
  <c r="F136" i="21"/>
  <c r="C721" i="22"/>
  <c r="L11" i="23"/>
  <c r="F147" i="22"/>
  <c r="E147"/>
  <c r="L16" i="23"/>
  <c r="G46" i="20"/>
  <c r="F151" i="21"/>
  <c r="N17" i="23"/>
  <c r="I337" i="22"/>
  <c r="H337"/>
  <c r="N14" i="23"/>
  <c r="H241" i="22"/>
  <c r="G241"/>
  <c r="N12" i="23"/>
  <c r="H181" i="22"/>
  <c r="G181"/>
  <c r="N8" i="23"/>
  <c r="F57" i="22"/>
  <c r="E57"/>
  <c r="O18" i="23"/>
  <c r="I370" i="22"/>
  <c r="H370"/>
  <c r="O35" i="23"/>
  <c r="J904" i="22"/>
  <c r="I904"/>
  <c r="T26" i="23"/>
  <c r="G622" i="22"/>
  <c r="T9" i="23"/>
  <c r="H95" i="22"/>
  <c r="G95"/>
  <c r="T17" i="23"/>
  <c r="I343" i="22"/>
  <c r="H343"/>
  <c r="T31" i="23"/>
  <c r="J781" i="22"/>
  <c r="I781"/>
  <c r="F141" i="21"/>
  <c r="G42" i="20"/>
  <c r="E351" i="19"/>
  <c r="E352"/>
  <c r="S39" i="23"/>
  <c r="J1036" i="22"/>
  <c r="I1036"/>
  <c r="R35" i="23"/>
  <c r="J907" i="22"/>
  <c r="I907"/>
  <c r="M31" i="23"/>
  <c r="J774" i="22"/>
  <c r="I774"/>
  <c r="P21" i="23"/>
  <c r="L467" i="22"/>
  <c r="M467"/>
  <c r="K467"/>
  <c r="P12" i="23"/>
  <c r="H183" i="22"/>
  <c r="G183"/>
  <c r="P35" i="23"/>
  <c r="J905" i="22"/>
  <c r="I905"/>
  <c r="N31" i="23"/>
  <c r="J775" i="22"/>
  <c r="I775"/>
  <c r="O26" i="23"/>
  <c r="G617" i="22"/>
  <c r="T39" i="23"/>
  <c r="J1037" i="22"/>
  <c r="I1037"/>
  <c r="C753"/>
  <c r="E785"/>
  <c r="S26" i="23"/>
  <c r="G621" i="22"/>
  <c r="S18" i="23"/>
  <c r="I374" i="22"/>
  <c r="H374"/>
  <c r="S8" i="23"/>
  <c r="F62" i="22"/>
  <c r="E62"/>
  <c r="S35" i="23"/>
  <c r="J908" i="22"/>
  <c r="I908"/>
  <c r="S31" i="23"/>
  <c r="J780" i="22"/>
  <c r="I780"/>
  <c r="R26" i="23"/>
  <c r="G620" i="22"/>
  <c r="R31" i="23"/>
  <c r="J779" i="22"/>
  <c r="I779"/>
  <c r="M14" i="23"/>
  <c r="H240" i="22"/>
  <c r="G240"/>
  <c r="M12" i="23"/>
  <c r="H180" i="22"/>
  <c r="G180"/>
  <c r="M11" i="23"/>
  <c r="F148" i="22"/>
  <c r="E148"/>
  <c r="P39" i="23"/>
  <c r="J1033" i="22"/>
  <c r="I1033"/>
  <c r="P31" i="23"/>
  <c r="J777" i="22"/>
  <c r="I777"/>
  <c r="H337" i="19"/>
  <c r="D102"/>
  <c r="D817" i="22" s="1"/>
  <c r="D819" s="1"/>
  <c r="D179" i="18"/>
  <c r="D216"/>
  <c r="D177"/>
  <c r="N29" i="23"/>
  <c r="G711" i="22"/>
  <c r="F711"/>
  <c r="T29" i="23"/>
  <c r="G717" i="22"/>
  <c r="F717"/>
  <c r="S33" i="23"/>
  <c r="G844" i="22"/>
  <c r="F844"/>
  <c r="R29" i="23"/>
  <c r="G715" i="22"/>
  <c r="F715"/>
  <c r="O29" i="23"/>
  <c r="G712" i="22"/>
  <c r="F712"/>
  <c r="L12" i="23"/>
  <c r="H179" i="22"/>
  <c r="G179"/>
  <c r="L21" i="23"/>
  <c r="L463" i="22"/>
  <c r="M463"/>
  <c r="K463"/>
  <c r="N39" i="23"/>
  <c r="J1031" i="22"/>
  <c r="I1031"/>
  <c r="N35" i="23"/>
  <c r="J903" i="22"/>
  <c r="I903"/>
  <c r="E1041"/>
  <c r="N9" i="23"/>
  <c r="H89" i="22"/>
  <c r="G89"/>
  <c r="O12" i="23"/>
  <c r="H182" i="22"/>
  <c r="G182"/>
  <c r="O14" i="23"/>
  <c r="H242" i="22"/>
  <c r="G242"/>
  <c r="O31" i="23"/>
  <c r="J776" i="22"/>
  <c r="I776"/>
  <c r="T11" i="23"/>
  <c r="F155" i="22"/>
  <c r="E155"/>
  <c r="R18" i="23"/>
  <c r="I373" i="22"/>
  <c r="H373"/>
  <c r="R9" i="23"/>
  <c r="H93" i="22"/>
  <c r="G93"/>
  <c r="R14" i="23"/>
  <c r="H245" i="22"/>
  <c r="G245"/>
  <c r="M35" i="23"/>
  <c r="J902" i="22"/>
  <c r="I902"/>
  <c r="P9" i="23"/>
  <c r="H91" i="22"/>
  <c r="G91"/>
  <c r="T35" i="23"/>
  <c r="J909" i="22"/>
  <c r="I909"/>
  <c r="S12" i="23"/>
  <c r="H186" i="22"/>
  <c r="G186"/>
  <c r="M17" i="23"/>
  <c r="I336" i="22"/>
  <c r="H336"/>
  <c r="M8" i="23"/>
  <c r="F56" i="22"/>
  <c r="E56"/>
  <c r="E103" i="19"/>
  <c r="E157" s="1"/>
  <c r="B106"/>
  <c r="B945" i="22" s="1"/>
  <c r="B947" s="1"/>
  <c r="D164" i="18"/>
  <c r="D159"/>
  <c r="D151"/>
  <c r="D186"/>
  <c r="D147"/>
  <c r="D163"/>
  <c r="D160"/>
  <c r="B107" i="19"/>
  <c r="B977" i="22" s="1"/>
  <c r="B979" s="1"/>
  <c r="D109" i="19"/>
  <c r="D1041" i="22" s="1"/>
  <c r="D1043" s="1"/>
  <c r="D234" i="18"/>
  <c r="D174"/>
  <c r="D184"/>
  <c r="D148"/>
  <c r="D153"/>
  <c r="D200"/>
  <c r="D185"/>
  <c r="B109" i="19"/>
  <c r="B1041" i="22" s="1"/>
  <c r="D201" i="18"/>
  <c r="D145"/>
  <c r="D217"/>
  <c r="D170"/>
  <c r="J401" i="22"/>
  <c r="J466"/>
  <c r="J434"/>
  <c r="J405"/>
  <c r="J437"/>
  <c r="J470"/>
  <c r="E325" i="16"/>
  <c r="H341" i="19" l="1"/>
  <c r="I138" i="21" s="1"/>
  <c r="F177" i="18"/>
  <c r="H177" s="1"/>
  <c r="F216"/>
  <c r="H216" s="1"/>
  <c r="F179"/>
  <c r="H179" s="1"/>
  <c r="L407" i="22"/>
  <c r="F180" i="18"/>
  <c r="H180" s="1"/>
  <c r="F152"/>
  <c r="H152" s="1"/>
  <c r="F146"/>
  <c r="H146" s="1"/>
  <c r="F144"/>
  <c r="H144" s="1"/>
  <c r="F150"/>
  <c r="H150" s="1"/>
  <c r="F140"/>
  <c r="H140" s="1"/>
  <c r="F199"/>
  <c r="H199" s="1"/>
  <c r="F212"/>
  <c r="H212" s="1"/>
  <c r="F223"/>
  <c r="H223" s="1"/>
  <c r="F207"/>
  <c r="H207" s="1"/>
  <c r="F222"/>
  <c r="H222" s="1"/>
  <c r="K438" i="22"/>
  <c r="L433"/>
  <c r="F155" i="18"/>
  <c r="H155" s="1"/>
  <c r="F194"/>
  <c r="H194" s="1"/>
  <c r="F176"/>
  <c r="H176" s="1"/>
  <c r="F175"/>
  <c r="H175" s="1"/>
  <c r="F237"/>
  <c r="H237" s="1"/>
  <c r="F169"/>
  <c r="H169" s="1"/>
  <c r="F196"/>
  <c r="H196" s="1"/>
  <c r="L406" i="22"/>
  <c r="M469"/>
  <c r="L464"/>
  <c r="K407"/>
  <c r="K465"/>
  <c r="D237" i="18"/>
  <c r="H331" i="19"/>
  <c r="I128" i="21" s="1"/>
  <c r="K464" i="22"/>
  <c r="M407"/>
  <c r="L465"/>
  <c r="B30" i="17"/>
  <c r="E20" i="19"/>
  <c r="E79" s="1"/>
  <c r="E133" s="1"/>
  <c r="K406" i="22"/>
  <c r="R21" i="23"/>
  <c r="K433" i="22"/>
  <c r="E28" i="19"/>
  <c r="E87" s="1"/>
  <c r="E141" s="1"/>
  <c r="F191" i="18"/>
  <c r="H191" s="1"/>
  <c r="F205"/>
  <c r="H205" s="1"/>
  <c r="F170"/>
  <c r="H170" s="1"/>
  <c r="H297" i="19"/>
  <c r="J77" i="20" s="1"/>
  <c r="F185" i="18"/>
  <c r="H185" s="1"/>
  <c r="H352" i="19"/>
  <c r="J90" i="20" s="1"/>
  <c r="L438" i="22"/>
  <c r="M406"/>
  <c r="K469"/>
  <c r="M433"/>
  <c r="B36" i="17"/>
  <c r="F166" i="18"/>
  <c r="H166" s="1"/>
  <c r="F224"/>
  <c r="H224" s="1"/>
  <c r="F219"/>
  <c r="H219" s="1"/>
  <c r="F158"/>
  <c r="H158" s="1"/>
  <c r="F141"/>
  <c r="H141" s="1"/>
  <c r="F193"/>
  <c r="H193" s="1"/>
  <c r="F211"/>
  <c r="H211" s="1"/>
  <c r="F225"/>
  <c r="H225" s="1"/>
  <c r="F192"/>
  <c r="H192" s="1"/>
  <c r="F214"/>
  <c r="H214" s="1"/>
  <c r="F235"/>
  <c r="H235" s="1"/>
  <c r="F203"/>
  <c r="H203" s="1"/>
  <c r="F232"/>
  <c r="H232" s="1"/>
  <c r="F208"/>
  <c r="H208" s="1"/>
  <c r="F210"/>
  <c r="H210" s="1"/>
  <c r="F215"/>
  <c r="H215" s="1"/>
  <c r="F183"/>
  <c r="H183" s="1"/>
  <c r="F181"/>
  <c r="H181" s="1"/>
  <c r="F229"/>
  <c r="H229" s="1"/>
  <c r="F162"/>
  <c r="H162" s="1"/>
  <c r="H329" i="19"/>
  <c r="I126" i="21" s="1"/>
  <c r="F217" i="18"/>
  <c r="H217" s="1"/>
  <c r="F145"/>
  <c r="H145" s="1"/>
  <c r="F204"/>
  <c r="H204" s="1"/>
  <c r="F201"/>
  <c r="H201" s="1"/>
  <c r="F172"/>
  <c r="H172" s="1"/>
  <c r="F200"/>
  <c r="H200" s="1"/>
  <c r="F153"/>
  <c r="H153" s="1"/>
  <c r="F157"/>
  <c r="H157" s="1"/>
  <c r="F154"/>
  <c r="H154" s="1"/>
  <c r="F148"/>
  <c r="H148" s="1"/>
  <c r="F184"/>
  <c r="H184" s="1"/>
  <c r="F174"/>
  <c r="H174" s="1"/>
  <c r="F234"/>
  <c r="H234" s="1"/>
  <c r="F160"/>
  <c r="H160" s="1"/>
  <c r="F163"/>
  <c r="H163" s="1"/>
  <c r="F147"/>
  <c r="H147" s="1"/>
  <c r="F156"/>
  <c r="H156" s="1"/>
  <c r="F186"/>
  <c r="H186" s="1"/>
  <c r="F142"/>
  <c r="H142" s="1"/>
  <c r="F151"/>
  <c r="H151" s="1"/>
  <c r="F197"/>
  <c r="H197" s="1"/>
  <c r="F159"/>
  <c r="H159" s="1"/>
  <c r="F233"/>
  <c r="H233" s="1"/>
  <c r="F167"/>
  <c r="H167" s="1"/>
  <c r="F164"/>
  <c r="H164" s="1"/>
  <c r="F161"/>
  <c r="H161" s="1"/>
  <c r="F238"/>
  <c r="H238" s="1"/>
  <c r="H335" i="19"/>
  <c r="I132" i="21" s="1"/>
  <c r="M464" i="22"/>
  <c r="M465"/>
  <c r="B207" i="19"/>
  <c r="F171" i="18"/>
  <c r="H171" s="1"/>
  <c r="F149"/>
  <c r="H149" s="1"/>
  <c r="F182"/>
  <c r="H182" s="1"/>
  <c r="F236"/>
  <c r="H236" s="1"/>
  <c r="F227"/>
  <c r="H227" s="1"/>
  <c r="F209"/>
  <c r="H209" s="1"/>
  <c r="F188"/>
  <c r="H188" s="1"/>
  <c r="F226"/>
  <c r="H226" s="1"/>
  <c r="F221"/>
  <c r="H221" s="1"/>
  <c r="F198"/>
  <c r="H198" s="1"/>
  <c r="F220"/>
  <c r="H220" s="1"/>
  <c r="F189"/>
  <c r="H189" s="1"/>
  <c r="F195"/>
  <c r="H195" s="1"/>
  <c r="F231"/>
  <c r="H231" s="1"/>
  <c r="F173"/>
  <c r="H173" s="1"/>
  <c r="F187"/>
  <c r="H187" s="1"/>
  <c r="F178"/>
  <c r="H178" s="1"/>
  <c r="F213"/>
  <c r="H213" s="1"/>
  <c r="F228"/>
  <c r="H228" s="1"/>
  <c r="F206"/>
  <c r="H206" s="1"/>
  <c r="F190"/>
  <c r="H190" s="1"/>
  <c r="F202"/>
  <c r="H202" s="1"/>
  <c r="B34" i="17"/>
  <c r="F31" i="19"/>
  <c r="F90" s="1"/>
  <c r="F144" s="1"/>
  <c r="B163"/>
  <c r="B356" s="1"/>
  <c r="M438" i="22"/>
  <c r="E27" i="19"/>
  <c r="E86" s="1"/>
  <c r="E140" s="1"/>
  <c r="E282" s="1"/>
  <c r="F30"/>
  <c r="F89" s="1"/>
  <c r="F411" i="22" s="1"/>
  <c r="F413" s="1"/>
  <c r="C155" i="19"/>
  <c r="C337" s="1"/>
  <c r="D163"/>
  <c r="D357" s="1"/>
  <c r="B161"/>
  <c r="B351" s="1"/>
  <c r="D148" i="21" s="1"/>
  <c r="D156" i="19"/>
  <c r="D339" s="1"/>
  <c r="F40" i="20" s="1"/>
  <c r="B208" i="19"/>
  <c r="D159"/>
  <c r="D347" s="1"/>
  <c r="F168" i="18"/>
  <c r="H168" s="1"/>
  <c r="B151" i="19"/>
  <c r="B323" s="1"/>
  <c r="B159"/>
  <c r="B347" s="1"/>
  <c r="B156"/>
  <c r="B339" s="1"/>
  <c r="D40" i="20" s="1"/>
  <c r="B153" i="19"/>
  <c r="B331" s="1"/>
  <c r="F218" i="18"/>
  <c r="H218" s="1"/>
  <c r="F165"/>
  <c r="H165" s="1"/>
  <c r="F230"/>
  <c r="H230" s="1"/>
  <c r="F146" i="21"/>
  <c r="G44" i="20"/>
  <c r="E292" i="19"/>
  <c r="E294"/>
  <c r="E293"/>
  <c r="R19" i="23"/>
  <c r="L405" i="22"/>
  <c r="M405"/>
  <c r="K405"/>
  <c r="I139" i="21"/>
  <c r="J88" i="20"/>
  <c r="B33" i="17"/>
  <c r="E29" i="19"/>
  <c r="R20" i="23"/>
  <c r="L437" i="22"/>
  <c r="M437"/>
  <c r="K437"/>
  <c r="O20" i="23"/>
  <c r="L434" i="22"/>
  <c r="M434"/>
  <c r="K434"/>
  <c r="N19" i="23"/>
  <c r="N46" s="1"/>
  <c r="L401" i="22"/>
  <c r="M401"/>
  <c r="K401"/>
  <c r="I93" i="21"/>
  <c r="J28" i="20"/>
  <c r="I127" i="21"/>
  <c r="J65" i="20"/>
  <c r="G1041" i="22"/>
  <c r="G1043" s="1"/>
  <c r="B1043"/>
  <c r="E342" i="19"/>
  <c r="E341"/>
  <c r="I134" i="21"/>
  <c r="J87" i="20"/>
  <c r="H785" i="22"/>
  <c r="E787"/>
  <c r="D753"/>
  <c r="C755"/>
  <c r="G45" i="20"/>
  <c r="F148" i="21"/>
  <c r="E721" i="22"/>
  <c r="C723"/>
  <c r="F91" i="19"/>
  <c r="F145" s="1"/>
  <c r="H300"/>
  <c r="H299"/>
  <c r="P19" i="23"/>
  <c r="P46" s="1"/>
  <c r="L403" i="22"/>
  <c r="M403"/>
  <c r="K403"/>
  <c r="T20" i="23"/>
  <c r="L439" i="22"/>
  <c r="M439"/>
  <c r="K439"/>
  <c r="H347" i="19"/>
  <c r="H346"/>
  <c r="E296"/>
  <c r="E297"/>
  <c r="E322"/>
  <c r="E323"/>
  <c r="E324"/>
  <c r="G913" i="22"/>
  <c r="G915" s="1"/>
  <c r="B915"/>
  <c r="D143" i="18"/>
  <c r="F143"/>
  <c r="H143" s="1"/>
  <c r="B206" i="19"/>
  <c r="C689" i="22"/>
  <c r="B213" i="19"/>
  <c r="E913" i="22"/>
  <c r="F96" i="21"/>
  <c r="G29" i="20"/>
  <c r="D657" i="22"/>
  <c r="C659"/>
  <c r="E85" i="19"/>
  <c r="E139" s="1"/>
  <c r="E280" s="1"/>
  <c r="F133" i="21"/>
  <c r="G66" i="20"/>
  <c r="F132" i="21"/>
  <c r="G39" i="20"/>
  <c r="F154" i="21"/>
  <c r="G91" i="20"/>
  <c r="E78" i="19"/>
  <c r="E132" s="1"/>
  <c r="G65" i="20"/>
  <c r="F127" i="21"/>
  <c r="G37" i="20"/>
  <c r="F126" i="21"/>
  <c r="B158" i="19"/>
  <c r="B344" s="1"/>
  <c r="B217"/>
  <c r="C163"/>
  <c r="C160"/>
  <c r="C349" s="1"/>
  <c r="B154"/>
  <c r="B333" s="1"/>
  <c r="B164"/>
  <c r="B359" s="1"/>
  <c r="C159"/>
  <c r="D160"/>
  <c r="D349" s="1"/>
  <c r="B152"/>
  <c r="B155"/>
  <c r="C156"/>
  <c r="C339" s="1"/>
  <c r="D164"/>
  <c r="D359" s="1"/>
  <c r="B215"/>
  <c r="B212"/>
  <c r="B216"/>
  <c r="B210"/>
  <c r="B218"/>
  <c r="G145"/>
  <c r="G143"/>
  <c r="S21" i="23"/>
  <c r="S46" s="1"/>
  <c r="L470" i="22"/>
  <c r="M470"/>
  <c r="K470"/>
  <c r="O21" i="23"/>
  <c r="L466" i="22"/>
  <c r="M466"/>
  <c r="K466"/>
  <c r="I148" i="21"/>
  <c r="J45" i="20"/>
  <c r="B211" i="19"/>
  <c r="C849" i="22"/>
  <c r="H1041"/>
  <c r="E1043"/>
  <c r="I133" i="21"/>
  <c r="J66" i="20"/>
  <c r="G90"/>
  <c r="F149" i="21"/>
  <c r="H356" i="19"/>
  <c r="H357"/>
  <c r="M19" i="23"/>
  <c r="M46" s="1"/>
  <c r="L400" i="22"/>
  <c r="M400"/>
  <c r="K400"/>
  <c r="T21" i="23"/>
  <c r="L471" i="22"/>
  <c r="M471"/>
  <c r="K471"/>
  <c r="O19" i="23"/>
  <c r="L402" i="22"/>
  <c r="M402"/>
  <c r="K402"/>
  <c r="H293" i="19"/>
  <c r="H292"/>
  <c r="H294"/>
  <c r="B26" i="17"/>
  <c r="E22" i="19"/>
  <c r="F156" i="21"/>
  <c r="G48" i="20"/>
  <c r="G785" i="22"/>
  <c r="G787" s="1"/>
  <c r="B787"/>
  <c r="B214" i="19"/>
  <c r="E945" i="22"/>
  <c r="E326" i="19"/>
  <c r="E327"/>
  <c r="E411" i="22"/>
  <c r="E346" i="19"/>
  <c r="E347"/>
  <c r="E977" i="22"/>
  <c r="C979"/>
  <c r="D881"/>
  <c r="C883"/>
  <c r="E477"/>
  <c r="D1009"/>
  <c r="C1011"/>
  <c r="G817"/>
  <c r="E819"/>
  <c r="E84" i="19"/>
  <c r="E138" s="1"/>
  <c r="E82"/>
  <c r="E136" s="1"/>
  <c r="G78" i="20"/>
  <c r="F97" i="21"/>
  <c r="E445" i="22"/>
  <c r="G1073"/>
  <c r="E1075"/>
  <c r="L46" i="23"/>
  <c r="F134" i="21"/>
  <c r="G87" i="20"/>
  <c r="G47"/>
  <c r="F153" i="21"/>
  <c r="G86" i="20"/>
  <c r="F128" i="21"/>
  <c r="B160" i="19"/>
  <c r="B349" s="1"/>
  <c r="B157"/>
  <c r="D155"/>
  <c r="B209"/>
  <c r="G144"/>
  <c r="C164"/>
  <c r="C359" s="1"/>
  <c r="B162"/>
  <c r="B354" s="1"/>
  <c r="B205"/>
  <c r="J41" i="20" l="1"/>
  <c r="I236" i="18"/>
  <c r="T46" i="23"/>
  <c r="L139" i="18"/>
  <c r="I159"/>
  <c r="I206"/>
  <c r="J39" i="20"/>
  <c r="C335" i="19"/>
  <c r="N132" i="21" s="1"/>
  <c r="J37" i="20"/>
  <c r="J86"/>
  <c r="B322" i="19"/>
  <c r="M119" i="21" s="1"/>
  <c r="I189" i="18"/>
  <c r="B346" i="19"/>
  <c r="D43" i="20" s="1"/>
  <c r="I149" i="21"/>
  <c r="I94"/>
  <c r="D356" i="19"/>
  <c r="O153" i="21" s="1"/>
  <c r="B330" i="19"/>
  <c r="D127" i="21" s="1"/>
  <c r="U127" s="1"/>
  <c r="C336" i="19"/>
  <c r="N133" i="21" s="1"/>
  <c r="B352" i="19"/>
  <c r="D149" i="21" s="1"/>
  <c r="T149" s="1"/>
  <c r="B357" i="19"/>
  <c r="M154" i="21" s="1"/>
  <c r="I165" i="18"/>
  <c r="I240" i="24"/>
  <c r="B327" s="1"/>
  <c r="D128" i="21"/>
  <c r="S128" s="1"/>
  <c r="B329" i="19"/>
  <c r="M126" i="21" s="1"/>
  <c r="I261" i="24"/>
  <c r="B331" s="1"/>
  <c r="I187" i="18"/>
  <c r="I226"/>
  <c r="I217"/>
  <c r="I174"/>
  <c r="I199"/>
  <c r="I194"/>
  <c r="I169"/>
  <c r="I149"/>
  <c r="I141"/>
  <c r="I196"/>
  <c r="I143"/>
  <c r="I183"/>
  <c r="I177"/>
  <c r="I161"/>
  <c r="I186"/>
  <c r="I185"/>
  <c r="M136" i="21"/>
  <c r="I175" i="18"/>
  <c r="I176"/>
  <c r="I144"/>
  <c r="I166"/>
  <c r="I154"/>
  <c r="I260" i="24"/>
  <c r="C68" i="25" s="1"/>
  <c r="I202" i="18"/>
  <c r="I213"/>
  <c r="I231"/>
  <c r="I198"/>
  <c r="I209"/>
  <c r="I170"/>
  <c r="I163"/>
  <c r="I234"/>
  <c r="I172"/>
  <c r="I229"/>
  <c r="I168"/>
  <c r="I179"/>
  <c r="I167"/>
  <c r="I151"/>
  <c r="I157"/>
  <c r="I145"/>
  <c r="D346" i="19"/>
  <c r="F43" i="20" s="1"/>
  <c r="I222" i="18"/>
  <c r="I223"/>
  <c r="I212"/>
  <c r="I207"/>
  <c r="I140"/>
  <c r="I152"/>
  <c r="I219"/>
  <c r="O136" i="21"/>
  <c r="R46" i="23"/>
  <c r="I230" i="18"/>
  <c r="I218"/>
  <c r="E136" i="21"/>
  <c r="P136" s="1"/>
  <c r="I181" i="18"/>
  <c r="I215"/>
  <c r="I190"/>
  <c r="I228"/>
  <c r="I178"/>
  <c r="I173"/>
  <c r="I195"/>
  <c r="I220"/>
  <c r="I221"/>
  <c r="I188"/>
  <c r="I227"/>
  <c r="I155"/>
  <c r="I268" i="24"/>
  <c r="I216" i="18"/>
  <c r="I238"/>
  <c r="I164"/>
  <c r="I233"/>
  <c r="I197"/>
  <c r="I142"/>
  <c r="I156"/>
  <c r="I160"/>
  <c r="I148"/>
  <c r="I200"/>
  <c r="I201"/>
  <c r="B324" i="19"/>
  <c r="D84" i="20" s="1"/>
  <c r="B77" i="17"/>
  <c r="C77" s="1"/>
  <c r="B99" i="18" s="1"/>
  <c r="B110" s="1"/>
  <c r="I210"/>
  <c r="I208"/>
  <c r="I232"/>
  <c r="I203"/>
  <c r="I235"/>
  <c r="I214"/>
  <c r="I192"/>
  <c r="I225"/>
  <c r="I211"/>
  <c r="I193"/>
  <c r="I150"/>
  <c r="I146"/>
  <c r="I180"/>
  <c r="I237"/>
  <c r="I182"/>
  <c r="I171"/>
  <c r="I191"/>
  <c r="I158"/>
  <c r="I224"/>
  <c r="I205"/>
  <c r="I147"/>
  <c r="I184"/>
  <c r="I153"/>
  <c r="I162"/>
  <c r="F143" i="19"/>
  <c r="F292" s="1"/>
  <c r="O46" i="23"/>
  <c r="I204" i="18"/>
  <c r="E285" i="19"/>
  <c r="E286"/>
  <c r="E284"/>
  <c r="F77" i="21"/>
  <c r="G23" i="20"/>
  <c r="E268" i="19"/>
  <c r="E269"/>
  <c r="E270"/>
  <c r="T127" i="21"/>
  <c r="E253" i="19"/>
  <c r="E252"/>
  <c r="E254"/>
  <c r="F299"/>
  <c r="F300"/>
  <c r="M151" i="21"/>
  <c r="D46" i="20"/>
  <c r="E151" i="21"/>
  <c r="I263" i="24"/>
  <c r="D151" i="21"/>
  <c r="G297" i="19"/>
  <c r="G296"/>
  <c r="B342"/>
  <c r="D139" i="21" s="1"/>
  <c r="B341" i="19"/>
  <c r="D138" i="21" s="1"/>
  <c r="M146"/>
  <c r="D44" i="20"/>
  <c r="E146" i="21"/>
  <c r="U128"/>
  <c r="D99" i="22"/>
  <c r="F443"/>
  <c r="D251"/>
  <c r="F144" i="21"/>
  <c r="G89" i="20"/>
  <c r="E413" i="22"/>
  <c r="G85" i="20"/>
  <c r="F124" i="21"/>
  <c r="G945" i="22"/>
  <c r="E947"/>
  <c r="M128" i="21"/>
  <c r="E128"/>
  <c r="D86" i="20"/>
  <c r="M143" i="21"/>
  <c r="F89" i="20"/>
  <c r="O144" i="21"/>
  <c r="M120"/>
  <c r="E120"/>
  <c r="D64" i="20"/>
  <c r="J27"/>
  <c r="I89" i="21"/>
  <c r="I154"/>
  <c r="J91" i="20"/>
  <c r="E849" i="22"/>
  <c r="C851"/>
  <c r="G292" i="19"/>
  <c r="G294"/>
  <c r="G293"/>
  <c r="F48" i="20"/>
  <c r="O156" i="21"/>
  <c r="B327" i="19"/>
  <c r="B326"/>
  <c r="I235" i="24" s="1"/>
  <c r="C63" i="25" s="1"/>
  <c r="C347" i="19"/>
  <c r="E144" i="21" s="1"/>
  <c r="C346" i="19"/>
  <c r="E44" i="20"/>
  <c r="N146" i="21"/>
  <c r="D315" i="22"/>
  <c r="H913"/>
  <c r="E915"/>
  <c r="D689"/>
  <c r="C691"/>
  <c r="G64" i="20"/>
  <c r="F120" i="21"/>
  <c r="D120"/>
  <c r="I232" i="24"/>
  <c r="B293" s="1"/>
  <c r="F94" i="21"/>
  <c r="G77" i="20"/>
  <c r="J43"/>
  <c r="I143" i="21"/>
  <c r="I96"/>
  <c r="J29" i="20"/>
  <c r="V148" i="21"/>
  <c r="T148"/>
  <c r="S148"/>
  <c r="U148"/>
  <c r="K148"/>
  <c r="J148"/>
  <c r="G41" i="20"/>
  <c r="F138" i="21"/>
  <c r="E88" i="19"/>
  <c r="E142" s="1"/>
  <c r="D45" i="20"/>
  <c r="M148" i="21"/>
  <c r="E148"/>
  <c r="O154"/>
  <c r="F91" i="20"/>
  <c r="G58"/>
  <c r="F90" i="21"/>
  <c r="F89"/>
  <c r="G27" i="20"/>
  <c r="E48"/>
  <c r="N156" i="21"/>
  <c r="D337" i="19"/>
  <c r="D336"/>
  <c r="D335"/>
  <c r="E257"/>
  <c r="E256"/>
  <c r="E258"/>
  <c r="F296"/>
  <c r="F297"/>
  <c r="X40" i="23"/>
  <c r="Y40" s="1"/>
  <c r="G1075" i="22"/>
  <c r="D191"/>
  <c r="E278" i="19"/>
  <c r="E276"/>
  <c r="E277"/>
  <c r="X32" i="23"/>
  <c r="Y32" s="1"/>
  <c r="G819" i="22"/>
  <c r="X38" i="23"/>
  <c r="Y38" s="1"/>
  <c r="D1011" i="22"/>
  <c r="X34" i="23"/>
  <c r="Y34" s="1"/>
  <c r="D883" i="22"/>
  <c r="X37" i="23"/>
  <c r="Y37" s="1"/>
  <c r="G977" i="22"/>
  <c r="G979" s="1"/>
  <c r="F977"/>
  <c r="F979" s="1"/>
  <c r="E979"/>
  <c r="G43" i="20"/>
  <c r="F143" i="21"/>
  <c r="G36" i="20"/>
  <c r="F123" i="21"/>
  <c r="M144"/>
  <c r="D89" i="20"/>
  <c r="D35"/>
  <c r="E81" i="19"/>
  <c r="E135" s="1"/>
  <c r="I91" i="21"/>
  <c r="J76" i="20"/>
  <c r="J58"/>
  <c r="I90" i="21"/>
  <c r="J47" i="20"/>
  <c r="I153" i="21"/>
  <c r="E347" i="22"/>
  <c r="X39" i="23"/>
  <c r="Y39" s="1"/>
  <c r="J1041" i="22"/>
  <c r="J1043" s="1"/>
  <c r="I1041"/>
  <c r="I1043" s="1"/>
  <c r="H1043"/>
  <c r="G300" i="19"/>
  <c r="G299"/>
  <c r="E40" i="20"/>
  <c r="N136" i="21"/>
  <c r="I248" i="24"/>
  <c r="D136" i="21"/>
  <c r="B337" i="19"/>
  <c r="B335"/>
  <c r="B336"/>
  <c r="F44" i="20"/>
  <c r="O146" i="21"/>
  <c r="M156"/>
  <c r="D48" i="20"/>
  <c r="E156" i="21"/>
  <c r="M130"/>
  <c r="E130"/>
  <c r="D38" i="20"/>
  <c r="D130" i="21"/>
  <c r="I242" i="24"/>
  <c r="C357" i="19"/>
  <c r="C356"/>
  <c r="M141" i="21"/>
  <c r="E141"/>
  <c r="D42" i="20"/>
  <c r="D141" i="21"/>
  <c r="I253" i="24"/>
  <c r="F79" i="21"/>
  <c r="G24" i="20"/>
  <c r="C67" i="22"/>
  <c r="D283"/>
  <c r="X27" i="23"/>
  <c r="Y27" s="1"/>
  <c r="F657" i="22"/>
  <c r="F659" s="1"/>
  <c r="E657"/>
  <c r="E659" s="1"/>
  <c r="D659"/>
  <c r="E87" i="20"/>
  <c r="N134" i="21"/>
  <c r="G84" i="20"/>
  <c r="F121" i="21"/>
  <c r="F119"/>
  <c r="G35" i="20"/>
  <c r="G28"/>
  <c r="F93" i="21"/>
  <c r="J89" i="20"/>
  <c r="I144" i="21"/>
  <c r="J78" i="20"/>
  <c r="I97" i="21"/>
  <c r="F475" i="22"/>
  <c r="X29" i="23"/>
  <c r="Y29" s="1"/>
  <c r="G721" i="22"/>
  <c r="G723" s="1"/>
  <c r="F721"/>
  <c r="F723" s="1"/>
  <c r="E723"/>
  <c r="X30" i="23"/>
  <c r="Y30" s="1"/>
  <c r="D755" i="22"/>
  <c r="X31" i="23"/>
  <c r="Y31" s="1"/>
  <c r="J785" i="22"/>
  <c r="J787" s="1"/>
  <c r="I785"/>
  <c r="I787" s="1"/>
  <c r="H787"/>
  <c r="G88" i="20"/>
  <c r="F139" i="21"/>
  <c r="M153"/>
  <c r="D47" i="20"/>
  <c r="F91" i="21"/>
  <c r="G76" i="20"/>
  <c r="D156" i="21"/>
  <c r="I258" i="24"/>
  <c r="D146" i="21"/>
  <c r="F689" i="22" l="1"/>
  <c r="F691" s="1"/>
  <c r="E689"/>
  <c r="E691" s="1"/>
  <c r="E39" i="20"/>
  <c r="I239" i="24"/>
  <c r="B295" s="1"/>
  <c r="E68" i="25"/>
  <c r="M149" i="21"/>
  <c r="D119"/>
  <c r="I231" i="24"/>
  <c r="C62" i="25" s="1"/>
  <c r="S149" i="21"/>
  <c r="E127"/>
  <c r="R127" s="1"/>
  <c r="D90" i="20"/>
  <c r="V149" i="21"/>
  <c r="O143"/>
  <c r="D65" i="20"/>
  <c r="V128" i="21"/>
  <c r="V127"/>
  <c r="J153" i="18"/>
  <c r="K153" s="1"/>
  <c r="F294" i="19"/>
  <c r="H76" i="20" s="1"/>
  <c r="E66"/>
  <c r="E149" i="21"/>
  <c r="P149" s="1"/>
  <c r="U149"/>
  <c r="E119"/>
  <c r="R119" s="1"/>
  <c r="M127"/>
  <c r="M121"/>
  <c r="T128"/>
  <c r="S127"/>
  <c r="J219" i="18"/>
  <c r="K219" s="1"/>
  <c r="I238" i="24"/>
  <c r="C64" i="25" s="1"/>
  <c r="E64" s="1"/>
  <c r="F47" i="20"/>
  <c r="J166" i="18"/>
  <c r="K166" s="1"/>
  <c r="E153" i="21"/>
  <c r="L153" s="1"/>
  <c r="D91" i="20"/>
  <c r="R136" i="21"/>
  <c r="E126"/>
  <c r="Q126" s="1"/>
  <c r="J146" i="18"/>
  <c r="K146" s="1"/>
  <c r="J163"/>
  <c r="K163" s="1"/>
  <c r="D126" i="21"/>
  <c r="V126" s="1"/>
  <c r="Q136"/>
  <c r="D37" i="20"/>
  <c r="J167" i="18"/>
  <c r="K167" s="1"/>
  <c r="I233" i="24"/>
  <c r="B325" s="1"/>
  <c r="D121" i="21"/>
  <c r="T121" s="1"/>
  <c r="J155" i="18"/>
  <c r="K155" s="1"/>
  <c r="J216"/>
  <c r="K216" s="1"/>
  <c r="I250" i="24"/>
  <c r="C66" i="25" s="1"/>
  <c r="J158" i="18"/>
  <c r="K158" s="1"/>
  <c r="J197"/>
  <c r="K197" s="1"/>
  <c r="J213"/>
  <c r="K213" s="1"/>
  <c r="J173"/>
  <c r="K173" s="1"/>
  <c r="J223"/>
  <c r="K223" s="1"/>
  <c r="J212"/>
  <c r="K212" s="1"/>
  <c r="J207"/>
  <c r="K207" s="1"/>
  <c r="J179"/>
  <c r="K179" s="1"/>
  <c r="B234" i="19"/>
  <c r="J154" i="18"/>
  <c r="K154" s="1"/>
  <c r="I251" i="24"/>
  <c r="B329" s="1"/>
  <c r="J196" i="18"/>
  <c r="K196" s="1"/>
  <c r="J234"/>
  <c r="K234" s="1"/>
  <c r="J174"/>
  <c r="K174" s="1"/>
  <c r="J151"/>
  <c r="K151" s="1"/>
  <c r="J193"/>
  <c r="K193" s="1"/>
  <c r="J143"/>
  <c r="K143" s="1"/>
  <c r="J188"/>
  <c r="K188" s="1"/>
  <c r="J231"/>
  <c r="K231" s="1"/>
  <c r="J220"/>
  <c r="K220" s="1"/>
  <c r="J156"/>
  <c r="K156" s="1"/>
  <c r="J235"/>
  <c r="K235" s="1"/>
  <c r="J187"/>
  <c r="K187" s="1"/>
  <c r="J203"/>
  <c r="K203" s="1"/>
  <c r="J177"/>
  <c r="K177" s="1"/>
  <c r="J164"/>
  <c r="K164" s="1"/>
  <c r="I255" i="24"/>
  <c r="C67" i="25" s="1"/>
  <c r="E121" i="21"/>
  <c r="Q121" s="1"/>
  <c r="J182" i="18"/>
  <c r="K182" s="1"/>
  <c r="J183"/>
  <c r="K183" s="1"/>
  <c r="J199"/>
  <c r="K199" s="1"/>
  <c r="J147"/>
  <c r="K147" s="1"/>
  <c r="J227"/>
  <c r="K227" s="1"/>
  <c r="J232"/>
  <c r="K232" s="1"/>
  <c r="J194"/>
  <c r="K194" s="1"/>
  <c r="J236"/>
  <c r="K236" s="1"/>
  <c r="J233"/>
  <c r="K233" s="1"/>
  <c r="J181"/>
  <c r="K181" s="1"/>
  <c r="J230"/>
  <c r="K230" s="1"/>
  <c r="J237"/>
  <c r="K237" s="1"/>
  <c r="J226"/>
  <c r="K226" s="1"/>
  <c r="J221"/>
  <c r="K221" s="1"/>
  <c r="J208"/>
  <c r="K208" s="1"/>
  <c r="J152"/>
  <c r="K152" s="1"/>
  <c r="J209"/>
  <c r="K209" s="1"/>
  <c r="J142"/>
  <c r="K142" s="1"/>
  <c r="J189"/>
  <c r="K189" s="1"/>
  <c r="J191"/>
  <c r="K191" s="1"/>
  <c r="F293" i="19"/>
  <c r="G90" i="21" s="1"/>
  <c r="J172" i="18"/>
  <c r="K172" s="1"/>
  <c r="J140"/>
  <c r="J192"/>
  <c r="K192" s="1"/>
  <c r="J238"/>
  <c r="K238" s="1"/>
  <c r="J161"/>
  <c r="K161" s="1"/>
  <c r="J170"/>
  <c r="K170" s="1"/>
  <c r="J215"/>
  <c r="K215" s="1"/>
  <c r="J211"/>
  <c r="K211" s="1"/>
  <c r="J144"/>
  <c r="K144" s="1"/>
  <c r="J165"/>
  <c r="K165" s="1"/>
  <c r="J224"/>
  <c r="K224" s="1"/>
  <c r="J195"/>
  <c r="K195" s="1"/>
  <c r="J176"/>
  <c r="K176" s="1"/>
  <c r="J141"/>
  <c r="K141" s="1"/>
  <c r="J218"/>
  <c r="K218" s="1"/>
  <c r="J198"/>
  <c r="K198" s="1"/>
  <c r="J150"/>
  <c r="K150" s="1"/>
  <c r="J204"/>
  <c r="K204" s="1"/>
  <c r="J217"/>
  <c r="K217" s="1"/>
  <c r="J190"/>
  <c r="K190" s="1"/>
  <c r="J145"/>
  <c r="K145" s="1"/>
  <c r="J168"/>
  <c r="K168" s="1"/>
  <c r="J205"/>
  <c r="K205" s="1"/>
  <c r="J201"/>
  <c r="K201" s="1"/>
  <c r="J202"/>
  <c r="K202" s="1"/>
  <c r="J206"/>
  <c r="K206" s="1"/>
  <c r="J185"/>
  <c r="K185" s="1"/>
  <c r="J225"/>
  <c r="K225" s="1"/>
  <c r="J186"/>
  <c r="K186" s="1"/>
  <c r="J162"/>
  <c r="K162" s="1"/>
  <c r="J200"/>
  <c r="K200" s="1"/>
  <c r="J159"/>
  <c r="K159" s="1"/>
  <c r="J184"/>
  <c r="K184" s="1"/>
  <c r="J169"/>
  <c r="K169" s="1"/>
  <c r="J214"/>
  <c r="K214" s="1"/>
  <c r="J160"/>
  <c r="K160" s="1"/>
  <c r="J175"/>
  <c r="K175" s="1"/>
  <c r="J228"/>
  <c r="K228" s="1"/>
  <c r="J180"/>
  <c r="K180" s="1"/>
  <c r="J157"/>
  <c r="K157" s="1"/>
  <c r="J148"/>
  <c r="K148" s="1"/>
  <c r="J171"/>
  <c r="K171" s="1"/>
  <c r="J210"/>
  <c r="K210" s="1"/>
  <c r="J222"/>
  <c r="K222" s="1"/>
  <c r="J149"/>
  <c r="K149" s="1"/>
  <c r="J229"/>
  <c r="K229" s="1"/>
  <c r="J178"/>
  <c r="K178" s="1"/>
  <c r="D123" i="21"/>
  <c r="D143"/>
  <c r="K143" s="1"/>
  <c r="E265" i="19"/>
  <c r="E264"/>
  <c r="E266"/>
  <c r="E289"/>
  <c r="E290"/>
  <c r="E288"/>
  <c r="R149" i="21"/>
  <c r="S139"/>
  <c r="T139"/>
  <c r="V139"/>
  <c r="U139"/>
  <c r="J119"/>
  <c r="D285" i="22"/>
  <c r="C69"/>
  <c r="E91" i="20"/>
  <c r="N154" i="21"/>
  <c r="I266" i="24"/>
  <c r="B332" s="1"/>
  <c r="D154" i="21"/>
  <c r="V130"/>
  <c r="T130"/>
  <c r="U130"/>
  <c r="S130"/>
  <c r="Q130"/>
  <c r="R130"/>
  <c r="P130"/>
  <c r="R156"/>
  <c r="P156"/>
  <c r="Q156"/>
  <c r="M132"/>
  <c r="D39" i="20"/>
  <c r="E132" i="21"/>
  <c r="D132"/>
  <c r="I244" i="24"/>
  <c r="C65" i="25" s="1"/>
  <c r="I78" i="20"/>
  <c r="H97" i="21"/>
  <c r="F74"/>
  <c r="G55" i="20"/>
  <c r="G73"/>
  <c r="F75" i="21"/>
  <c r="H28" i="20"/>
  <c r="G93" i="21"/>
  <c r="F53"/>
  <c r="G17" i="20"/>
  <c r="O133" i="21"/>
  <c r="F66" i="20"/>
  <c r="P148" i="21"/>
  <c r="R148"/>
  <c r="Q148"/>
  <c r="L148"/>
  <c r="K138"/>
  <c r="U138"/>
  <c r="S138"/>
  <c r="V138"/>
  <c r="T138"/>
  <c r="J138"/>
  <c r="V120"/>
  <c r="S120"/>
  <c r="U120"/>
  <c r="T120"/>
  <c r="X28" i="23"/>
  <c r="Y28" s="1"/>
  <c r="D691" i="22"/>
  <c r="X35" i="23"/>
  <c r="Y35" s="1"/>
  <c r="J913" i="22"/>
  <c r="J915" s="1"/>
  <c r="I913"/>
  <c r="I915" s="1"/>
  <c r="H915"/>
  <c r="E89" i="20"/>
  <c r="N144" i="21"/>
  <c r="M124"/>
  <c r="D85" i="20"/>
  <c r="E124" i="21"/>
  <c r="H91"/>
  <c r="I76" i="20"/>
  <c r="D253" i="22"/>
  <c r="D101"/>
  <c r="R146" i="21"/>
  <c r="Q146"/>
  <c r="P146"/>
  <c r="D88" i="20"/>
  <c r="M139" i="21"/>
  <c r="E139"/>
  <c r="H94"/>
  <c r="I77" i="20"/>
  <c r="G97" i="21"/>
  <c r="H78" i="20"/>
  <c r="G67"/>
  <c r="F51" i="21"/>
  <c r="F50"/>
  <c r="G49" i="20"/>
  <c r="F66" i="21"/>
  <c r="G53" i="20"/>
  <c r="F81" i="21"/>
  <c r="G25" i="20"/>
  <c r="G56"/>
  <c r="F82" i="21"/>
  <c r="D64" i="25"/>
  <c r="I172" i="21"/>
  <c r="I236" i="24"/>
  <c r="B326" s="1"/>
  <c r="E63" i="25" s="1"/>
  <c r="I256" i="24"/>
  <c r="B330" s="1"/>
  <c r="D144" i="21"/>
  <c r="U146"/>
  <c r="T146"/>
  <c r="S146"/>
  <c r="V146"/>
  <c r="S156"/>
  <c r="T156"/>
  <c r="U156"/>
  <c r="V156"/>
  <c r="F477" i="22"/>
  <c r="V141" i="21"/>
  <c r="U141"/>
  <c r="T141"/>
  <c r="S141"/>
  <c r="R141"/>
  <c r="P141"/>
  <c r="Q141"/>
  <c r="N153"/>
  <c r="E47" i="20"/>
  <c r="D153" i="21"/>
  <c r="I265" i="24"/>
  <c r="C69" i="25" s="1"/>
  <c r="M133" i="21"/>
  <c r="E133"/>
  <c r="D66" i="20"/>
  <c r="I245" i="24"/>
  <c r="B296" s="1"/>
  <c r="D133" i="21"/>
  <c r="D87" i="20"/>
  <c r="E134" i="21"/>
  <c r="M134"/>
  <c r="D134"/>
  <c r="I246" i="24"/>
  <c r="B328" s="1"/>
  <c r="S136" i="21"/>
  <c r="U136"/>
  <c r="T136"/>
  <c r="V136"/>
  <c r="I29" i="20"/>
  <c r="H96" i="21"/>
  <c r="E349" i="22"/>
  <c r="C159"/>
  <c r="P144" i="21"/>
  <c r="R144"/>
  <c r="Q144"/>
  <c r="G22" i="20"/>
  <c r="F73" i="21"/>
  <c r="D193" i="22"/>
  <c r="G94" i="21"/>
  <c r="H77" i="20"/>
  <c r="G68"/>
  <c r="F55" i="21"/>
  <c r="F54"/>
  <c r="G50" i="20"/>
  <c r="G89" i="21"/>
  <c r="H27" i="20"/>
  <c r="O132" i="21"/>
  <c r="F39" i="20"/>
  <c r="O134" i="21"/>
  <c r="F87" i="20"/>
  <c r="E379" i="22"/>
  <c r="D317"/>
  <c r="E43" i="20"/>
  <c r="N143" i="21"/>
  <c r="D36" i="20"/>
  <c r="E123" i="21"/>
  <c r="L123" s="1"/>
  <c r="M123"/>
  <c r="H90"/>
  <c r="I58" i="20"/>
  <c r="I27"/>
  <c r="H89" i="21"/>
  <c r="X33" i="23"/>
  <c r="Y33" s="1"/>
  <c r="G849" i="22"/>
  <c r="G851" s="1"/>
  <c r="F849"/>
  <c r="F851" s="1"/>
  <c r="E851"/>
  <c r="R120" i="21"/>
  <c r="Q120"/>
  <c r="P120"/>
  <c r="Q128"/>
  <c r="R128"/>
  <c r="P128"/>
  <c r="X36" i="23"/>
  <c r="Y36" s="1"/>
  <c r="G947" i="22"/>
  <c r="F445"/>
  <c r="D41" i="20"/>
  <c r="E138" i="21"/>
  <c r="M138"/>
  <c r="H93"/>
  <c r="I28" i="20"/>
  <c r="S151" i="21"/>
  <c r="U151"/>
  <c r="V151"/>
  <c r="T151"/>
  <c r="P151"/>
  <c r="Q151"/>
  <c r="R151"/>
  <c r="E193" i="18"/>
  <c r="E235"/>
  <c r="E152"/>
  <c r="E165"/>
  <c r="E187"/>
  <c r="E163"/>
  <c r="E217"/>
  <c r="E186"/>
  <c r="E160"/>
  <c r="E149"/>
  <c r="E215"/>
  <c r="E145"/>
  <c r="E195"/>
  <c r="E181"/>
  <c r="E191"/>
  <c r="E175"/>
  <c r="E167"/>
  <c r="E164"/>
  <c r="E234"/>
  <c r="E209"/>
  <c r="E151"/>
  <c r="E148"/>
  <c r="E214"/>
  <c r="E236"/>
  <c r="E171"/>
  <c r="E206"/>
  <c r="E218"/>
  <c r="E174"/>
  <c r="E156"/>
  <c r="E198"/>
  <c r="E207"/>
  <c r="E153"/>
  <c r="E188"/>
  <c r="E229"/>
  <c r="E168"/>
  <c r="E185"/>
  <c r="E220"/>
  <c r="E170"/>
  <c r="E202"/>
  <c r="E232"/>
  <c r="E203"/>
  <c r="E208"/>
  <c r="E154"/>
  <c r="E144"/>
  <c r="E225"/>
  <c r="E159"/>
  <c r="E228"/>
  <c r="E221"/>
  <c r="E146"/>
  <c r="E230"/>
  <c r="E231"/>
  <c r="E194"/>
  <c r="E211"/>
  <c r="E176"/>
  <c r="E177"/>
  <c r="E233"/>
  <c r="E213"/>
  <c r="E222"/>
  <c r="E189"/>
  <c r="E172"/>
  <c r="E179"/>
  <c r="E155"/>
  <c r="E180"/>
  <c r="E200"/>
  <c r="E161"/>
  <c r="E212"/>
  <c r="E147"/>
  <c r="E182"/>
  <c r="E210"/>
  <c r="E219"/>
  <c r="E196"/>
  <c r="E224"/>
  <c r="E183"/>
  <c r="E190"/>
  <c r="E238"/>
  <c r="E199"/>
  <c r="E169"/>
  <c r="E158"/>
  <c r="E184"/>
  <c r="E141"/>
  <c r="E204"/>
  <c r="E226"/>
  <c r="E216"/>
  <c r="E205"/>
  <c r="E142"/>
  <c r="E162"/>
  <c r="E192"/>
  <c r="E227"/>
  <c r="E223"/>
  <c r="E143"/>
  <c r="E178"/>
  <c r="E157"/>
  <c r="E166"/>
  <c r="E237"/>
  <c r="E201"/>
  <c r="E197"/>
  <c r="E150"/>
  <c r="E173"/>
  <c r="B139"/>
  <c r="K139" s="1"/>
  <c r="E140"/>
  <c r="H29" i="20"/>
  <c r="G96" i="21"/>
  <c r="G16" i="20"/>
  <c r="F49" i="21"/>
  <c r="G71" i="20"/>
  <c r="F67" i="21"/>
  <c r="G20" i="20"/>
  <c r="F65" i="21"/>
  <c r="G74" i="20"/>
  <c r="F83" i="21"/>
  <c r="E154"/>
  <c r="D62" i="25"/>
  <c r="E143" i="21"/>
  <c r="D124"/>
  <c r="K119" l="1"/>
  <c r="T123"/>
  <c r="J123"/>
  <c r="K123"/>
  <c r="Q127"/>
  <c r="P119"/>
  <c r="T126"/>
  <c r="S119"/>
  <c r="V119"/>
  <c r="R126"/>
  <c r="G91"/>
  <c r="G172" s="1"/>
  <c r="R153"/>
  <c r="T119"/>
  <c r="U119"/>
  <c r="E62" i="25"/>
  <c r="E67"/>
  <c r="S123" i="21"/>
  <c r="V121"/>
  <c r="P127"/>
  <c r="L119"/>
  <c r="Q149"/>
  <c r="J126"/>
  <c r="P153"/>
  <c r="Q119"/>
  <c r="L126"/>
  <c r="U121"/>
  <c r="P126"/>
  <c r="H58" i="20"/>
  <c r="S121" i="21"/>
  <c r="R121"/>
  <c r="K126"/>
  <c r="Q153"/>
  <c r="S126"/>
  <c r="U126"/>
  <c r="P121"/>
  <c r="E66" i="25"/>
  <c r="U123" i="21"/>
  <c r="J143"/>
  <c r="V123"/>
  <c r="E65" i="25"/>
  <c r="D65"/>
  <c r="V143" i="21"/>
  <c r="S143"/>
  <c r="K140" i="18"/>
  <c r="L140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U143" i="21"/>
  <c r="T143"/>
  <c r="H172"/>
  <c r="U124"/>
  <c r="T124"/>
  <c r="V124"/>
  <c r="S124"/>
  <c r="P154"/>
  <c r="R154"/>
  <c r="Q154"/>
  <c r="R143"/>
  <c r="Q143"/>
  <c r="L143"/>
  <c r="P143"/>
  <c r="P138"/>
  <c r="Q138"/>
  <c r="L138"/>
  <c r="R138"/>
  <c r="P123"/>
  <c r="Q123"/>
  <c r="R123"/>
  <c r="P133"/>
  <c r="L133"/>
  <c r="R133"/>
  <c r="Q133"/>
  <c r="U144"/>
  <c r="S144"/>
  <c r="V144"/>
  <c r="T144"/>
  <c r="Q132"/>
  <c r="R132"/>
  <c r="L132"/>
  <c r="P132"/>
  <c r="G75" i="20"/>
  <c r="F87" i="21"/>
  <c r="G70" i="20"/>
  <c r="F63" i="21"/>
  <c r="F62"/>
  <c r="G52" i="20"/>
  <c r="M139" i="18"/>
  <c r="E69" i="25"/>
  <c r="E381" i="22"/>
  <c r="C161"/>
  <c r="S134" i="21"/>
  <c r="T134"/>
  <c r="U134"/>
  <c r="V134"/>
  <c r="Q134"/>
  <c r="P134"/>
  <c r="R134"/>
  <c r="K133"/>
  <c r="T133"/>
  <c r="V133"/>
  <c r="J133"/>
  <c r="S133"/>
  <c r="U133"/>
  <c r="T153"/>
  <c r="K153"/>
  <c r="V153"/>
  <c r="U153"/>
  <c r="J153"/>
  <c r="S153"/>
  <c r="P139"/>
  <c r="Q139"/>
  <c r="R139"/>
  <c r="Q124"/>
  <c r="P124"/>
  <c r="R124"/>
  <c r="J132"/>
  <c r="T132"/>
  <c r="V132"/>
  <c r="U132"/>
  <c r="S132"/>
  <c r="K132"/>
  <c r="V154"/>
  <c r="T154"/>
  <c r="U154"/>
  <c r="S154"/>
  <c r="G26" i="20"/>
  <c r="F85" i="21"/>
  <c r="G57" i="20"/>
  <c r="F86" i="21"/>
  <c r="G19" i="20"/>
  <c r="F61" i="21"/>
  <c r="F172" l="1"/>
  <c r="M140" i="18"/>
  <c r="N140" s="1"/>
  <c r="M141" l="1"/>
  <c r="N141" s="1"/>
  <c r="M142" l="1"/>
  <c r="M143" l="1"/>
  <c r="N142"/>
  <c r="M144" l="1"/>
  <c r="N143"/>
  <c r="M145" l="1"/>
  <c r="N145" s="1"/>
  <c r="N144"/>
  <c r="M146" l="1"/>
  <c r="M147" l="1"/>
  <c r="N146"/>
  <c r="M148" l="1"/>
  <c r="N147"/>
  <c r="M149" l="1"/>
  <c r="N149" s="1"/>
  <c r="N148"/>
  <c r="M150" l="1"/>
  <c r="M151" l="1"/>
  <c r="N150"/>
  <c r="M152" l="1"/>
  <c r="N151"/>
  <c r="M153" l="1"/>
  <c r="N153" s="1"/>
  <c r="N152"/>
  <c r="M154" l="1"/>
  <c r="M155" l="1"/>
  <c r="N154"/>
  <c r="M156" l="1"/>
  <c r="N155"/>
  <c r="M157" l="1"/>
  <c r="N157" s="1"/>
  <c r="N156"/>
  <c r="M158" l="1"/>
  <c r="M159" l="1"/>
  <c r="N158"/>
  <c r="M160" l="1"/>
  <c r="N159"/>
  <c r="M161" l="1"/>
  <c r="N161" s="1"/>
  <c r="N160"/>
  <c r="M162" l="1"/>
  <c r="M163" l="1"/>
  <c r="N162"/>
  <c r="M164" l="1"/>
  <c r="N163"/>
  <c r="M165" l="1"/>
  <c r="N164"/>
  <c r="M166" l="1"/>
  <c r="N165"/>
  <c r="M167" l="1"/>
  <c r="N166"/>
  <c r="M168" l="1"/>
  <c r="N167"/>
  <c r="M169" l="1"/>
  <c r="N168"/>
  <c r="M170" l="1"/>
  <c r="N169"/>
  <c r="M171" l="1"/>
  <c r="N170"/>
  <c r="M172" l="1"/>
  <c r="N171"/>
  <c r="M173" l="1"/>
  <c r="N172"/>
  <c r="M174" l="1"/>
  <c r="N173"/>
  <c r="M175" l="1"/>
  <c r="N174"/>
  <c r="M176" l="1"/>
  <c r="N175"/>
  <c r="M177" l="1"/>
  <c r="N176"/>
  <c r="M178" l="1"/>
  <c r="N177"/>
  <c r="M179" l="1"/>
  <c r="N178"/>
  <c r="M180" l="1"/>
  <c r="N179"/>
  <c r="M181" l="1"/>
  <c r="N180"/>
  <c r="M182" l="1"/>
  <c r="N181"/>
  <c r="M183" l="1"/>
  <c r="N182"/>
  <c r="M184" l="1"/>
  <c r="N183"/>
  <c r="M185" l="1"/>
  <c r="N184"/>
  <c r="M186" l="1"/>
  <c r="N185"/>
  <c r="M187" l="1"/>
  <c r="N186"/>
  <c r="M188" l="1"/>
  <c r="N187"/>
  <c r="M189" l="1"/>
  <c r="N188"/>
  <c r="M190" l="1"/>
  <c r="N189"/>
  <c r="M191" l="1"/>
  <c r="N190"/>
  <c r="M192" l="1"/>
  <c r="N191"/>
  <c r="M193" l="1"/>
  <c r="N192"/>
  <c r="M194" l="1"/>
  <c r="N193"/>
  <c r="M195" l="1"/>
  <c r="N194"/>
  <c r="M196" l="1"/>
  <c r="N195"/>
  <c r="M197" l="1"/>
  <c r="N196"/>
  <c r="M198" l="1"/>
  <c r="N197"/>
  <c r="M199" l="1"/>
  <c r="N198"/>
  <c r="M200" l="1"/>
  <c r="N199"/>
  <c r="M201" l="1"/>
  <c r="N200"/>
  <c r="M202" l="1"/>
  <c r="N201"/>
  <c r="M203" l="1"/>
  <c r="N202"/>
  <c r="M204" l="1"/>
  <c r="N203"/>
  <c r="M205" l="1"/>
  <c r="N204"/>
  <c r="M206" l="1"/>
  <c r="N205"/>
  <c r="M207" l="1"/>
  <c r="N206"/>
  <c r="M208" l="1"/>
  <c r="N207"/>
  <c r="M209" l="1"/>
  <c r="N208"/>
  <c r="M210" l="1"/>
  <c r="N209"/>
  <c r="M211" l="1"/>
  <c r="N210"/>
  <c r="M212" l="1"/>
  <c r="N211"/>
  <c r="M213" l="1"/>
  <c r="N212"/>
  <c r="M214" l="1"/>
  <c r="N213"/>
  <c r="M215" l="1"/>
  <c r="N214"/>
  <c r="M216" l="1"/>
  <c r="N215"/>
  <c r="M217" l="1"/>
  <c r="N216"/>
  <c r="M218" l="1"/>
  <c r="N217"/>
  <c r="M219" l="1"/>
  <c r="N218"/>
  <c r="M220" l="1"/>
  <c r="N219"/>
  <c r="M221" l="1"/>
  <c r="N220"/>
  <c r="M222" l="1"/>
  <c r="N221"/>
  <c r="M223" l="1"/>
  <c r="N222"/>
  <c r="M224" l="1"/>
  <c r="N223"/>
  <c r="M225" l="1"/>
  <c r="N224"/>
  <c r="M226" l="1"/>
  <c r="N225"/>
  <c r="M227" l="1"/>
  <c r="N226"/>
  <c r="M228" l="1"/>
  <c r="N227"/>
  <c r="M229" l="1"/>
  <c r="N229" s="1"/>
  <c r="N228"/>
  <c r="M230" l="1"/>
  <c r="M231" l="1"/>
  <c r="N230"/>
  <c r="M232" l="1"/>
  <c r="N231"/>
  <c r="M233" l="1"/>
  <c r="N232"/>
  <c r="M234" l="1"/>
  <c r="N233"/>
  <c r="M235" l="1"/>
  <c r="N234"/>
  <c r="M236" l="1"/>
  <c r="N235"/>
  <c r="M237" l="1"/>
  <c r="N237" s="1"/>
  <c r="N236"/>
  <c r="M238" l="1"/>
  <c r="N139" s="1"/>
  <c r="N238" l="1"/>
  <c r="B246" s="1"/>
  <c r="B272" l="1"/>
  <c r="B269"/>
  <c r="B271"/>
  <c r="C272"/>
  <c r="B278"/>
  <c r="D278"/>
  <c r="C273"/>
  <c r="C266"/>
  <c r="C271"/>
  <c r="C275"/>
  <c r="B277"/>
  <c r="D283"/>
  <c r="D275"/>
  <c r="D277"/>
  <c r="D274"/>
  <c r="C278"/>
  <c r="C277"/>
  <c r="B270"/>
  <c r="B281"/>
  <c r="B279"/>
  <c r="B275"/>
  <c r="C283"/>
  <c r="D276"/>
  <c r="C276"/>
  <c r="C274"/>
  <c r="C269"/>
  <c r="B274"/>
  <c r="B273"/>
  <c r="B268"/>
  <c r="B266"/>
  <c r="B276"/>
  <c r="B265"/>
  <c r="B267"/>
  <c r="B280"/>
  <c r="B282"/>
  <c r="B283"/>
  <c r="E280" l="1"/>
  <c r="B534" i="22"/>
  <c r="B34" i="19"/>
  <c r="B98" i="22"/>
  <c r="E266" i="18"/>
  <c r="B20" i="19"/>
  <c r="C190" i="22"/>
  <c r="C23" i="19"/>
  <c r="C410" i="22"/>
  <c r="C30" i="19"/>
  <c r="E279" i="18"/>
  <c r="B504" i="22"/>
  <c r="B33" i="19"/>
  <c r="C474" i="22"/>
  <c r="C32" i="19"/>
  <c r="D624" i="22"/>
  <c r="D37" i="19"/>
  <c r="C378" i="22"/>
  <c r="C29" i="19"/>
  <c r="D474" i="22"/>
  <c r="D32" i="19"/>
  <c r="C282" i="22"/>
  <c r="C26" i="19"/>
  <c r="B594" i="22"/>
  <c r="E282" i="18"/>
  <c r="B36" i="19"/>
  <c r="B126" i="22"/>
  <c r="E267" i="18"/>
  <c r="B21" i="19"/>
  <c r="B410" i="22"/>
  <c r="E276" i="18"/>
  <c r="B30" i="19"/>
  <c r="B158" i="22"/>
  <c r="D158" s="1"/>
  <c r="E268" i="18"/>
  <c r="B22" i="19"/>
  <c r="B346" i="22"/>
  <c r="E274" i="18"/>
  <c r="B28" i="19"/>
  <c r="C346" i="22"/>
  <c r="C28" i="19"/>
  <c r="D410" i="22"/>
  <c r="D30" i="19"/>
  <c r="B378" i="22"/>
  <c r="E275" i="18"/>
  <c r="B29" i="19"/>
  <c r="E281" i="18"/>
  <c r="B564" i="22"/>
  <c r="B35" i="19"/>
  <c r="C442" i="22"/>
  <c r="C31" i="19"/>
  <c r="D346" i="22"/>
  <c r="D28" i="19"/>
  <c r="D378" i="22"/>
  <c r="D29" i="19"/>
  <c r="B442" i="22"/>
  <c r="E277" i="18"/>
  <c r="B31" i="19"/>
  <c r="C250" i="22"/>
  <c r="C25" i="19"/>
  <c r="C314" i="22"/>
  <c r="C27" i="19"/>
  <c r="B474" i="22"/>
  <c r="E278" i="18"/>
  <c r="B32" i="19"/>
  <c r="B250" i="22"/>
  <c r="E271" i="18"/>
  <c r="B25" i="19"/>
  <c r="E272" i="18"/>
  <c r="B282" i="22"/>
  <c r="B26" i="19"/>
  <c r="B624" i="22"/>
  <c r="E283" i="18"/>
  <c r="B37" i="19"/>
  <c r="B66" i="22"/>
  <c r="D66" s="1"/>
  <c r="E265" i="18"/>
  <c r="B19" i="19"/>
  <c r="E273" i="18"/>
  <c r="B314" i="22"/>
  <c r="E314" s="1"/>
  <c r="B27" i="19"/>
  <c r="C624" i="22"/>
  <c r="C37" i="19"/>
  <c r="E270" i="18"/>
  <c r="B218" i="22"/>
  <c r="B24" i="19"/>
  <c r="D442" i="22"/>
  <c r="D31" i="19"/>
  <c r="C98" i="22"/>
  <c r="C20" i="19"/>
  <c r="E269" i="18"/>
  <c r="B190" i="22"/>
  <c r="B23" i="19"/>
  <c r="E282" i="22" l="1"/>
  <c r="F282"/>
  <c r="G282" s="1"/>
  <c r="W8" i="23"/>
  <c r="F66" i="22"/>
  <c r="E66"/>
  <c r="B85" i="19"/>
  <c r="B139" s="1"/>
  <c r="B280" s="1"/>
  <c r="B91"/>
  <c r="B145" s="1"/>
  <c r="B82"/>
  <c r="B136" s="1"/>
  <c r="C218" i="22"/>
  <c r="C96" i="19"/>
  <c r="C625" i="22" s="1"/>
  <c r="C627" s="1"/>
  <c r="B86" i="19"/>
  <c r="B140" s="1"/>
  <c r="B282" s="1"/>
  <c r="B96"/>
  <c r="B150" s="1"/>
  <c r="F624" i="22"/>
  <c r="E624"/>
  <c r="B84" i="19"/>
  <c r="B138" s="1"/>
  <c r="F250" i="22"/>
  <c r="E250"/>
  <c r="C86" i="19"/>
  <c r="C315" i="22" s="1"/>
  <c r="C317" s="1"/>
  <c r="C84" i="19"/>
  <c r="C251" i="22" s="1"/>
  <c r="C253" s="1"/>
  <c r="B90" i="19"/>
  <c r="B144" s="1"/>
  <c r="J442" i="22"/>
  <c r="I442"/>
  <c r="C564"/>
  <c r="B88" i="19"/>
  <c r="B142" s="1"/>
  <c r="G378" i="22"/>
  <c r="F378"/>
  <c r="B81" i="19"/>
  <c r="B135" s="1"/>
  <c r="W11" i="23"/>
  <c r="F158" i="22"/>
  <c r="E158"/>
  <c r="B80" i="19"/>
  <c r="B134" s="1"/>
  <c r="C126" i="22"/>
  <c r="C85" i="19"/>
  <c r="C283" i="22" s="1"/>
  <c r="C285" s="1"/>
  <c r="D91" i="19"/>
  <c r="D475" i="22" s="1"/>
  <c r="D477" s="1"/>
  <c r="C88" i="19"/>
  <c r="C379" i="22" s="1"/>
  <c r="C381" s="1"/>
  <c r="D96" i="19"/>
  <c r="D625" i="22" s="1"/>
  <c r="D627" s="1"/>
  <c r="C91" i="19"/>
  <c r="C475" i="22" s="1"/>
  <c r="C477" s="1"/>
  <c r="B92" i="19"/>
  <c r="B146" s="1"/>
  <c r="B93"/>
  <c r="B147" s="1"/>
  <c r="C234"/>
  <c r="F190" i="22"/>
  <c r="E190"/>
  <c r="C79" i="19"/>
  <c r="C99" i="22" s="1"/>
  <c r="C101" s="1"/>
  <c r="D90" i="19"/>
  <c r="D443" i="22" s="1"/>
  <c r="D445" s="1"/>
  <c r="B83" i="19"/>
  <c r="B137" s="1"/>
  <c r="F314" i="22"/>
  <c r="B78" i="19"/>
  <c r="B132" s="1"/>
  <c r="J474" i="22"/>
  <c r="I474"/>
  <c r="D88" i="19"/>
  <c r="D379" i="22" s="1"/>
  <c r="D381" s="1"/>
  <c r="D87" i="19"/>
  <c r="D347" i="22" s="1"/>
  <c r="D349" s="1"/>
  <c r="C90" i="19"/>
  <c r="C443" i="22" s="1"/>
  <c r="C445" s="1"/>
  <c r="B94" i="19"/>
  <c r="B148" s="1"/>
  <c r="D89"/>
  <c r="D411" i="22" s="1"/>
  <c r="D413" s="1"/>
  <c r="C87" i="19"/>
  <c r="C347" i="22" s="1"/>
  <c r="C349" s="1"/>
  <c r="B87" i="19"/>
  <c r="B141" s="1"/>
  <c r="G346" i="22"/>
  <c r="F346"/>
  <c r="B89" i="19"/>
  <c r="B143" s="1"/>
  <c r="J410" i="22"/>
  <c r="I410"/>
  <c r="B95" i="19"/>
  <c r="B149" s="1"/>
  <c r="C594" i="22"/>
  <c r="D594" s="1"/>
  <c r="C504"/>
  <c r="C89" i="19"/>
  <c r="C411" i="22" s="1"/>
  <c r="C413" s="1"/>
  <c r="C82" i="19"/>
  <c r="C191" i="22" s="1"/>
  <c r="C193" s="1"/>
  <c r="B79" i="19"/>
  <c r="B133" s="1"/>
  <c r="F98" i="22"/>
  <c r="E98"/>
  <c r="C534"/>
  <c r="H314" l="1"/>
  <c r="G314"/>
  <c r="W15" i="23"/>
  <c r="H282" i="22"/>
  <c r="C139" i="19"/>
  <c r="C280" s="1"/>
  <c r="N77" i="21" s="1"/>
  <c r="D141" i="19"/>
  <c r="D285" s="1"/>
  <c r="D142"/>
  <c r="D290" s="1"/>
  <c r="D144"/>
  <c r="D297" s="1"/>
  <c r="C133"/>
  <c r="C257" s="1"/>
  <c r="C145"/>
  <c r="C299" s="1"/>
  <c r="D150"/>
  <c r="D318" s="1"/>
  <c r="C142"/>
  <c r="C288" s="1"/>
  <c r="D145"/>
  <c r="D299" s="1"/>
  <c r="C138"/>
  <c r="C276" s="1"/>
  <c r="C140"/>
  <c r="C282" s="1"/>
  <c r="N79" i="21" s="1"/>
  <c r="B258" i="19"/>
  <c r="B256"/>
  <c r="B257"/>
  <c r="B306"/>
  <c r="B307"/>
  <c r="B308"/>
  <c r="B268"/>
  <c r="B270"/>
  <c r="B269"/>
  <c r="B294"/>
  <c r="B292"/>
  <c r="B293"/>
  <c r="B312"/>
  <c r="B310"/>
  <c r="B311"/>
  <c r="B254"/>
  <c r="B253"/>
  <c r="B252"/>
  <c r="B273"/>
  <c r="B272"/>
  <c r="B274"/>
  <c r="B302"/>
  <c r="B304"/>
  <c r="B303"/>
  <c r="B261"/>
  <c r="B260"/>
  <c r="B262"/>
  <c r="B289"/>
  <c r="B288"/>
  <c r="B290"/>
  <c r="B278"/>
  <c r="B276"/>
  <c r="B277"/>
  <c r="B320"/>
  <c r="B319"/>
  <c r="B318"/>
  <c r="B286"/>
  <c r="B284"/>
  <c r="B285"/>
  <c r="W9" i="23"/>
  <c r="H98" i="22"/>
  <c r="G98"/>
  <c r="W22" i="23"/>
  <c r="D504" i="22"/>
  <c r="W23" i="23"/>
  <c r="D534" i="22"/>
  <c r="B595"/>
  <c r="B203" i="19"/>
  <c r="W19" i="23"/>
  <c r="L410" i="22"/>
  <c r="M410"/>
  <c r="K410"/>
  <c r="W21" i="23"/>
  <c r="L474" i="22"/>
  <c r="M474"/>
  <c r="K474"/>
  <c r="W16" i="23"/>
  <c r="W10"/>
  <c r="D126" i="22"/>
  <c r="B159"/>
  <c r="B189" i="19"/>
  <c r="W20" i="23"/>
  <c r="L442" i="22"/>
  <c r="M442"/>
  <c r="K442"/>
  <c r="B443"/>
  <c r="B198" i="19"/>
  <c r="W26" i="23"/>
  <c r="G624" i="22"/>
  <c r="B315"/>
  <c r="E315" s="1"/>
  <c r="E317" s="1"/>
  <c r="B194" i="19"/>
  <c r="W13" i="23"/>
  <c r="D218" i="22"/>
  <c r="B475"/>
  <c r="B199" i="19"/>
  <c r="B283" i="22"/>
  <c r="E283" s="1"/>
  <c r="E285" s="1"/>
  <c r="B193" i="19"/>
  <c r="C136"/>
  <c r="C143"/>
  <c r="C141"/>
  <c r="D143"/>
  <c r="C144"/>
  <c r="C150"/>
  <c r="B99" i="22"/>
  <c r="B187" i="19"/>
  <c r="W25" i="23"/>
  <c r="B314" i="19"/>
  <c r="B315"/>
  <c r="B316"/>
  <c r="B411" i="22"/>
  <c r="B197" i="19"/>
  <c r="W17" i="23"/>
  <c r="I346" i="22"/>
  <c r="H346"/>
  <c r="B347"/>
  <c r="B195" i="19"/>
  <c r="B565" i="22"/>
  <c r="B202" i="19"/>
  <c r="D286"/>
  <c r="D289"/>
  <c r="B67" i="22"/>
  <c r="B186" i="19"/>
  <c r="B219" i="22"/>
  <c r="B191" i="19"/>
  <c r="W12" i="23"/>
  <c r="H190" i="22"/>
  <c r="G190"/>
  <c r="C14" i="21"/>
  <c r="B535" i="22"/>
  <c r="B201" i="19"/>
  <c r="B505" i="22"/>
  <c r="B200" i="19"/>
  <c r="C290"/>
  <c r="B127" i="22"/>
  <c r="B188" i="19"/>
  <c r="B266"/>
  <c r="B264"/>
  <c r="B265"/>
  <c r="W18" i="23"/>
  <c r="I378" i="22"/>
  <c r="H378"/>
  <c r="B379"/>
  <c r="B196" i="19"/>
  <c r="W24" i="23"/>
  <c r="D564" i="22"/>
  <c r="B297" i="19"/>
  <c r="B296"/>
  <c r="W14" i="23"/>
  <c r="H250" i="22"/>
  <c r="G250"/>
  <c r="B251"/>
  <c r="B192" i="19"/>
  <c r="B625" i="22"/>
  <c r="B204" i="19"/>
  <c r="M79" i="21"/>
  <c r="D24" i="20"/>
  <c r="B191" i="22"/>
  <c r="B190" i="19"/>
  <c r="B300"/>
  <c r="B299"/>
  <c r="D23" i="20"/>
  <c r="M77" i="21"/>
  <c r="C278" i="19" l="1"/>
  <c r="N75" i="21" s="1"/>
  <c r="D300" i="19"/>
  <c r="F78" i="20" s="1"/>
  <c r="D319" i="19"/>
  <c r="F63" i="20" s="1"/>
  <c r="I189" i="24"/>
  <c r="E77" i="21"/>
  <c r="R77" s="1"/>
  <c r="D79"/>
  <c r="C258" i="19"/>
  <c r="E68" i="20" s="1"/>
  <c r="C277" i="19"/>
  <c r="E55" i="20" s="1"/>
  <c r="C289" i="19"/>
  <c r="E57" i="20" s="1"/>
  <c r="C300" i="19"/>
  <c r="E97" i="21" s="1"/>
  <c r="D296" i="19"/>
  <c r="O93" i="21" s="1"/>
  <c r="D284" i="19"/>
  <c r="F25" i="20" s="1"/>
  <c r="E79" i="21"/>
  <c r="E24" i="20"/>
  <c r="E23"/>
  <c r="D320" i="19"/>
  <c r="F83" i="20" s="1"/>
  <c r="D288" i="19"/>
  <c r="F26" i="20" s="1"/>
  <c r="D77" i="21"/>
  <c r="I191" i="24"/>
  <c r="C256" i="19"/>
  <c r="E17" i="20" s="1"/>
  <c r="W46" i="23"/>
  <c r="V77" i="21"/>
  <c r="D78" i="20"/>
  <c r="M97" i="21"/>
  <c r="E191" i="22"/>
  <c r="E193" s="1"/>
  <c r="F191"/>
  <c r="B193"/>
  <c r="D77" i="20"/>
  <c r="M94" i="21"/>
  <c r="M62"/>
  <c r="E62"/>
  <c r="D52" i="20"/>
  <c r="I174" i="24"/>
  <c r="B279" s="1"/>
  <c r="D62" i="21"/>
  <c r="M63"/>
  <c r="E63"/>
  <c r="D70" i="20"/>
  <c r="D63" i="21"/>
  <c r="I175" i="24"/>
  <c r="B311" s="1"/>
  <c r="C127" i="22"/>
  <c r="B129"/>
  <c r="N85" i="21"/>
  <c r="E26" i="20"/>
  <c r="N96" i="21"/>
  <c r="E29" i="20"/>
  <c r="C505" i="22"/>
  <c r="B507"/>
  <c r="C535"/>
  <c r="B537"/>
  <c r="O94" i="21"/>
  <c r="F77" i="20"/>
  <c r="F57"/>
  <c r="O86" i="21"/>
  <c r="F56" i="20"/>
  <c r="O82" i="21"/>
  <c r="M113"/>
  <c r="E113"/>
  <c r="D82" i="20"/>
  <c r="D113" i="21"/>
  <c r="I225" i="24"/>
  <c r="B323" s="1"/>
  <c r="D33" i="20"/>
  <c r="E111" i="21"/>
  <c r="L111" s="1"/>
  <c r="M111"/>
  <c r="I223" i="24"/>
  <c r="C60" i="25" s="1"/>
  <c r="D111" i="21"/>
  <c r="E99" i="22"/>
  <c r="E101" s="1"/>
  <c r="F99"/>
  <c r="B101"/>
  <c r="C296" i="19"/>
  <c r="C297"/>
  <c r="C284"/>
  <c r="C285"/>
  <c r="D82" i="21" s="1"/>
  <c r="C286" i="19"/>
  <c r="E83" i="21" s="1"/>
  <c r="C268" i="19"/>
  <c r="E65" i="21" s="1"/>
  <c r="C269" i="19"/>
  <c r="E66" i="21" s="1"/>
  <c r="C270" i="19"/>
  <c r="D67" i="21" s="1"/>
  <c r="F315" i="22"/>
  <c r="B317"/>
  <c r="B161"/>
  <c r="D159"/>
  <c r="D56" i="20"/>
  <c r="E82" i="21"/>
  <c r="M82"/>
  <c r="I194" i="24"/>
  <c r="B283" s="1"/>
  <c r="M83" i="21"/>
  <c r="D74" i="20"/>
  <c r="I195" i="24"/>
  <c r="B315" s="1"/>
  <c r="D63" i="20"/>
  <c r="M116" i="21"/>
  <c r="M74"/>
  <c r="D55" i="20"/>
  <c r="M75" i="21"/>
  <c r="D73" i="20"/>
  <c r="M85" i="21"/>
  <c r="D26" i="20"/>
  <c r="D69"/>
  <c r="E59" i="21"/>
  <c r="M59"/>
  <c r="I171" i="24"/>
  <c r="B310" s="1"/>
  <c r="D59" i="21"/>
  <c r="M58"/>
  <c r="E58"/>
  <c r="D51" i="20"/>
  <c r="D58" i="21"/>
  <c r="I170" i="24"/>
  <c r="B278" s="1"/>
  <c r="D79" i="20"/>
  <c r="M101" i="21"/>
  <c r="E101"/>
  <c r="D101"/>
  <c r="I213" i="24"/>
  <c r="B320" s="1"/>
  <c r="M71" i="21"/>
  <c r="E71"/>
  <c r="D72" i="20"/>
  <c r="D71" i="21"/>
  <c r="I183" i="24"/>
  <c r="B313" s="1"/>
  <c r="M70" i="21"/>
  <c r="E70"/>
  <c r="D54" i="20"/>
  <c r="I182" i="24"/>
  <c r="B281" s="1"/>
  <c r="D70" i="21"/>
  <c r="D49" i="20"/>
  <c r="M50" i="21"/>
  <c r="E50"/>
  <c r="I162" i="24"/>
  <c r="B276" s="1"/>
  <c r="D50" i="21"/>
  <c r="M108"/>
  <c r="D61" i="20"/>
  <c r="E108" i="21"/>
  <c r="I220" i="24"/>
  <c r="B290" s="1"/>
  <c r="D108" i="21"/>
  <c r="D81" i="20"/>
  <c r="M109" i="21"/>
  <c r="E109"/>
  <c r="I221" i="24"/>
  <c r="B322" s="1"/>
  <c r="D109" i="21"/>
  <c r="D27" i="20"/>
  <c r="M89" i="21"/>
  <c r="D53" i="20"/>
  <c r="M66" i="21"/>
  <c r="D20" i="20"/>
  <c r="M65" i="21"/>
  <c r="D60" i="20"/>
  <c r="E104" i="21"/>
  <c r="M104"/>
  <c r="I216" i="24"/>
  <c r="B289" s="1"/>
  <c r="D104" i="21"/>
  <c r="M54"/>
  <c r="E54"/>
  <c r="D50" i="20"/>
  <c r="D54" i="21"/>
  <c r="I166" i="24"/>
  <c r="B277" s="1"/>
  <c r="M55" i="21"/>
  <c r="D68" i="20"/>
  <c r="D234" i="19"/>
  <c r="E234" s="1"/>
  <c r="F234" s="1"/>
  <c r="D29" i="20"/>
  <c r="M96" i="21"/>
  <c r="E96"/>
  <c r="D96"/>
  <c r="I208" i="24"/>
  <c r="C56" i="25" s="1"/>
  <c r="F625" i="22"/>
  <c r="E625"/>
  <c r="E627" s="1"/>
  <c r="B627"/>
  <c r="E251"/>
  <c r="E253" s="1"/>
  <c r="F251"/>
  <c r="B253"/>
  <c r="N73" i="21"/>
  <c r="E22" i="20"/>
  <c r="D28"/>
  <c r="M93" i="21"/>
  <c r="F379" i="22"/>
  <c r="F381" s="1"/>
  <c r="G379"/>
  <c r="B381"/>
  <c r="D19" i="20"/>
  <c r="M61" i="21"/>
  <c r="E61"/>
  <c r="D61"/>
  <c r="I173" i="24"/>
  <c r="O96" i="21"/>
  <c r="F29" i="20"/>
  <c r="E75"/>
  <c r="N87" i="21"/>
  <c r="F34" i="20"/>
  <c r="O115" i="21"/>
  <c r="E50" i="20"/>
  <c r="N54" i="21"/>
  <c r="C219" i="22"/>
  <c r="B221"/>
  <c r="B69"/>
  <c r="D67"/>
  <c r="F75" i="20"/>
  <c r="O87" i="21"/>
  <c r="F74" i="20"/>
  <c r="O83" i="21"/>
  <c r="C565" i="22"/>
  <c r="B567"/>
  <c r="F347"/>
  <c r="F349" s="1"/>
  <c r="G347"/>
  <c r="B349"/>
  <c r="I411"/>
  <c r="I413" s="1"/>
  <c r="J411"/>
  <c r="B413"/>
  <c r="M112" i="21"/>
  <c r="E112"/>
  <c r="D62" i="20"/>
  <c r="I224" i="24"/>
  <c r="B291" s="1"/>
  <c r="D60" i="25" s="1"/>
  <c r="D112" i="21"/>
  <c r="C318" i="19"/>
  <c r="D115" i="21" s="1"/>
  <c r="C319" i="19"/>
  <c r="C320"/>
  <c r="D292"/>
  <c r="D294"/>
  <c r="D293"/>
  <c r="C292"/>
  <c r="C294"/>
  <c r="C293"/>
  <c r="B285" i="22"/>
  <c r="F283"/>
  <c r="I475"/>
  <c r="I477" s="1"/>
  <c r="J475"/>
  <c r="B477"/>
  <c r="I443"/>
  <c r="I445" s="1"/>
  <c r="J443"/>
  <c r="B445"/>
  <c r="C595"/>
  <c r="D595" s="1"/>
  <c r="D597" s="1"/>
  <c r="B597"/>
  <c r="D25" i="20"/>
  <c r="M81" i="21"/>
  <c r="D34" i="20"/>
  <c r="M115" i="21"/>
  <c r="D83" i="20"/>
  <c r="M117" i="21"/>
  <c r="M73"/>
  <c r="D22" i="20"/>
  <c r="E73" i="21"/>
  <c r="L73" s="1"/>
  <c r="I185" i="24"/>
  <c r="D73" i="21"/>
  <c r="D75" i="20"/>
  <c r="M87" i="21"/>
  <c r="E87"/>
  <c r="I199" i="24"/>
  <c r="B316" s="1"/>
  <c r="D87" i="21"/>
  <c r="D57" i="20"/>
  <c r="M86" i="21"/>
  <c r="D18" i="20"/>
  <c r="E57" i="21"/>
  <c r="M57"/>
  <c r="I169" i="24"/>
  <c r="D57" i="21"/>
  <c r="D59" i="20"/>
  <c r="E100" i="21"/>
  <c r="M100"/>
  <c r="I212" i="24"/>
  <c r="B288" s="1"/>
  <c r="D100" i="21"/>
  <c r="M99"/>
  <c r="D30" i="20"/>
  <c r="E99" i="21"/>
  <c r="I211" i="24"/>
  <c r="C57" i="25" s="1"/>
  <c r="D99" i="21"/>
  <c r="D21" i="20"/>
  <c r="E69" i="21"/>
  <c r="M69"/>
  <c r="D69"/>
  <c r="I181" i="24"/>
  <c r="D16" i="20"/>
  <c r="E49" i="21"/>
  <c r="M49"/>
  <c r="D49"/>
  <c r="I161" i="24"/>
  <c r="M51" i="21"/>
  <c r="D67" i="20"/>
  <c r="E51" i="21"/>
  <c r="I163" i="24"/>
  <c r="B308" s="1"/>
  <c r="D51" i="21"/>
  <c r="D32" i="20"/>
  <c r="E107" i="21"/>
  <c r="M107"/>
  <c r="D107"/>
  <c r="I219" i="24"/>
  <c r="C59" i="25" s="1"/>
  <c r="M90" i="21"/>
  <c r="D58" i="20"/>
  <c r="M91" i="21"/>
  <c r="D76" i="20"/>
  <c r="M67" i="21"/>
  <c r="D71" i="20"/>
  <c r="M105" i="21"/>
  <c r="E105"/>
  <c r="D80" i="20"/>
  <c r="D105" i="21"/>
  <c r="I217" i="24"/>
  <c r="B321" s="1"/>
  <c r="M103" i="21"/>
  <c r="E103"/>
  <c r="D31" i="20"/>
  <c r="I215" i="24"/>
  <c r="C58" i="25" s="1"/>
  <c r="D103" i="21"/>
  <c r="M53"/>
  <c r="D17" i="20"/>
  <c r="C50" i="25" l="1"/>
  <c r="C47"/>
  <c r="C51"/>
  <c r="C48"/>
  <c r="C45"/>
  <c r="J77" i="21"/>
  <c r="J79"/>
  <c r="E45" i="25"/>
  <c r="K111" i="21"/>
  <c r="J111"/>
  <c r="E60" i="25"/>
  <c r="F28" i="20"/>
  <c r="D55" i="21"/>
  <c r="U55" s="1"/>
  <c r="D75"/>
  <c r="V75" s="1"/>
  <c r="E75"/>
  <c r="P75" s="1"/>
  <c r="D93"/>
  <c r="O85"/>
  <c r="P79"/>
  <c r="L79"/>
  <c r="H315" i="22"/>
  <c r="H317" s="1"/>
  <c r="G315"/>
  <c r="G317" s="1"/>
  <c r="H283"/>
  <c r="H285" s="1"/>
  <c r="G283"/>
  <c r="G285" s="1"/>
  <c r="Q77" i="21"/>
  <c r="L77"/>
  <c r="V79"/>
  <c r="K79"/>
  <c r="T77"/>
  <c r="K77"/>
  <c r="K73"/>
  <c r="J73"/>
  <c r="O116"/>
  <c r="Q79"/>
  <c r="P77"/>
  <c r="D85"/>
  <c r="N55"/>
  <c r="E73" i="20"/>
  <c r="I177" i="24"/>
  <c r="O97" i="21"/>
  <c r="R97" s="1"/>
  <c r="I198" i="24"/>
  <c r="B284" s="1"/>
  <c r="N86" i="21"/>
  <c r="I167" i="24"/>
  <c r="B309" s="1"/>
  <c r="E55" i="21"/>
  <c r="L55" s="1"/>
  <c r="I187" i="24"/>
  <c r="B314" s="1"/>
  <c r="E51" i="25" s="1"/>
  <c r="I179" i="24"/>
  <c r="B312" s="1"/>
  <c r="E67" i="21"/>
  <c r="P67" s="1"/>
  <c r="I229" i="24"/>
  <c r="B324" s="1"/>
  <c r="O81" i="21"/>
  <c r="E78" i="20"/>
  <c r="S79" i="21"/>
  <c r="D65"/>
  <c r="I186" i="24"/>
  <c r="B282" s="1"/>
  <c r="D51" i="25" s="1"/>
  <c r="E74" i="21"/>
  <c r="P74" s="1"/>
  <c r="I193" i="24"/>
  <c r="D90" i="21"/>
  <c r="K90" s="1"/>
  <c r="U79"/>
  <c r="T79"/>
  <c r="I178" i="24"/>
  <c r="B280" s="1"/>
  <c r="N74" i="21"/>
  <c r="I209" i="24"/>
  <c r="B319" s="1"/>
  <c r="E56" i="25" s="1"/>
  <c r="I203" i="24"/>
  <c r="B317" s="1"/>
  <c r="N53" i="21"/>
  <c r="N97"/>
  <c r="Q97" s="1"/>
  <c r="D74"/>
  <c r="K74" s="1"/>
  <c r="O117"/>
  <c r="D97"/>
  <c r="K97" s="1"/>
  <c r="E91"/>
  <c r="L91" s="1"/>
  <c r="D86"/>
  <c r="U86" s="1"/>
  <c r="E86"/>
  <c r="P86" s="1"/>
  <c r="I227" i="24"/>
  <c r="C61" i="25" s="1"/>
  <c r="E115" i="21"/>
  <c r="L115" s="1"/>
  <c r="D81"/>
  <c r="R79"/>
  <c r="I197" i="24"/>
  <c r="E85" i="21"/>
  <c r="R85" s="1"/>
  <c r="D53"/>
  <c r="E81"/>
  <c r="P81" s="1"/>
  <c r="D91"/>
  <c r="K91" s="1"/>
  <c r="I205" i="24"/>
  <c r="C55" i="25" s="1"/>
  <c r="E93" i="21"/>
  <c r="L93" s="1"/>
  <c r="S77"/>
  <c r="E90"/>
  <c r="P90" s="1"/>
  <c r="U77"/>
  <c r="I165" i="24"/>
  <c r="E53" i="21"/>
  <c r="L53" s="1"/>
  <c r="I202" i="24"/>
  <c r="B285" s="1"/>
  <c r="D117" i="21"/>
  <c r="T117" s="1"/>
  <c r="E117"/>
  <c r="P117" s="1"/>
  <c r="D66"/>
  <c r="S66" s="1"/>
  <c r="D83"/>
  <c r="S83" s="1"/>
  <c r="D89"/>
  <c r="Q103"/>
  <c r="R103"/>
  <c r="P103"/>
  <c r="L103"/>
  <c r="R67"/>
  <c r="S90"/>
  <c r="S69"/>
  <c r="U69"/>
  <c r="K69"/>
  <c r="T69"/>
  <c r="V69"/>
  <c r="J69"/>
  <c r="Q69"/>
  <c r="L69"/>
  <c r="P69"/>
  <c r="R69"/>
  <c r="K99"/>
  <c r="S99"/>
  <c r="U99"/>
  <c r="J99"/>
  <c r="V99"/>
  <c r="T99"/>
  <c r="P99"/>
  <c r="Q99"/>
  <c r="L99"/>
  <c r="R99"/>
  <c r="Q100"/>
  <c r="R100"/>
  <c r="P100"/>
  <c r="T57"/>
  <c r="U57"/>
  <c r="K57"/>
  <c r="V57"/>
  <c r="S57"/>
  <c r="J57"/>
  <c r="V87"/>
  <c r="T87"/>
  <c r="S87"/>
  <c r="U87"/>
  <c r="P87"/>
  <c r="R87"/>
  <c r="Q87"/>
  <c r="X25" i="23"/>
  <c r="Y25" s="1"/>
  <c r="C597" i="22"/>
  <c r="X20" i="23"/>
  <c r="Y20" s="1"/>
  <c r="L443" i="22"/>
  <c r="L445" s="1"/>
  <c r="M443"/>
  <c r="M445" s="1"/>
  <c r="K443"/>
  <c r="K445" s="1"/>
  <c r="J445"/>
  <c r="N91" i="21"/>
  <c r="E76" i="20"/>
  <c r="O90" i="21"/>
  <c r="F58" i="20"/>
  <c r="O89" i="21"/>
  <c r="F27" i="20"/>
  <c r="E63"/>
  <c r="N116" i="21"/>
  <c r="V112"/>
  <c r="S112"/>
  <c r="T112"/>
  <c r="U112"/>
  <c r="X19" i="23"/>
  <c r="Y19" s="1"/>
  <c r="L411" i="22"/>
  <c r="L413" s="1"/>
  <c r="M411"/>
  <c r="M413" s="1"/>
  <c r="K411"/>
  <c r="K413" s="1"/>
  <c r="J413"/>
  <c r="X24" i="23"/>
  <c r="Y24" s="1"/>
  <c r="D565" i="22"/>
  <c r="D567" s="1"/>
  <c r="C567"/>
  <c r="X13" i="23"/>
  <c r="Y13" s="1"/>
  <c r="D219" i="22"/>
  <c r="D221" s="1"/>
  <c r="C221"/>
  <c r="V61" i="21"/>
  <c r="S61"/>
  <c r="T61"/>
  <c r="J61"/>
  <c r="U61"/>
  <c r="K61"/>
  <c r="Q96"/>
  <c r="L96"/>
  <c r="P96"/>
  <c r="R96"/>
  <c r="D14"/>
  <c r="E14"/>
  <c r="J54"/>
  <c r="T54"/>
  <c r="V54"/>
  <c r="K54"/>
  <c r="S54"/>
  <c r="U54"/>
  <c r="L54"/>
  <c r="Q54"/>
  <c r="R54"/>
  <c r="P54"/>
  <c r="T104"/>
  <c r="J104"/>
  <c r="K104"/>
  <c r="U104"/>
  <c r="V104"/>
  <c r="S104"/>
  <c r="R65"/>
  <c r="P65"/>
  <c r="L65"/>
  <c r="P66"/>
  <c r="R66"/>
  <c r="L66"/>
  <c r="V109"/>
  <c r="T109"/>
  <c r="U109"/>
  <c r="S109"/>
  <c r="R109"/>
  <c r="Q109"/>
  <c r="P109"/>
  <c r="J50"/>
  <c r="K50"/>
  <c r="T50"/>
  <c r="V50"/>
  <c r="U50"/>
  <c r="S50"/>
  <c r="Q50"/>
  <c r="P50"/>
  <c r="L50"/>
  <c r="R50"/>
  <c r="R70"/>
  <c r="Q70"/>
  <c r="P70"/>
  <c r="S101"/>
  <c r="V101"/>
  <c r="T101"/>
  <c r="U101"/>
  <c r="R59"/>
  <c r="Q59"/>
  <c r="P59"/>
  <c r="U75"/>
  <c r="Q83"/>
  <c r="R83"/>
  <c r="P83"/>
  <c r="Q82"/>
  <c r="P82"/>
  <c r="R82"/>
  <c r="X11" i="23"/>
  <c r="Y11" s="1"/>
  <c r="F159" i="22"/>
  <c r="F161" s="1"/>
  <c r="E159"/>
  <c r="E161" s="1"/>
  <c r="D161"/>
  <c r="N67" i="21"/>
  <c r="E71" i="20"/>
  <c r="E20"/>
  <c r="N65" i="21"/>
  <c r="Q65" s="1"/>
  <c r="E56" i="20"/>
  <c r="N82" i="21"/>
  <c r="N94"/>
  <c r="E77" i="20"/>
  <c r="P111" i="21"/>
  <c r="R111"/>
  <c r="Q111"/>
  <c r="X23" i="23"/>
  <c r="Y23" s="1"/>
  <c r="D535" i="22"/>
  <c r="D537" s="1"/>
  <c r="C537"/>
  <c r="X22" i="23"/>
  <c r="Y22" s="1"/>
  <c r="D505" i="22"/>
  <c r="D507" s="1"/>
  <c r="C507"/>
  <c r="X10" i="23"/>
  <c r="Y10" s="1"/>
  <c r="D127" i="22"/>
  <c r="D129" s="1"/>
  <c r="C129"/>
  <c r="S63" i="21"/>
  <c r="U63"/>
  <c r="K63"/>
  <c r="V63"/>
  <c r="T63"/>
  <c r="J63"/>
  <c r="R63"/>
  <c r="L63"/>
  <c r="Q63"/>
  <c r="P63"/>
  <c r="U62"/>
  <c r="K62"/>
  <c r="T62"/>
  <c r="V62"/>
  <c r="S62"/>
  <c r="J62"/>
  <c r="E58" i="25"/>
  <c r="D57"/>
  <c r="D59"/>
  <c r="D50"/>
  <c r="E50"/>
  <c r="D47"/>
  <c r="E47"/>
  <c r="D116" i="21"/>
  <c r="I206" i="24"/>
  <c r="B318" s="1"/>
  <c r="K103" i="21"/>
  <c r="S103"/>
  <c r="J103"/>
  <c r="V103"/>
  <c r="U103"/>
  <c r="T103"/>
  <c r="U105"/>
  <c r="K105"/>
  <c r="T105"/>
  <c r="V105"/>
  <c r="J105"/>
  <c r="S105"/>
  <c r="R105"/>
  <c r="L105"/>
  <c r="P105"/>
  <c r="Q105"/>
  <c r="U67"/>
  <c r="S67"/>
  <c r="J67"/>
  <c r="V67"/>
  <c r="T67"/>
  <c r="K67"/>
  <c r="K107"/>
  <c r="U107"/>
  <c r="T107"/>
  <c r="J107"/>
  <c r="V107"/>
  <c r="S107"/>
  <c r="L107"/>
  <c r="R107"/>
  <c r="P107"/>
  <c r="Q107"/>
  <c r="T51"/>
  <c r="J51"/>
  <c r="S51"/>
  <c r="V51"/>
  <c r="K51"/>
  <c r="U51"/>
  <c r="Q51"/>
  <c r="R51"/>
  <c r="P51"/>
  <c r="L51"/>
  <c r="S49"/>
  <c r="J49"/>
  <c r="V49"/>
  <c r="U49"/>
  <c r="T49"/>
  <c r="K49"/>
  <c r="L49"/>
  <c r="R49"/>
  <c r="P49"/>
  <c r="Q49"/>
  <c r="T100"/>
  <c r="U100"/>
  <c r="S100"/>
  <c r="V100"/>
  <c r="Q57"/>
  <c r="P57"/>
  <c r="R57"/>
  <c r="L57"/>
  <c r="T73"/>
  <c r="U73"/>
  <c r="V73"/>
  <c r="S73"/>
  <c r="P73"/>
  <c r="Q73"/>
  <c r="R73"/>
  <c r="V115"/>
  <c r="T115"/>
  <c r="K115"/>
  <c r="U115"/>
  <c r="S115"/>
  <c r="J115"/>
  <c r="X21" i="23"/>
  <c r="Y21" s="1"/>
  <c r="L475" i="22"/>
  <c r="L477" s="1"/>
  <c r="M475"/>
  <c r="M477" s="1"/>
  <c r="K475"/>
  <c r="K477" s="1"/>
  <c r="J477"/>
  <c r="X15" i="23"/>
  <c r="Y15" s="1"/>
  <c r="F285" i="22"/>
  <c r="E58" i="20"/>
  <c r="N90" i="21"/>
  <c r="N89"/>
  <c r="E27" i="20"/>
  <c r="O91" i="21"/>
  <c r="F76" i="20"/>
  <c r="N117" i="21"/>
  <c r="E83" i="20"/>
  <c r="N115" i="21"/>
  <c r="E34" i="20"/>
  <c r="P112" i="21"/>
  <c r="R112"/>
  <c r="Q112"/>
  <c r="X17" i="23"/>
  <c r="Y17" s="1"/>
  <c r="I347" i="22"/>
  <c r="I349" s="1"/>
  <c r="H347"/>
  <c r="H349" s="1"/>
  <c r="G349"/>
  <c r="X8" i="23"/>
  <c r="F67" i="22"/>
  <c r="F69" s="1"/>
  <c r="E67"/>
  <c r="E69" s="1"/>
  <c r="D69"/>
  <c r="P61" i="21"/>
  <c r="R61"/>
  <c r="L61"/>
  <c r="Q61"/>
  <c r="X18" i="23"/>
  <c r="Y18" s="1"/>
  <c r="I379" i="22"/>
  <c r="I381" s="1"/>
  <c r="H379"/>
  <c r="H381" s="1"/>
  <c r="G381"/>
  <c r="T93" i="21"/>
  <c r="K93"/>
  <c r="X14" i="23"/>
  <c r="Y14" s="1"/>
  <c r="H251" i="22"/>
  <c r="H253" s="1"/>
  <c r="G251"/>
  <c r="G253" s="1"/>
  <c r="F253"/>
  <c r="X26" i="23"/>
  <c r="Y26" s="1"/>
  <c r="G625" i="22"/>
  <c r="G627" s="1"/>
  <c r="F627"/>
  <c r="U96" i="21"/>
  <c r="V96"/>
  <c r="S96"/>
  <c r="T96"/>
  <c r="K96"/>
  <c r="J96"/>
  <c r="L104"/>
  <c r="P104"/>
  <c r="R104"/>
  <c r="Q104"/>
  <c r="T108"/>
  <c r="U108"/>
  <c r="S108"/>
  <c r="V108"/>
  <c r="Q108"/>
  <c r="P108"/>
  <c r="R108"/>
  <c r="V70"/>
  <c r="U70"/>
  <c r="S70"/>
  <c r="T70"/>
  <c r="S71"/>
  <c r="V71"/>
  <c r="T71"/>
  <c r="U71"/>
  <c r="Q71"/>
  <c r="P71"/>
  <c r="R71"/>
  <c r="R101"/>
  <c r="P101"/>
  <c r="Q101"/>
  <c r="U58"/>
  <c r="T58"/>
  <c r="V58"/>
  <c r="S58"/>
  <c r="R58"/>
  <c r="Q58"/>
  <c r="P58"/>
  <c r="T59"/>
  <c r="U59"/>
  <c r="S59"/>
  <c r="V59"/>
  <c r="S82"/>
  <c r="U82"/>
  <c r="V82"/>
  <c r="T82"/>
  <c r="X16" i="23"/>
  <c r="Y16" s="1"/>
  <c r="F317" i="22"/>
  <c r="N66" i="21"/>
  <c r="Q66" s="1"/>
  <c r="E53" i="20"/>
  <c r="N83" i="21"/>
  <c r="E74" i="20"/>
  <c r="E25"/>
  <c r="N81" i="21"/>
  <c r="N93"/>
  <c r="E28" i="20"/>
  <c r="X9" i="23"/>
  <c r="Y9" s="1"/>
  <c r="H99" i="22"/>
  <c r="H101" s="1"/>
  <c r="G99"/>
  <c r="G101" s="1"/>
  <c r="F101"/>
  <c r="V111" i="21"/>
  <c r="S111"/>
  <c r="U111"/>
  <c r="T111"/>
  <c r="V113"/>
  <c r="T113"/>
  <c r="S113"/>
  <c r="U113"/>
  <c r="P113"/>
  <c r="Q113"/>
  <c r="R113"/>
  <c r="Q62"/>
  <c r="P62"/>
  <c r="R62"/>
  <c r="L62"/>
  <c r="X12" i="23"/>
  <c r="Y12" s="1"/>
  <c r="H191" i="22"/>
  <c r="H193" s="1"/>
  <c r="G191"/>
  <c r="G193" s="1"/>
  <c r="F193"/>
  <c r="L97" i="21"/>
  <c r="P97"/>
  <c r="D58" i="25"/>
  <c r="I201" i="24"/>
  <c r="C54" i="25" s="1"/>
  <c r="E89" i="21"/>
  <c r="E59" i="25"/>
  <c r="D45"/>
  <c r="E57"/>
  <c r="I228" i="24"/>
  <c r="B292" s="1"/>
  <c r="E116" i="21"/>
  <c r="E48" i="25"/>
  <c r="D48"/>
  <c r="D94" i="21"/>
  <c r="E94"/>
  <c r="C46" i="25" l="1"/>
  <c r="C53"/>
  <c r="D53" s="1"/>
  <c r="S81" i="21"/>
  <c r="C52" i="25"/>
  <c r="D52" s="1"/>
  <c r="C49"/>
  <c r="S93" i="21"/>
  <c r="D49" i="25"/>
  <c r="V89" i="21"/>
  <c r="K65"/>
  <c r="K85"/>
  <c r="Q74"/>
  <c r="R75"/>
  <c r="K55"/>
  <c r="J55"/>
  <c r="S55"/>
  <c r="U93"/>
  <c r="Q75"/>
  <c r="V55"/>
  <c r="T55"/>
  <c r="E61" i="25"/>
  <c r="V93" i="21"/>
  <c r="J93"/>
  <c r="S75"/>
  <c r="J74"/>
  <c r="T75"/>
  <c r="E52" i="25"/>
  <c r="E49"/>
  <c r="J97" i="21"/>
  <c r="S85"/>
  <c r="V85"/>
  <c r="Q55"/>
  <c r="L90"/>
  <c r="V65"/>
  <c r="T90"/>
  <c r="L74"/>
  <c r="U85"/>
  <c r="J85"/>
  <c r="T85"/>
  <c r="P55"/>
  <c r="Q90"/>
  <c r="V74"/>
  <c r="T65"/>
  <c r="S65"/>
  <c r="U81"/>
  <c r="V90"/>
  <c r="E54" i="25"/>
  <c r="T97" i="21"/>
  <c r="V97"/>
  <c r="R74"/>
  <c r="R55"/>
  <c r="V86"/>
  <c r="J91"/>
  <c r="T74"/>
  <c r="J65"/>
  <c r="U65"/>
  <c r="R90"/>
  <c r="V81"/>
  <c r="U90"/>
  <c r="J90"/>
  <c r="Q67"/>
  <c r="L67"/>
  <c r="E46" i="25"/>
  <c r="Q115" i="21"/>
  <c r="R91"/>
  <c r="S117"/>
  <c r="L85"/>
  <c r="R115"/>
  <c r="V53"/>
  <c r="R86"/>
  <c r="K53"/>
  <c r="Q86"/>
  <c r="P85"/>
  <c r="J66"/>
  <c r="Q91"/>
  <c r="R81"/>
  <c r="P91"/>
  <c r="D61" i="25"/>
  <c r="D46"/>
  <c r="U97" i="21"/>
  <c r="S97"/>
  <c r="T86"/>
  <c r="T91"/>
  <c r="S91"/>
  <c r="T83"/>
  <c r="S74"/>
  <c r="U74"/>
  <c r="P93"/>
  <c r="T81"/>
  <c r="J53"/>
  <c r="T53"/>
  <c r="Q81"/>
  <c r="U117"/>
  <c r="R53"/>
  <c r="E55" i="25"/>
  <c r="Q85" i="21"/>
  <c r="T66"/>
  <c r="V66"/>
  <c r="P115"/>
  <c r="Q93"/>
  <c r="V117"/>
  <c r="S86"/>
  <c r="U91"/>
  <c r="V91"/>
  <c r="U66"/>
  <c r="K66"/>
  <c r="R93"/>
  <c r="K81"/>
  <c r="J81"/>
  <c r="U53"/>
  <c r="S53"/>
  <c r="E53" i="25"/>
  <c r="Q117" i="21"/>
  <c r="Q53"/>
  <c r="U83"/>
  <c r="L81"/>
  <c r="T89"/>
  <c r="R117"/>
  <c r="P53"/>
  <c r="V83"/>
  <c r="K89"/>
  <c r="J89"/>
  <c r="S89"/>
  <c r="U89"/>
  <c r="D54" i="25"/>
  <c r="P89" i="21"/>
  <c r="R89"/>
  <c r="L89"/>
  <c r="Q89"/>
  <c r="T94"/>
  <c r="S94"/>
  <c r="K94"/>
  <c r="J94"/>
  <c r="V94"/>
  <c r="U94"/>
  <c r="P116"/>
  <c r="Q116"/>
  <c r="R116"/>
  <c r="X46" i="23"/>
  <c r="Y46"/>
  <c r="Y8"/>
  <c r="T116" i="21"/>
  <c r="U116"/>
  <c r="V116"/>
  <c r="S116"/>
  <c r="E172"/>
  <c r="D172"/>
  <c r="P94"/>
  <c r="Q94"/>
  <c r="R94"/>
  <c r="L94"/>
  <c r="B32" i="24" l="1"/>
  <c r="B40"/>
  <c r="B42"/>
  <c r="B28"/>
  <c r="B30"/>
  <c r="B21" i="25" l="1"/>
  <c r="C21"/>
  <c r="B17"/>
  <c r="C17"/>
  <c r="B31"/>
  <c r="C31"/>
  <c r="C29"/>
  <c r="B29"/>
  <c r="B19"/>
  <c r="C19"/>
  <c r="B33" i="24"/>
  <c r="B31"/>
  <c r="B39"/>
  <c r="B27"/>
  <c r="B34"/>
  <c r="B29"/>
  <c r="B41"/>
  <c r="B38" l="1"/>
  <c r="B36"/>
  <c r="C25" i="25" s="1"/>
  <c r="C18"/>
  <c r="B18"/>
  <c r="B20"/>
  <c r="C20"/>
  <c r="B16"/>
  <c r="C16"/>
  <c r="B28"/>
  <c r="C28"/>
  <c r="B25"/>
  <c r="C22"/>
  <c r="B22"/>
  <c r="B35" i="24"/>
  <c r="B43"/>
  <c r="B37"/>
  <c r="C30" i="25"/>
  <c r="B30"/>
  <c r="C23"/>
  <c r="B23"/>
  <c r="C27"/>
  <c r="B27"/>
  <c r="B25" i="24"/>
  <c r="B26"/>
  <c r="B26" i="25" l="1"/>
  <c r="C26"/>
  <c r="B24"/>
  <c r="C24"/>
  <c r="C15"/>
  <c r="B15"/>
  <c r="C14"/>
  <c r="B14"/>
  <c r="B32"/>
  <c r="C32"/>
</calcChain>
</file>

<file path=xl/sharedStrings.xml><?xml version="1.0" encoding="utf-8"?>
<sst xmlns="http://schemas.openxmlformats.org/spreadsheetml/2006/main" count="9081" uniqueCount="1844">
  <si>
    <t>1000. Company, charging year, data version</t>
  </si>
  <si>
    <t>Company</t>
  </si>
  <si>
    <t>Year</t>
  </si>
  <si>
    <t>Version</t>
  </si>
  <si>
    <t>Company, charging year, data version</t>
  </si>
  <si>
    <t>1001. CDCM target revenue (£ unless otherwise stated)</t>
  </si>
  <si>
    <t>Further description</t>
  </si>
  <si>
    <t>Term</t>
  </si>
  <si>
    <t>CRC</t>
  </si>
  <si>
    <t>Value</t>
  </si>
  <si>
    <t>Calculations (£/year)</t>
  </si>
  <si>
    <t>Base Demand Revenue before inflation</t>
  </si>
  <si>
    <t>Annual Iteration adjustment before inflation</t>
  </si>
  <si>
    <t>RPI True-up before inflation</t>
  </si>
  <si>
    <t>Price index adjustment (RPI index)</t>
  </si>
  <si>
    <t>Base demand revenue</t>
  </si>
  <si>
    <t>Pass-Through Licence Fees</t>
  </si>
  <si>
    <t>Pass-Through Business Rates</t>
  </si>
  <si>
    <t>Pass-Through Transmission Connection Point Charges</t>
  </si>
  <si>
    <t>Pass-through Smart Meter Communication Licence Costs</t>
  </si>
  <si>
    <t>Pass-through Smart Meter IT Costs</t>
  </si>
  <si>
    <t>Pass-through Ring Fence Costs</t>
  </si>
  <si>
    <t>Pass-Through Others</t>
  </si>
  <si>
    <t>Allowed Pass-Through Items</t>
  </si>
  <si>
    <t>Broad Measure of Customer Service incentive</t>
  </si>
  <si>
    <t>Quality of Service incentive</t>
  </si>
  <si>
    <t>Connections Engagement incentive</t>
  </si>
  <si>
    <t>Time to Connect incentive</t>
  </si>
  <si>
    <t>Losses Discretionary Reward incentive</t>
  </si>
  <si>
    <t>Network Innovation Allowance</t>
  </si>
  <si>
    <t>Low Carbon Network Fund - Tier 1 unrecoverable</t>
  </si>
  <si>
    <t>Low Carbon Network Fund - Tier 2 &amp; Discretionary Funding</t>
  </si>
  <si>
    <t>Connection Guaranteed Standards Systems &amp; Processes penalty</t>
  </si>
  <si>
    <t>Residual Losses and Growth Incentive - Losses</t>
  </si>
  <si>
    <t>Residual Losses and Growth Incentive - Growth</t>
  </si>
  <si>
    <t>Incentive Revenue and Other Adjustments</t>
  </si>
  <si>
    <t>Correction Factor</t>
  </si>
  <si>
    <t>Total allowed Revenue</t>
  </si>
  <si>
    <t>Other 1. Excluded services - Top-up, standby, and enhanced system security</t>
  </si>
  <si>
    <t>Other 2. Excluded services - Revenue protection services</t>
  </si>
  <si>
    <t>Other 3. Excluded services - Miscellaneous</t>
  </si>
  <si>
    <t>Other 4. Please describe if used</t>
  </si>
  <si>
    <t>Other 5. Please describe if used</t>
  </si>
  <si>
    <t>Total other revenue recovered by Use of System Charges</t>
  </si>
  <si>
    <t>Total Revenue for Use of System Charges</t>
  </si>
  <si>
    <t>1. Revenue raised outside CDCM - EDCM and Certain Interconnector Revenue</t>
  </si>
  <si>
    <t>2. Revenue raised outside CDCM - Voluntary under-recovery</t>
  </si>
  <si>
    <t>3. Revenue raised outside CDCM - Please describe if used</t>
  </si>
  <si>
    <t>4. Revenue raised outside CDCM - Please describe if used</t>
  </si>
  <si>
    <t>Total Revenue to be raised outside the CDCM</t>
  </si>
  <si>
    <t>Latest forecast of CDCM Revenue</t>
  </si>
  <si>
    <t>A1</t>
  </si>
  <si>
    <t>A2</t>
  </si>
  <si>
    <t>A3</t>
  </si>
  <si>
    <t>A4</t>
  </si>
  <si>
    <t>A = (A1 + A2 + A3) * A4</t>
  </si>
  <si>
    <t>B1</t>
  </si>
  <si>
    <t>B2</t>
  </si>
  <si>
    <t>B3</t>
  </si>
  <si>
    <t>B4</t>
  </si>
  <si>
    <t>B5</t>
  </si>
  <si>
    <t>B6</t>
  </si>
  <si>
    <t>B7</t>
  </si>
  <si>
    <t>B = Sum of B1 to B7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</si>
  <si>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</si>
  <si>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</si>
  <si>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</si>
  <si>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</si>
  <si>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</si>
  <si>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</si>
  <si>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</si>
  <si>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</si>
  <si>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</si>
  <si>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 = Sum of C1 to C9</t>
  </si>
  <si>
    <t>D</t>
  </si>
  <si>
    <t>E = A + B + C + D</t>
  </si>
  <si>
    <t>F1 (see note 1)</t>
  </si>
  <si>
    <t>F2 (see note 1)</t>
  </si>
  <si>
    <t>F3 (see note 1)</t>
  </si>
  <si>
    <t>F4</t>
  </si>
  <si>
    <t>F5</t>
  </si>
  <si>
    <t>F = Sum of F1 to F5</t>
  </si>
  <si>
    <t>G = E + F</t>
  </si>
  <si>
    <t>H1</t>
  </si>
  <si>
    <t>H2</t>
  </si>
  <si>
    <t>H4</t>
  </si>
  <si>
    <t>H = Sum of H1 to H4</t>
  </si>
  <si>
    <t>I = G - H</t>
  </si>
  <si>
    <t>PU</t>
  </si>
  <si>
    <t>MOD</t>
  </si>
  <si>
    <t>TRU</t>
  </si>
  <si>
    <t>RPIF</t>
  </si>
  <si>
    <t>BR</t>
  </si>
  <si>
    <t>LF</t>
  </si>
  <si>
    <t>RB</t>
  </si>
  <si>
    <t>TB</t>
  </si>
  <si>
    <t>SMC</t>
  </si>
  <si>
    <t>SMIT</t>
  </si>
  <si>
    <t>RF</t>
  </si>
  <si>
    <t>HB, SEC, UNC</t>
  </si>
  <si>
    <t>PT</t>
  </si>
  <si>
    <t>BM</t>
  </si>
  <si>
    <t>IQ</t>
  </si>
  <si>
    <t>ICE</t>
  </si>
  <si>
    <t>TTC</t>
  </si>
  <si>
    <t>LDR</t>
  </si>
  <si>
    <t>NIA</t>
  </si>
  <si>
    <t>LCN1</t>
  </si>
  <si>
    <t>LCN2</t>
  </si>
  <si>
    <t>AUM, CGSRA</t>
  </si>
  <si>
    <t>PPL</t>
  </si>
  <si>
    <t>GTA</t>
  </si>
  <si>
    <t>-K</t>
  </si>
  <si>
    <t>AR</t>
  </si>
  <si>
    <t>DRS4</t>
  </si>
  <si>
    <t>DRS5</t>
  </si>
  <si>
    <t>DRS9</t>
  </si>
  <si>
    <t>Please describe</t>
  </si>
  <si>
    <t>CRC2A</t>
  </si>
  <si>
    <t>CRC2B</t>
  </si>
  <si>
    <t>CRC2C</t>
  </si>
  <si>
    <t>CRC2D</t>
  </si>
  <si>
    <t>CRC2E</t>
  </si>
  <si>
    <t>CRC2F</t>
  </si>
  <si>
    <t>CRC2G</t>
  </si>
  <si>
    <t>CRC2H</t>
  </si>
  <si>
    <t>CRC2J</t>
  </si>
  <si>
    <t>CRC2K-L</t>
  </si>
  <si>
    <t>CRC2M</t>
  </si>
  <si>
    <t>CRC5C</t>
  </si>
  <si>
    <t>if used</t>
  </si>
  <si>
    <t>Note 1: Cost categories associated with excluded services should only be populated if the Company recovers the costs of providing these services from Use of System Charges</t>
  </si>
  <si>
    <t>1010. Financial and general assumptions</t>
  </si>
  <si>
    <t>Sources: financial assumptions; calendar; network model.</t>
  </si>
  <si>
    <t>These financial assumptions determine the annuity rate applied to convert the asset values of the network model into an annual charge.</t>
  </si>
  <si>
    <t>Rate of return</t>
  </si>
  <si>
    <t>Annualisation period (years)</t>
  </si>
  <si>
    <t>Annuity proportion for customer-contributed assets</t>
  </si>
  <si>
    <t>Power factor</t>
  </si>
  <si>
    <t>Days in the charging year</t>
  </si>
  <si>
    <t>Financial and general assumptions</t>
  </si>
  <si>
    <t>1017. Diversity allowance between top and bottom of network level</t>
  </si>
  <si>
    <t>Source: operational data analysis and/or network model.</t>
  </si>
  <si>
    <t>The diversity figure against GSP is the diversity between GSP Group (the whole system) and individual GSPs.</t>
  </si>
  <si>
    <t>The diversity figure against 132kV is the diversity between GSPs (the top of the 132kV network) and 132kV/EHV bulk supply points (the bottom of the 132kV network). </t>
  </si>
  <si>
    <t>The diversity figure against EHV is the diversity between 132kV/EHV bulk supply points (the top of the EHV network) and EHV/HV primary substations (the bottom of the EHV network). </t>
  </si>
  <si>
    <t>The diversity figure against HV is the diversity between EHV/HV primary substations (the top of the HV network) and HV/LV substations (the bottom of the HV network). </t>
  </si>
  <si>
    <t>Diversity allowance between top and bottom of network level</t>
  </si>
  <si>
    <t>GSPs</t>
  </si>
  <si>
    <t>132kV</t>
  </si>
  <si>
    <t>132kV/EHV</t>
  </si>
  <si>
    <t>EHV</t>
  </si>
  <si>
    <t>EHV/HV</t>
  </si>
  <si>
    <t>HV</t>
  </si>
  <si>
    <t>HV/LV</t>
  </si>
  <si>
    <t>LV circuits</t>
  </si>
  <si>
    <t>1018. Proportion of relevant load going through 132kV/HV direct transformation</t>
  </si>
  <si>
    <t>132kV/HV</t>
  </si>
  <si>
    <t>1019. Network model GSP peak demand (MW)</t>
  </si>
  <si>
    <t>Network model GSP peak demand (MW)</t>
  </si>
  <si>
    <t>1020. Gross asset cost by network level (£)</t>
  </si>
  <si>
    <t>Gross assets £</t>
  </si>
  <si>
    <t>1022. LV service model asset cost (£)</t>
  </si>
  <si>
    <t>LV service model 1</t>
  </si>
  <si>
    <t>LV service model 2</t>
  </si>
  <si>
    <t>LV service model 3</t>
  </si>
  <si>
    <t>LV service model 4</t>
  </si>
  <si>
    <t>LV service model 5</t>
  </si>
  <si>
    <t>LV service model 6</t>
  </si>
  <si>
    <t>LV service model 7</t>
  </si>
  <si>
    <t>LV service model 8</t>
  </si>
  <si>
    <t>LV service model asset cost (£)</t>
  </si>
  <si>
    <t>1023. HV service model asset cost (£)</t>
  </si>
  <si>
    <t>HV service model 1</t>
  </si>
  <si>
    <t>HV service model 2</t>
  </si>
  <si>
    <t>HV service model 3</t>
  </si>
  <si>
    <t>HV service model 4</t>
  </si>
  <si>
    <t>HV service model 5</t>
  </si>
  <si>
    <t>HV service model asset cost (£)</t>
  </si>
  <si>
    <t>1025. Matrix of applicability of LV service models to tariffs with fixed charges</t>
  </si>
  <si>
    <t>Domestic Unrestricted</t>
  </si>
  <si>
    <t>Domestic Two Rate</t>
  </si>
  <si>
    <t>Small Non Domestic Unrestricted</t>
  </si>
  <si>
    <t>Small Non Domestic Two Rate</t>
  </si>
  <si>
    <t>LV Medium Non-Domestic</t>
  </si>
  <si>
    <t>LV Sub Medium Non-Domestic</t>
  </si>
  <si>
    <t>LV Network Domestic</t>
  </si>
  <si>
    <t>LV Network Non-Domestic Non-CT</t>
  </si>
  <si>
    <t>LV HH Metered</t>
  </si>
  <si>
    <t>LV Sub HH Metered</t>
  </si>
  <si>
    <t>LV Generation NHH or Aggregate HH</t>
  </si>
  <si>
    <t>LV Sub Generation NHH</t>
  </si>
  <si>
    <t>LV Generation Intermittent</t>
  </si>
  <si>
    <t>LV Generation Intermittent no RP charge</t>
  </si>
  <si>
    <t>LV Generation Non-Intermittent</t>
  </si>
  <si>
    <t>LV Generation Non-Intermittent no RP charge</t>
  </si>
  <si>
    <t>LV Sub Generation Intermittent</t>
  </si>
  <si>
    <t>LV Sub Generation Intermittent no RP charge</t>
  </si>
  <si>
    <t>LV Sub Generation Non-Intermittent</t>
  </si>
  <si>
    <t>LV Sub Generation Non-Intermittent no RP charge</t>
  </si>
  <si>
    <t>1026. Matrix of applicability of LV service models to unmetered tariffs</t>
  </si>
  <si>
    <t>Source: service models</t>
  </si>
  <si>
    <t>Proportion of service model involved in connecting load of 1 MWh/year</t>
  </si>
  <si>
    <t>All LV unmetered tariffs</t>
  </si>
  <si>
    <t>1028. Matrix of applicability of HV service models to tariffs with fixed charges</t>
  </si>
  <si>
    <t>HV Medium Non-Domestic</t>
  </si>
  <si>
    <t>HV HH Metered</t>
  </si>
  <si>
    <t>HV Generation Intermittent</t>
  </si>
  <si>
    <t>HV Generation Intermittent no RP charge</t>
  </si>
  <si>
    <t>HV Generation Non-Intermittent</t>
  </si>
  <si>
    <t>HV Generation Non-Intermittent no RP charge</t>
  </si>
  <si>
    <t>1032. Loss adjustment factors to transmission</t>
  </si>
  <si>
    <t>Source: losses model or loss adjustment factors at time of system peak.</t>
  </si>
  <si>
    <t>Loss adjustment factor</t>
  </si>
  <si>
    <t>1037. Embedded network (LDNO) discounts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</si>
  <si>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</si>
  <si>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</si>
  <si>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</si>
  <si>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</si>
  <si>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</si>
  <si>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</si>
  <si>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</si>
  <si>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1041. Load profile data for demand users</t>
  </si>
  <si>
    <t>Source: load data analysis.</t>
  </si>
  <si>
    <t>Coincidence factor</t>
  </si>
  <si>
    <t>Load factor</t>
  </si>
  <si>
    <t>Domestic Off Peak (related MPAN)</t>
  </si>
  <si>
    <t>Small Non Domestic Off Peak (related MPAN)</t>
  </si>
  <si>
    <t>NHH UMS category A</t>
  </si>
  <si>
    <t>NHH UMS category B</t>
  </si>
  <si>
    <t>NHH UMS category C</t>
  </si>
  <si>
    <t>NHH UMS category D</t>
  </si>
  <si>
    <t>LV UMS (Pseudo HH Metered)</t>
  </si>
  <si>
    <t>1053. Volume forecasts for the charging year</t>
  </si>
  <si>
    <t>Source: forecast.</t>
  </si>
  <si>
    <t>Please include MPAN counts for tariffs with no fixed charge (e.g. off-peak tariffs), but exclude MPANs on tariffs with a fixed</t>
  </si>
  <si>
    <t>charge that are not subject to a fixed charge due to a site grouping arrangement.</t>
  </si>
  <si>
    <t>Rate 1 units (MWh)</t>
  </si>
  <si>
    <t>Rate 2 units (MWh)</t>
  </si>
  <si>
    <t>Rate 3 units (MWh)</t>
  </si>
  <si>
    <t>MPANs</t>
  </si>
  <si>
    <t>Import capacity (kVA)</t>
  </si>
  <si>
    <t>Exceeded capacity (kVA)</t>
  </si>
  <si>
    <t>Reactive power units (MVArh)</t>
  </si>
  <si>
    <t>&gt; Domestic Unrestricted</t>
  </si>
  <si>
    <t>LDNO LV: Domestic Unrestricted</t>
  </si>
  <si>
    <t>LDNO HV: Domestic Unrestricted</t>
  </si>
  <si>
    <t>&gt; Domestic Two Rate</t>
  </si>
  <si>
    <t>LDNO LV: Domestic Two Rate</t>
  </si>
  <si>
    <t>LDNO HV: Domestic Two Rate</t>
  </si>
  <si>
    <t>&gt; Domestic Off Peak (related MPAN)</t>
  </si>
  <si>
    <t>LDNO LV: Domestic Off Peak (related MPAN)</t>
  </si>
  <si>
    <t>LDNO HV: Domestic Off Peak (related MPAN)</t>
  </si>
  <si>
    <t>&gt; Small Non Domestic Unrestricted</t>
  </si>
  <si>
    <t>LDNO LV: Small Non Domestic Unrestricted</t>
  </si>
  <si>
    <t>LDNO HV: Small Non Domestic Unrestricted</t>
  </si>
  <si>
    <t>&gt; Small Non Domestic Two Rate</t>
  </si>
  <si>
    <t>LDNO LV: Small Non Domestic Two Rate</t>
  </si>
  <si>
    <t>LDNO HV: Small Non Domestic Two Rate</t>
  </si>
  <si>
    <t>&gt; Small Non Domestic Off Peak (related MPAN)</t>
  </si>
  <si>
    <t>LDNO LV: Small Non Domestic Off Peak (related MPAN)</t>
  </si>
  <si>
    <t>LDNO HV: Small Non Domestic Off Peak (related MPAN)</t>
  </si>
  <si>
    <t>&gt; LV Medium Non-Domestic</t>
  </si>
  <si>
    <t>LDNO LV: LV Medium Non-Domestic</t>
  </si>
  <si>
    <t>LDNO HV: LV Medium Non-Domestic</t>
  </si>
  <si>
    <t>&gt; LV Sub Medium Non-Domestic</t>
  </si>
  <si>
    <t>&gt; HV Medium Non-Domestic</t>
  </si>
  <si>
    <t>&gt; LV Network Domestic</t>
  </si>
  <si>
    <t>LDNO LV: LV Network Domestic</t>
  </si>
  <si>
    <t>LDNO HV: LV Network Domestic</t>
  </si>
  <si>
    <t>&gt; LV Network Non-Domestic Non-CT</t>
  </si>
  <si>
    <t>LDNO LV: LV Network Non-Domestic Non-CT</t>
  </si>
  <si>
    <t>LDNO HV: LV Network Non-Domestic Non-CT</t>
  </si>
  <si>
    <t>&gt; LV HH Metered</t>
  </si>
  <si>
    <t>LDNO LV: LV HH Metered</t>
  </si>
  <si>
    <t>LDNO HV: LV HH Metered</t>
  </si>
  <si>
    <t>&gt; LV Sub HH Metered</t>
  </si>
  <si>
    <t>LDNO HV: LV Sub HH Metered</t>
  </si>
  <si>
    <t>&gt; HV HH Metered</t>
  </si>
  <si>
    <t>LDNO HV: HV HH Metered</t>
  </si>
  <si>
    <t>&gt; NHH UMS category A</t>
  </si>
  <si>
    <t>LDNO LV: NHH UMS category A</t>
  </si>
  <si>
    <t>LDNO HV: NHH UMS category A</t>
  </si>
  <si>
    <t>&gt; NHH UMS category B</t>
  </si>
  <si>
    <t>LDNO LV: NHH UMS category B</t>
  </si>
  <si>
    <t>LDNO HV: NHH UMS category B</t>
  </si>
  <si>
    <t>&gt; NHH UMS category C</t>
  </si>
  <si>
    <t>LDNO LV: NHH UMS category C</t>
  </si>
  <si>
    <t>LDNO HV: NHH UMS category C</t>
  </si>
  <si>
    <t>&gt; NHH UMS category D</t>
  </si>
  <si>
    <t>LDNO LV: NHH UMS category D</t>
  </si>
  <si>
    <t>LDNO HV: NHH UMS category D</t>
  </si>
  <si>
    <t>&gt; LV UMS (Pseudo HH Metered)</t>
  </si>
  <si>
    <t>LDNO LV: LV UMS (Pseudo HH Metered)</t>
  </si>
  <si>
    <t>LDNO HV: LV UMS (Pseudo HH Metered)</t>
  </si>
  <si>
    <t>&gt; LV Generation NHH or Aggregate HH</t>
  </si>
  <si>
    <t>LDNO LV: LV Generation NHH or Aggregate HH</t>
  </si>
  <si>
    <t>LDNO HV: LV Generation NHH or Aggregate HH</t>
  </si>
  <si>
    <t>&gt; LV Sub Generation NHH</t>
  </si>
  <si>
    <t>LDNO HV: LV Sub Generation NHH</t>
  </si>
  <si>
    <t>&gt; LV Generation Intermittent</t>
  </si>
  <si>
    <t>LDNO LV: LV Generation Intermittent</t>
  </si>
  <si>
    <t>LDNO HV: LV Generation Intermittent</t>
  </si>
  <si>
    <t>&gt; LV Generation Intermittent no RP charge</t>
  </si>
  <si>
    <t>&gt; LV Generation Non-Intermittent</t>
  </si>
  <si>
    <t>LDNO LV: LV Generation Non-Intermittent</t>
  </si>
  <si>
    <t>LDNO HV: LV Generation Non-Intermittent</t>
  </si>
  <si>
    <t>&gt; LV Generation Non-Intermittent no RP charge</t>
  </si>
  <si>
    <t>&gt; LV Sub Generation Intermittent</t>
  </si>
  <si>
    <t>LDNO HV: LV Sub Generation Intermittent</t>
  </si>
  <si>
    <t>&gt; LV Sub Generation Intermittent no RP charge</t>
  </si>
  <si>
    <t>&gt; LV Sub Generation Non-Intermittent</t>
  </si>
  <si>
    <t>LDNO HV: LV Sub Generation Non-Intermittent</t>
  </si>
  <si>
    <t>&gt; LV Sub Generation Non-Intermittent no RP charge</t>
  </si>
  <si>
    <t>&gt; HV Generation Intermittent</t>
  </si>
  <si>
    <t>LDNO HV: HV Generation Intermittent</t>
  </si>
  <si>
    <t>&gt; HV Generation Intermittent no RP charge</t>
  </si>
  <si>
    <t>&gt; HV Generation Non-Intermittent</t>
  </si>
  <si>
    <t>LDNO HV: HV Generation Non-Intermittent</t>
  </si>
  <si>
    <t>&gt; HV Generation Non-Intermittent no RP charge</t>
  </si>
  <si>
    <t>1055. Transmission exit charges (£/year)</t>
  </si>
  <si>
    <t>Transmission
exit</t>
  </si>
  <si>
    <t>Transmission exit charges (£/year)</t>
  </si>
  <si>
    <t>1059. Other expenditure</t>
  </si>
  <si>
    <t>Direct cost (£/year)</t>
  </si>
  <si>
    <t>Indirect cost (£/year)</t>
  </si>
  <si>
    <t>Indirect cost proportion</t>
  </si>
  <si>
    <t>Network rates (£/year)</t>
  </si>
  <si>
    <t>Other expenditure</t>
  </si>
  <si>
    <t>1060. Customer contributions under current connection charging policy</t>
  </si>
  <si>
    <t>Source: analysis of expenditure data and/or survey of capital expenditure schemes.</t>
  </si>
  <si>
    <t>Customer contribution percentages by network level of supply and by asset network level.</t>
  </si>
  <si>
    <t>These proportions should reflect the current connection charging method, not necessarily the method that was in place when the connection was built.</t>
  </si>
  <si>
    <t>Assets
132kV</t>
  </si>
  <si>
    <t>Assets
132kV/EHV</t>
  </si>
  <si>
    <t>Assets
EHV</t>
  </si>
  <si>
    <t>Assets
EHV/HV</t>
  </si>
  <si>
    <t>Assets
132kV/HV</t>
  </si>
  <si>
    <t>Assets
HV</t>
  </si>
  <si>
    <t>Assets
HV/LV</t>
  </si>
  <si>
    <t>Assets
LV circuits</t>
  </si>
  <si>
    <t>LV network</t>
  </si>
  <si>
    <t>LV substation</t>
  </si>
  <si>
    <t>HV network</t>
  </si>
  <si>
    <t>HV substation</t>
  </si>
  <si>
    <t>1061. Average split of rate 1 units by distribution time band</t>
  </si>
  <si>
    <t>Red</t>
  </si>
  <si>
    <t>Amber</t>
  </si>
  <si>
    <t>Green</t>
  </si>
  <si>
    <t>1062. Average split of rate 2 units by distribution time band</t>
  </si>
  <si>
    <t>1064. Average split of rate 1 units by special distribution time band</t>
  </si>
  <si>
    <t>Black</t>
  </si>
  <si>
    <t>Yellow</t>
  </si>
  <si>
    <t>1066. Typical annual hours by special distribution time band</t>
  </si>
  <si>
    <t>Source: definition of distribution time bands.</t>
  </si>
  <si>
    <t>The figures in this table will be automatically adjusted to match the number of days in the charging period.</t>
  </si>
  <si>
    <t>Annual hours</t>
  </si>
  <si>
    <t>1068. Typical annual hours by distribution time band</t>
  </si>
  <si>
    <t>1069. Peaking probabilities by network level</t>
  </si>
  <si>
    <t>Source: analysis of network operation data.</t>
  </si>
  <si>
    <t>Red, amber and green peaking probabilities</t>
  </si>
  <si>
    <t>Black peaking probabilities</t>
  </si>
  <si>
    <t>1092. Average kVAr by kVA, by network level</t>
  </si>
  <si>
    <t>Source: analysis of operational data.</t>
  </si>
  <si>
    <t>This is the average of MVAr/MVA or SQRT(1-PF^2) across relevant network elements.</t>
  </si>
  <si>
    <t>Average kVAr by kVA, by network level</t>
  </si>
  <si>
    <t>1201. Current tariff information</t>
  </si>
  <si>
    <t>Current revenues if known (£)</t>
  </si>
  <si>
    <t>Current Unit rate 1 p/kWh</t>
  </si>
  <si>
    <t>Current Unit rate 2 p/kWh</t>
  </si>
  <si>
    <t>Current Unit rate 3 p/kWh</t>
  </si>
  <si>
    <t>Current Fixed charge p/MPAN/day</t>
  </si>
  <si>
    <t>Current Capacity charge p/kVA/day</t>
  </si>
  <si>
    <t>Current Exceeded capacity charge p/kVA/day</t>
  </si>
  <si>
    <t>Current Reactive power charge p/kVArh</t>
  </si>
  <si>
    <t>This sheet contains all the input data (except LLFCs which might be entered directly into the Tariff sheet).</t>
  </si>
  <si>
    <t>This sheet calculates matrices of loss adjustment factors and of network use factors.</t>
  </si>
  <si>
    <t>These matrices map out the extent to which each type of user uses each level of the network, and are used throughout the workbook.</t>
  </si>
  <si>
    <t>2001. Loss adjustment factors to transmission</t>
  </si>
  <si>
    <t>Data sources:</t>
  </si>
  <si>
    <t>x1 = Network level for each tariff (to get loss factors applicable to capacity) (in Loss adjustment factors to transmission)</t>
  </si>
  <si>
    <t>x2 = 1032. Loss adjustment factors to transmission</t>
  </si>
  <si>
    <t>Kind:</t>
  </si>
  <si>
    <t>Fixed data</t>
  </si>
  <si>
    <t>Sum-product calculation</t>
  </si>
  <si>
    <t>Formula:</t>
  </si>
  <si>
    <t/>
  </si>
  <si>
    <t>=SUMPRODUCT(x1, x2)</t>
  </si>
  <si>
    <t>Network level for each tariff (to get loss factors applicable to capacity)</t>
  </si>
  <si>
    <t>2002. Mapping of DRM network levels to core network levels</t>
  </si>
  <si>
    <t>2003. Loss adjustment factor to transmission for each DRM network level</t>
  </si>
  <si>
    <t>x1 = 2002. Mapping of DRM network levels to core network levels</t>
  </si>
  <si>
    <t>Sum-product calculation =SUMPRODUCT(x1, x2)</t>
  </si>
  <si>
    <t>Loss adjustment factor to transmission for each DRM network level</t>
  </si>
  <si>
    <t>2004. Loss adjustment factor to transmission for each network level</t>
  </si>
  <si>
    <t>x1 = 2003. Loss adjustment factor to transmission for each DRM network level</t>
  </si>
  <si>
    <t>x2 = 1 for GSP level</t>
  </si>
  <si>
    <t>Combine tables = x1 or x2</t>
  </si>
  <si>
    <t>Loss adjustment factor to transmission for each network level</t>
  </si>
  <si>
    <t>2005. Network use factors</t>
  </si>
  <si>
    <t>These network use factors indicate to what extent each network level is used by each tariff. This table reflects the policy that</t>
  </si>
  <si>
    <t>generators receive credits only in respect of network levels above the voltage of connection. Generators do not receive credits at the</t>
  </si>
  <si>
    <t>voltage of connection. The factors in this table are before any adjustment for a 132kV/HV network level or for generation-dominated areas.</t>
  </si>
  <si>
    <t>2006. Proportion going through 132kV/EHV</t>
  </si>
  <si>
    <t>x1 = 1018. Proportion of relevant load going through 132kV/HV direct transformation</t>
  </si>
  <si>
    <t>Calculation =1-x1</t>
  </si>
  <si>
    <t>2007. Proportion going through EHV</t>
  </si>
  <si>
    <t>2008. Proportion going through EHV/HV</t>
  </si>
  <si>
    <t>2009. Rerouteing matrix for all network levels</t>
  </si>
  <si>
    <t>x2 = 2006. Proportion going through 132kV/EHV</t>
  </si>
  <si>
    <t>x3 = 2007. Proportion going through EHV</t>
  </si>
  <si>
    <t>x4 = 2008. Proportion going through EHV/HV</t>
  </si>
  <si>
    <t>x5 = Rerouteing matrix: default elements</t>
  </si>
  <si>
    <t>x6 = Map GSP to GSP</t>
  </si>
  <si>
    <t>Combine tables = x1 or x2 or x3 or x4 or x5 or x6</t>
  </si>
  <si>
    <t>2010. Network use factors: interim step in calculations before adjustments</t>
  </si>
  <si>
    <t>x1 = 2005. Network use factors</t>
  </si>
  <si>
    <t>x2 = 2009. Rerouteing matrix for all network levels</t>
  </si>
  <si>
    <t>2011. Network use factors for all tariffs</t>
  </si>
  <si>
    <t>x1 = Network use factors including 132kV/HV for generation dominated tariffs</t>
  </si>
  <si>
    <t>x2 = Network use factors including 132kV/HV for HV Sub tariffs</t>
  </si>
  <si>
    <t>x3 = 2010. Network use factors: interim step in calculations before adjustments</t>
  </si>
  <si>
    <t>Combine tables = x1 or x2 or x3</t>
  </si>
  <si>
    <t>2012. Loss adjustment factors between end user meter reading and each network level, scaled by network use</t>
  </si>
  <si>
    <t>x1 = 2004. Loss adjustment factor to transmission for each network level</t>
  </si>
  <si>
    <t>x2 = 2011. Network use factors for all tariffs</t>
  </si>
  <si>
    <t>x3 = 2001. Loss adjustment factor to transmission (in Loss adjustment factors to transmission)</t>
  </si>
  <si>
    <t>Calculation =IF(x1="",x2,x2*x3/x1)</t>
  </si>
  <si>
    <t>This sheet collects data from a network model and calculates aggregated annuitised unit costs from these data.</t>
  </si>
  <si>
    <t>2101. Annuity rate</t>
  </si>
  <si>
    <t>x1 = 1010. Rate of return (in Financial and general assumptions)</t>
  </si>
  <si>
    <t>x2 = 1010. Annualisation period (years) (in Financial and general assumptions)</t>
  </si>
  <si>
    <t>x3 = 1010. Days in the charging year (in Financial and general assumptions)</t>
  </si>
  <si>
    <t>Calculation =PMT(x1,x2,-1)*IF(OR(x3&gt;366,x3&lt;365),x3/365.25,1)</t>
  </si>
  <si>
    <t>Annuity rate</t>
  </si>
  <si>
    <t>2102. Loss adjustment factor to transmission for each core level</t>
  </si>
  <si>
    <t>x1 = 1032. Loss adjustment factors to transmission</t>
  </si>
  <si>
    <t>Loss adjustment factor to transmission for each core level</t>
  </si>
  <si>
    <t>2103. Loss adjustment factors</t>
  </si>
  <si>
    <t>x1 = 2102. Loss adjustment factor to transmission for each core level</t>
  </si>
  <si>
    <t>x2 = Loss adjustment factor to transmission for network level exit (in Loss adjustment factors)</t>
  </si>
  <si>
    <t>Copy cells</t>
  </si>
  <si>
    <t>Special copy</t>
  </si>
  <si>
    <t>=x1</t>
  </si>
  <si>
    <t>= x2</t>
  </si>
  <si>
    <t>Loss adjustment factor to transmission for network level exit</t>
  </si>
  <si>
    <t>Loss adjustment factor to transmission for network level entry</t>
  </si>
  <si>
    <t>2104. Diversity calculations</t>
  </si>
  <si>
    <t>x1 = 1017. Diversity allowance between top and bottom of network level</t>
  </si>
  <si>
    <t>x2 = Coincidence to system peak at level exit (in Diversity calculations)</t>
  </si>
  <si>
    <t>Special calculation</t>
  </si>
  <si>
    <t>=previous/(1+x1)</t>
  </si>
  <si>
    <t>=1/x2-1</t>
  </si>
  <si>
    <t>Coincidence to GSP peak at level exit</t>
  </si>
  <si>
    <t>Coincidence to system peak at level exit</t>
  </si>
  <si>
    <t>Diversity allowance between level exit and GSP Group</t>
  </si>
  <si>
    <t>2105. Network model total maximum demand at substation (MW)</t>
  </si>
  <si>
    <t>x1 = 1019. Network model GSP peak demand (MW)</t>
  </si>
  <si>
    <t>x2 = 2104. Coincidence to GSP peak at level exit (in Diversity calculations)</t>
  </si>
  <si>
    <t>Calculation =x1/x2</t>
  </si>
  <si>
    <t>Network model total maximum demand at substation (MW)</t>
  </si>
  <si>
    <t>2106. Network model contribution to system maximum load measured at network level exit (MW)</t>
  </si>
  <si>
    <t>x1 = 2105. Network model total maximum demand at substation (MW)</t>
  </si>
  <si>
    <t>x2 = 2104. Coincidence to system peak at level exit (in Diversity calculations)</t>
  </si>
  <si>
    <t>x3 = 2103. Loss adjustment factor to transmission for network level exit (in Loss adjustment factors)</t>
  </si>
  <si>
    <t>Calculation =x1*x2/x3</t>
  </si>
  <si>
    <t>Network model contribution to system maximum load measured at network level exit (MW)</t>
  </si>
  <si>
    <t>2107. Rerouteing matrix for DRM network levels</t>
  </si>
  <si>
    <t>Combine tables = x1 or x2 or x3 or x4 or x5</t>
  </si>
  <si>
    <t>2108. GSP simultaneous maximum load assumed through each network level (MW)</t>
  </si>
  <si>
    <t>x1 = 2106. Network model contribution to system maximum load measured at network level exit (MW)</t>
  </si>
  <si>
    <t>x2 = 2107. Rerouteing matrix for DRM network levels</t>
  </si>
  <si>
    <t>GSP simultaneous maximum load assumed through each network level (MW)</t>
  </si>
  <si>
    <t>2109. Network model annuity by simultaneous maximum load for each network level (£/kW/year)</t>
  </si>
  <si>
    <t>x1 = 2108. GSP simultaneous maximum load assumed through each network level (MW)</t>
  </si>
  <si>
    <t>x2 = 1020. Gross asset cost by network level (£)</t>
  </si>
  <si>
    <t>x3 = 2101. Annuity rate</t>
  </si>
  <si>
    <t>Calculation =IF(x1,0.001*x2*x3/x1,0)</t>
  </si>
  <si>
    <t>Model £/kW SML</t>
  </si>
  <si>
    <t>Assets 132kV</t>
  </si>
  <si>
    <t>Assets 132kV/EHV</t>
  </si>
  <si>
    <t>Assets EHV</t>
  </si>
  <si>
    <t>Assets EHV/HV</t>
  </si>
  <si>
    <t>Assets 132kV/HV</t>
  </si>
  <si>
    <t>Assets HV</t>
  </si>
  <si>
    <t>Assets HV/LV</t>
  </si>
  <si>
    <t>Assets LV circuits</t>
  </si>
  <si>
    <t>This sheet collects and processes data from the service models.</t>
  </si>
  <si>
    <t>2201. Asset £/customer from LV service models</t>
  </si>
  <si>
    <t>x1 = 1025. Matrix of applicability of LV service models to tariffs with fixed charges</t>
  </si>
  <si>
    <t>x2 = 1022. LV service model asset cost (£)</t>
  </si>
  <si>
    <t>Assets
LV customer</t>
  </si>
  <si>
    <t>2202. LV unmetered service model assets £/(MWh/year)</t>
  </si>
  <si>
    <t>x1 = 1026. Matrix of applicability of LV service models to unmetered tariffs</t>
  </si>
  <si>
    <t>LV unmetered service model assets £/(MWh/year)</t>
  </si>
  <si>
    <t>2203. LV unmetered service model asset charge (p/kWh)</t>
  </si>
  <si>
    <t>x1 = 1010. Annuity proportion for customer-contributed assets (in Financial and general assumptions)</t>
  </si>
  <si>
    <t>x2 = 2202. LV unmetered service model assets £/(MWh/year)</t>
  </si>
  <si>
    <t>Calculation =0.1*x1*x2*x3</t>
  </si>
  <si>
    <t>LV unmetered service model asset charge (p/kWh)</t>
  </si>
  <si>
    <t>2204. Asset £/customer from HV service models</t>
  </si>
  <si>
    <t>x1 = 1028. Matrix of applicability of HV service models to tariffs with fixed charges</t>
  </si>
  <si>
    <t>x2 = 1023. HV service model asset cost (£)</t>
  </si>
  <si>
    <t>Assets
HV customer</t>
  </si>
  <si>
    <t>2205. Service model assets by tariff (£)</t>
  </si>
  <si>
    <t>x1 = 2201. Asset £/customer from LV service models</t>
  </si>
  <si>
    <t>x2 = 2204. Asset £/customer from HV service models</t>
  </si>
  <si>
    <t>2206. Replacement annuities for service models</t>
  </si>
  <si>
    <t>x1 = 1010. Days in the charging year (in Financial and general assumptions)</t>
  </si>
  <si>
    <t>x2 = 2205. Service model assets by tariff (£)</t>
  </si>
  <si>
    <t>x4 = 1010. Annuity proportion for customer-contributed assets (in Financial and general assumptions)</t>
  </si>
  <si>
    <t>x5 = Service model p/MPAN/day charge (in Replacement annuities for service models)</t>
  </si>
  <si>
    <t>Calculation</t>
  </si>
  <si>
    <t>Cell summation</t>
  </si>
  <si>
    <t>=100/x1*x2*x3*x4</t>
  </si>
  <si>
    <t>=SUM(x5)</t>
  </si>
  <si>
    <t>Service model p/MPAN/day charge</t>
  </si>
  <si>
    <t>Service model p/MPAN/day</t>
  </si>
  <si>
    <t>This sheet compiles information about the assumed characteristics of network users.</t>
  </si>
  <si>
    <t>A load factor represents the average load of a user or user group, relative to the maximum load level of that user or</t>
  </si>
  <si>
    <t>user group. Load factors are numbers between 0 and 1.</t>
  </si>
  <si>
    <t>A coincidence factor represents the expectation value of the load of a user or user group at the time of system maximum load,</t>
  </si>
  <si>
    <t>relative to the maximum load level of that user or user group.  Coincidence factors are numbers between 0 and 1.</t>
  </si>
  <si>
    <t>A load coefficient is the expectation value of the load of a user or user group at the time of system maximum load, relative to the average load level of that user or user group.</t>
  </si>
  <si>
    <t>For demand users, the load coefficient is a demand coefficient and can be calculated as the ratio of the coincidence factor to the load factor.</t>
  </si>
  <si>
    <t>2301. Demand coefficient (load at time of system maximum load divided by average load)</t>
  </si>
  <si>
    <t>x1 = 1041. Coincidence factor to system maximum load for each type of demand user (in Load profile data for demand users)</t>
  </si>
  <si>
    <t>x2 = 1041. Load factor for each type of demand user (in Load profile data for demand users)</t>
  </si>
  <si>
    <t>Demand coefficient</t>
  </si>
  <si>
    <t>2302. Load coefficient</t>
  </si>
  <si>
    <t>x1 = 2301. Demand coefficient (load at time of system maximum load divided by average load)</t>
  </si>
  <si>
    <t>x2 = Negative of generation coefficient; set to -1</t>
  </si>
  <si>
    <t>Load coefficient</t>
  </si>
  <si>
    <t>2303. Discount map</t>
  </si>
  <si>
    <t>2304. LDNO discounts and volumes adjusted for discount</t>
  </si>
  <si>
    <t>x1 = 2303. Discount map</t>
  </si>
  <si>
    <t>x2 = 1037. Embedded network (LDNO) discounts</t>
  </si>
  <si>
    <t>x3 = 100 per cent discount for generators on LDNO networks</t>
  </si>
  <si>
    <t>x4 = Discount for each tariff (except for fixed charges) (in LDNO discounts and volumes adjusted for discount)</t>
  </si>
  <si>
    <t>x5 = 1053. Rate 1 units (MWh) by tariff (in Volume forecasts for the charging year)</t>
  </si>
  <si>
    <t>x6 = 1053. Rate 2 units (MWh) by tariff (in Volume forecasts for the charging year)</t>
  </si>
  <si>
    <t>x7 = 1053. Rate 3 units (MWh) by tariff (in Volume forecasts for the charging year)</t>
  </si>
  <si>
    <t>x8 = 1053. MPANs by tariff (in Volume forecasts for the charging year)</t>
  </si>
  <si>
    <t>x9 = Discount for each tariff for fixed charges only (in LDNO discounts and volumes adjusted for discount)</t>
  </si>
  <si>
    <t>x10 = 1053. Import capacity (kVA) by tariff (in Volume forecasts for the charging year)</t>
  </si>
  <si>
    <t>x11 = 1053. Exceeded capacity (kVA) by tariff (in Volume forecasts for the charging year)</t>
  </si>
  <si>
    <t>x12 = 1053. Reactive power units (MVArh) by tariff (in Volume forecasts for the charging year)</t>
  </si>
  <si>
    <t>Combine tables</t>
  </si>
  <si>
    <t>= x3 or x4</t>
  </si>
  <si>
    <t>=x5*(1-x4)</t>
  </si>
  <si>
    <t>=x6*(1-x4)</t>
  </si>
  <si>
    <t>=x7*(1-x4)</t>
  </si>
  <si>
    <t>=x8*(1-x9)</t>
  </si>
  <si>
    <t>=x10*(1-x4)</t>
  </si>
  <si>
    <t>=x11*(1-x4)</t>
  </si>
  <si>
    <t>=x12*(1-x4)</t>
  </si>
  <si>
    <t>Discount for each tariff (except for fixed charges)</t>
  </si>
  <si>
    <t>Discount for each tariff for fixed charges only</t>
  </si>
  <si>
    <t>2305. Equivalent volume for each end user</t>
  </si>
  <si>
    <t>x1 = 2304. Rate 1 units (MWh) (in LDNO discounts and volumes adjusted for discount)</t>
  </si>
  <si>
    <t>x2 = 2304. Rate 2 units (MWh) (in LDNO discounts and volumes adjusted for discount)</t>
  </si>
  <si>
    <t>x3 = 2304. Rate 3 units (MWh) (in LDNO discounts and volumes adjusted for discount)</t>
  </si>
  <si>
    <t>x4 = 2304. MPANs (in LDNO discounts and volumes adjusted for discount)</t>
  </si>
  <si>
    <t>x5 = 2304. Import capacity (kVA) (in LDNO discounts and volumes adjusted for discount)</t>
  </si>
  <si>
    <t>x6 = 2304. Exceeded capacity (kVA) (in LDNO discounts and volumes adjusted for discount)</t>
  </si>
  <si>
    <t>x7 = 2304. Reactive power units (MVArh) (in LDNO discounts and volumes adjusted for discount)</t>
  </si>
  <si>
    <t>=SUM(x1)</t>
  </si>
  <si>
    <t>=SUM(x2)</t>
  </si>
  <si>
    <t>=SUM(x3)</t>
  </si>
  <si>
    <t>=SUM(x4)</t>
  </si>
  <si>
    <t>=SUM(x6)</t>
  </si>
  <si>
    <t>=SUM(x7)</t>
  </si>
  <si>
    <t>2401. Adjust annual hours by distribution time band to match days in year</t>
  </si>
  <si>
    <t>x1 = 1068. Typical annual hours by distribution time band</t>
  </si>
  <si>
    <t>x2 = 1010. Days in the charging year (in Financial and general assumptions)</t>
  </si>
  <si>
    <t>x3 = Total hours in the year according to time band hours input data (in Adjust annual hours by distribution time band to match days in year)</t>
  </si>
  <si>
    <t>=x1*24*x2/x3</t>
  </si>
  <si>
    <t>Hours aggregate</t>
  </si>
  <si>
    <t>Annual hours by distribution time band (reconciled to days in year)</t>
  </si>
  <si>
    <t>Adjust annual hours by distribution time band to match days in year</t>
  </si>
  <si>
    <t>2402. Normalisation of split of rate 1 units by time band</t>
  </si>
  <si>
    <t>x1 = 1061. Average split of rate 1 units by distribution time band</t>
  </si>
  <si>
    <t>x2 = Total split (in Normalisation of split of rate 1 units by time band)</t>
  </si>
  <si>
    <t>x3 = 2401. Annual hours by distribution time band (reconciled to days in year) (in Adjust annual hours by distribution time band to match days in year)</t>
  </si>
  <si>
    <t>x4 = 1010. Days in the charging year (in Financial and general assumptions)</t>
  </si>
  <si>
    <t>=IF(x2,x1/x2,x3/x4/24)</t>
  </si>
  <si>
    <t>Total split</t>
  </si>
  <si>
    <t>Normalised split of rate 1 units by distribution time band</t>
  </si>
  <si>
    <t>2403. Split of rate 1 units between distribution time bands</t>
  </si>
  <si>
    <t>x1 = 2402. Normalised split of rate 1 units by distribution time band (in Normalisation of split of rate 1 units by time band)</t>
  </si>
  <si>
    <t>x2 = Split of rate 1 units between distribution time bands (default)</t>
  </si>
  <si>
    <t>2404. Normalisation of split of rate 2 units by time band</t>
  </si>
  <si>
    <t>x1 = 1062. Average split of rate 2 units by distribution time band</t>
  </si>
  <si>
    <t>x2 = Total split (in Normalisation of split of rate 2 units by time band)</t>
  </si>
  <si>
    <t>Normalised split of rate 2 units by distribution time band</t>
  </si>
  <si>
    <t>2405. Split of rate 2 units between distribution time bands</t>
  </si>
  <si>
    <t>x1 = 2404. Normalised split of rate 2 units by distribution time band (in Normalisation of split of rate 2 units by time band)</t>
  </si>
  <si>
    <t>x2 = Split of rate 2 units between distribution time bands (default)</t>
  </si>
  <si>
    <t>2406. Split of rate 3 units between distribution time bands (default)</t>
  </si>
  <si>
    <t>2407. All units (MWh)</t>
  </si>
  <si>
    <t>x1 = 2305. Rate 1 units (MWh) (in Equivalent volume for each end user)</t>
  </si>
  <si>
    <t>x2 = 2305. Rate 2 units (MWh) (in Equivalent volume for each end user)</t>
  </si>
  <si>
    <t>x3 = 2305. Rate 3 units (MWh) (in Equivalent volume for each end user)</t>
  </si>
  <si>
    <t>Calculation =x1+x2+x3</t>
  </si>
  <si>
    <t>All units (MWh)</t>
  </si>
  <si>
    <t>2408. Calculation of implied load coefficients for one-rate users</t>
  </si>
  <si>
    <t>x1 = 2407. All units (MWh)</t>
  </si>
  <si>
    <t>x2 = 2305. Rate 1 units (MWh) (in Equivalent volume for each end user)</t>
  </si>
  <si>
    <t>x3 = 2403. Split of rate 1 units between distribution time bands</t>
  </si>
  <si>
    <t>x4 = 2401. Annual hours by distribution time band (reconciled to days in year) (in Adjust annual hours by distribution time band to match days in year)</t>
  </si>
  <si>
    <t>x5 = Use of distribution time bands by units in demand forecast for one-rate tariffs (in Calculation of implied load coefficients for one-rate users)</t>
  </si>
  <si>
    <t>x6 = 1010. Days in the charging year (in Financial and general assumptions)</t>
  </si>
  <si>
    <t>=IF(x1&gt;0,(x2*x3)/x1,0)</t>
  </si>
  <si>
    <t>=IF(x4&gt;0,x5*x6*24/x4,0)</t>
  </si>
  <si>
    <t>Use of distribution time bands by units in demand forecast for one-rate tariffs</t>
  </si>
  <si>
    <t>Peak band load coefficient for one-rate tariffs</t>
  </si>
  <si>
    <t>2409. Calculation of implied load coefficients for two-rate users</t>
  </si>
  <si>
    <t>x4 = 2305. Rate 2 units (MWh) (in Equivalent volume for each end user)</t>
  </si>
  <si>
    <t>x5 = 2405. Split of rate 2 units between distribution time bands</t>
  </si>
  <si>
    <t>x6 = 2401. Annual hours by distribution time band (reconciled to days in year) (in Adjust annual hours by distribution time band to match days in year)</t>
  </si>
  <si>
    <t>x7 = Use of distribution time bands by units in demand forecast for two-rate tariffs (in Calculation of implied load coefficients for two-rate users)</t>
  </si>
  <si>
    <t>x8 = 1010. Days in the charging year (in Financial and general assumptions)</t>
  </si>
  <si>
    <t>=IF(x1&gt;0,(x2*x3+x4*x5)/x1,0)</t>
  </si>
  <si>
    <t>=IF(x6&gt;0,x7*x8*24/x6,0)</t>
  </si>
  <si>
    <t>Use of distribution time bands by units in demand forecast for two-rate tariffs</t>
  </si>
  <si>
    <t>Peak band load coefficient for two-rate tariffs</t>
  </si>
  <si>
    <t>2410. Calculation of implied load coefficients for three-rate users</t>
  </si>
  <si>
    <t>x6 = 2305. Rate 3 units (MWh) (in Equivalent volume for each end user)</t>
  </si>
  <si>
    <t>x7 = 2406. Split of rate 3 units between distribution time bands (default)</t>
  </si>
  <si>
    <t>x8 = 2401. Annual hours by distribution time band (reconciled to days in year) (in Adjust annual hours by distribution time band to match days in year)</t>
  </si>
  <si>
    <t>x9 = Use of distribution time bands by units in demand forecast for three-rate tariffs (in Calculation of implied load coefficients for three-rate users)</t>
  </si>
  <si>
    <t>x10 = 1010. Days in the charging year (in Financial and general assumptions)</t>
  </si>
  <si>
    <t>=IF(x1&gt;0,(x2*x3+x4*x5+x6*x7)/x1,0)</t>
  </si>
  <si>
    <t>=IF(x8&gt;0,x9*x10*24/x8,0)</t>
  </si>
  <si>
    <t>Use of distribution time bands by units in demand forecast for three-rate tariffs</t>
  </si>
  <si>
    <t>Peak band load coefficient for three-rate tariffs</t>
  </si>
  <si>
    <t>2411. Calculation of adjusted time band load coefficients</t>
  </si>
  <si>
    <t>x1 = 2408. Peak band load coefficient for one-rate tariffs (in Calculation of implied load coefficients for one-rate users)</t>
  </si>
  <si>
    <t>x2 = 2409. Peak band load coefficient for two-rate tariffs (in Calculation of implied load coefficients for two-rate users)</t>
  </si>
  <si>
    <t>x3 = 2410. Peak band load coefficient for three-rate tariffs (in Calculation of implied load coefficients for three-rate users)</t>
  </si>
  <si>
    <t>x4 = Peak band load coefficient (in Calculation of adjusted time band load coefficients)</t>
  </si>
  <si>
    <t>x5 = 2302. Load coefficient</t>
  </si>
  <si>
    <t>= x1 or x2 or x3</t>
  </si>
  <si>
    <t>=IF(x4&lt;&gt;0,x5/x4,IF(x5&lt;0,-1,1))</t>
  </si>
  <si>
    <t>Peak band load coefficient</t>
  </si>
  <si>
    <t>Load coefficient correction factor (kW at peak in band / band average kW)</t>
  </si>
  <si>
    <t>2412. Normalisation of peaking probabilities</t>
  </si>
  <si>
    <t>x1 = 1069. Red, amber and green peaking probabilities (in Peaking probabilities by network level)</t>
  </si>
  <si>
    <t>x2 = Total probability (should be 100%) (in Normalisation of peaking probabilities)</t>
  </si>
  <si>
    <t>x3 = 1068. Typical annual hours by distribution time band</t>
  </si>
  <si>
    <t>x4 = 2401. Total hours in the year according to time band hours input data (in Adjust annual hours by distribution time band to match days in year)</t>
  </si>
  <si>
    <t>=IF(x2,x1/x2,x3/x4)</t>
  </si>
  <si>
    <t>Total probability (should be 100%)</t>
  </si>
  <si>
    <t>Normalised peaking probabilities</t>
  </si>
  <si>
    <t>2413. Peaking probabilities by network level (reshaped)</t>
  </si>
  <si>
    <t>x1 = 2412. Normalised peaking probabilities (in Normalisation of peaking probabilities)</t>
  </si>
  <si>
    <t>Reshape table = x1</t>
  </si>
  <si>
    <t>Probability of peak within timeband</t>
  </si>
  <si>
    <t>2414. Pseudo load coefficient by time band and network level</t>
  </si>
  <si>
    <t>x1 = 2401. Annual hours by distribution time band (reconciled to days in year) (in Adjust annual hours by distribution time band to match days in year)</t>
  </si>
  <si>
    <t>x2 = 2411. Load coefficient correction factor (kW at peak in band / band average kW) (in Calculation of adjusted time band load coefficients)</t>
  </si>
  <si>
    <t>x3 = 2413. Peaking probabilities by network level (reshaped)</t>
  </si>
  <si>
    <t>Calculation =IF(x1&gt;0,x2*x3*24*x4/x1,0)</t>
  </si>
  <si>
    <t>2415. Single rate non half hourly pseudo timeband load coefficients</t>
  </si>
  <si>
    <t>x1 = 2414. Pseudo load coefficient by time band and network level</t>
  </si>
  <si>
    <t>Copy cells = x1</t>
  </si>
  <si>
    <t>2416. Single rate non half hourly units (MWh)</t>
  </si>
  <si>
    <t>Single rate non half hourly units (MWh)</t>
  </si>
  <si>
    <t>2417. Single rate non half hourly timeband use</t>
  </si>
  <si>
    <t>x1 = 2403. Split of rate 1 units between distribution time bands</t>
  </si>
  <si>
    <t>2418. Single rate non half hourly tariff pseudo load coefficient</t>
  </si>
  <si>
    <t>x1 = 2415. Single rate non half hourly pseudo timeband load coefficients</t>
  </si>
  <si>
    <t>x2 = 2417. Single rate non half hourly timeband use</t>
  </si>
  <si>
    <t>2419. Multi rate non half hourly units (MWh)</t>
  </si>
  <si>
    <t>Multi rate non half hourly units (MWh)</t>
  </si>
  <si>
    <t>2420. Multi rate non half hourly pseudo timeband load coefficients</t>
  </si>
  <si>
    <t>2421. Multi rate non half hourly timeband use</t>
  </si>
  <si>
    <t>x1 = 2409. Use of distribution time bands by units in demand forecast for two-rate tariffs (in Calculation of implied load coefficients for two-rate users)</t>
  </si>
  <si>
    <t>2422. Multi rate non half hourly tariff pseudo load coefficient</t>
  </si>
  <si>
    <t>x1 = 2420. Multi rate non half hourly pseudo timeband load coefficients</t>
  </si>
  <si>
    <t>x2 = 2421. Multi rate non half hourly timeband use</t>
  </si>
  <si>
    <t>2423. Off-peak non half hourly units (MWh)</t>
  </si>
  <si>
    <t>Off-peak non half hourly units (MWh)</t>
  </si>
  <si>
    <t>2424. Off-peak non half hourly pseudo timeband load coefficients</t>
  </si>
  <si>
    <t>2425. Off-peak non half hourly timeband use</t>
  </si>
  <si>
    <t>2426. Off-peak non half hourly tariff pseudo load coefficient</t>
  </si>
  <si>
    <t>x1 = 2424. Off-peak non half hourly pseudo timeband load coefficients</t>
  </si>
  <si>
    <t>x2 = 2425. Off-peak non half hourly timeband use</t>
  </si>
  <si>
    <t>2427. Aggregated half hourly units (MWh)</t>
  </si>
  <si>
    <t>Aggregated half hourly units (MWh)</t>
  </si>
  <si>
    <t>2428. Aggregated half hourly pseudo timeband load coefficients</t>
  </si>
  <si>
    <t>2429. Aggregated half hourly timeband use</t>
  </si>
  <si>
    <t>x1 = 2410. Use of distribution time bands by units in demand forecast for three-rate tariffs (in Calculation of implied load coefficients for three-rate users)</t>
  </si>
  <si>
    <t>2430. Aggregated half hourly tariff pseudo load coefficient</t>
  </si>
  <si>
    <t>x1 = 2428. Aggregated half hourly pseudo timeband load coefficients</t>
  </si>
  <si>
    <t>x2 = 2429. Aggregated half hourly timeband use</t>
  </si>
  <si>
    <t>2431. Average non half hourly tariff pseudo load coefficient</t>
  </si>
  <si>
    <t>x1 = 2416. Single rate non half hourly units (MWh)</t>
  </si>
  <si>
    <t>x2 = 2418. Single rate non half hourly tariff pseudo load coefficient</t>
  </si>
  <si>
    <t>x3 = 2419. Multi rate non half hourly units (MWh)</t>
  </si>
  <si>
    <t>x4 = 2422. Multi rate non half hourly tariff pseudo load coefficient</t>
  </si>
  <si>
    <t>x5 = 2423. Off-peak non half hourly units (MWh)</t>
  </si>
  <si>
    <t>x6 = 2426. Off-peak non half hourly tariff pseudo load coefficient</t>
  </si>
  <si>
    <t>Calculation =(x1*x2+x3*x4+x5*x6)/(x1+x3+x5)</t>
  </si>
  <si>
    <t>Domestic equalisation group</t>
  </si>
  <si>
    <t>Non-domestic equalisation group</t>
  </si>
  <si>
    <t>2432. Average non half hourly timeband use</t>
  </si>
  <si>
    <t>x4 = 2421. Multi rate non half hourly timeband use</t>
  </si>
  <si>
    <t>x6 = 2425. Off-peak non half hourly timeband use</t>
  </si>
  <si>
    <t>2433. Aggregated half hourly tariff pseudo load coefficient using average non half hourly unit mix</t>
  </si>
  <si>
    <t>x2 = 2432. Average non half hourly timeband use</t>
  </si>
  <si>
    <t>2434. Relative correction factor for aggregated half hourly tariff</t>
  </si>
  <si>
    <t>x1 = 2431. Average non half hourly tariff pseudo load coefficient</t>
  </si>
  <si>
    <t>x2 = 2433. Aggregated half hourly tariff pseudo load coefficient using average non half hourly unit mix</t>
  </si>
  <si>
    <t>2435. Correction factor for non half hourly tariffs</t>
  </si>
  <si>
    <t>x7 = 2427. Aggregated half hourly units (MWh)</t>
  </si>
  <si>
    <t>x8 = 2430. Aggregated half hourly tariff pseudo load coefficient</t>
  </si>
  <si>
    <t>x9 = 2434. Relative correction factor for aggregated half hourly tariff</t>
  </si>
  <si>
    <t>Calculation =(x1*x2+x3*x4+x5*x6+x7*x8)/(x1*x2+x3*x4+x5*x6+x7*x8*x9)</t>
  </si>
  <si>
    <t>2436. Single rate non half hourly corrected pseudo timeband load coefficient</t>
  </si>
  <si>
    <t>x2 = 2435. Correction factor for non half hourly tariffs</t>
  </si>
  <si>
    <t>Calculation =x1*x2</t>
  </si>
  <si>
    <t>2437. Multi rate non half hourly corrected pseudo timeband load coefficient</t>
  </si>
  <si>
    <t>2438. Off-peak non half hourly corrected pseudo timeband load coefficient</t>
  </si>
  <si>
    <t>2439. Aggregated half hourly corrected pseudo timeband load coefficient</t>
  </si>
  <si>
    <t>x3 = 2434. Relative correction factor for aggregated half hourly tariff</t>
  </si>
  <si>
    <t>Calculation =x1*x2*x3</t>
  </si>
  <si>
    <t>2440. Pseudo load coefficient by time band and network level (equalised)</t>
  </si>
  <si>
    <t>x1 = 2436. Single rate non half hourly corrected pseudo timeband load coefficient</t>
  </si>
  <si>
    <t>x2 = 2437. Multi rate non half hourly corrected pseudo timeband load coefficient</t>
  </si>
  <si>
    <t>x3 = 2438. Off-peak non half hourly corrected pseudo timeband load coefficient</t>
  </si>
  <si>
    <t>x4 = 2439. Aggregated half hourly corrected pseudo timeband load coefficient</t>
  </si>
  <si>
    <t>x5 = 2414. Pseudo load coefficient by time band and network level</t>
  </si>
  <si>
    <t>2441. Unit rate 1 pseudo load coefficient by network level</t>
  </si>
  <si>
    <t>x1 = 2440. Pseudo load coefficient by time band and network level (equalised)</t>
  </si>
  <si>
    <t>x2 = 2403. Split of rate 1 units between distribution time bands</t>
  </si>
  <si>
    <t>2442. Unit rate 2 pseudo load coefficient by network level</t>
  </si>
  <si>
    <t>x2 = 2405. Split of rate 2 units between distribution time bands</t>
  </si>
  <si>
    <t>2443. Unit rate 3 pseudo load coefficient by network level</t>
  </si>
  <si>
    <t>x2 = 2406. Split of rate 3 units between distribution time bands (default)</t>
  </si>
  <si>
    <t>2444. Adjust annual hours by special distribution time band to match days in year</t>
  </si>
  <si>
    <t>x1 = 1066. Typical annual hours by special distribution time band</t>
  </si>
  <si>
    <t>x3 = Total hours in the year according to special time band hours input data (in Adjust annual hours by special distribution time band to match days in year)</t>
  </si>
  <si>
    <t>Annual hours by special distribution time band (reconciled to days in year)</t>
  </si>
  <si>
    <t>Adjust annual hours by special distribution time band to match days in year</t>
  </si>
  <si>
    <t>2445. Normalisation of split of rate 1 units by special time band</t>
  </si>
  <si>
    <t>x1 = 1064. Average split of rate 1 units by special distribution time band</t>
  </si>
  <si>
    <t>x2 = Total split (in Normalisation of split of rate 1 units by special time band)</t>
  </si>
  <si>
    <t>x3 = 2444. Annual hours by special distribution time band (reconciled to days in year) (in Adjust annual hours by special distribution time band to match days in year)</t>
  </si>
  <si>
    <t>Normalised split of rate 1 units by special distribution time band</t>
  </si>
  <si>
    <t>2446. Split of rate 1 units between special distribution time bands</t>
  </si>
  <si>
    <t>x1 = 2445. Normalised split of rate 1 units by special distribution time band (in Normalisation of split of rate 1 units by special time band)</t>
  </si>
  <si>
    <t>x2 = Split of rate 1 units between special distribution time bands (default)</t>
  </si>
  <si>
    <t>2447. Split of rate 2 units between special distribution time bands (default)</t>
  </si>
  <si>
    <t>2448. Split of rate 3 units between special distribution time bands (default)</t>
  </si>
  <si>
    <t>2449. Calculation of implied special load coefficients for one-rate users</t>
  </si>
  <si>
    <t>x3 = 2446. Split of rate 1 units between special distribution time bands</t>
  </si>
  <si>
    <t>x4 = 2444. Annual hours by special distribution time band (reconciled to days in year) (in Adjust annual hours by special distribution time band to match days in year)</t>
  </si>
  <si>
    <t>x5 = Use of special distribution time bands by units in demand forecast for one-rate tariffs (in Calculation of implied special load coefficients for one-rate users)</t>
  </si>
  <si>
    <t>Use of special distribution time bands by units in demand forecast for one-rate tariffs</t>
  </si>
  <si>
    <t>Peak band special load coefficient for one-rate tariffs</t>
  </si>
  <si>
    <t>2450. Calculation of implied special load coefficients for three-rate users</t>
  </si>
  <si>
    <t>x5 = 2447. Split of rate 2 units between special distribution time bands (default)</t>
  </si>
  <si>
    <t>x7 = 2448. Split of rate 3 units between special distribution time bands (default)</t>
  </si>
  <si>
    <t>x8 = 2444. Annual hours by special distribution time band (reconciled to days in year) (in Adjust annual hours by special distribution time band to match days in year)</t>
  </si>
  <si>
    <t>x9 = Use of special distribution time bands by units in demand forecast for three-rate tariffs (in Calculation of implied special load coefficients for three-rate users)</t>
  </si>
  <si>
    <t>Use of special distribution time bands by units in demand forecast for three-rate tariffs</t>
  </si>
  <si>
    <t>Peak band special load coefficient for three-rate tariffs</t>
  </si>
  <si>
    <t>2451. Estimated contributions to peak demand</t>
  </si>
  <si>
    <t>x1 = 2449. Peak band special load coefficient for one-rate tariffs (in Calculation of implied special load coefficients for one-rate users)</t>
  </si>
  <si>
    <t>x2 = 2450. Peak band special load coefficient for three-rate tariffs (in Calculation of implied special load coefficients for three-rate users)</t>
  </si>
  <si>
    <t>x3 = Peak band special load coefficient (in Estimated contributions to peak demand)</t>
  </si>
  <si>
    <t>x4 = 2407. All units (MWh)</t>
  </si>
  <si>
    <t>x5 = 1010. Days in the charging year (in Financial and general assumptions)</t>
  </si>
  <si>
    <t>x6 = 2302. Load coefficient</t>
  </si>
  <si>
    <t>= x1 or x2</t>
  </si>
  <si>
    <t>=x3*x4/24/x5*1000</t>
  </si>
  <si>
    <t>=x6*x4/24/x5*1000</t>
  </si>
  <si>
    <t>Peak band special load coefficient</t>
  </si>
  <si>
    <t>Contribution to peak band kW</t>
  </si>
  <si>
    <t>Contribution to system-peak-time kW</t>
  </si>
  <si>
    <t>2452. Load coefficient correction factor for the group</t>
  </si>
  <si>
    <t>x1 = 2451. Contribution to peak band kW (in Estimated contributions to peak demand)</t>
  </si>
  <si>
    <t>x2 = 2451. Contribution to system-peak-time kW (in Estimated contributions to peak demand)</t>
  </si>
  <si>
    <t>Calculation =IF(SUM(x1),SUM(x2)/SUM(x1),0)</t>
  </si>
  <si>
    <t>Load coefficient correction factor for the group</t>
  </si>
  <si>
    <t>2453. Calculation of special peaking probabilities</t>
  </si>
  <si>
    <t>x2 = 1069. Black peaking probabilities (in Peaking probabilities by network level)</t>
  </si>
  <si>
    <t>x3 = Amber peaking probabilities (in Calculation of special peaking probabilities)</t>
  </si>
  <si>
    <t>x4 = Red peaking probabilities (in Calculation of special peaking probabilities)</t>
  </si>
  <si>
    <t>x5 = 2412. Total probability (should be 100%) (in Normalisation of peaking probabilities)</t>
  </si>
  <si>
    <t>x6 = Yellow peaking probabilities (in Calculation of special peaking probabilities)</t>
  </si>
  <si>
    <t>x7 = Green peaking probabilities (in Calculation of special peaking probabilities)</t>
  </si>
  <si>
    <t>=IF(x2,MAX(0,x3+x4-x2),IF(x5,1/0,0))</t>
  </si>
  <si>
    <t>=1-x6-x7</t>
  </si>
  <si>
    <t>Red peaking probabilities</t>
  </si>
  <si>
    <t>Amber peaking probabilities</t>
  </si>
  <si>
    <t>Green peaking probabilities</t>
  </si>
  <si>
    <t>Yellow peaking probabilities</t>
  </si>
  <si>
    <t>2454. Special peaking probabilities by network level</t>
  </si>
  <si>
    <t>x1 = 2453. Green peaking probabilities (in Calculation of special peaking probabilities)</t>
  </si>
  <si>
    <t>x2 = 2453. Yellow peaking probabilities (in Calculation of special peaking probabilities)</t>
  </si>
  <si>
    <t>x3 = 2453. Black peaking probabilities (in Calculation of special peaking probabilities)</t>
  </si>
  <si>
    <t>2455. Special peaking probabilities by network level (reshaped)</t>
  </si>
  <si>
    <t>x1 = 2454. Special peaking probabilities by network level</t>
  </si>
  <si>
    <t>2456. Pseudo load coefficient by special time band and network level</t>
  </si>
  <si>
    <t>x1 = 2444. Annual hours by special distribution time band (reconciled to days in year) (in Adjust annual hours by special distribution time band to match days in year)</t>
  </si>
  <si>
    <t>x2 = 2452. Load coefficient correction factor for the group</t>
  </si>
  <si>
    <t>x3 = 2455. Special peaking probabilities by network level (reshaped)</t>
  </si>
  <si>
    <t>Pseudo load coefficient by special time band and network level</t>
  </si>
  <si>
    <t>2457. Unit rate 1 pseudo load coefficient by network level (special)</t>
  </si>
  <si>
    <t>x1 = 2456. Pseudo load coefficient by special time band and network level</t>
  </si>
  <si>
    <t>x2 = 2446. Split of rate 1 units between special distribution time bands</t>
  </si>
  <si>
    <t>2458. Unit rate 2 pseudo load coefficient by network level (special)</t>
  </si>
  <si>
    <t>x2 = 2447. Split of rate 2 units between special distribution time bands (default)</t>
  </si>
  <si>
    <t>2459. Unit rate 3 pseudo load coefficient by network level (special)</t>
  </si>
  <si>
    <t>x2 = 2448. Split of rate 3 units between special distribution time bands (default)</t>
  </si>
  <si>
    <t>2460. Unit rate 1 pseudo load coefficient by network level (combined)</t>
  </si>
  <si>
    <t>x1 = 2441. Unit rate 1 pseudo load coefficient by network level</t>
  </si>
  <si>
    <t>x2 = 2457. Unit rate 1 pseudo load coefficient by network level (special)</t>
  </si>
  <si>
    <t>2461. Unit rate 2 pseudo load coefficient by network level (combined)</t>
  </si>
  <si>
    <t>x1 = 2442. Unit rate 2 pseudo load coefficient by network level</t>
  </si>
  <si>
    <t>x2 = 2458. Unit rate 2 pseudo load coefficient by network level (special)</t>
  </si>
  <si>
    <t>2462. Unit rate 3 pseudo load coefficient by network level (combined)</t>
  </si>
  <si>
    <t>x1 = 2443. Unit rate 3 pseudo load coefficient by network level</t>
  </si>
  <si>
    <t>x2 = 2459. Unit rate 3 pseudo load coefficient by network level (special)</t>
  </si>
  <si>
    <t>2501. Contributions of users on one-rate multi tariffs to system simultaneous maximum load by network level (kW)</t>
  </si>
  <si>
    <t>x2 = 2460. Unit rate 1 pseudo load coefficient by network level (combined)</t>
  </si>
  <si>
    <t>x3 = 2012. Loss adjustment factors between end user meter reading and each network level, scaled by network use</t>
  </si>
  <si>
    <t>Calculation =(x1*x2)*x3/(24*x4)*1000</t>
  </si>
  <si>
    <t>2502. Contributions of users on two-rate multi tariffs to system simultaneous maximum load by network level (kW)</t>
  </si>
  <si>
    <t>x3 = 2305. Rate 2 units (MWh) (in Equivalent volume for each end user)</t>
  </si>
  <si>
    <t>x4 = 2461. Unit rate 2 pseudo load coefficient by network level (combined)</t>
  </si>
  <si>
    <t>x5 = 2012. Loss adjustment factors between end user meter reading and each network level, scaled by network use</t>
  </si>
  <si>
    <t>Calculation =(x1*x2+x3*x4)*x5/(24*x6)*1000</t>
  </si>
  <si>
    <t>2503. Contributions of users on three-rate multi tariffs to system simultaneous maximum load by network level (kW)</t>
  </si>
  <si>
    <t>x5 = 2305. Rate 3 units (MWh) (in Equivalent volume for each end user)</t>
  </si>
  <si>
    <t>x6 = 2462. Unit rate 3 pseudo load coefficient by network level (combined)</t>
  </si>
  <si>
    <t>x7 = 2012. Loss adjustment factors between end user meter reading and each network level, scaled by network use</t>
  </si>
  <si>
    <t>Calculation =(x1*x2+x3*x4+x5*x6)*x7/(24*x8)*1000</t>
  </si>
  <si>
    <t>2504. Estimated contributions of users on each tariff to system simultaneous maximum load by network level (kW)</t>
  </si>
  <si>
    <t>x2 = 2302. Load coefficient</t>
  </si>
  <si>
    <t>Calculation =x1*x2*x3/(24*x4)*1000</t>
  </si>
  <si>
    <t>2505. Contributions of users on each tariff to system simultaneous maximum load by network level (kW)</t>
  </si>
  <si>
    <t>x1 = 2501. Contributions of users on one-rate multi tariffs to system simultaneous maximum load by network level (kW)</t>
  </si>
  <si>
    <t>x2 = 2502. Contributions of users on two-rate multi tariffs to system simultaneous maximum load by network level (kW)</t>
  </si>
  <si>
    <t>x3 = 2503. Contributions of users on three-rate multi tariffs to system simultaneous maximum load by network level (kW)</t>
  </si>
  <si>
    <t>x4 = 2504. Estimated contributions of users on each tariff to system simultaneous maximum load by network level (kW)</t>
  </si>
  <si>
    <t>Combine tables = x1 or x2 or x3 or x4</t>
  </si>
  <si>
    <t>2506. Forecast system simultaneous maximum load (kW) from forecast units</t>
  </si>
  <si>
    <t>x1 = 2505. Contributions of users on each tariff to system simultaneous maximum load by network level (kW)</t>
  </si>
  <si>
    <t>Cell summation =SUM(x1)</t>
  </si>
  <si>
    <t>Forecast system simultaneous maximum load (kW) from forecast units</t>
  </si>
  <si>
    <t>2601. Pre-processing of data for standing charge factors</t>
  </si>
  <si>
    <t>x1 = Standing charges factors (in Pre-processing of data for standing charge factors)</t>
  </si>
  <si>
    <t>x2 = 1018. Proportion of relevant load going through 132kV/HV direct transformation</t>
  </si>
  <si>
    <t>x3 = Standing charges factors for 132kV/HV (in Pre-processing of data for standing charge factors)</t>
  </si>
  <si>
    <t>=x1+0.2*x2*x3</t>
  </si>
  <si>
    <t>Standing charges factors</t>
  </si>
  <si>
    <t>Standing charges factors for 132kV/HV</t>
  </si>
  <si>
    <t>Adjusted standing charges factors for 132kV</t>
  </si>
  <si>
    <t>2602. Standing charges factors adapted to use 132kV/HV</t>
  </si>
  <si>
    <t>x1 = 2601. Standing charges factors for 132kV/HV (in Pre-processing of data for standing charge factors)</t>
  </si>
  <si>
    <t>x2 = 2601. Adjusted standing charges factors for 132kV (in Pre-processing of data for standing charge factors)</t>
  </si>
  <si>
    <t>x3 = 2601. Standing charges factors (in Pre-processing of data for standing charge factors)</t>
  </si>
  <si>
    <t>2603. Capacity-based contributions to chargeable aggregate maximum load by network level (kW)</t>
  </si>
  <si>
    <t>x1 = 2305. Import capacity (kVA) (in Equivalent volume for each end user)</t>
  </si>
  <si>
    <t>x2 = 2305. Exceeded capacity (kVA) (in Equivalent volume for each end user)</t>
  </si>
  <si>
    <t>x3 = 1010. Power factor for all flows in the network model (in Financial and general assumptions)</t>
  </si>
  <si>
    <t>x4 = 2602. Standing charges factors adapted to use 132kV/HV</t>
  </si>
  <si>
    <t>Calculation =(x1+x2)*x3*x4*x5</t>
  </si>
  <si>
    <t>2604. Unit-based contributions to chargeable aggregate maximum load (kW)</t>
  </si>
  <si>
    <t>x3 = 2602. Standing charges factors adapted to use 132kV/HV</t>
  </si>
  <si>
    <t>x4 = 2012. Loss adjustment factors between end user meter reading and each network level, scaled by network use</t>
  </si>
  <si>
    <t>Calculation =x1/x2*x3*x4/(24*x5)*1000</t>
  </si>
  <si>
    <t>2605. Contributions to aggregate maximum load by network level (kW)</t>
  </si>
  <si>
    <t>x1 = 2603. Capacity-based contributions to chargeable aggregate maximum load by network level (kW)</t>
  </si>
  <si>
    <t>x2 = 2604. Unit-based contributions to chargeable aggregate maximum load (kW)</t>
  </si>
  <si>
    <t>2606. Forecast chargeable aggregate maximum load (kW)</t>
  </si>
  <si>
    <t>x1 = 2605. Contributions to aggregate maximum load by network level (kW)</t>
  </si>
  <si>
    <t>Forecast chargeable aggregate maximum load (kW)</t>
  </si>
  <si>
    <t>2607. Forecast simultaneous load subject to standing charge factors (kW)</t>
  </si>
  <si>
    <t>x2 = 2602. Standing charges factors adapted to use 132kV/HV</t>
  </si>
  <si>
    <t>2608. Forecast simultaneous load replaced by standing charge (kW)</t>
  </si>
  <si>
    <t>x1 = 2607. Forecast simultaneous load subject to standing charge factors (kW)</t>
  </si>
  <si>
    <t>Forecast simultaneous load replaced by standing charge (kW)</t>
  </si>
  <si>
    <t>2609. Calculated LV diversity allowance</t>
  </si>
  <si>
    <t>x1 = 2606. Forecast chargeable aggregate maximum load (kW)</t>
  </si>
  <si>
    <t>x2 = 2608. Forecast simultaneous load replaced by standing charge (kW)</t>
  </si>
  <si>
    <t>Calculation =x1/x2-1</t>
  </si>
  <si>
    <t>Calculated LV diversity allowance</t>
  </si>
  <si>
    <t>2610. Network level mapping for diversity allowances</t>
  </si>
  <si>
    <t>2611. Diversity allowances including 132kV/HV</t>
  </si>
  <si>
    <t>x1 = 2104. Diversity allowance between level exit and GSP Group (in Diversity calculations)</t>
  </si>
  <si>
    <t>x2 = 2610. Network level mapping for diversity allowances</t>
  </si>
  <si>
    <t>Diversity allowances including 132kV/HV</t>
  </si>
  <si>
    <t>2612. Diversity allowances (including calculated LV value)</t>
  </si>
  <si>
    <t>x1 = 2609. Calculated LV diversity allowance</t>
  </si>
  <si>
    <t>x2 = 2611. Diversity allowances including 132kV/HV</t>
  </si>
  <si>
    <t>Diversity allowances (including calculated LV value)</t>
  </si>
  <si>
    <t>2613. Forecast simultaneous maximum load (kW) adjusted for standing charges</t>
  </si>
  <si>
    <t>x1 = 2506. Forecast system simultaneous maximum load (kW) from forecast units</t>
  </si>
  <si>
    <t>x3 = 2606. Forecast chargeable aggregate maximum load (kW)</t>
  </si>
  <si>
    <t>x4 = 2612. Diversity allowances (including calculated LV value)</t>
  </si>
  <si>
    <t>Calculation =x1-x2+x3/(1+x4)</t>
  </si>
  <si>
    <t>Forecast simultaneous maximum load (kW) adjusted for standing charges</t>
  </si>
  <si>
    <t>2701. Operating expenditure coded by network level (£/year)</t>
  </si>
  <si>
    <t>x1 = 1055. Transmission exit charges (£/year)</t>
  </si>
  <si>
    <t>x2 = Zero for levels other than transmission exit</t>
  </si>
  <si>
    <t>Operating
132kV</t>
  </si>
  <si>
    <t>Operating
132kV/EHV</t>
  </si>
  <si>
    <t>Operating
EHV</t>
  </si>
  <si>
    <t>Operating
EHV/HV</t>
  </si>
  <si>
    <t>Operating
132kV/HV</t>
  </si>
  <si>
    <t>Operating
HV</t>
  </si>
  <si>
    <t>Operating
HV/LV</t>
  </si>
  <si>
    <t>Operating
LV circuits</t>
  </si>
  <si>
    <t>Operating
LV customer</t>
  </si>
  <si>
    <t>Operating
HV customer</t>
  </si>
  <si>
    <t>Operating expenditure coded by network level (£/year)</t>
  </si>
  <si>
    <t>2702. Network model assets (£) scaled by load forecast</t>
  </si>
  <si>
    <t>x2 = 2613. Forecast simultaneous maximum load (kW) adjusted for standing charges</t>
  </si>
  <si>
    <t>x3 = 1020. Gross asset cost by network level (£)</t>
  </si>
  <si>
    <t>Calculation =IF(x1,x2*x3/x1/1000,0)</t>
  </si>
  <si>
    <t>Network model assets (£) scaled by load forecast</t>
  </si>
  <si>
    <t>2703. Annual consumption by tariff for unmetered users (MWh)</t>
  </si>
  <si>
    <t>Annual consumption by tariff for unmetered users (MWh)</t>
  </si>
  <si>
    <t>2704. Total unmetered units</t>
  </si>
  <si>
    <t>x1 = 2703. Annual consumption by tariff for unmetered users (MWh)</t>
  </si>
  <si>
    <t>Total unmetered units</t>
  </si>
  <si>
    <t>2705. Service model asset data</t>
  </si>
  <si>
    <t>x1 = 2205. Service model assets by tariff (£)</t>
  </si>
  <si>
    <t>x2 = 2305. MPANs (in Equivalent volume for each end user)</t>
  </si>
  <si>
    <t>x3 = 2202. LV unmetered service model assets £/(MWh/year)</t>
  </si>
  <si>
    <t>x4 = 2704. Total unmetered units</t>
  </si>
  <si>
    <t>x5 = Service model assets (£) scaled by annual MWh (in Service model asset data)</t>
  </si>
  <si>
    <t>x6 = Service model assets (£) scaled by user count (in Service model asset data)</t>
  </si>
  <si>
    <t>x7 = Service model assets (£) scaled by annual MWh (in Service model asset data)</t>
  </si>
  <si>
    <t>=x3*x4</t>
  </si>
  <si>
    <t>= x5</t>
  </si>
  <si>
    <t>=x6+x7</t>
  </si>
  <si>
    <t>Service model assets (£) scaled by user count</t>
  </si>
  <si>
    <t>Service model assets (£) scaled by annual MWh</t>
  </si>
  <si>
    <t>Service model assets (£)</t>
  </si>
  <si>
    <t>Service model asset data</t>
  </si>
  <si>
    <t>2706. Data for allocation of operating expenditure</t>
  </si>
  <si>
    <t>x1 = 2702. Network model assets (£) scaled by load forecast</t>
  </si>
  <si>
    <t>x2 = 2705. Service model assets (£) (in Service model asset data)</t>
  </si>
  <si>
    <t>x3 = Model assets (£) scaled by demand forecast (in Data for allocation of operating expenditure)</t>
  </si>
  <si>
    <t>Model assets (£) scaled by demand forecast</t>
  </si>
  <si>
    <t>Denominator for allocation of operating expenditure</t>
  </si>
  <si>
    <t>Data for allocation of operating expenditure</t>
  </si>
  <si>
    <t>2707. Amount of expenditure to be allocated according to asset values (£/year)</t>
  </si>
  <si>
    <t>x1 = 1059. Direct cost (£/year) (in Other expenditure)</t>
  </si>
  <si>
    <t>x2 = 1059. Network rates (£/year) (in Other expenditure)</t>
  </si>
  <si>
    <t>x3 = 1059. Indirect cost (£/year) (in Other expenditure)</t>
  </si>
  <si>
    <t>x4 = 1059. Indirect cost proportion (in Other expenditure)</t>
  </si>
  <si>
    <t>Calculation =x1+x2+x3*x4</t>
  </si>
  <si>
    <t>Amount of expenditure to be allocated according to asset values (£/year)</t>
  </si>
  <si>
    <t>2708. Total operating expenditure by network level  (£/year)</t>
  </si>
  <si>
    <t>x1 = 2701. Operating expenditure coded by network level (£/year)</t>
  </si>
  <si>
    <t>x2 = 2707. Amount of expenditure to be allocated according to asset values (£/year)</t>
  </si>
  <si>
    <t>x3 = 2706. Denominator for allocation of operating expenditure (in Data for allocation of operating expenditure)</t>
  </si>
  <si>
    <t>x4 = 2706. Model assets (£) scaled by demand forecast (in Data for allocation of operating expenditure)</t>
  </si>
  <si>
    <t>Calculation =x1+x2/x3*x4</t>
  </si>
  <si>
    <t>Total operating expenditure by network level  (£/year)</t>
  </si>
  <si>
    <t>2709. Operating expenditure percentage by network level</t>
  </si>
  <si>
    <t>x1 = 2706. Model assets (£) scaled by demand forecast (in Data for allocation of operating expenditure)</t>
  </si>
  <si>
    <t>x2 = 2708. Total operating expenditure by network level  (£/year)</t>
  </si>
  <si>
    <t>Calculation =IF(x1="","",IF(x1&gt;0,x2/x1,0))</t>
  </si>
  <si>
    <t>Operating expenditure percentage by network level</t>
  </si>
  <si>
    <t>2710. Unit operating expenditure based on simultaneous maximum load (£/kW/year)</t>
  </si>
  <si>
    <t>x1 = 2613. Forecast simultaneous maximum load (kW) adjusted for standing charges</t>
  </si>
  <si>
    <t>Calculation =IF(x1&gt;0,x2/x1,0)</t>
  </si>
  <si>
    <t>Unit operating expenditure based on simultaneous maximum load (£/kW/year)</t>
  </si>
  <si>
    <t>2711. Operating expenditure for customer assets p/MPAN/day</t>
  </si>
  <si>
    <t>x2 = 2709. Operating expenditure percentage by network level</t>
  </si>
  <si>
    <t>x3 = 2205. Service model assets by tariff (£)</t>
  </si>
  <si>
    <t>x4 = Operating expenditure p/MPAN/day by level (in Operating expenditure for customer assets p/MPAN/day)</t>
  </si>
  <si>
    <t>=100/x1*x2*x3</t>
  </si>
  <si>
    <t>Operating expenditure p/MPAN/day by level</t>
  </si>
  <si>
    <t>Operating expenditure for customer assets p/MPAN/day total</t>
  </si>
  <si>
    <t>2712. Operating expenditure for unmetered customer assets (p/kWh)</t>
  </si>
  <si>
    <t>x1 = 2709. Operating expenditure percentage by network level</t>
  </si>
  <si>
    <t>Calculation =0.1*x1*x2</t>
  </si>
  <si>
    <t>This sheet calculates factors used to take account of the costs deemed to be covered by connection charges.</t>
  </si>
  <si>
    <t>2801. Network level of supply (for customer contributions) by tariff</t>
  </si>
  <si>
    <t>2802. Contribution proportion of asset annuities, by customer type and network level of assets</t>
  </si>
  <si>
    <t>x1 = 1060. Customer contributions under current connection charging policy</t>
  </si>
  <si>
    <t>x2 = 1010. Annuity proportion for customer-contributed assets (in Financial and general assumptions)</t>
  </si>
  <si>
    <t>Calculation =x1*(1-x2)</t>
  </si>
  <si>
    <t>2803. Proportion of asset annuities deemed to be covered by customer contributions</t>
  </si>
  <si>
    <t>x1 = 2801. Network level of supply (for customer contributions) by tariff</t>
  </si>
  <si>
    <t>x2 = 2802. Contribution proportion of asset annuities, by customer type and network level of assets</t>
  </si>
  <si>
    <t>2804. Proportion of annual charge covered by contributions (for all charging levels)</t>
  </si>
  <si>
    <t>x1 = Zero for operating expenditure</t>
  </si>
  <si>
    <t>x2 = Zero for GSPs level</t>
  </si>
  <si>
    <t>x3 = 2803. Proportion of asset annuities deemed to be covered by customer contributions</t>
  </si>
  <si>
    <t>This sheet calculates average p/kWh and p/kW/day charges that would apply if no costs were recovered through capacity or fixed charges.</t>
  </si>
  <si>
    <t>2901. Unit cost at each level, £/kW/year (relative to system simultaneous maximum load)</t>
  </si>
  <si>
    <t>x1 = 2109. Network model annuity by simultaneous maximum load for each network level (£/kW/year)</t>
  </si>
  <si>
    <t>x2 = 2710. Unit operating expenditure based on simultaneous maximum load (£/kW/year)</t>
  </si>
  <si>
    <t>Unit cost at each level, £/kW/year (relative to system simultaneous maximum load)</t>
  </si>
  <si>
    <t>2902. Pay-as-you-go yardstick unit costs by charging level (p/kWh)</t>
  </si>
  <si>
    <t>x1 = 2901. Unit cost at each level, £/kW/year (relative to system simultaneous maximum load)</t>
  </si>
  <si>
    <t>x4 = 2804. Proportion of annual charge covered by contributions (for all charging levels)</t>
  </si>
  <si>
    <t>Calculation =x1*x2*x3*(1-x4)/(24*x5)*100</t>
  </si>
  <si>
    <t>2903. Contributions to pay-as-you-go unit rate 1 (p/kWh)</t>
  </si>
  <si>
    <t>x1 = 2460. Unit rate 1 pseudo load coefficient by network level (combined)</t>
  </si>
  <si>
    <t>x2 = 2901. Unit cost at each level, £/kW/year (relative to system simultaneous maximum load)</t>
  </si>
  <si>
    <t>Calculation =x1*x2*x3*(1-x4)*100/(24*x5)</t>
  </si>
  <si>
    <t>2904. Contributions to pay-as-you-go unit rate 2 (p/kWh)</t>
  </si>
  <si>
    <t>x1 = 2461. Unit rate 2 pseudo load coefficient by network level (combined)</t>
  </si>
  <si>
    <t>2905. Contributions to pay-as-you-go unit rate 3 (p/kWh)</t>
  </si>
  <si>
    <t>x1 = 2462. Unit rate 3 pseudo load coefficient by network level (combined)</t>
  </si>
  <si>
    <t>This sheet reallocates some costs from unit charges to fixed or capacity charges, for demand users only.</t>
  </si>
  <si>
    <t>3001. Costs based on aggregate maximum load (£/kW/year)</t>
  </si>
  <si>
    <t>x2 = 2612. Diversity allowances (including calculated LV value)</t>
  </si>
  <si>
    <t>Calculation =x1/(1+x2)</t>
  </si>
  <si>
    <t>Costs based on aggregate maximum load (£/kW/year)</t>
  </si>
  <si>
    <t>3002. Capacity elements p/kVA/day</t>
  </si>
  <si>
    <t>This calculation uses aggregate maximum load and no coincidence factor.</t>
  </si>
  <si>
    <t>x1 = 2602. Standing charges factors adapted to use 132kV/HV</t>
  </si>
  <si>
    <t>x2 = 2012. Loss adjustment factors between end user meter reading and each network level, scaled by network use</t>
  </si>
  <si>
    <t>x3 = 3001. Costs based on aggregate maximum load (£/kW/year)</t>
  </si>
  <si>
    <t>x4 = 1010. Power factor for all flows in the network model (in Financial and general assumptions)</t>
  </si>
  <si>
    <t>x6 = 2804. Proportion of annual charge covered by contributions (for all charging levels)</t>
  </si>
  <si>
    <t>Calculation =100*x1*x2*x3*x4/x5*(1-x6)</t>
  </si>
  <si>
    <t>3003. Yardstick components p/kWh (taking account of standing charges)</t>
  </si>
  <si>
    <t>x2 = 2902. Pay-as-you-go yardstick unit costs by charging level (p/kWh)</t>
  </si>
  <si>
    <t>Calculation =(1-x1)*x2</t>
  </si>
  <si>
    <t>3004. Contributions to unit rate 1 p/kWh by network level (taking account of standing charges)</t>
  </si>
  <si>
    <t>x2 = 2903. Contributions to pay-as-you-go unit rate 1 (p/kWh)</t>
  </si>
  <si>
    <t>3005. Contributions to unit rate 2 p/kWh by network level (taking account of standing charges)</t>
  </si>
  <si>
    <t>x2 = 2904. Contributions to pay-as-you-go unit rate 2 (p/kWh)</t>
  </si>
  <si>
    <t>3006. Contributions to unit rate 3 p/kWh by network level (taking account of standing charges)</t>
  </si>
  <si>
    <t>x2 = 2905. Contributions to pay-as-you-go unit rate 3 (p/kWh)</t>
  </si>
  <si>
    <t>3007. Exceeded capacity charge elements p/kVA/day</t>
  </si>
  <si>
    <t>Calculation =100*x1*x2*x3*x4/x5</t>
  </si>
  <si>
    <t>This sheet allocates standing charges to fixed charges for non half hourly settled demand users.</t>
  </si>
  <si>
    <t>3101. Mapping of tariffs to tariff groups</t>
  </si>
  <si>
    <t>LV domestic and small non-domestic tariffs</t>
  </si>
  <si>
    <t>LV medium non-domestic tariffs</t>
  </si>
  <si>
    <t>LV substation aggregated tariffs</t>
  </si>
  <si>
    <t>HV network aggregated tariffs</t>
  </si>
  <si>
    <t>3102. Capacity use for tariffs charged for capacity on an exit point basis</t>
  </si>
  <si>
    <t>x4 = 2305. MPANs (in Equivalent volume for each end user)</t>
  </si>
  <si>
    <t>=x1/x2/(24*x3)*1000</t>
  </si>
  <si>
    <t>= x4</t>
  </si>
  <si>
    <t>Unit-based contributions to aggregate maximum load (kW)</t>
  </si>
  <si>
    <t>3103. Aggregate capacity (kW)</t>
  </si>
  <si>
    <t>x1 = 3101. Mapping of tariffs to tariff groups</t>
  </si>
  <si>
    <t>x2 = 3102. Unit-based contributions to aggregate maximum load (kW) (in Capacity use for tariffs charged for capacity on an exit point basis)</t>
  </si>
  <si>
    <t>Aggregate capacity (kW)</t>
  </si>
  <si>
    <t>3104. Aggregate number of users charged for capacity on an exit point basis</t>
  </si>
  <si>
    <t>x2 = 3102. MPANs (in Equivalent volume for each end user) (in Capacity use for tariffs charged for capacity on an exit point basis)</t>
  </si>
  <si>
    <t>Aggregate number of users charged for capacity on an exit point basis</t>
  </si>
  <si>
    <t>3105. Average maximum kVA by exit point</t>
  </si>
  <si>
    <t>x1 = 3104. Aggregate number of users charged for capacity on an exit point basis</t>
  </si>
  <si>
    <t>x2 = 3103. Aggregate capacity (kW)</t>
  </si>
  <si>
    <t>Calculation =IF(x1,x2/x1/x3,0)</t>
  </si>
  <si>
    <t>Average maximum kVA by exit point</t>
  </si>
  <si>
    <t>3106. Deemed average maximum kVA for each tariff</t>
  </si>
  <si>
    <t>x2 = 3105. Average maximum kVA by exit point</t>
  </si>
  <si>
    <t>Deemed average maximum kVA for each tariff</t>
  </si>
  <si>
    <t>3107. Capacity-driven fixed charge elements from standing charges factors p/MPAN/day</t>
  </si>
  <si>
    <t>x1 = 3002. Capacity elements p/kVA/day</t>
  </si>
  <si>
    <t>x2 = 3106. Deemed average maximum kVA for each tariff</t>
  </si>
  <si>
    <t>3201. Network use factors for generator reactive unit charges</t>
  </si>
  <si>
    <t>These factors differ from the network use factors for active power charges/credits in the case of generators, who do not qualify</t>
  </si>
  <si>
    <t>for active power credits at the voltage of connection but are charged reactive unit charges for costs caused at that voltage.</t>
  </si>
  <si>
    <t>3202. Standard components p/kWh for reactive power (absolute value)</t>
  </si>
  <si>
    <t>x1 = 3003. Yardstick components p/kWh (taking account of standing charges)</t>
  </si>
  <si>
    <t>Calculation =ABS(x1)</t>
  </si>
  <si>
    <t>3203. Standard reactive p/kVArh</t>
  </si>
  <si>
    <t>x1 = 3202. Standard components p/kWh for reactive power (absolute value)</t>
  </si>
  <si>
    <t>x2 = 1092. Average kVAr by kVA, by network level</t>
  </si>
  <si>
    <t>3204. Absolute value of load coefficient (kW peak / average kW)</t>
  </si>
  <si>
    <t>x1 = 2302. Load coefficient</t>
  </si>
  <si>
    <t>Absolute load coefficient</t>
  </si>
  <si>
    <t>3205. Pay-as-you-go components p/kWh for reactive power (absolute value)</t>
  </si>
  <si>
    <t>x2 = 3204. Absolute value of load coefficient (kW peak / average kW)</t>
  </si>
  <si>
    <t>x4 = 2004. Loss adjustment factor to transmission for each network level</t>
  </si>
  <si>
    <t>x5 = 2804. Proportion of annual charge covered by contributions (for all charging levels)</t>
  </si>
  <si>
    <t>x6 = 3201. Network use factors for generator reactive unit charges</t>
  </si>
  <si>
    <t>x7 = 1010. Days in the charging year (in Financial and general assumptions)</t>
  </si>
  <si>
    <t>Calculation =x1*x2*x3/x4*(1-x5)*x6/(24*x7)*100</t>
  </si>
  <si>
    <t>3206. Pay-as-you-go reactive p/kVArh</t>
  </si>
  <si>
    <t>x1 = 3205. Pay-as-you-go components p/kWh for reactive power (absolute value)</t>
  </si>
  <si>
    <t>This sheet aggregates elements of tariffs excluding revenue matching and final adjustments and rounding.</t>
  </si>
  <si>
    <t>3301. Unit rate 1 p/kWh (elements)</t>
  </si>
  <si>
    <t>x1 = 3004. Unit rate 1 total p/kWh (taking account of standing charges) — for Tariffs with Unit rate 1 p/kWh from Standard 1 kWh</t>
  </si>
  <si>
    <t>x2 = 2903. Pay-as-you-go unit rate 1 (p/kWh) — for Tariffs with Unit rate 1 p/kWh from PAYG 1 kWh</t>
  </si>
  <si>
    <t>x3 = 2903. Pay-as-you-go unit rate 1 (p/kWh) — for Tariffs with Unit rate 1 p/kWh from PAYG 1 kWh &amp; customer</t>
  </si>
  <si>
    <t>x4 = 2902. Pay-as-you-go yardstick unit rate (p/kWh) — for Tariffs with Unit rate 1 p/kWh from PAYG yardstick kWh</t>
  </si>
  <si>
    <t>x5 = 2203. LV unmetered service model asset charge (p/kWh) — for Tariffs with Unit rate 1 p/kWh from PAYG 1 kWh &amp; customer</t>
  </si>
  <si>
    <t>x6 = 2712. Operating expenditure for unmetered customer assets (p/kWh) — for Tariffs with Unit rate 1 p/kWh from PAYG 1 kWh &amp; customer</t>
  </si>
  <si>
    <t>3302. Unit rate 2 p/kWh (elements)</t>
  </si>
  <si>
    <t>x1 = 3005. Unit rate 2 total p/kWh (taking account of standing charges) — for Tariffs with Unit rate 2 p/kWh from Standard 2 kWh</t>
  </si>
  <si>
    <t>x2 = 2904. Pay-as-you-go unit rate 2 (p/kWh) — for Tariffs with Unit rate 2 p/kWh from PAYG 2 kWh</t>
  </si>
  <si>
    <t>x3 = 2904. Pay-as-you-go unit rate 2 (p/kWh) — for Tariffs with Unit rate 2 p/kWh from PAYG 2 kWh &amp; customer</t>
  </si>
  <si>
    <t>x4 = 2203. LV unmetered service model asset charge (p/kWh) — for Tariffs with Unit rate 2 p/kWh from PAYG 2 kWh &amp; customer</t>
  </si>
  <si>
    <t>x5 = 2712. Operating expenditure for unmetered customer assets (p/kWh) — for Tariffs with Unit rate 2 p/kWh from PAYG 2 kWh &amp; customer</t>
  </si>
  <si>
    <t>3303. Unit rate 3 p/kWh (elements)</t>
  </si>
  <si>
    <t>x1 = 3006. Unit rate 3 total p/kWh (taking account of standing charges) — for Tariffs with Unit rate 3 p/kWh from Standard 3 kWh</t>
  </si>
  <si>
    <t>x2 = 2905. Pay-as-you-go unit rate 3 (p/kWh) — for Tariffs with Unit rate 3 p/kWh from PAYG 3 kWh</t>
  </si>
  <si>
    <t>x3 = 2905. Pay-as-you-go unit rate 3 (p/kWh) — for Tariffs with Unit rate 3 p/kWh from PAYG 3 kWh &amp; customer</t>
  </si>
  <si>
    <t>x4 = 2203. LV unmetered service model asset charge (p/kWh) — for Tariffs with Unit rate 3 p/kWh from PAYG 3 kWh &amp; customer</t>
  </si>
  <si>
    <t>x5 = 2712. Operating expenditure for unmetered customer assets (p/kWh) — for Tariffs with Unit rate 3 p/kWh from PAYG 3 kWh &amp; customer</t>
  </si>
  <si>
    <t>3304. Fixed charge p/MPAN/day (elements)</t>
  </si>
  <si>
    <t>x1 = 3107. Fixed charge from standing charges factors p/MPAN/day — for Tariffs with Fixed charge p/MPAN/day from Fixed from network &amp; customer</t>
  </si>
  <si>
    <t>x2 = 2206. Service model p/MPAN/day (in Replacement annuities for service models) — for Tariffs with Fixed charge p/MPAN/day from Customer</t>
  </si>
  <si>
    <t>x3 = 2206. Service model p/MPAN/day (in Replacement annuities for service models) — for Tariffs with Fixed charge p/MPAN/day from Fixed from network &amp; customer</t>
  </si>
  <si>
    <t>x4 = 2711. Operating expenditure for customer assets p/MPAN/day total (in Operating expenditure for customer assets p/MPAN/day) — for Tariffs with Fixed charge p/MPAN/day from Customer</t>
  </si>
  <si>
    <t>x5 = 2711. Operating expenditure for customer assets p/MPAN/day total (in Operating expenditure for customer assets p/MPAN/day) — for Tariffs with Fixed charge p/MPAN/day from Fixed from network &amp; customer</t>
  </si>
  <si>
    <t>3305. Capacity charge p/kVA/day (elements)</t>
  </si>
  <si>
    <t>x1 = 3002. Capacity charge p/kVA/day — for Tariffs with Capacity charge p/kVA/day from Capacity</t>
  </si>
  <si>
    <t>3306. Exceeded capacity charge p/kVA/day (elements)</t>
  </si>
  <si>
    <t>x1 = 3007. Exceeded capacity charge p/kVA/day — for Tariffs with Exceeded capacity charge p/kVA/day from Capacity</t>
  </si>
  <si>
    <t>3307. Reactive power charge p/kVArh (elements)</t>
  </si>
  <si>
    <t>x1 = 3206. Pay-as-you-go reactive p/kVArh</t>
  </si>
  <si>
    <t>x2 = 3203. Standard reactive p/kVArh</t>
  </si>
  <si>
    <t>3308. Summary of charges before revenue matching</t>
  </si>
  <si>
    <t>x1 = 3301. Unit rate 1 p/kWh (elements)</t>
  </si>
  <si>
    <t>x2 = 3302. Unit rate 2 p/kWh (elements)</t>
  </si>
  <si>
    <t>x3 = 3303. Unit rate 3 p/kWh (elements)</t>
  </si>
  <si>
    <t>x4 = 3304. Fixed charge p/MPAN/day (elements)</t>
  </si>
  <si>
    <t>x5 = 3305. Capacity charge p/kVA/day (elements)</t>
  </si>
  <si>
    <t>x6 = 3306. Exceeded capacity charge p/kVA/day (elements)</t>
  </si>
  <si>
    <t>x7 = 3307. Reactive power charge p/kVArh (elements)</t>
  </si>
  <si>
    <t>Unit rate 1 p/kWh (total)</t>
  </si>
  <si>
    <t>Unit rate 2 p/kWh (total)</t>
  </si>
  <si>
    <t>Unit rate 3 p/kWh (total)</t>
  </si>
  <si>
    <t>Fixed charge p/MPAN/day (total)</t>
  </si>
  <si>
    <t>Capacity charge p/kVA/day (total)</t>
  </si>
  <si>
    <t>Exceeded capacity charge p/kVA/day (total)</t>
  </si>
  <si>
    <t>Reactive power charge p/kVArh</t>
  </si>
  <si>
    <t>3401. Net revenues by tariff before matching (£)</t>
  </si>
  <si>
    <t>x2 = 3308. Fixed charge p/MPAN/day (total) (in Summary of charges before revenue matching)</t>
  </si>
  <si>
    <t>x3 = 2305. MPANs (in Equivalent volume for each end user)</t>
  </si>
  <si>
    <t>x4 = 3308. Capacity charge p/kVA/day (total) (in Summary of charges before revenue matching)</t>
  </si>
  <si>
    <t>x5 = 2305. Import capacity (kVA) (in Equivalent volume for each end user)</t>
  </si>
  <si>
    <t>x6 = 3308. Exceeded capacity charge p/kVA/day (total) (in Summary of charges before revenue matching)</t>
  </si>
  <si>
    <t>x7 = 2305. Exceeded capacity (kVA) (in Equivalent volume for each end user)</t>
  </si>
  <si>
    <t>x8 = 3308. Unit rate 1 p/kWh (total) (in Summary of charges before revenue matching)</t>
  </si>
  <si>
    <t>x9 = 2305. Rate 1 units (MWh) (in Equivalent volume for each end user)</t>
  </si>
  <si>
    <t>x10 = 3308. Unit rate 2 p/kWh (total) (in Summary of charges before revenue matching)</t>
  </si>
  <si>
    <t>x11 = 2305. Rate 2 units (MWh) (in Equivalent volume for each end user)</t>
  </si>
  <si>
    <t>x12 = 3308. Unit rate 3 p/kWh (total) (in Summary of charges before revenue matching)</t>
  </si>
  <si>
    <t>x13 = 2305. Rate 3 units (MWh) (in Equivalent volume for each end user)</t>
  </si>
  <si>
    <t>x14 = 3308. Reactive power charge p/kVArh (in Summary of charges before revenue matching)</t>
  </si>
  <si>
    <t>x15 = 2305. Reactive power units (MVArh) (in Equivalent volume for each end user)</t>
  </si>
  <si>
    <t>Calculation =0.01*x1*(x2*x3+x4*x5+x6*x7)+10*(x8*x9+x10*x11+x12*x13+x14*x15)</t>
  </si>
  <si>
    <t>Net revenues</t>
  </si>
  <si>
    <t>3402. Target CDCM revenue</t>
  </si>
  <si>
    <t>x1 = 1001. Value (in CDCM target revenue (£ unless otherwise stated))</t>
  </si>
  <si>
    <t>x2 = Target CDCM revenue (£/year) (in Target CDCM revenue)</t>
  </si>
  <si>
    <t>x3 = 1001. Calculations (£/year) (in CDCM target revenue (£ unless otherwise stated))</t>
  </si>
  <si>
    <t>= derived from x1</t>
  </si>
  <si>
    <t>=x2-x3</t>
  </si>
  <si>
    <t>Target CDCM revenue (£/year)</t>
  </si>
  <si>
    <t>Check (should be zero)</t>
  </si>
  <si>
    <t>3403. Revenue surplus or shortfall</t>
  </si>
  <si>
    <t>x1 = 3401. Net revenues by tariff before matching (£)</t>
  </si>
  <si>
    <t>x2 = 3402. Target CDCM revenue (£/year) (in Target CDCM revenue)</t>
  </si>
  <si>
    <t>x3 = Total net revenues before matching (£) (in Revenue surplus or shortfall)</t>
  </si>
  <si>
    <t>Total net revenues before matching (£)</t>
  </si>
  <si>
    <t>Revenue shortfall (surplus) £</t>
  </si>
  <si>
    <t>Revenue surplus or shortfall</t>
  </si>
  <si>
    <t>3501. Adder value at which the minimum is breached</t>
  </si>
  <si>
    <t>x1 = 3308. Unit rate 1 p/kWh (total) (in Summary of charges before revenue matching)</t>
  </si>
  <si>
    <t>x2 = 3308. Unit rate 2 p/kWh (total) (in Summary of charges before revenue matching)</t>
  </si>
  <si>
    <t>x3 = 3308. Unit rate 3 p/kWh (total) (in Summary of charges before revenue matching)</t>
  </si>
  <si>
    <t>=0-x1</t>
  </si>
  <si>
    <t>=0-x2</t>
  </si>
  <si>
    <t>=0-x3</t>
  </si>
  <si>
    <t>Adder threshold for Unit rate 1 p/kWh</t>
  </si>
  <si>
    <t>Adder threshold for Unit rate 2 p/kWh</t>
  </si>
  <si>
    <t>Adder threshold for Unit rate 3 p/kWh</t>
  </si>
  <si>
    <t>3502. Marginal revenue effect of adder</t>
  </si>
  <si>
    <t>x4 = 2305. Rate 3 units (MWh) (in Equivalent volume for each end user)</t>
  </si>
  <si>
    <t>=IF(x1&lt;0,0,x2*10)</t>
  </si>
  <si>
    <t>=IF(x1&lt;0,0,x3*10)</t>
  </si>
  <si>
    <t>=IF(x1&lt;0,0,x4*10)</t>
  </si>
  <si>
    <t>Effect through Unit rate 1 p/kWh</t>
  </si>
  <si>
    <t>Effect through Unit rate 2 p/kWh</t>
  </si>
  <si>
    <t>Effect through Unit rate 3 p/kWh</t>
  </si>
  <si>
    <t>3503. Constraint-free solution</t>
  </si>
  <si>
    <t>x1 = 3403. Revenue shortfall (surplus) £ (in Revenue surplus or shortfall)</t>
  </si>
  <si>
    <t>x2 = 3502. Effect through Unit rate 1 p/kWh (in Marginal revenue effect of adder)</t>
  </si>
  <si>
    <t>x3 = 3502. Effect through Unit rate 2 p/kWh (in Marginal revenue effect of adder)</t>
  </si>
  <si>
    <t>x4 = 3502. Effect through Unit rate 3 p/kWh (in Marginal revenue effect of adder)</t>
  </si>
  <si>
    <t>Calculation =x1/SUM(x2,x3,x4)</t>
  </si>
  <si>
    <t>Constraint-free solution</t>
  </si>
  <si>
    <t>3504. Starting point</t>
  </si>
  <si>
    <t>x1 = 3503. Constraint-free solution</t>
  </si>
  <si>
    <t>x2 = 3501. Adder threshold for Unit rate 1 p/kWh (in Adder value at which the minimum is breached)</t>
  </si>
  <si>
    <t>x3 = 3501. Adder threshold for Unit rate 2 p/kWh (in Adder value at which the minimum is breached)</t>
  </si>
  <si>
    <t>x4 = 3501. Adder threshold for Unit rate 3 p/kWh (in Adder value at which the minimum is breached)</t>
  </si>
  <si>
    <t>Calculation =MIN(x1,x2,x3,x4)</t>
  </si>
  <si>
    <t>Starting point</t>
  </si>
  <si>
    <t>3505. Solve for General adder rate (p/kWh)</t>
  </si>
  <si>
    <t>x1 = 3504. Starting point</t>
  </si>
  <si>
    <t>x5 = 3502. Effect through Unit rate 1 p/kWh (in Marginal revenue effect of adder)</t>
  </si>
  <si>
    <t>x6 = 3502. Effect through Unit rate 2 p/kWh (in Marginal revenue effect of adder)</t>
  </si>
  <si>
    <t>x7 = 3502. Effect through Unit rate 3 p/kWh (in Marginal revenue effect of adder)</t>
  </si>
  <si>
    <t>x8 = Location (in Solve for General adder rate (p/kWh))</t>
  </si>
  <si>
    <t>x9 = Kink (in Solve for General adder rate (p/kWh))</t>
  </si>
  <si>
    <t>x10 = Ranking before tie break (in Solve for General adder rate (p/kWh))</t>
  </si>
  <si>
    <t>x11 = Counter (in Solve for General adder rate (p/kWh))</t>
  </si>
  <si>
    <t>x12 = Tie breaker (in Solve for General adder rate (p/kWh))</t>
  </si>
  <si>
    <t>x13 = Ranking (in Solve for General adder rate (p/kWh))</t>
  </si>
  <si>
    <t>x14 = Kink reordering (in Solve for General adder rate (p/kWh))</t>
  </si>
  <si>
    <t>x15 = Starting slope contributions (in Solve for General adder rate (p/kWh))</t>
  </si>
  <si>
    <t>x16 = New slope (in Solve for General adder rate (p/kWh))</t>
  </si>
  <si>
    <t>x17 = Location (ordered) (in Solve for General adder rate (p/kWh))</t>
  </si>
  <si>
    <t>x18 = Starting values (in Solve for General adder rate (p/kWh))</t>
  </si>
  <si>
    <t>x19 = 3403. Revenue shortfall (surplus) £ (in Revenue surplus or shortfall)</t>
  </si>
  <si>
    <t>x20 = 3503. Constraint-free solution</t>
  </si>
  <si>
    <t>x21 = Value (in Solve for General adder rate (p/kWh))</t>
  </si>
  <si>
    <t>= x1 or x2 or x3 or x4</t>
  </si>
  <si>
    <t>=IF(ISERROR(x8),x9,0)</t>
  </si>
  <si>
    <t>=MAX(x1,x8)*x9</t>
  </si>
  <si>
    <t>=RANK(x8,x8,1)</t>
  </si>
  <si>
    <t>=x10*99+x11</t>
  </si>
  <si>
    <t>=RANK(x12,x12,1)</t>
  </si>
  <si>
    <t>=MATCH(x11,x13,0)</t>
  </si>
  <si>
    <t>=INDEX(x8,x14,1) or =x8</t>
  </si>
  <si>
    <t>Location</t>
  </si>
  <si>
    <t>Kink</t>
  </si>
  <si>
    <t>Starting slope contributions</t>
  </si>
  <si>
    <t>Starting values</t>
  </si>
  <si>
    <t>Ranking before tie break</t>
  </si>
  <si>
    <t>Counter</t>
  </si>
  <si>
    <t>Tie breaker</t>
  </si>
  <si>
    <t>Ranking</t>
  </si>
  <si>
    <t>Kink reordering</t>
  </si>
  <si>
    <t>Location (ordered)</t>
  </si>
  <si>
    <t>New slope</t>
  </si>
  <si>
    <t>Root</t>
  </si>
  <si>
    <t>Kink 1</t>
  </si>
  <si>
    <t>Kink 2</t>
  </si>
  <si>
    <t>Kink 3</t>
  </si>
  <si>
    <t>Kink 4</t>
  </si>
  <si>
    <t>Kink 5</t>
  </si>
  <si>
    <t>Kink 6</t>
  </si>
  <si>
    <t>Kink 7</t>
  </si>
  <si>
    <t>Kink 8</t>
  </si>
  <si>
    <t>Kink 9</t>
  </si>
  <si>
    <t>Kink 10</t>
  </si>
  <si>
    <t>Kink 11</t>
  </si>
  <si>
    <t>Kink 12</t>
  </si>
  <si>
    <t>Kink 13</t>
  </si>
  <si>
    <t>Kink 14</t>
  </si>
  <si>
    <t>Kink 15</t>
  </si>
  <si>
    <t>Kink 16</t>
  </si>
  <si>
    <t>Kink 17</t>
  </si>
  <si>
    <t>Kink 18</t>
  </si>
  <si>
    <t>Kink 19</t>
  </si>
  <si>
    <t>Kink 20</t>
  </si>
  <si>
    <t>Kink 21</t>
  </si>
  <si>
    <t>Kink 22</t>
  </si>
  <si>
    <t>Kink 23</t>
  </si>
  <si>
    <t>Kink 24</t>
  </si>
  <si>
    <t>Kink 25</t>
  </si>
  <si>
    <t>Kink 26</t>
  </si>
  <si>
    <t>Kink 27</t>
  </si>
  <si>
    <t>Kink 28</t>
  </si>
  <si>
    <t>Kink 29</t>
  </si>
  <si>
    <t>Kink 30</t>
  </si>
  <si>
    <t>Kink 31</t>
  </si>
  <si>
    <t>Kink 32</t>
  </si>
  <si>
    <t>Kink 33</t>
  </si>
  <si>
    <t>Kink 34</t>
  </si>
  <si>
    <t>Kink 35</t>
  </si>
  <si>
    <t>Kink 36</t>
  </si>
  <si>
    <t>Kink 37</t>
  </si>
  <si>
    <t>Kink 38</t>
  </si>
  <si>
    <t>Kink 39</t>
  </si>
  <si>
    <t>Kink 40</t>
  </si>
  <si>
    <t>Kink 41</t>
  </si>
  <si>
    <t>Kink 42</t>
  </si>
  <si>
    <t>Kink 43</t>
  </si>
  <si>
    <t>Kink 44</t>
  </si>
  <si>
    <t>Kink 45</t>
  </si>
  <si>
    <t>Kink 46</t>
  </si>
  <si>
    <t>Kink 47</t>
  </si>
  <si>
    <t>Kink 48</t>
  </si>
  <si>
    <t>Kink 49</t>
  </si>
  <si>
    <t>Kink 50</t>
  </si>
  <si>
    <t>Kink 51</t>
  </si>
  <si>
    <t>Kink 52</t>
  </si>
  <si>
    <t>Kink 53</t>
  </si>
  <si>
    <t>Kink 54</t>
  </si>
  <si>
    <t>Kink 55</t>
  </si>
  <si>
    <t>Kink 56</t>
  </si>
  <si>
    <t>Kink 57</t>
  </si>
  <si>
    <t>Kink 58</t>
  </si>
  <si>
    <t>Kink 59</t>
  </si>
  <si>
    <t>Kink 60</t>
  </si>
  <si>
    <t>Kink 61</t>
  </si>
  <si>
    <t>Kink 62</t>
  </si>
  <si>
    <t>Kink 63</t>
  </si>
  <si>
    <t>Kink 64</t>
  </si>
  <si>
    <t>Kink 65</t>
  </si>
  <si>
    <t>Kink 66</t>
  </si>
  <si>
    <t>Kink 67</t>
  </si>
  <si>
    <t>Kink 68</t>
  </si>
  <si>
    <t>Kink 69</t>
  </si>
  <si>
    <t>Kink 70</t>
  </si>
  <si>
    <t>Kink 71</t>
  </si>
  <si>
    <t>Kink 72</t>
  </si>
  <si>
    <t>Kink 73</t>
  </si>
  <si>
    <t>Kink 74</t>
  </si>
  <si>
    <t>Kink 75</t>
  </si>
  <si>
    <t>Kink 76</t>
  </si>
  <si>
    <t>Kink 77</t>
  </si>
  <si>
    <t>Kink 78</t>
  </si>
  <si>
    <t>Kink 79</t>
  </si>
  <si>
    <t>Kink 80</t>
  </si>
  <si>
    <t>Kink 81</t>
  </si>
  <si>
    <t>Kink 82</t>
  </si>
  <si>
    <t>Kink 83</t>
  </si>
  <si>
    <t>Kink 84</t>
  </si>
  <si>
    <t>Kink 85</t>
  </si>
  <si>
    <t>Kink 86</t>
  </si>
  <si>
    <t>Kink 87</t>
  </si>
  <si>
    <t>Kink 88</t>
  </si>
  <si>
    <t>Kink 89</t>
  </si>
  <si>
    <t>Kink 90</t>
  </si>
  <si>
    <t>Kink 91</t>
  </si>
  <si>
    <t>Kink 92</t>
  </si>
  <si>
    <t>Kink 93</t>
  </si>
  <si>
    <t>Kink 94</t>
  </si>
  <si>
    <t>Kink 95</t>
  </si>
  <si>
    <t>Kink 96</t>
  </si>
  <si>
    <t>Kink 97</t>
  </si>
  <si>
    <t>Kink 98</t>
  </si>
  <si>
    <t>Kink 99</t>
  </si>
  <si>
    <t>3506. General adder rate (p/kWh)</t>
  </si>
  <si>
    <t>x1 = 3505. Root (in Solve for General adder rate (p/kWh))</t>
  </si>
  <si>
    <t>Calculation =MIN(x1)</t>
  </si>
  <si>
    <t>General adder rate (p/kWh)</t>
  </si>
  <si>
    <t>3507. Adder</t>
  </si>
  <si>
    <t>x2 = 3506. General adder rate (p/kWh)</t>
  </si>
  <si>
    <t>x3 = 3501. Adder threshold for Unit rate 1 p/kWh (in Adder value at which the minimum is breached)</t>
  </si>
  <si>
    <t>x4 = 3501. Adder threshold for Unit rate 2 p/kWh (in Adder value at which the minimum is breached)</t>
  </si>
  <si>
    <t>x5 = 3501. Adder threshold for Unit rate 3 p/kWh (in Adder value at which the minimum is breached)</t>
  </si>
  <si>
    <t>x6 = Adder on Unit rate 1 p/kWh (in Adder)</t>
  </si>
  <si>
    <t>x7 = 2305. Rate 1 units (MWh) (in Equivalent volume for each end user)</t>
  </si>
  <si>
    <t>x8 = Adder on Unit rate 2 p/kWh (in Adder)</t>
  </si>
  <si>
    <t>x9 = 2305. Rate 2 units (MWh) (in Equivalent volume for each end user)</t>
  </si>
  <si>
    <t>x10 = Adder on Unit rate 3 p/kWh (in Adder)</t>
  </si>
  <si>
    <t>x11 = 2305. Rate 3 units (MWh) (in Equivalent volume for each end user)</t>
  </si>
  <si>
    <t>=IF(x1&lt;0,0,MAX(x2,x3))</t>
  </si>
  <si>
    <t>=IF(x1&lt;0,0,MAX(x2,x4))</t>
  </si>
  <si>
    <t>=IF(x1&lt;0,0,MAX(x2,x5))</t>
  </si>
  <si>
    <t>=0+10*(x6*x7+x8*x9+x10*x11)</t>
  </si>
  <si>
    <t>Adder on Unit rate 1 p/kWh</t>
  </si>
  <si>
    <t>Adder on Unit rate 2 p/kWh</t>
  </si>
  <si>
    <t>Adder on Unit rate 3 p/kWh</t>
  </si>
  <si>
    <t>Net revenues by tariff from adder</t>
  </si>
  <si>
    <t>3601. Tariffs before rounding</t>
  </si>
  <si>
    <t>x2 = 3507. Adder on Unit rate 1 p/kWh (in Adder)</t>
  </si>
  <si>
    <t>x3 = 3308. Unit rate 2 p/kWh (total) (in Summary of charges before revenue matching)</t>
  </si>
  <si>
    <t>x4 = 3507. Adder on Unit rate 2 p/kWh (in Adder)</t>
  </si>
  <si>
    <t>x5 = 3308. Unit rate 3 p/kWh (total) (in Summary of charges before revenue matching)</t>
  </si>
  <si>
    <t>x6 = 3507. Adder on Unit rate 3 p/kWh (in Adder)</t>
  </si>
  <si>
    <t>x7 = 3308. Fixed charge p/MPAN/day (total) (in Summary of charges before revenue matching)</t>
  </si>
  <si>
    <t>x8 = 3308. Capacity charge p/kVA/day (total) (in Summary of charges before revenue matching)</t>
  </si>
  <si>
    <t>x9 = 3308. Exceeded capacity charge p/kVA/day (total) (in Summary of charges before revenue matching)</t>
  </si>
  <si>
    <t>x10 = 3308. Reactive power charge p/kVArh (in Summary of charges before revenue matching)</t>
  </si>
  <si>
    <t>=x1+x2</t>
  </si>
  <si>
    <t>=x3+x4</t>
  </si>
  <si>
    <t>=x5+x6</t>
  </si>
  <si>
    <t>=x7</t>
  </si>
  <si>
    <t>=x8</t>
  </si>
  <si>
    <t>=x9</t>
  </si>
  <si>
    <t>=x10</t>
  </si>
  <si>
    <t>Unit rate 1 p/kWh</t>
  </si>
  <si>
    <t>Unit rate 2 p/kWh</t>
  </si>
  <si>
    <t>Unit rate 3 p/kWh</t>
  </si>
  <si>
    <t>Fixed charge p/MPAN/day</t>
  </si>
  <si>
    <t>Capacity charge p/kVA/day</t>
  </si>
  <si>
    <t>Exceeded capacity charge p/kVA/day</t>
  </si>
  <si>
    <t>3602. Decimal places</t>
  </si>
  <si>
    <t>Decimal places</t>
  </si>
  <si>
    <t>3603. Tariff rounding</t>
  </si>
  <si>
    <t>x1 = 3601. Unit rate 1 p/kWh before rounding (in Tariffs before rounding)</t>
  </si>
  <si>
    <t>x2 = 3602. Unit rate 1 p/kWh decimal places (in Decimal places)</t>
  </si>
  <si>
    <t>x3 = 3601. Unit rate 2 p/kWh before rounding (in Tariffs before rounding)</t>
  </si>
  <si>
    <t>x4 = 3602. Unit rate 2 p/kWh decimal places (in Decimal places)</t>
  </si>
  <si>
    <t>x5 = 3601. Unit rate 3 p/kWh before rounding (in Tariffs before rounding)</t>
  </si>
  <si>
    <t>x6 = 3602. Unit rate 3 p/kWh decimal places (in Decimal places)</t>
  </si>
  <si>
    <t>x7 = 3601. Fixed charge p/MPAN/day before rounding (in Tariffs before rounding)</t>
  </si>
  <si>
    <t>x8 = 3602. Fixed charge p/MPAN/day decimal places (in Decimal places)</t>
  </si>
  <si>
    <t>x9 = 3601. Capacity charge p/kVA/day before rounding (in Tariffs before rounding)</t>
  </si>
  <si>
    <t>x10 = 3602. Capacity charge p/kVA/day decimal places (in Decimal places)</t>
  </si>
  <si>
    <t>x11 = 3601. Exceeded capacity charge p/kVA/day before rounding (in Tariffs before rounding)</t>
  </si>
  <si>
    <t>x12 = 3602. Exceeded capacity charge p/kVA/day decimal places (in Decimal places)</t>
  </si>
  <si>
    <t>x13 = 3601. Reactive power charge p/kVArh before rounding (in Tariffs before rounding)</t>
  </si>
  <si>
    <t>x14 = 3602. Reactive power charge p/kVArh decimal places (in Decimal places)</t>
  </si>
  <si>
    <t>=ROUND(x1,x2)-x1</t>
  </si>
  <si>
    <t>=ROUND(x3,x4)-x3</t>
  </si>
  <si>
    <t>=ROUND(x5,x6)-x5</t>
  </si>
  <si>
    <t>=ROUND(x7,x8)-x7</t>
  </si>
  <si>
    <t>=ROUND(x9,x10)-x9</t>
  </si>
  <si>
    <t>=ROUND(x11,x12)-x11</t>
  </si>
  <si>
    <t>=ROUND(x13,x14)-x13</t>
  </si>
  <si>
    <t>3604. All the way tariffs</t>
  </si>
  <si>
    <t>x2 = 3603. Unit rate 1 p/kWh rounding (in Tariff rounding)</t>
  </si>
  <si>
    <t>x4 = 3603. Unit rate 2 p/kWh rounding (in Tariff rounding)</t>
  </si>
  <si>
    <t>x6 = 3603. Unit rate 3 p/kWh rounding (in Tariff rounding)</t>
  </si>
  <si>
    <t>x8 = 3603. Fixed charge p/MPAN/day rounding (in Tariff rounding)</t>
  </si>
  <si>
    <t>x10 = 3603. Capacity charge p/kVA/day rounding (in Tariff rounding)</t>
  </si>
  <si>
    <t>x12 = 3603. Exceeded capacity charge p/kVA/day rounding (in Tariff rounding)</t>
  </si>
  <si>
    <t>x14 = 3603. Reactive power charge p/kVArh rounding (in Tariff rounding)</t>
  </si>
  <si>
    <t>=x7+x8</t>
  </si>
  <si>
    <t>=x9+x10</t>
  </si>
  <si>
    <t>=x11+x12</t>
  </si>
  <si>
    <t>=x13+x14</t>
  </si>
  <si>
    <t>3605. Net revenues by tariff from rounding</t>
  </si>
  <si>
    <t>x2 = 3603. Fixed charge p/MPAN/day rounding (in Tariff rounding)</t>
  </si>
  <si>
    <t>x4 = 3603. Capacity charge p/kVA/day rounding (in Tariff rounding)</t>
  </si>
  <si>
    <t>x6 = 3603. Exceeded capacity charge p/kVA/day rounding (in Tariff rounding)</t>
  </si>
  <si>
    <t>x8 = 3603. Unit rate 1 p/kWh rounding (in Tariff rounding)</t>
  </si>
  <si>
    <t>x10 = 3603. Unit rate 2 p/kWh rounding (in Tariff rounding)</t>
  </si>
  <si>
    <t>x12 = 3603. Unit rate 3 p/kWh rounding (in Tariff rounding)</t>
  </si>
  <si>
    <t>Net revenues by tariff from rounding</t>
  </si>
  <si>
    <t>3606. Revenue forecast summary</t>
  </si>
  <si>
    <t>x1 = 3403. Total net revenues before matching (£) (in Revenue surplus or shortfall)</t>
  </si>
  <si>
    <t>x2 = 3507. Net revenues by tariff from adder (in Adder)</t>
  </si>
  <si>
    <t>x3 = 3605. Net revenues by tariff from rounding</t>
  </si>
  <si>
    <t>x4 = Total net revenues before matching (£) (in Revenue forecast summary)</t>
  </si>
  <si>
    <t>x5 = Total net revenues from adder (£) (in Revenue forecast summary)</t>
  </si>
  <si>
    <t>x6 = Total net revenues from rounding (£) (in Revenue forecast summary)</t>
  </si>
  <si>
    <t>x7 = Total net revenues (£) (in Revenue forecast summary)</t>
  </si>
  <si>
    <t>x8 = 3402. Target CDCM revenue (£/year) (in Target CDCM revenue)</t>
  </si>
  <si>
    <t>=x4+x5+x6</t>
  </si>
  <si>
    <t>=x7-x8</t>
  </si>
  <si>
    <t>Total net revenues from adder (£)</t>
  </si>
  <si>
    <t>Total net revenues from rounding (£)</t>
  </si>
  <si>
    <t>Total net revenues (£)</t>
  </si>
  <si>
    <t>Deviation from target revenue (£)</t>
  </si>
  <si>
    <t>Revenue forecast summary</t>
  </si>
  <si>
    <t>3607. Tariffs</t>
  </si>
  <si>
    <t>x1 = 3604. Unit rate 1 p/kWh (in All the way tariffs)</t>
  </si>
  <si>
    <t>x2 = 2304. Discount for each tariff (except for fixed charges) (in LDNO discounts and volumes adjusted for discount)</t>
  </si>
  <si>
    <t>x3 = 3604. Unit rate 2 p/kWh (in All the way tariffs)</t>
  </si>
  <si>
    <t>x4 = 3604. Unit rate 3 p/kWh (in All the way tariffs)</t>
  </si>
  <si>
    <t>x5 = 3604. Fixed charge p/MPAN/day (in All the way tariffs)</t>
  </si>
  <si>
    <t>x6 = 2304. Discount for each tariff for fixed charges only (in LDNO discounts and volumes adjusted for discount)</t>
  </si>
  <si>
    <t>x7 = 3604. Capacity charge p/kVA/day (in All the way tariffs)</t>
  </si>
  <si>
    <t>x8 = 3604. Exceeded capacity charge p/kVA/day (in All the way tariffs)</t>
  </si>
  <si>
    <t>x9 = 3604. Reactive power charge p/kVArh (in All the way tariffs)</t>
  </si>
  <si>
    <t>=ROUND(x1*(1-x2),3)</t>
  </si>
  <si>
    <t>=ROUND(x3*(1-x2),3)</t>
  </si>
  <si>
    <t>=ROUND(x4*(1-x2),3)</t>
  </si>
  <si>
    <t>=ROUND(x5*(1-x6),2)</t>
  </si>
  <si>
    <t>=ROUND(x7*(1-x2),2)</t>
  </si>
  <si>
    <t>=ROUND(x8*(1-x2),2)</t>
  </si>
  <si>
    <t>=ROUND(x9*(1-x2),3)</t>
  </si>
  <si>
    <t>3701. Tariffs</t>
  </si>
  <si>
    <t>x1 = 3607. Unit rate 1 p/kWh (in Tariffs)</t>
  </si>
  <si>
    <t>x2 = 3607. Unit rate 2 p/kWh (in Tariffs)</t>
  </si>
  <si>
    <t>x3 = 3607. Unit rate 3 p/kWh (in Tariffs)</t>
  </si>
  <si>
    <t>x4 = 3607. Fixed charge p/MPAN/day (in Tariffs)</t>
  </si>
  <si>
    <t>x5 = 3607. Capacity charge p/kVA/day (in Tariffs)</t>
  </si>
  <si>
    <t>x6 = 3607. Exceeded capacity charge p/kVA/day (in Tariffs)</t>
  </si>
  <si>
    <t>x7 = 3607. Reactive power charge p/kVArh (in Tariffs)</t>
  </si>
  <si>
    <t>Input data</t>
  </si>
  <si>
    <t>= x1</t>
  </si>
  <si>
    <t>= x3</t>
  </si>
  <si>
    <t>= x6</t>
  </si>
  <si>
    <t>= x7</t>
  </si>
  <si>
    <t>Open LLFCs</t>
  </si>
  <si>
    <t>PCs</t>
  </si>
  <si>
    <t>Closed LLFCs</t>
  </si>
  <si>
    <t>5-8</t>
  </si>
  <si>
    <t>8&amp;0</t>
  </si>
  <si>
    <t>This sheet is for information only.  It can be deleted without affecting any calculations elsewhere in the model.</t>
  </si>
  <si>
    <t>3801. Headline parameters</t>
  </si>
  <si>
    <t>x2 = 3606. Total net revenues from adder (£) (in Revenue forecast summary)</t>
  </si>
  <si>
    <t>x3 = 3606. Deviation from target revenue (£) (in Revenue forecast summary)</t>
  </si>
  <si>
    <t>x4 = 3402. Target CDCM revenue (£/year) (in Target CDCM revenue)</t>
  </si>
  <si>
    <t>=x3/x4</t>
  </si>
  <si>
    <t>Over/under recovery</t>
  </si>
  <si>
    <t>Headline parameters</t>
  </si>
  <si>
    <t>3802. Revenue summary</t>
  </si>
  <si>
    <t>x1 = 1053. Rate 1 units (MWh) by tariff (in Volume forecasts for the charging year)</t>
  </si>
  <si>
    <t>x2 = 1053. Rate 2 units (MWh) by tariff (in Volume forecasts for the charging year)</t>
  </si>
  <si>
    <t>x3 = 1053. Rate 3 units (MWh) by tariff (in Volume forecasts for the charging year)</t>
  </si>
  <si>
    <t>x4 = 1053. MPANs by tariff (in Volume forecasts for the charging year)</t>
  </si>
  <si>
    <t>x6 = 3607. Fixed charge p/MPAN/day (in Tariffs)</t>
  </si>
  <si>
    <t>x7 = 3607. Capacity charge p/kVA/day (in Tariffs)</t>
  </si>
  <si>
    <t>x8 = 1053. Import capacity (kVA) by tariff (in Volume forecasts for the charging year)</t>
  </si>
  <si>
    <t>x9 = 3607. Exceeded capacity charge p/kVA/day (in Tariffs)</t>
  </si>
  <si>
    <t>x10 = 1053. Exceeded capacity (kVA) by tariff (in Volume forecasts for the charging year)</t>
  </si>
  <si>
    <t>x11 = 3607. Unit rate 1 p/kWh (in Tariffs)</t>
  </si>
  <si>
    <t>x12 = 3607. Unit rate 2 p/kWh (in Tariffs)</t>
  </si>
  <si>
    <t>x13 = 3607. Unit rate 3 p/kWh (in Tariffs)</t>
  </si>
  <si>
    <t>x14 = 3607. Reactive power charge p/kVArh (in Tariffs)</t>
  </si>
  <si>
    <t>x15 = 1053. Reactive power units (MVArh) by tariff (in Volume forecasts for the charging year)</t>
  </si>
  <si>
    <t>x16 = All units (MWh) (in Revenue summary)</t>
  </si>
  <si>
    <t>x17 = Net revenues (£) (in Revenue summary)</t>
  </si>
  <si>
    <t>x18 = MPANs (in Revenue summary)</t>
  </si>
  <si>
    <t>x19 = Revenues from unit rates (£) (in Revenue summary)</t>
  </si>
  <si>
    <t>x20 = Net revenues from unit rate 1 (£) (in Revenue summary)</t>
  </si>
  <si>
    <t>x21 = Net revenues from unit rate 2 (£) (in Revenue summary)</t>
  </si>
  <si>
    <t>x22 = Net revenues from unit rate 3 (£) (in Revenue summary)</t>
  </si>
  <si>
    <t>x23 = Revenues from fixed charges (£) (in Revenue summary)</t>
  </si>
  <si>
    <t>x24 = Revenues from capacity charges (£) (in Revenue summary)</t>
  </si>
  <si>
    <t>x25 = Revenues from exceeded capacity charges (£) (in Revenue summary)</t>
  </si>
  <si>
    <t>x26 = Revenues from reactive power charges (£) (in Revenue summary)</t>
  </si>
  <si>
    <t>=x1+x2+x3</t>
  </si>
  <si>
    <t>=0.01*x5*(x6*x4+x7*x8+x9*x10)+10*(x11*x1+x12*x2+x13*x3+x14*x15)</t>
  </si>
  <si>
    <t>=10*(x11*x1+x12*x2+x13*x3)</t>
  </si>
  <si>
    <t>=x6*x5*x4/100</t>
  </si>
  <si>
    <t>=x7*x5*x8/100</t>
  </si>
  <si>
    <t>=x9*x5*x10/100</t>
  </si>
  <si>
    <t>=x14*x15*10</t>
  </si>
  <si>
    <t>=IF(x16&lt;&gt;0,0.1*x17/x16,"")</t>
  </si>
  <si>
    <t>=IF(x18&lt;&gt;0,x17/x18,"")</t>
  </si>
  <si>
    <t>=IF(x16&lt;&gt;0,0.1*x19/x16,0)</t>
  </si>
  <si>
    <t>=x11*x1*10</t>
  </si>
  <si>
    <t>=x12*x2*10</t>
  </si>
  <si>
    <t>=x13*x3*10</t>
  </si>
  <si>
    <t>=IF(x19&lt;&gt;0,x20/x19,"")</t>
  </si>
  <si>
    <t>=IF(x19&lt;&gt;0,x21/x19,"")</t>
  </si>
  <si>
    <t>=IF(x19&lt;&gt;0,x22/x19,"")</t>
  </si>
  <si>
    <t>=IF(x17&lt;&gt;0,x23/x17,"")</t>
  </si>
  <si>
    <t>=IF(x17&lt;&gt;0,x24/x17,"")</t>
  </si>
  <si>
    <t>=IF(x17&lt;&gt;0,x25/x17,"")</t>
  </si>
  <si>
    <t>=IF(x17&lt;&gt;0,x26/x17,"")</t>
  </si>
  <si>
    <t>Net revenues (£)</t>
  </si>
  <si>
    <t>Revenues from unit rates (£)</t>
  </si>
  <si>
    <t>Revenues from fixed charges (£)</t>
  </si>
  <si>
    <t>Revenues from capacity charges (£)</t>
  </si>
  <si>
    <t>Revenues from exceeded capacity charges (£)</t>
  </si>
  <si>
    <t>Revenues from reactive power charges (£)</t>
  </si>
  <si>
    <t>Average p/kWh</t>
  </si>
  <si>
    <t>Average £/MPAN</t>
  </si>
  <si>
    <t>Average unit rate p/kWh</t>
  </si>
  <si>
    <t>Net revenues from unit rate 1 (£)</t>
  </si>
  <si>
    <t>Net revenues from unit rate 2 (£)</t>
  </si>
  <si>
    <t>Net revenues from unit rate 3 (£)</t>
  </si>
  <si>
    <t>Rate 1 revenue proportion</t>
  </si>
  <si>
    <t>Rate 2 revenue proportion</t>
  </si>
  <si>
    <t>Rate 3 revenue proportion</t>
  </si>
  <si>
    <t>Fixed charge proportion</t>
  </si>
  <si>
    <t>Capacity charge proportion</t>
  </si>
  <si>
    <t>Exceeded capacity charge proportion</t>
  </si>
  <si>
    <t>Reactive power charge proportion</t>
  </si>
  <si>
    <t>3803. Revenue summary by tariff component</t>
  </si>
  <si>
    <t>x1 = 3802. All units (MWh) (in Revenue summary)</t>
  </si>
  <si>
    <t>x2 = 3802. MPANs (in Revenue summary)</t>
  </si>
  <si>
    <t>x3 = 3802. Net revenues (£) (in Revenue summary)</t>
  </si>
  <si>
    <t>x4 = 3802. Revenues from unit rates (£) (in Revenue summary)</t>
  </si>
  <si>
    <t>x5 = 3802. Revenues from fixed charges (£) (in Revenue summary)</t>
  </si>
  <si>
    <t>x6 = 3802. Revenues from capacity charges (£) (in Revenue summary)</t>
  </si>
  <si>
    <t>x7 = 3802. Revenues from exceeded capacity charges (£) (in Revenue summary)</t>
  </si>
  <si>
    <t>x8 = 3802. Revenues from reactive power charges (£) (in Revenue summary)</t>
  </si>
  <si>
    <t>=SUM(x8)</t>
  </si>
  <si>
    <t>Total units (MWh)</t>
  </si>
  <si>
    <t>Total MPANs</t>
  </si>
  <si>
    <t>Total net revenues from unit rates (£)</t>
  </si>
  <si>
    <t>Total revenues from fixed charges (£)</t>
  </si>
  <si>
    <t>Total revenues from capacity charges (£)</t>
  </si>
  <si>
    <t>Total revenues from exceeded capacity charges (£)</t>
  </si>
  <si>
    <t>Total revenues from reactive power charges (£)</t>
  </si>
  <si>
    <t>Revenue summary by tariff component</t>
  </si>
  <si>
    <t>MWh/year</t>
  </si>
  <si>
    <t>MWh/MPAN/year</t>
  </si>
  <si>
    <t>Revenue (£/year)</t>
  </si>
  <si>
    <t>Average £/MPAN/year</t>
  </si>
  <si>
    <t>Assets LV customer</t>
  </si>
  <si>
    <t>Assets HV customer</t>
  </si>
  <si>
    <t>Transmission exit</t>
  </si>
  <si>
    <t>Operating 132kV</t>
  </si>
  <si>
    <t>Operating 132kV/EHV</t>
  </si>
  <si>
    <t>Operating EHV</t>
  </si>
  <si>
    <t>Operating EHV/HV</t>
  </si>
  <si>
    <t>Operating 132kV/HV</t>
  </si>
  <si>
    <t>Operating HV</t>
  </si>
  <si>
    <t>Operating HV/LV</t>
  </si>
  <si>
    <t>Operating LV circuits</t>
  </si>
  <si>
    <t>Operating LV customer</t>
  </si>
  <si>
    <t>Operating HV customer</t>
  </si>
  <si>
    <t>Adder</t>
  </si>
  <si>
    <t>Rounding</t>
  </si>
  <si>
    <t>Total</t>
  </si>
  <si>
    <t>Average unit rate (p/kWh)</t>
  </si>
  <si>
    <t>Average p/kVA/day</t>
  </si>
  <si>
    <t>This sheet provides matrices breaking down each tariff component into its elements.</t>
  </si>
  <si>
    <t>3901. Revenue matrix by tariff</t>
  </si>
  <si>
    <t>Revenue matrix by tariff, charging element and network level</t>
  </si>
  <si>
    <t>Total net revenue by tariff (£/year)</t>
  </si>
  <si>
    <t>3902. Revenues by charging element and network level</t>
  </si>
  <si>
    <t>Total net revenue by charging element and network level (£/year)</t>
  </si>
  <si>
    <t>Total net revenue (£/year)</t>
  </si>
  <si>
    <t>Revenues by charging element and network level</t>
  </si>
  <si>
    <t>4001. Revenues under current tariffs (£)</t>
  </si>
  <si>
    <t>x1 = 1201. Current revenues if known (£) (in Current tariff information)</t>
  </si>
  <si>
    <t>x3 = 1201. Current Fixed charge p/MPAN/day (in Current tariff information)</t>
  </si>
  <si>
    <t>x5 = 1201. Current Capacity charge p/kVA/day (in Current tariff information)</t>
  </si>
  <si>
    <t>x6 = 1053. Import capacity (kVA) by tariff (in Volume forecasts for the charging year)</t>
  </si>
  <si>
    <t>x7 = 1201. Current Exceeded capacity charge p/kVA/day (in Current tariff information)</t>
  </si>
  <si>
    <t>x8 = 1053. Exceeded capacity (kVA) by tariff (in Volume forecasts for the charging year)</t>
  </si>
  <si>
    <t>x9 = 1201. Current Unit rate 1 p/kWh (in Current tariff information)</t>
  </si>
  <si>
    <t>x10 = 1053. Rate 1 units (MWh) by tariff (in Volume forecasts for the charging year)</t>
  </si>
  <si>
    <t>x11 = 1201. Current Unit rate 2 p/kWh (in Current tariff information)</t>
  </si>
  <si>
    <t>x12 = 1053. Rate 2 units (MWh) by tariff (in Volume forecasts for the charging year)</t>
  </si>
  <si>
    <t>x13 = 1201. Current Unit rate 3 p/kWh (in Current tariff information)</t>
  </si>
  <si>
    <t>x14 = 1053. Rate 3 units (MWh) by tariff (in Volume forecasts for the charging year)</t>
  </si>
  <si>
    <t>x15 = 1201. Current Reactive power charge p/kVArh (in Current tariff information)</t>
  </si>
  <si>
    <t>x16 = 1053. Reactive power units (MVArh) by tariff (in Volume forecasts for the charging year)</t>
  </si>
  <si>
    <t>Calculation =IF(x1,x1,0.01*x2*(x3*x4+x5*x6+x7*x8)+10*(x9*x10+x11*x12+x13*x14+x15*x16))</t>
  </si>
  <si>
    <t>Revenues under current tariffs (£)</t>
  </si>
  <si>
    <t>4002. All-the-way volumes</t>
  </si>
  <si>
    <t>x5 = 1053. Import capacity (kVA) by tariff (in Volume forecasts for the charging year)</t>
  </si>
  <si>
    <t>x6 = 1053. Exceeded capacity (kVA) by tariff (in Volume forecasts for the charging year)</t>
  </si>
  <si>
    <t>x7 = 1053. Reactive power units (MVArh) by tariff (in Volume forecasts for the charging year)</t>
  </si>
  <si>
    <t>x8 = 3802. All units (MWh) (in Revenue summary)</t>
  </si>
  <si>
    <t>= x8</t>
  </si>
  <si>
    <t>4003. Normalised to</t>
  </si>
  <si>
    <t>Normalised to</t>
  </si>
  <si>
    <t>MPAN</t>
  </si>
  <si>
    <t>kVA</t>
  </si>
  <si>
    <t>MWh</t>
  </si>
  <si>
    <t>4004. Normalised volumes for comparisons</t>
  </si>
  <si>
    <t>x1 = 4002. Rate 1 units (MWh) by tariff (in Volume forecasts for the charging year) (in All-the-way volumes)</t>
  </si>
  <si>
    <t>x2 = 4003. Normalised to</t>
  </si>
  <si>
    <t>x3 = 4002. Import capacity (kVA) by tariff (in Volume forecasts for the charging year) (in All-the-way volumes)</t>
  </si>
  <si>
    <t>x4 = 4002. MPANs by tariff (in Volume forecasts for the charging year) (in All-the-way volumes)</t>
  </si>
  <si>
    <t>x5 = 4002. All units (MWh) (in Revenue summary) (in All-the-way volumes)</t>
  </si>
  <si>
    <t>x6 = 4002. Rate 2 units (MWh) by tariff (in Volume forecasts for the charging year) (in All-the-way volumes)</t>
  </si>
  <si>
    <t>x7 = 4002. Rate 3 units (MWh) by tariff (in Volume forecasts for the charging year) (in All-the-way volumes)</t>
  </si>
  <si>
    <t>x8 = 4002. Exceeded capacity (kVA) by tariff (in Volume forecasts for the charging year) (in All-the-way volumes)</t>
  </si>
  <si>
    <t>x9 = 4002. Reactive power units (MVArh) by tariff (in Volume forecasts for the charging year) (in All-the-way volumes)</t>
  </si>
  <si>
    <t>x11 = 3607. Fixed charge p/MPAN/day (in Tariffs)</t>
  </si>
  <si>
    <t>x12 = Normalised MPANs (in Normalised volumes for comparisons)</t>
  </si>
  <si>
    <t>x13 = 3607. Capacity charge p/kVA/day (in Tariffs)</t>
  </si>
  <si>
    <t>x14 = Normalised Import capacity (kVA) (in Normalised volumes for comparisons)</t>
  </si>
  <si>
    <t>x15 = 3607. Exceeded capacity charge p/kVA/day (in Tariffs)</t>
  </si>
  <si>
    <t>x16 = Normalised Exceeded capacity (kVA) (in Normalised volumes for comparisons)</t>
  </si>
  <si>
    <t>x17 = 3607. Unit rate 1 p/kWh (in Tariffs)</t>
  </si>
  <si>
    <t>x18 = Normalised Rate 1 units (MWh) (in Normalised volumes for comparisons)</t>
  </si>
  <si>
    <t>x19 = 3607. Unit rate 2 p/kWh (in Tariffs)</t>
  </si>
  <si>
    <t>x20 = Normalised Rate 2 units (MWh) (in Normalised volumes for comparisons)</t>
  </si>
  <si>
    <t>x21 = 3607. Unit rate 3 p/kWh (in Tariffs)</t>
  </si>
  <si>
    <t>x22 = Normalised Rate 3 units (MWh) (in Normalised volumes for comparisons)</t>
  </si>
  <si>
    <t>x23 = 3607. Reactive power charge p/kVArh (in Tariffs)</t>
  </si>
  <si>
    <t>x24 = Normalised Reactive power units (MVArh) (in Normalised volumes for comparisons)</t>
  </si>
  <si>
    <t>=x1/IF(x2="kVA",IF(x3,x3,1),IF(x2="MPAN",IF(x4,x4,1),IF(x5,x5,1)))</t>
  </si>
  <si>
    <t>=x6/IF(x2="kVA",IF(x3,x3,1),IF(x2="MPAN",IF(x4,x4,1),IF(x5,x5,1)))</t>
  </si>
  <si>
    <t>=x7/IF(x2="kVA",IF(x3,x3,1),IF(x2="MPAN",IF(x4,x4,1),IF(x5,x5,1)))</t>
  </si>
  <si>
    <t>=x4/IF(x2="kVA",IF(x3,x3,1),IF(x2="MPAN",IF(x4,x4,1),IF(x5,x5,1)))</t>
  </si>
  <si>
    <t>=x3/IF(x2="kVA",IF(x3,x3,1),IF(x2="MPAN",IF(x4,x4,1),IF(x5,x5,1)))</t>
  </si>
  <si>
    <t>=x8/IF(x2="kVA",IF(x3,x3,1),IF(x2="MPAN",IF(x4,x4,1),IF(x5,x5,1)))</t>
  </si>
  <si>
    <t>=x9/IF(x2="kVA",IF(x3,x3,1),IF(x2="MPAN",IF(x4,x4,1),IF(x5,x5,1)))</t>
  </si>
  <si>
    <t>=0.01*x10*(x11*x12+x13*x14+x15*x16)+10*(x17*x18+x19*x20+x21*x22+x23*x24)</t>
  </si>
  <si>
    <t>Normalised Rate 1 units (MWh)</t>
  </si>
  <si>
    <t>Normalised Rate 2 units (MWh)</t>
  </si>
  <si>
    <t>Normalised Rate 3 units (MWh)</t>
  </si>
  <si>
    <t>Normalised MPANs</t>
  </si>
  <si>
    <t>Normalised Import capacity (kVA)</t>
  </si>
  <si>
    <t>Normalised Exceeded capacity (kVA)</t>
  </si>
  <si>
    <t>Normalised Reactive power units (MVArh)</t>
  </si>
  <si>
    <t>Normalised revenues (£)</t>
  </si>
  <si>
    <t>4005. LDNO LV charges (normalised £)</t>
  </si>
  <si>
    <t>x1 = 4004. Normalised revenues (£) (in Normalised volumes for comparisons)</t>
  </si>
  <si>
    <t>LDNO LV charges (normalised £)</t>
  </si>
  <si>
    <t>N/A</t>
  </si>
  <si>
    <t>4006. LDNO HV charges (normalised £)</t>
  </si>
  <si>
    <t>LDNO HV charges (normalised £)</t>
  </si>
  <si>
    <t>4101. Comparison with current all-the-way demand tariffs</t>
  </si>
  <si>
    <t>x1 = 4001. Revenues under current tariffs (£)</t>
  </si>
  <si>
    <t>x2 = 3802. Net revenues (£) (in Revenue summary)</t>
  </si>
  <si>
    <t>x3 = 3802. All units (MWh) (in Revenue summary)</t>
  </si>
  <si>
    <t>=IF(x1,x2/x1-1,"")</t>
  </si>
  <si>
    <t>=(x2-x1)/IF(x3,x3,1)/10</t>
  </si>
  <si>
    <t>Change</t>
  </si>
  <si>
    <t>Absolute change (average p/kWh)</t>
  </si>
  <si>
    <t>4102. LDNO margins in use of system charges</t>
  </si>
  <si>
    <t>x1 = 4003. Normalised to</t>
  </si>
  <si>
    <t>x2 = 4004. Normalised revenues (£) (in Normalised volumes for comparisons)</t>
  </si>
  <si>
    <t>x3 = 4005. LDNO LV charges (normalised £)</t>
  </si>
  <si>
    <t>x4 = All-the-way charges (normalised £) (in LDNO margins in use of system charges)</t>
  </si>
  <si>
    <t>x5 = 4006. LDNO HV charges (normalised £)</t>
  </si>
  <si>
    <t>=IF(x3,x4-x3,"")</t>
  </si>
  <si>
    <t>=IF(x5,x4-x5,"")</t>
  </si>
  <si>
    <t>All-the-way charges (normalised £)</t>
  </si>
  <si>
    <t>LDNO LV margin (normalised £)</t>
  </si>
  <si>
    <t>LDNO HV margin (normalised £)</t>
  </si>
  <si>
    <t>This document, model or dataset has been prepared by or for Reckon LLP on the instructions of the DCUSA Panel or one of its working_x000D_</t>
  </si>
  <si>
    <t>groups. Only the DCUSA Panel and its working groups have authority to approve this material as meeting their requirements._x000D_</t>
  </si>
  <si>
    <t>Reckon LLP makes no representation about the suitability of this material for the purposes of complying with any licence_x000D_</t>
  </si>
  <si>
    <t>conditions or furthering any relevant objective._x000D_</t>
  </si>
  <si>
    <t>UNLESS STATED OTHERWISE, THIS WORKBOOK IS ONLY A PROTOTYPE FOR TESTING PURPOSES AND ALL THE DATA IN THIS MODEL ARE FOR ILLUSTRATION ONLY.</t>
  </si>
  <si>
    <t>This workbook is structured as a sequential series of named and numbered tables. There is a list of</t>
  </si>
  <si>
    <t>tables below, with hyperlinks. Above each calculation table, there is a description of the calculations</t>
  </si>
  <si>
    <t>and hyperlinks to tables from which data are used. Hyperlinks point to the first relevant table column</t>
  </si>
  <si>
    <t>heading in the relevant table. Scrolling up or down is usually required after clicking a hyperlink in</t>
  </si>
  <si>
    <t>order to bring the relevant data and/or headings into view. Some versions of Microsoft Excel can</t>
  </si>
  <si>
    <t>display a "Back" button, which can be useful when using hyperlinks to navigate around the workbook.</t>
  </si>
  <si>
    <t>Copyright 2009-2011 Energy Networks Association Limited and others. Copyright 2011-2016 Franck Latrémolière, Reckon LLP and others.</t>
  </si>
  <si>
    <t>The code used to generate this spreadsheet includes open-source software published at https://github.com/f20/power-models.</t>
  </si>
  <si>
    <t>Use and distribution of the source code is subject to the conditions stated therein.</t>
  </si>
  <si>
    <t>Any redistribution of this software must retain the following disclaimer:</t>
  </si>
  <si>
    <t>THIS SOFTWARE IS PROVIDED BY AUTHORS AND CONTRIBUTORS "AS IS" AND ANY EXPRESS OR IMPLIED WARRANTIES, INCLUDING, BUT NOT LIMITED</t>
  </si>
  <si>
    <t>TO, THE IMPLIED WARRANTIES OF MERCHANTABILITY AND FITNESS FOR A PARTICULAR PURPOSE ARE DISCLAIMED. IN NO EVENT SHALL AUTHORS OR</t>
  </si>
  <si>
    <t>CONTRIBUTORS BE LIABLE FOR ANY DIRECT, INDIRECT, INCIDENTAL, SPECIAL, EXEMPLARY, OR CONSEQUENTIAL DAMAGES (INCLUDING, BUT NOT</t>
  </si>
  <si>
    <t>LIMITED TO, PROCUREMENT OF SUBSTITUTE GOODS OR SERVICES; LOSS OF USE, DATA, OR PROFITS; OR BUSINESS INTERRUPTION) HOWEVER CAUSED</t>
  </si>
  <si>
    <t>AND ON ANY THEORY OF LIABILITY, WHETHER IN CONTRACT, STRICT LIABILITY, OR TORT (INCLUDING NEGLIGENCE OR OTHERWISE) ARISING IN</t>
  </si>
  <si>
    <t>ANY WAY OUT OF THE USE OF THIS SOFTWARE, EVEN IF ADVISED OF THE POSSIBILITY OF SUCH DAMAGE.</t>
  </si>
  <si>
    <t>Colour coding</t>
  </si>
  <si>
    <t>Constant value</t>
  </si>
  <si>
    <t>Formula: calculation</t>
  </si>
  <si>
    <t>Formula: copy</t>
  </si>
  <si>
    <t>Unused cell in input data table</t>
  </si>
  <si>
    <t>Unused cell in other table</t>
  </si>
  <si>
    <t>Unlocked cell for notes</t>
  </si>
  <si>
    <t>Worksheet</t>
  </si>
  <si>
    <t>Table</t>
  </si>
  <si>
    <t>Type of table</t>
  </si>
  <si>
    <t>Input</t>
  </si>
  <si>
    <t>Composite</t>
  </si>
  <si>
    <t>LAFs</t>
  </si>
  <si>
    <t>DRM</t>
  </si>
  <si>
    <t>SM</t>
  </si>
  <si>
    <t>Loads</t>
  </si>
  <si>
    <t>Multi</t>
  </si>
  <si>
    <t>Reshape table</t>
  </si>
  <si>
    <t>SMD</t>
  </si>
  <si>
    <t>AMD</t>
  </si>
  <si>
    <t>Otex</t>
  </si>
  <si>
    <t>Contrib</t>
  </si>
  <si>
    <t>Yard</t>
  </si>
  <si>
    <t>Standing</t>
  </si>
  <si>
    <t>AggCap</t>
  </si>
  <si>
    <t>Reactive</t>
  </si>
  <si>
    <t>Aggreg</t>
  </si>
  <si>
    <t>Revenue</t>
  </si>
  <si>
    <t>Adjust</t>
  </si>
  <si>
    <t>Tariffs</t>
  </si>
  <si>
    <t>Summary</t>
  </si>
  <si>
    <t>M-Rev</t>
  </si>
  <si>
    <t>CData</t>
  </si>
  <si>
    <t>CTables</t>
  </si>
  <si>
    <t>Tariff matrices</t>
  </si>
  <si>
    <t>Notes</t>
  </si>
  <si>
    <t>M-ATW</t>
  </si>
  <si>
    <t>Technical model rules and version control</t>
  </si>
  <si>
    <t>---</t>
  </si>
  <si>
    <t>PerlModule: CDCM</t>
  </si>
  <si>
    <t>agghhequalisation: rag</t>
  </si>
  <si>
    <t>alwaysUseRAG: 1</t>
  </si>
  <si>
    <t>blackPeakingProbabilityRequired: 1</t>
  </si>
  <si>
    <t>coincidenceAdj: groupums</t>
  </si>
  <si>
    <t>colour: orange</t>
  </si>
  <si>
    <t>drm: top500gsp</t>
  </si>
  <si>
    <t>extraLevels: 1</t>
  </si>
  <si>
    <t>fixedCap: 1-4</t>
  </si>
  <si>
    <t>matrices: big</t>
  </si>
  <si>
    <t>noReplacement: blanket</t>
  </si>
  <si>
    <t>pcd: 1</t>
  </si>
  <si>
    <t>portfolio: 1</t>
  </si>
  <si>
    <t>protect: 1</t>
  </si>
  <si>
    <t>revisionText: r7414</t>
  </si>
  <si>
    <t>scaler: adderppugeneralminzeronogen</t>
  </si>
  <si>
    <t>standing: sub132</t>
  </si>
  <si>
    <t>summary: consultation</t>
  </si>
  <si>
    <t>targetRevenue: dcp249</t>
  </si>
  <si>
    <t>tariffs: commongensubdcp130dcp163pc12hhpc34hhgennoreact</t>
  </si>
  <si>
    <t>template: '%-model228+'</t>
  </si>
  <si>
    <t>timeOfDay: timeOfDay179</t>
  </si>
  <si>
    <t>unauth: dayotex</t>
  </si>
  <si>
    <t>validation: lenientnomsg</t>
  </si>
  <si>
    <t>'~codeValidation':</t>
  </si>
  <si>
    <t xml:space="preserve">  CDCM/AML.pm: 456e00943a159e7b87cf01c5c4710e6a140ca47c</t>
  </si>
  <si>
    <t xml:space="preserve">  CDCM/Aggregation.pm: 372b53e6dba1fe9433020bbd13328009851a036a</t>
  </si>
  <si>
    <t xml:space="preserve">  CDCM/Contributions.pm: 27ad354dcefbc9a811f3db79dc8efe0f1833e5f3</t>
  </si>
  <si>
    <t xml:space="preserve">  CDCM/Discounts.pm: a7364da2114ba741a77c0d6cb86d8234e52f9f27</t>
  </si>
  <si>
    <t xml:space="preserve">  CDCM/Loads.pm: 8318fd13017faf9e8cc117bc2b5f75e978e6365b</t>
  </si>
  <si>
    <t xml:space="preserve">  CDCM/Master.pm: b888dfe95c5c84cdb82428a1727d2a974bc5a157</t>
  </si>
  <si>
    <t xml:space="preserve">  CDCM/Matching.pm: 01f6510e0d600acd5eaf457dc0ce7510a9e57a57</t>
  </si>
  <si>
    <t xml:space="preserve">  CDCM/NetworkSizer.pm: 50def4231b67757f2bd222cc1579fa342876afd0</t>
  </si>
  <si>
    <t xml:space="preserve">  CDCM/Operating.pm: c8ee43d2a1898e7c0e12aa50754522a86c4077c3</t>
  </si>
  <si>
    <t xml:space="preserve">  CDCM/Reactive.pm: e2318e6ee9559bf7cd3cfcfff58c399eb12c866a</t>
  </si>
  <si>
    <t xml:space="preserve">  CDCM/Revenue.pm: 6c445ed34c255f9ddc0b221c97478f1622f96850</t>
  </si>
  <si>
    <t xml:space="preserve">  CDCM/Routeing.pm: 9b718b597245d1b0721d2c7a64c50c2a706295b5</t>
  </si>
  <si>
    <t xml:space="preserve">  CDCM/SML.pm: aac911646d7138ef11303d19e73c7fb180fadeeb</t>
  </si>
  <si>
    <t xml:space="preserve">  CDCM/ServiceModels.pm: 962bc7cb35ba1dba1d76a82ebf31da562bb15636</t>
  </si>
  <si>
    <t xml:space="preserve">  CDCM/Setup.pm: fa9ab9e9febf3f6681cdfa8c05e2700627cf0251</t>
  </si>
  <si>
    <t xml:space="preserve">  CDCM/Sheets.pm: 9fd822bebed6e0c93722fe67a01c586d855391af</t>
  </si>
  <si>
    <t xml:space="preserve">  CDCM/Standing.pm: 0677863cc8c69940e82611a34f6a4cf6e6c938f6</t>
  </si>
  <si>
    <t xml:space="preserve">  CDCM/Summary.pm: 591dbcc9c325ebe7d3bb65b6fdd6fdc8c2b0d03b</t>
  </si>
  <si>
    <t xml:space="preserve">  CDCM/Table1001_2016.pm: 5f546f87942091a84a5cb5d655bf1d971cac11e6</t>
  </si>
  <si>
    <t xml:space="preserve">  CDCM/TariffList.pm: 64ad6df9569e545ee8cb15b755bb503f11a8d027</t>
  </si>
  <si>
    <t xml:space="preserve">  CDCM/Tariffs.pm: 76356ecc3a24bb7e0d1b998ff54ed84d4c66815d</t>
  </si>
  <si>
    <t xml:space="preserve">  CDCM/TimeOfDay179.pm: bcfbb0b849f3d51df08034f15d98c106a1026464</t>
  </si>
  <si>
    <t xml:space="preserve">  CDCM/Yardsticks.pm: 14fa4ca8c5e1b83888203f2a0a27b027b0e1be67</t>
  </si>
  <si>
    <t xml:space="preserve">  SpreadsheetModel/Arithmetic.pm: b1367f0a9de6b5af11373f288c79c34dcf1cd6d7</t>
  </si>
  <si>
    <t xml:space="preserve">  SpreadsheetModel/Book/FrontSheet.pm: 46ce018576f7ecdfeeb07df5d5468405cb06839c</t>
  </si>
  <si>
    <t xml:space="preserve">  SpreadsheetModel/Book/Manufacturing.pm: c9328f8ce467db0f50b8d1d3b6064a439a158536</t>
  </si>
  <si>
    <t xml:space="preserve">  SpreadsheetModel/Book/Validation.pm: ed2ab0782db26c535a153fdc187c4ac85d37bf0b</t>
  </si>
  <si>
    <t xml:space="preserve">  SpreadsheetModel/Book/WorkbookCreate.pm: a02f9620ecfc3c847594ec6a7f5d50a9a30b2168</t>
  </si>
  <si>
    <t xml:space="preserve">  SpreadsheetModel/Book/WorkbookFormats.pm: b659dd128e9de6350e6f389cbe5ac3c7e01ff09d</t>
  </si>
  <si>
    <t xml:space="preserve">  SpreadsheetModel/Columnset.pm: 672a86ec91518b1756e619af3caf5fd13a83fe72</t>
  </si>
  <si>
    <t xml:space="preserve">  SpreadsheetModel/Custom.pm: 64258a1a23160d1b05311a838e34f4078f7516be</t>
  </si>
  <si>
    <t xml:space="preserve">  SpreadsheetModel/Dataset.pm: 0d4dd59d0e133cd7ac0d1f5f60d67b42da63633e</t>
  </si>
  <si>
    <t xml:space="preserve">  SpreadsheetModel/FormatLegend.pm: 6542b2c1f994e4aa10f155c435cabafa7a9f5778</t>
  </si>
  <si>
    <t xml:space="preserve">  SpreadsheetModel/GroupBy.pm: a05f4878f468a3191257c58c4711fc115bde7e7d</t>
  </si>
  <si>
    <t xml:space="preserve">  SpreadsheetModel/Label.pm: 053d8801da63a168d467ae3cf12c6c32325befe3</t>
  </si>
  <si>
    <t xml:space="preserve">  SpreadsheetModel/Labelset.pm: 9869da1561c537b93ee2cbbfe04c5047c6144169</t>
  </si>
  <si>
    <t xml:space="preserve">  SpreadsheetModel/Logger.pm: 833fe1cc3c01cd760064f51dd812b9db75a8b221</t>
  </si>
  <si>
    <t xml:space="preserve">  SpreadsheetModel/Notes.pm: deac2cc524c26b5965f89ee6ab62979a9443d683</t>
  </si>
  <si>
    <t xml:space="preserve">  SpreadsheetModel/Object.pm: ad87af5906c5d614f2ee9535b691ad91f03c7c38</t>
  </si>
  <si>
    <t xml:space="preserve">  SpreadsheetModel/Reshape.pm: 44d60329c15bdfdf839a71781406c921808898b4</t>
  </si>
  <si>
    <t xml:space="preserve">  SpreadsheetModel/SegmentRoot.pm: b9c3f399e76a3369cc6271bc475efeffbc75e604</t>
  </si>
  <si>
    <t xml:space="preserve">  SpreadsheetModel/Shortcuts.pm: 862755d9f7270e4db643182f2a94f4d19dff749b</t>
  </si>
  <si>
    <t xml:space="preserve">  SpreadsheetModel/Stack.pm: 05a927d320fe0b49a01b5d253723cf04175915ac</t>
  </si>
  <si>
    <t xml:space="preserve">  SpreadsheetModel/SumProduct.pm: c5a66046bc650db92cb5b588c8b0b207eb91f4d4</t>
  </si>
  <si>
    <t>'~datasetName': Blank</t>
  </si>
  <si>
    <t>'~datasetSource': Empty dataset</t>
  </si>
  <si>
    <t>Generated on Sun 20 Nov 2016 12:44:11 by www.dcmf.co.uk</t>
  </si>
  <si>
    <t>Electricity North West</t>
  </si>
  <si>
    <t>Version 1</t>
  </si>
  <si>
    <t>2019/20</t>
  </si>
  <si>
    <t>2</t>
  </si>
  <si>
    <t>011, 041, 441, 511</t>
  </si>
  <si>
    <t xml:space="preserve">031, 051, 061, 451, 531 </t>
  </si>
  <si>
    <t>081, 581</t>
  </si>
  <si>
    <t>131, 191, 631</t>
  </si>
  <si>
    <t>161, 171, 661</t>
  </si>
  <si>
    <t>091, 591</t>
  </si>
  <si>
    <t>241, 431, 481, 751</t>
  </si>
  <si>
    <t>242, 432, 482, 752</t>
  </si>
  <si>
    <t>483, 753</t>
  </si>
  <si>
    <t>821, 851</t>
  </si>
  <si>
    <t>831, 861</t>
  </si>
  <si>
    <t>801, 841</t>
  </si>
  <si>
    <t>802, 842</t>
  </si>
  <si>
    <t>803, 843</t>
  </si>
</sst>
</file>

<file path=xl/styles.xml><?xml version="1.0" encoding="utf-8"?>
<styleSheet xmlns="http://schemas.openxmlformats.org/spreadsheetml/2006/main">
  <numFmts count="10">
    <numFmt numFmtId="164" formatCode="[Blue]General;[Red]\-General;;[Black]@"/>
    <numFmt numFmtId="165" formatCode="[Black]General;[Black]\-General;;[Black]@"/>
    <numFmt numFmtId="166" formatCode="[Black]\ _(???,???,??0_);[Red]\ \(???,???,??0\);;[Cyan]@"/>
    <numFmt numFmtId="167" formatCode="[Black]\ _(???,??0.000_);[Red]\ \(???,??0.000\);;[Cyan]@"/>
    <numFmt numFmtId="168" formatCode="[Black]\ _(?,??0.00%_);[Red]\ \(?,??0.00%\);;[Cyan]@"/>
    <numFmt numFmtId="169" formatCode="[Black]\ _(???,??0.0_);[Red]\ \(???,??0.0\);;[Cyan]@"/>
    <numFmt numFmtId="170" formatCode="[Black]\ _(???,??0.00_);[Red]\ \(???,??0.00\);;[Cyan]@"/>
    <numFmt numFmtId="171" formatCode="[Black]\ _(???,??0.00000_);[Red]\ \(???,??0.00000\);;[Cyan]@"/>
    <numFmt numFmtId="172" formatCode="[Blue]_-\+??,??0.00%;[Red]_+\-??,??0.00%;[Green]\=;[Cyan]@"/>
    <numFmt numFmtId="173" formatCode="[Blue]_-\+?0.000;[Red]_+\-?0.000;[Green]\=;[Cyan]@"/>
  </numFmts>
  <fonts count="9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b/>
      <sz val="11"/>
      <color rgb="FFFF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6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/>
    <xf numFmtId="49" fontId="2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>
      <alignment horizontal="left" wrapText="1"/>
    </xf>
    <xf numFmtId="164" fontId="3" fillId="4" borderId="0" xfId="0" applyNumberFormat="1" applyFont="1" applyFill="1" applyAlignment="1">
      <alignment horizontal="left" wrapText="1"/>
    </xf>
    <xf numFmtId="164" fontId="3" fillId="5" borderId="0" xfId="0" applyNumberFormat="1" applyFont="1" applyFill="1" applyAlignment="1">
      <alignment horizontal="left" wrapText="1"/>
    </xf>
    <xf numFmtId="164" fontId="3" fillId="6" borderId="0" xfId="0" applyNumberFormat="1" applyFont="1" applyFill="1" applyAlignment="1">
      <alignment horizontal="left" wrapText="1"/>
    </xf>
    <xf numFmtId="164" fontId="0" fillId="7" borderId="0" xfId="0" applyNumberFormat="1" applyFill="1" applyAlignment="1">
      <alignment horizontal="center"/>
    </xf>
    <xf numFmtId="164" fontId="0" fillId="8" borderId="0" xfId="0" applyNumberFormat="1" applyFill="1" applyAlignment="1">
      <alignment horizontal="center"/>
    </xf>
    <xf numFmtId="0" fontId="4" fillId="0" borderId="1" xfId="0" applyFont="1" applyBorder="1"/>
    <xf numFmtId="164" fontId="2" fillId="2" borderId="0" xfId="0" applyNumberFormat="1" applyFont="1" applyFill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center" wrapText="1"/>
    </xf>
    <xf numFmtId="165" fontId="3" fillId="3" borderId="0" xfId="0" applyNumberFormat="1" applyFont="1" applyFill="1" applyAlignment="1" applyProtection="1">
      <alignment horizontal="center" wrapText="1"/>
      <protection locked="0"/>
    </xf>
    <xf numFmtId="0" fontId="4" fillId="0" borderId="1" xfId="0" applyFont="1" applyBorder="1" applyProtection="1">
      <protection locked="0"/>
    </xf>
    <xf numFmtId="164" fontId="3" fillId="0" borderId="0" xfId="0" applyNumberFormat="1" applyFont="1" applyAlignment="1" applyProtection="1">
      <alignment horizontal="left" wrapText="1"/>
      <protection locked="0"/>
    </xf>
    <xf numFmtId="164" fontId="3" fillId="0" borderId="0" xfId="0" applyNumberFormat="1" applyFont="1" applyAlignment="1" applyProtection="1">
      <alignment horizontal="center" wrapText="1"/>
      <protection locked="0"/>
    </xf>
    <xf numFmtId="166" fontId="3" fillId="3" borderId="0" xfId="0" applyNumberFormat="1" applyFont="1" applyFill="1" applyAlignment="1" applyProtection="1">
      <alignment horizontal="center"/>
      <protection locked="0"/>
    </xf>
    <xf numFmtId="167" fontId="3" fillId="3" borderId="0" xfId="0" applyNumberFormat="1" applyFont="1" applyFill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left" wrapText="1"/>
      <protection locked="0"/>
    </xf>
    <xf numFmtId="164" fontId="6" fillId="0" borderId="0" xfId="0" applyNumberFormat="1" applyFont="1" applyAlignment="1" applyProtection="1">
      <alignment horizontal="center" wrapText="1"/>
      <protection locked="0"/>
    </xf>
    <xf numFmtId="164" fontId="0" fillId="7" borderId="0" xfId="0" applyNumberFormat="1" applyFill="1" applyAlignment="1" applyProtection="1">
      <alignment horizontal="center"/>
      <protection locked="0"/>
    </xf>
    <xf numFmtId="166" fontId="6" fillId="5" borderId="0" xfId="0" applyNumberFormat="1" applyFont="1" applyFill="1" applyAlignment="1">
      <alignment horizontal="center"/>
    </xf>
    <xf numFmtId="167" fontId="3" fillId="4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left" wrapText="1"/>
    </xf>
    <xf numFmtId="164" fontId="7" fillId="2" borderId="2" xfId="0" applyNumberFormat="1" applyFont="1" applyFill="1" applyBorder="1" applyAlignment="1">
      <alignment horizontal="centerContinuous" wrapText="1"/>
    </xf>
    <xf numFmtId="49" fontId="5" fillId="0" borderId="0" xfId="0" applyNumberFormat="1" applyFont="1"/>
    <xf numFmtId="49" fontId="0" fillId="0" borderId="2" xfId="0" applyNumberFormat="1" applyBorder="1" applyAlignment="1">
      <alignment horizontal="centerContinuous" wrapText="1"/>
    </xf>
    <xf numFmtId="49" fontId="0" fillId="0" borderId="0" xfId="0" applyNumberFormat="1" applyAlignment="1">
      <alignment horizontal="left"/>
    </xf>
    <xf numFmtId="164" fontId="7" fillId="2" borderId="0" xfId="0" applyNumberFormat="1" applyFont="1" applyFill="1" applyAlignment="1">
      <alignment horizontal="left"/>
    </xf>
    <xf numFmtId="166" fontId="3" fillId="4" borderId="0" xfId="0" applyNumberFormat="1" applyFont="1" applyFill="1" applyAlignment="1">
      <alignment horizontal="center"/>
    </xf>
    <xf numFmtId="167" fontId="3" fillId="5" borderId="0" xfId="0" applyNumberFormat="1" applyFont="1" applyFill="1" applyAlignment="1">
      <alignment horizontal="center"/>
    </xf>
    <xf numFmtId="167" fontId="3" fillId="6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8" fontId="3" fillId="4" borderId="0" xfId="0" applyNumberFormat="1" applyFont="1" applyFill="1" applyAlignment="1">
      <alignment horizontal="center"/>
    </xf>
    <xf numFmtId="168" fontId="3" fillId="6" borderId="0" xfId="0" applyNumberFormat="1" applyFont="1" applyFill="1" applyAlignment="1">
      <alignment horizontal="center"/>
    </xf>
    <xf numFmtId="166" fontId="3" fillId="5" borderId="0" xfId="0" applyNumberFormat="1" applyFont="1" applyFill="1" applyAlignment="1">
      <alignment horizontal="center"/>
    </xf>
    <xf numFmtId="169" fontId="3" fillId="5" borderId="0" xfId="0" applyNumberFormat="1" applyFont="1" applyFill="1" applyAlignment="1">
      <alignment horizontal="center"/>
    </xf>
    <xf numFmtId="166" fontId="3" fillId="6" borderId="0" xfId="0" applyNumberFormat="1" applyFont="1" applyFill="1" applyAlignment="1">
      <alignment horizontal="center"/>
    </xf>
    <xf numFmtId="171" fontId="3" fillId="5" borderId="0" xfId="0" applyNumberFormat="1" applyFont="1" applyFill="1" applyAlignment="1">
      <alignment horizontal="center"/>
    </xf>
    <xf numFmtId="170" fontId="3" fillId="5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horizontal="center" wrapText="1"/>
    </xf>
    <xf numFmtId="170" fontId="3" fillId="6" borderId="0" xfId="0" applyNumberFormat="1" applyFont="1" applyFill="1" applyAlignment="1">
      <alignment horizontal="center"/>
    </xf>
    <xf numFmtId="172" fontId="3" fillId="5" borderId="0" xfId="0" applyNumberFormat="1" applyFont="1" applyFill="1" applyAlignment="1">
      <alignment horizontal="center"/>
    </xf>
    <xf numFmtId="173" fontId="3" fillId="5" borderId="0" xfId="0" applyNumberFormat="1" applyFont="1" applyFill="1" applyAlignment="1">
      <alignment horizontal="center"/>
    </xf>
    <xf numFmtId="169" fontId="3" fillId="9" borderId="0" xfId="0" applyNumberFormat="1" applyFont="1" applyFill="1" applyAlignment="1" applyProtection="1">
      <alignment horizontal="center"/>
      <protection locked="0"/>
    </xf>
    <xf numFmtId="167" fontId="3" fillId="9" borderId="0" xfId="0" applyNumberFormat="1" applyFont="1" applyFill="1" applyAlignment="1" applyProtection="1">
      <alignment horizontal="center"/>
      <protection locked="0"/>
    </xf>
    <xf numFmtId="165" fontId="3" fillId="9" borderId="0" xfId="0" applyNumberFormat="1" applyFont="1" applyFill="1" applyAlignment="1" applyProtection="1">
      <alignment horizontal="center" wrapText="1"/>
      <protection locked="0"/>
    </xf>
    <xf numFmtId="166" fontId="3" fillId="9" borderId="0" xfId="0" applyNumberFormat="1" applyFont="1" applyFill="1" applyAlignment="1" applyProtection="1">
      <alignment horizontal="center"/>
      <protection locked="0"/>
    </xf>
    <xf numFmtId="168" fontId="3" fillId="9" borderId="0" xfId="0" applyNumberFormat="1" applyFont="1" applyFill="1" applyAlignment="1" applyProtection="1">
      <alignment horizontal="center"/>
      <protection locked="0"/>
    </xf>
    <xf numFmtId="170" fontId="0" fillId="7" borderId="0" xfId="0" applyNumberFormat="1" applyFill="1" applyAlignment="1" applyProtection="1">
      <alignment horizontal="center"/>
      <protection locked="0"/>
    </xf>
    <xf numFmtId="170" fontId="3" fillId="9" borderId="0" xfId="0" applyNumberFormat="1" applyFont="1" applyFill="1" applyAlignment="1" applyProtection="1">
      <alignment horizontal="center"/>
      <protection locked="0"/>
    </xf>
    <xf numFmtId="9" fontId="3" fillId="9" borderId="0" xfId="1" applyFont="1" applyFill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25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16.7109375" customWidth="1"/>
    <col min="2" max="2" width="112.7109375" customWidth="1"/>
    <col min="3" max="251" width="32.7109375" customWidth="1"/>
  </cols>
  <sheetData>
    <row r="1" spans="1:1" ht="21" customHeight="1">
      <c r="A1" s="1" t="str">
        <f>"Index for "&amp;Input!B7&amp;" in "&amp;Input!C7&amp;" ("&amp;Input!D7&amp;")"</f>
        <v>Index for Electricity North West in 2019/20 (Version 1)</v>
      </c>
    </row>
    <row r="3" spans="1:1">
      <c r="A3" s="2" t="s">
        <v>1694</v>
      </c>
    </row>
    <row r="4" spans="1:1">
      <c r="A4" s="2" t="s">
        <v>1695</v>
      </c>
    </row>
    <row r="5" spans="1:1">
      <c r="A5" s="2" t="s">
        <v>1696</v>
      </c>
    </row>
    <row r="6" spans="1:1">
      <c r="A6" s="2" t="s">
        <v>1697</v>
      </c>
    </row>
    <row r="8" spans="1:1">
      <c r="A8" s="3" t="s">
        <v>1698</v>
      </c>
    </row>
    <row r="10" spans="1:1">
      <c r="A10" s="2" t="s">
        <v>1699</v>
      </c>
    </row>
    <row r="11" spans="1:1">
      <c r="A11" s="2" t="s">
        <v>1700</v>
      </c>
    </row>
    <row r="12" spans="1:1">
      <c r="A12" s="2" t="s">
        <v>1701</v>
      </c>
    </row>
    <row r="13" spans="1:1">
      <c r="A13" s="2" t="s">
        <v>1702</v>
      </c>
    </row>
    <row r="14" spans="1:1">
      <c r="A14" s="2" t="s">
        <v>1703</v>
      </c>
    </row>
    <row r="15" spans="1:1">
      <c r="A15" s="2" t="s">
        <v>1704</v>
      </c>
    </row>
    <row r="17" spans="1:3">
      <c r="A17" s="2" t="s">
        <v>1705</v>
      </c>
    </row>
    <row r="18" spans="1:3">
      <c r="A18" s="2" t="s">
        <v>1706</v>
      </c>
    </row>
    <row r="19" spans="1:3">
      <c r="A19" s="2" t="s">
        <v>1707</v>
      </c>
      <c r="C19" s="4" t="s">
        <v>1715</v>
      </c>
    </row>
    <row r="20" spans="1:3">
      <c r="A20" s="2" t="s">
        <v>1708</v>
      </c>
      <c r="C20" s="5" t="s">
        <v>1470</v>
      </c>
    </row>
    <row r="21" spans="1:3">
      <c r="A21" s="2" t="s">
        <v>1709</v>
      </c>
      <c r="C21" s="6" t="s">
        <v>1716</v>
      </c>
    </row>
    <row r="22" spans="1:3">
      <c r="A22" s="2" t="s">
        <v>1710</v>
      </c>
      <c r="C22" s="7" t="s">
        <v>1717</v>
      </c>
    </row>
    <row r="23" spans="1:3">
      <c r="A23" s="2" t="s">
        <v>1711</v>
      </c>
      <c r="C23" s="8" t="s">
        <v>1718</v>
      </c>
    </row>
    <row r="24" spans="1:3">
      <c r="A24" s="2" t="s">
        <v>1712</v>
      </c>
      <c r="C24" s="9" t="s">
        <v>1719</v>
      </c>
    </row>
    <row r="25" spans="1:3">
      <c r="A25" s="2" t="s">
        <v>1713</v>
      </c>
      <c r="C25" s="10" t="s">
        <v>1720</v>
      </c>
    </row>
    <row r="26" spans="1:3">
      <c r="A26" s="2" t="s">
        <v>1714</v>
      </c>
      <c r="C26" s="11" t="s">
        <v>1721</v>
      </c>
    </row>
    <row r="28" spans="1:3">
      <c r="A28" s="12" t="s">
        <v>1722</v>
      </c>
      <c r="B28" s="12" t="s">
        <v>1723</v>
      </c>
      <c r="C28" s="12" t="s">
        <v>1724</v>
      </c>
    </row>
    <row r="29" spans="1:3">
      <c r="A29" s="13" t="s">
        <v>1725</v>
      </c>
      <c r="B29" s="14" t="s">
        <v>0</v>
      </c>
      <c r="C29" s="13" t="s">
        <v>1470</v>
      </c>
    </row>
    <row r="30" spans="1:3">
      <c r="A30" s="13" t="s">
        <v>1725</v>
      </c>
      <c r="B30" s="14" t="s">
        <v>5</v>
      </c>
      <c r="C30" s="13" t="s">
        <v>1726</v>
      </c>
    </row>
    <row r="31" spans="1:3">
      <c r="A31" s="13" t="s">
        <v>1725</v>
      </c>
      <c r="B31" s="14" t="s">
        <v>132</v>
      </c>
      <c r="C31" s="13" t="s">
        <v>1726</v>
      </c>
    </row>
    <row r="32" spans="1:3">
      <c r="A32" s="13" t="s">
        <v>1725</v>
      </c>
      <c r="B32" s="14" t="s">
        <v>141</v>
      </c>
      <c r="C32" s="13" t="s">
        <v>1470</v>
      </c>
    </row>
    <row r="33" spans="1:3">
      <c r="A33" s="13" t="s">
        <v>1725</v>
      </c>
      <c r="B33" s="14" t="s">
        <v>156</v>
      </c>
      <c r="C33" s="13" t="s">
        <v>1470</v>
      </c>
    </row>
    <row r="34" spans="1:3">
      <c r="A34" s="13" t="s">
        <v>1725</v>
      </c>
      <c r="B34" s="14" t="s">
        <v>158</v>
      </c>
      <c r="C34" s="13" t="s">
        <v>1470</v>
      </c>
    </row>
    <row r="35" spans="1:3">
      <c r="A35" s="13" t="s">
        <v>1725</v>
      </c>
      <c r="B35" s="14" t="s">
        <v>160</v>
      </c>
      <c r="C35" s="13" t="s">
        <v>1470</v>
      </c>
    </row>
    <row r="36" spans="1:3">
      <c r="A36" s="13" t="s">
        <v>1725</v>
      </c>
      <c r="B36" s="14" t="s">
        <v>162</v>
      </c>
      <c r="C36" s="13" t="s">
        <v>1470</v>
      </c>
    </row>
    <row r="37" spans="1:3">
      <c r="A37" s="13" t="s">
        <v>1725</v>
      </c>
      <c r="B37" s="14" t="s">
        <v>172</v>
      </c>
      <c r="C37" s="13" t="s">
        <v>1470</v>
      </c>
    </row>
    <row r="38" spans="1:3">
      <c r="A38" s="13" t="s">
        <v>1725</v>
      </c>
      <c r="B38" s="14" t="s">
        <v>179</v>
      </c>
      <c r="C38" s="13" t="s">
        <v>1470</v>
      </c>
    </row>
    <row r="39" spans="1:3">
      <c r="A39" s="13" t="s">
        <v>1725</v>
      </c>
      <c r="B39" s="14" t="s">
        <v>200</v>
      </c>
      <c r="C39" s="13" t="s">
        <v>1470</v>
      </c>
    </row>
    <row r="40" spans="1:3">
      <c r="A40" s="13" t="s">
        <v>1725</v>
      </c>
      <c r="B40" s="14" t="s">
        <v>204</v>
      </c>
      <c r="C40" s="13" t="s">
        <v>1470</v>
      </c>
    </row>
    <row r="41" spans="1:3">
      <c r="A41" s="13" t="s">
        <v>1725</v>
      </c>
      <c r="B41" s="14" t="s">
        <v>211</v>
      </c>
      <c r="C41" s="13" t="s">
        <v>1470</v>
      </c>
    </row>
    <row r="42" spans="1:3">
      <c r="A42" s="13" t="s">
        <v>1725</v>
      </c>
      <c r="B42" s="14" t="s">
        <v>214</v>
      </c>
      <c r="C42" s="13" t="s">
        <v>1470</v>
      </c>
    </row>
    <row r="43" spans="1:3">
      <c r="A43" s="13" t="s">
        <v>1725</v>
      </c>
      <c r="B43" s="14" t="s">
        <v>222</v>
      </c>
      <c r="C43" s="13" t="s">
        <v>1470</v>
      </c>
    </row>
    <row r="44" spans="1:3">
      <c r="A44" s="13" t="s">
        <v>1725</v>
      </c>
      <c r="B44" s="14" t="s">
        <v>233</v>
      </c>
      <c r="C44" s="13" t="s">
        <v>1470</v>
      </c>
    </row>
    <row r="45" spans="1:3">
      <c r="A45" s="13" t="s">
        <v>1725</v>
      </c>
      <c r="B45" s="14" t="s">
        <v>320</v>
      </c>
      <c r="C45" s="13" t="s">
        <v>1470</v>
      </c>
    </row>
    <row r="46" spans="1:3">
      <c r="A46" s="13" t="s">
        <v>1725</v>
      </c>
      <c r="B46" s="14" t="s">
        <v>323</v>
      </c>
      <c r="C46" s="13" t="s">
        <v>1470</v>
      </c>
    </row>
    <row r="47" spans="1:3">
      <c r="A47" s="13" t="s">
        <v>1725</v>
      </c>
      <c r="B47" s="14" t="s">
        <v>329</v>
      </c>
      <c r="C47" s="13" t="s">
        <v>1470</v>
      </c>
    </row>
    <row r="48" spans="1:3">
      <c r="A48" s="13" t="s">
        <v>1725</v>
      </c>
      <c r="B48" s="14" t="s">
        <v>345</v>
      </c>
      <c r="C48" s="13" t="s">
        <v>1470</v>
      </c>
    </row>
    <row r="49" spans="1:3">
      <c r="A49" s="13" t="s">
        <v>1725</v>
      </c>
      <c r="B49" s="14" t="s">
        <v>349</v>
      </c>
      <c r="C49" s="13" t="s">
        <v>1470</v>
      </c>
    </row>
    <row r="50" spans="1:3">
      <c r="A50" s="13" t="s">
        <v>1725</v>
      </c>
      <c r="B50" s="14" t="s">
        <v>350</v>
      </c>
      <c r="C50" s="13" t="s">
        <v>1470</v>
      </c>
    </row>
    <row r="51" spans="1:3">
      <c r="A51" s="13" t="s">
        <v>1725</v>
      </c>
      <c r="B51" s="14" t="s">
        <v>353</v>
      </c>
      <c r="C51" s="13" t="s">
        <v>1470</v>
      </c>
    </row>
    <row r="52" spans="1:3">
      <c r="A52" s="13" t="s">
        <v>1725</v>
      </c>
      <c r="B52" s="14" t="s">
        <v>357</v>
      </c>
      <c r="C52" s="13" t="s">
        <v>1470</v>
      </c>
    </row>
    <row r="53" spans="1:3">
      <c r="A53" s="13" t="s">
        <v>1725</v>
      </c>
      <c r="B53" s="14" t="s">
        <v>358</v>
      </c>
      <c r="C53" s="13" t="s">
        <v>1470</v>
      </c>
    </row>
    <row r="54" spans="1:3">
      <c r="A54" s="13" t="s">
        <v>1725</v>
      </c>
      <c r="B54" s="14" t="s">
        <v>362</v>
      </c>
      <c r="C54" s="13" t="s">
        <v>1470</v>
      </c>
    </row>
    <row r="55" spans="1:3">
      <c r="A55" s="13" t="s">
        <v>1725</v>
      </c>
      <c r="B55" s="14" t="s">
        <v>366</v>
      </c>
      <c r="C55" s="13" t="s">
        <v>1470</v>
      </c>
    </row>
    <row r="56" spans="1:3">
      <c r="A56" s="13" t="s">
        <v>1727</v>
      </c>
      <c r="B56" s="14" t="s">
        <v>378</v>
      </c>
      <c r="C56" s="13" t="s">
        <v>1726</v>
      </c>
    </row>
    <row r="57" spans="1:3">
      <c r="A57" s="13" t="s">
        <v>1727</v>
      </c>
      <c r="B57" s="14" t="s">
        <v>389</v>
      </c>
      <c r="C57" s="13" t="s">
        <v>383</v>
      </c>
    </row>
    <row r="58" spans="1:3">
      <c r="A58" s="13" t="s">
        <v>1727</v>
      </c>
      <c r="B58" s="14" t="s">
        <v>390</v>
      </c>
      <c r="C58" s="13" t="s">
        <v>384</v>
      </c>
    </row>
    <row r="59" spans="1:3">
      <c r="A59" s="13" t="s">
        <v>1727</v>
      </c>
      <c r="B59" s="14" t="s">
        <v>394</v>
      </c>
      <c r="C59" s="13" t="s">
        <v>547</v>
      </c>
    </row>
    <row r="60" spans="1:3">
      <c r="A60" s="13" t="s">
        <v>1727</v>
      </c>
      <c r="B60" s="14" t="s">
        <v>399</v>
      </c>
      <c r="C60" s="13" t="s">
        <v>383</v>
      </c>
    </row>
    <row r="61" spans="1:3">
      <c r="A61" s="13" t="s">
        <v>1727</v>
      </c>
      <c r="B61" s="14" t="s">
        <v>403</v>
      </c>
      <c r="C61" s="13" t="s">
        <v>512</v>
      </c>
    </row>
    <row r="62" spans="1:3">
      <c r="A62" s="13" t="s">
        <v>1727</v>
      </c>
      <c r="B62" s="14" t="s">
        <v>406</v>
      </c>
      <c r="C62" s="13" t="s">
        <v>512</v>
      </c>
    </row>
    <row r="63" spans="1:3">
      <c r="A63" s="13" t="s">
        <v>1727</v>
      </c>
      <c r="B63" s="14" t="s">
        <v>407</v>
      </c>
      <c r="C63" s="13" t="s">
        <v>512</v>
      </c>
    </row>
    <row r="64" spans="1:3">
      <c r="A64" s="13" t="s">
        <v>1727</v>
      </c>
      <c r="B64" s="14" t="s">
        <v>408</v>
      </c>
      <c r="C64" s="13" t="s">
        <v>547</v>
      </c>
    </row>
    <row r="65" spans="1:3">
      <c r="A65" s="13" t="s">
        <v>1727</v>
      </c>
      <c r="B65" s="14" t="s">
        <v>415</v>
      </c>
      <c r="C65" s="13" t="s">
        <v>384</v>
      </c>
    </row>
    <row r="66" spans="1:3">
      <c r="A66" s="13" t="s">
        <v>1727</v>
      </c>
      <c r="B66" s="14" t="s">
        <v>418</v>
      </c>
      <c r="C66" s="13" t="s">
        <v>547</v>
      </c>
    </row>
    <row r="67" spans="1:3">
      <c r="A67" s="13" t="s">
        <v>1727</v>
      </c>
      <c r="B67" s="14" t="s">
        <v>423</v>
      </c>
      <c r="C67" s="13" t="s">
        <v>512</v>
      </c>
    </row>
    <row r="68" spans="1:3">
      <c r="A68" s="13" t="s">
        <v>1728</v>
      </c>
      <c r="B68" s="14" t="s">
        <v>429</v>
      </c>
      <c r="C68" s="13" t="s">
        <v>512</v>
      </c>
    </row>
    <row r="69" spans="1:3">
      <c r="A69" s="13" t="s">
        <v>1728</v>
      </c>
      <c r="B69" s="14" t="s">
        <v>435</v>
      </c>
      <c r="C69" s="13" t="s">
        <v>547</v>
      </c>
    </row>
    <row r="70" spans="1:3">
      <c r="A70" s="13" t="s">
        <v>1728</v>
      </c>
      <c r="B70" s="14" t="s">
        <v>438</v>
      </c>
      <c r="C70" s="13" t="s">
        <v>1726</v>
      </c>
    </row>
    <row r="71" spans="1:3">
      <c r="A71" s="13" t="s">
        <v>1728</v>
      </c>
      <c r="B71" s="14" t="s">
        <v>447</v>
      </c>
      <c r="C71" s="13" t="s">
        <v>450</v>
      </c>
    </row>
    <row r="72" spans="1:3">
      <c r="A72" s="13" t="s">
        <v>1728</v>
      </c>
      <c r="B72" s="14" t="s">
        <v>456</v>
      </c>
      <c r="C72" s="13" t="s">
        <v>512</v>
      </c>
    </row>
    <row r="73" spans="1:3">
      <c r="A73" s="13" t="s">
        <v>1728</v>
      </c>
      <c r="B73" s="14" t="s">
        <v>461</v>
      </c>
      <c r="C73" s="13" t="s">
        <v>512</v>
      </c>
    </row>
    <row r="74" spans="1:3">
      <c r="A74" s="13" t="s">
        <v>1728</v>
      </c>
      <c r="B74" s="14" t="s">
        <v>467</v>
      </c>
      <c r="C74" s="13" t="s">
        <v>547</v>
      </c>
    </row>
    <row r="75" spans="1:3">
      <c r="A75" s="13" t="s">
        <v>1728</v>
      </c>
      <c r="B75" s="14" t="s">
        <v>469</v>
      </c>
      <c r="C75" s="13" t="s">
        <v>384</v>
      </c>
    </row>
    <row r="76" spans="1:3">
      <c r="A76" s="13" t="s">
        <v>1728</v>
      </c>
      <c r="B76" s="14" t="s">
        <v>473</v>
      </c>
      <c r="C76" s="13" t="s">
        <v>512</v>
      </c>
    </row>
    <row r="77" spans="1:3">
      <c r="A77" s="13" t="s">
        <v>1729</v>
      </c>
      <c r="B77" s="14" t="s">
        <v>488</v>
      </c>
      <c r="C77" s="13" t="s">
        <v>384</v>
      </c>
    </row>
    <row r="78" spans="1:3">
      <c r="A78" s="13" t="s">
        <v>1729</v>
      </c>
      <c r="B78" s="14" t="s">
        <v>492</v>
      </c>
      <c r="C78" s="13" t="s">
        <v>384</v>
      </c>
    </row>
    <row r="79" spans="1:3">
      <c r="A79" s="13" t="s">
        <v>1729</v>
      </c>
      <c r="B79" s="14" t="s">
        <v>495</v>
      </c>
      <c r="C79" s="13" t="s">
        <v>512</v>
      </c>
    </row>
    <row r="80" spans="1:3">
      <c r="A80" s="13" t="s">
        <v>1729</v>
      </c>
      <c r="B80" s="14" t="s">
        <v>500</v>
      </c>
      <c r="C80" s="13" t="s">
        <v>384</v>
      </c>
    </row>
    <row r="81" spans="1:3">
      <c r="A81" s="13" t="s">
        <v>1729</v>
      </c>
      <c r="B81" s="14" t="s">
        <v>504</v>
      </c>
      <c r="C81" s="13" t="s">
        <v>547</v>
      </c>
    </row>
    <row r="82" spans="1:3">
      <c r="A82" s="13" t="s">
        <v>1729</v>
      </c>
      <c r="B82" s="14" t="s">
        <v>507</v>
      </c>
      <c r="C82" s="13" t="s">
        <v>1726</v>
      </c>
    </row>
    <row r="83" spans="1:3">
      <c r="A83" s="13" t="s">
        <v>1730</v>
      </c>
      <c r="B83" s="14" t="s">
        <v>525</v>
      </c>
      <c r="C83" s="13" t="s">
        <v>512</v>
      </c>
    </row>
    <row r="84" spans="1:3">
      <c r="A84" s="13" t="s">
        <v>1730</v>
      </c>
      <c r="B84" s="14" t="s">
        <v>529</v>
      </c>
      <c r="C84" s="13" t="s">
        <v>547</v>
      </c>
    </row>
    <row r="85" spans="1:3">
      <c r="A85" s="13" t="s">
        <v>1730</v>
      </c>
      <c r="B85" s="14" t="s">
        <v>533</v>
      </c>
      <c r="C85" s="13" t="s">
        <v>383</v>
      </c>
    </row>
    <row r="86" spans="1:3">
      <c r="A86" s="13" t="s">
        <v>1730</v>
      </c>
      <c r="B86" s="14" t="s">
        <v>534</v>
      </c>
      <c r="C86" s="13" t="s">
        <v>1726</v>
      </c>
    </row>
    <row r="87" spans="1:3">
      <c r="A87" s="13" t="s">
        <v>1730</v>
      </c>
      <c r="B87" s="14" t="s">
        <v>558</v>
      </c>
      <c r="C87" s="13" t="s">
        <v>513</v>
      </c>
    </row>
    <row r="88" spans="1:3">
      <c r="A88" s="13" t="s">
        <v>1731</v>
      </c>
      <c r="B88" s="14" t="s">
        <v>572</v>
      </c>
      <c r="C88" s="13" t="s">
        <v>1726</v>
      </c>
    </row>
    <row r="89" spans="1:3">
      <c r="A89" s="13" t="s">
        <v>1731</v>
      </c>
      <c r="B89" s="14" t="s">
        <v>580</v>
      </c>
      <c r="C89" s="13" t="s">
        <v>1726</v>
      </c>
    </row>
    <row r="90" spans="1:3">
      <c r="A90" s="13" t="s">
        <v>1731</v>
      </c>
      <c r="B90" s="14" t="s">
        <v>588</v>
      </c>
      <c r="C90" s="13" t="s">
        <v>547</v>
      </c>
    </row>
    <row r="91" spans="1:3">
      <c r="A91" s="13" t="s">
        <v>1731</v>
      </c>
      <c r="B91" s="14" t="s">
        <v>591</v>
      </c>
      <c r="C91" s="13" t="s">
        <v>1726</v>
      </c>
    </row>
    <row r="92" spans="1:3">
      <c r="A92" s="13" t="s">
        <v>1731</v>
      </c>
      <c r="B92" s="14" t="s">
        <v>595</v>
      </c>
      <c r="C92" s="13" t="s">
        <v>547</v>
      </c>
    </row>
    <row r="93" spans="1:3">
      <c r="A93" s="13" t="s">
        <v>1731</v>
      </c>
      <c r="B93" s="14" t="s">
        <v>598</v>
      </c>
      <c r="C93" s="13" t="s">
        <v>383</v>
      </c>
    </row>
    <row r="94" spans="1:3">
      <c r="A94" s="13" t="s">
        <v>1731</v>
      </c>
      <c r="B94" s="14" t="s">
        <v>599</v>
      </c>
      <c r="C94" s="13" t="s">
        <v>512</v>
      </c>
    </row>
    <row r="95" spans="1:3">
      <c r="A95" s="13" t="s">
        <v>1731</v>
      </c>
      <c r="B95" s="14" t="s">
        <v>605</v>
      </c>
      <c r="C95" s="13" t="s">
        <v>512</v>
      </c>
    </row>
    <row r="96" spans="1:3">
      <c r="A96" s="13" t="s">
        <v>1731</v>
      </c>
      <c r="B96" s="14" t="s">
        <v>616</v>
      </c>
      <c r="C96" s="13" t="s">
        <v>512</v>
      </c>
    </row>
    <row r="97" spans="1:3">
      <c r="A97" s="13" t="s">
        <v>1731</v>
      </c>
      <c r="B97" s="14" t="s">
        <v>626</v>
      </c>
      <c r="C97" s="13" t="s">
        <v>512</v>
      </c>
    </row>
    <row r="98" spans="1:3">
      <c r="A98" s="13" t="s">
        <v>1731</v>
      </c>
      <c r="B98" s="14" t="s">
        <v>636</v>
      </c>
      <c r="C98" s="13" t="s">
        <v>1726</v>
      </c>
    </row>
    <row r="99" spans="1:3">
      <c r="A99" s="13" t="s">
        <v>1731</v>
      </c>
      <c r="B99" s="14" t="s">
        <v>646</v>
      </c>
      <c r="C99" s="13" t="s">
        <v>1726</v>
      </c>
    </row>
    <row r="100" spans="1:3">
      <c r="A100" s="13" t="s">
        <v>1731</v>
      </c>
      <c r="B100" s="14" t="s">
        <v>654</v>
      </c>
      <c r="C100" s="13" t="s">
        <v>1732</v>
      </c>
    </row>
    <row r="101" spans="1:3">
      <c r="A101" s="13" t="s">
        <v>1731</v>
      </c>
      <c r="B101" s="14" t="s">
        <v>658</v>
      </c>
      <c r="C101" s="13" t="s">
        <v>512</v>
      </c>
    </row>
    <row r="102" spans="1:3">
      <c r="A102" s="13" t="s">
        <v>1731</v>
      </c>
      <c r="B102" s="14" t="s">
        <v>663</v>
      </c>
      <c r="C102" s="13" t="s">
        <v>441</v>
      </c>
    </row>
    <row r="103" spans="1:3">
      <c r="A103" s="13" t="s">
        <v>1731</v>
      </c>
      <c r="B103" s="14" t="s">
        <v>666</v>
      </c>
      <c r="C103" s="13" t="s">
        <v>441</v>
      </c>
    </row>
    <row r="104" spans="1:3">
      <c r="A104" s="13" t="s">
        <v>1731</v>
      </c>
      <c r="B104" s="14" t="s">
        <v>668</v>
      </c>
      <c r="C104" s="13" t="s">
        <v>441</v>
      </c>
    </row>
    <row r="105" spans="1:3">
      <c r="A105" s="13" t="s">
        <v>1731</v>
      </c>
      <c r="B105" s="14" t="s">
        <v>670</v>
      </c>
      <c r="C105" s="13" t="s">
        <v>384</v>
      </c>
    </row>
    <row r="106" spans="1:3">
      <c r="A106" s="13" t="s">
        <v>1731</v>
      </c>
      <c r="B106" s="14" t="s">
        <v>673</v>
      </c>
      <c r="C106" s="13" t="s">
        <v>441</v>
      </c>
    </row>
    <row r="107" spans="1:3">
      <c r="A107" s="13" t="s">
        <v>1731</v>
      </c>
      <c r="B107" s="14" t="s">
        <v>675</v>
      </c>
      <c r="C107" s="13" t="s">
        <v>441</v>
      </c>
    </row>
    <row r="108" spans="1:3">
      <c r="A108" s="13" t="s">
        <v>1731</v>
      </c>
      <c r="B108" s="14" t="s">
        <v>676</v>
      </c>
      <c r="C108" s="13" t="s">
        <v>441</v>
      </c>
    </row>
    <row r="109" spans="1:3">
      <c r="A109" s="13" t="s">
        <v>1731</v>
      </c>
      <c r="B109" s="14" t="s">
        <v>678</v>
      </c>
      <c r="C109" s="13" t="s">
        <v>384</v>
      </c>
    </row>
    <row r="110" spans="1:3">
      <c r="A110" s="13" t="s">
        <v>1731</v>
      </c>
      <c r="B110" s="14" t="s">
        <v>681</v>
      </c>
      <c r="C110" s="13" t="s">
        <v>441</v>
      </c>
    </row>
    <row r="111" spans="1:3">
      <c r="A111" s="13" t="s">
        <v>1731</v>
      </c>
      <c r="B111" s="14" t="s">
        <v>683</v>
      </c>
      <c r="C111" s="13" t="s">
        <v>441</v>
      </c>
    </row>
    <row r="112" spans="1:3">
      <c r="A112" s="13" t="s">
        <v>1731</v>
      </c>
      <c r="B112" s="14" t="s">
        <v>684</v>
      </c>
      <c r="C112" s="13" t="s">
        <v>441</v>
      </c>
    </row>
    <row r="113" spans="1:3">
      <c r="A113" s="13" t="s">
        <v>1731</v>
      </c>
      <c r="B113" s="14" t="s">
        <v>685</v>
      </c>
      <c r="C113" s="13" t="s">
        <v>384</v>
      </c>
    </row>
    <row r="114" spans="1:3">
      <c r="A114" s="13" t="s">
        <v>1731</v>
      </c>
      <c r="B114" s="14" t="s">
        <v>688</v>
      </c>
      <c r="C114" s="13" t="s">
        <v>441</v>
      </c>
    </row>
    <row r="115" spans="1:3">
      <c r="A115" s="13" t="s">
        <v>1731</v>
      </c>
      <c r="B115" s="14" t="s">
        <v>690</v>
      </c>
      <c r="C115" s="13" t="s">
        <v>441</v>
      </c>
    </row>
    <row r="116" spans="1:3">
      <c r="A116" s="13" t="s">
        <v>1731</v>
      </c>
      <c r="B116" s="14" t="s">
        <v>691</v>
      </c>
      <c r="C116" s="13" t="s">
        <v>441</v>
      </c>
    </row>
    <row r="117" spans="1:3">
      <c r="A117" s="13" t="s">
        <v>1731</v>
      </c>
      <c r="B117" s="14" t="s">
        <v>693</v>
      </c>
      <c r="C117" s="13" t="s">
        <v>384</v>
      </c>
    </row>
    <row r="118" spans="1:3">
      <c r="A118" s="13" t="s">
        <v>1731</v>
      </c>
      <c r="B118" s="14" t="s">
        <v>696</v>
      </c>
      <c r="C118" s="13" t="s">
        <v>512</v>
      </c>
    </row>
    <row r="119" spans="1:3">
      <c r="A119" s="13" t="s">
        <v>1731</v>
      </c>
      <c r="B119" s="14" t="s">
        <v>706</v>
      </c>
      <c r="C119" s="13" t="s">
        <v>512</v>
      </c>
    </row>
    <row r="120" spans="1:3">
      <c r="A120" s="13" t="s">
        <v>1731</v>
      </c>
      <c r="B120" s="14" t="s">
        <v>709</v>
      </c>
      <c r="C120" s="13" t="s">
        <v>384</v>
      </c>
    </row>
    <row r="121" spans="1:3">
      <c r="A121" s="13" t="s">
        <v>1731</v>
      </c>
      <c r="B121" s="14" t="s">
        <v>711</v>
      </c>
      <c r="C121" s="13" t="s">
        <v>512</v>
      </c>
    </row>
    <row r="122" spans="1:3">
      <c r="A122" s="13" t="s">
        <v>1731</v>
      </c>
      <c r="B122" s="14" t="s">
        <v>714</v>
      </c>
      <c r="C122" s="13" t="s">
        <v>512</v>
      </c>
    </row>
    <row r="123" spans="1:3">
      <c r="A123" s="13" t="s">
        <v>1731</v>
      </c>
      <c r="B123" s="14" t="s">
        <v>719</v>
      </c>
      <c r="C123" s="13" t="s">
        <v>512</v>
      </c>
    </row>
    <row r="124" spans="1:3">
      <c r="A124" s="13" t="s">
        <v>1731</v>
      </c>
      <c r="B124" s="14" t="s">
        <v>722</v>
      </c>
      <c r="C124" s="13" t="s">
        <v>512</v>
      </c>
    </row>
    <row r="125" spans="1:3">
      <c r="A125" s="13" t="s">
        <v>1731</v>
      </c>
      <c r="B125" s="14" t="s">
        <v>723</v>
      </c>
      <c r="C125" s="13" t="s">
        <v>512</v>
      </c>
    </row>
    <row r="126" spans="1:3">
      <c r="A126" s="13" t="s">
        <v>1731</v>
      </c>
      <c r="B126" s="14" t="s">
        <v>724</v>
      </c>
      <c r="C126" s="13" t="s">
        <v>512</v>
      </c>
    </row>
    <row r="127" spans="1:3">
      <c r="A127" s="13" t="s">
        <v>1731</v>
      </c>
      <c r="B127" s="14" t="s">
        <v>727</v>
      </c>
      <c r="C127" s="13" t="s">
        <v>547</v>
      </c>
    </row>
    <row r="128" spans="1:3">
      <c r="A128" s="13" t="s">
        <v>1731</v>
      </c>
      <c r="B128" s="14" t="s">
        <v>733</v>
      </c>
      <c r="C128" s="13" t="s">
        <v>384</v>
      </c>
    </row>
    <row r="129" spans="1:3">
      <c r="A129" s="13" t="s">
        <v>1731</v>
      </c>
      <c r="B129" s="14" t="s">
        <v>736</v>
      </c>
      <c r="C129" s="13" t="s">
        <v>384</v>
      </c>
    </row>
    <row r="130" spans="1:3">
      <c r="A130" s="13" t="s">
        <v>1731</v>
      </c>
      <c r="B130" s="14" t="s">
        <v>738</v>
      </c>
      <c r="C130" s="13" t="s">
        <v>384</v>
      </c>
    </row>
    <row r="131" spans="1:3">
      <c r="A131" s="13" t="s">
        <v>1731</v>
      </c>
      <c r="B131" s="14" t="s">
        <v>740</v>
      </c>
      <c r="C131" s="13" t="s">
        <v>1726</v>
      </c>
    </row>
    <row r="132" spans="1:3">
      <c r="A132" s="13" t="s">
        <v>1731</v>
      </c>
      <c r="B132" s="14" t="s">
        <v>745</v>
      </c>
      <c r="C132" s="13" t="s">
        <v>1726</v>
      </c>
    </row>
    <row r="133" spans="1:3">
      <c r="A133" s="13" t="s">
        <v>1731</v>
      </c>
      <c r="B133" s="14" t="s">
        <v>750</v>
      </c>
      <c r="C133" s="13" t="s">
        <v>547</v>
      </c>
    </row>
    <row r="134" spans="1:3">
      <c r="A134" s="13" t="s">
        <v>1731</v>
      </c>
      <c r="B134" s="14" t="s">
        <v>753</v>
      </c>
      <c r="C134" s="13" t="s">
        <v>383</v>
      </c>
    </row>
    <row r="135" spans="1:3">
      <c r="A135" s="13" t="s">
        <v>1731</v>
      </c>
      <c r="B135" s="14" t="s">
        <v>754</v>
      </c>
      <c r="C135" s="13" t="s">
        <v>383</v>
      </c>
    </row>
    <row r="136" spans="1:3">
      <c r="A136" s="13" t="s">
        <v>1731</v>
      </c>
      <c r="B136" s="14" t="s">
        <v>755</v>
      </c>
      <c r="C136" s="13" t="s">
        <v>512</v>
      </c>
    </row>
    <row r="137" spans="1:3">
      <c r="A137" s="13" t="s">
        <v>1731</v>
      </c>
      <c r="B137" s="14" t="s">
        <v>761</v>
      </c>
      <c r="C137" s="13" t="s">
        <v>512</v>
      </c>
    </row>
    <row r="138" spans="1:3">
      <c r="A138" s="13" t="s">
        <v>1731</v>
      </c>
      <c r="B138" s="14" t="s">
        <v>768</v>
      </c>
      <c r="C138" s="13" t="s">
        <v>1726</v>
      </c>
    </row>
    <row r="139" spans="1:3">
      <c r="A139" s="13" t="s">
        <v>1731</v>
      </c>
      <c r="B139" s="14" t="s">
        <v>781</v>
      </c>
      <c r="C139" s="13" t="s">
        <v>512</v>
      </c>
    </row>
    <row r="140" spans="1:3">
      <c r="A140" s="13" t="s">
        <v>1731</v>
      </c>
      <c r="B140" s="14" t="s">
        <v>786</v>
      </c>
      <c r="C140" s="13" t="s">
        <v>1726</v>
      </c>
    </row>
    <row r="141" spans="1:3">
      <c r="A141" s="13" t="s">
        <v>1731</v>
      </c>
      <c r="B141" s="14" t="s">
        <v>799</v>
      </c>
      <c r="C141" s="13" t="s">
        <v>547</v>
      </c>
    </row>
    <row r="142" spans="1:3">
      <c r="A142" s="13" t="s">
        <v>1731</v>
      </c>
      <c r="B142" s="14" t="s">
        <v>803</v>
      </c>
      <c r="C142" s="13" t="s">
        <v>1732</v>
      </c>
    </row>
    <row r="143" spans="1:3">
      <c r="A143" s="13" t="s">
        <v>1731</v>
      </c>
      <c r="B143" s="14" t="s">
        <v>805</v>
      </c>
      <c r="C143" s="13" t="s">
        <v>512</v>
      </c>
    </row>
    <row r="144" spans="1:3">
      <c r="A144" s="13" t="s">
        <v>1731</v>
      </c>
      <c r="B144" s="14" t="s">
        <v>810</v>
      </c>
      <c r="C144" s="13" t="s">
        <v>384</v>
      </c>
    </row>
    <row r="145" spans="1:3">
      <c r="A145" s="13" t="s">
        <v>1731</v>
      </c>
      <c r="B145" s="14" t="s">
        <v>813</v>
      </c>
      <c r="C145" s="13" t="s">
        <v>384</v>
      </c>
    </row>
    <row r="146" spans="1:3">
      <c r="A146" s="13" t="s">
        <v>1731</v>
      </c>
      <c r="B146" s="14" t="s">
        <v>815</v>
      </c>
      <c r="C146" s="13" t="s">
        <v>384</v>
      </c>
    </row>
    <row r="147" spans="1:3">
      <c r="A147" s="13" t="s">
        <v>1731</v>
      </c>
      <c r="B147" s="14" t="s">
        <v>817</v>
      </c>
      <c r="C147" s="13" t="s">
        <v>547</v>
      </c>
    </row>
    <row r="148" spans="1:3">
      <c r="A148" s="13" t="s">
        <v>1731</v>
      </c>
      <c r="B148" s="14" t="s">
        <v>820</v>
      </c>
      <c r="C148" s="13" t="s">
        <v>547</v>
      </c>
    </row>
    <row r="149" spans="1:3">
      <c r="A149" s="13" t="s">
        <v>1731</v>
      </c>
      <c r="B149" s="14" t="s">
        <v>823</v>
      </c>
      <c r="C149" s="13" t="s">
        <v>547</v>
      </c>
    </row>
    <row r="150" spans="1:3">
      <c r="A150" s="13" t="s">
        <v>1733</v>
      </c>
      <c r="B150" s="14" t="s">
        <v>826</v>
      </c>
      <c r="C150" s="13" t="s">
        <v>512</v>
      </c>
    </row>
    <row r="151" spans="1:3">
      <c r="A151" s="13" t="s">
        <v>1733</v>
      </c>
      <c r="B151" s="14" t="s">
        <v>830</v>
      </c>
      <c r="C151" s="13" t="s">
        <v>512</v>
      </c>
    </row>
    <row r="152" spans="1:3">
      <c r="A152" s="13" t="s">
        <v>1733</v>
      </c>
      <c r="B152" s="14" t="s">
        <v>835</v>
      </c>
      <c r="C152" s="13" t="s">
        <v>512</v>
      </c>
    </row>
    <row r="153" spans="1:3">
      <c r="A153" s="13" t="s">
        <v>1733</v>
      </c>
      <c r="B153" s="14" t="s">
        <v>840</v>
      </c>
      <c r="C153" s="13" t="s">
        <v>512</v>
      </c>
    </row>
    <row r="154" spans="1:3">
      <c r="A154" s="13" t="s">
        <v>1733</v>
      </c>
      <c r="B154" s="14" t="s">
        <v>843</v>
      </c>
      <c r="C154" s="13" t="s">
        <v>547</v>
      </c>
    </row>
    <row r="155" spans="1:3">
      <c r="A155" s="13" t="s">
        <v>1733</v>
      </c>
      <c r="B155" s="14" t="s">
        <v>849</v>
      </c>
      <c r="C155" s="13" t="s">
        <v>513</v>
      </c>
    </row>
    <row r="156" spans="1:3">
      <c r="A156" s="13" t="s">
        <v>1734</v>
      </c>
      <c r="B156" s="14" t="s">
        <v>853</v>
      </c>
      <c r="C156" s="13" t="s">
        <v>1726</v>
      </c>
    </row>
    <row r="157" spans="1:3">
      <c r="A157" s="13" t="s">
        <v>1734</v>
      </c>
      <c r="B157" s="14" t="s">
        <v>861</v>
      </c>
      <c r="C157" s="13" t="s">
        <v>547</v>
      </c>
    </row>
    <row r="158" spans="1:3">
      <c r="A158" s="13" t="s">
        <v>1734</v>
      </c>
      <c r="B158" s="14" t="s">
        <v>865</v>
      </c>
      <c r="C158" s="13" t="s">
        <v>512</v>
      </c>
    </row>
    <row r="159" spans="1:3">
      <c r="A159" s="13" t="s">
        <v>1734</v>
      </c>
      <c r="B159" s="14" t="s">
        <v>871</v>
      </c>
      <c r="C159" s="13" t="s">
        <v>512</v>
      </c>
    </row>
    <row r="160" spans="1:3">
      <c r="A160" s="13" t="s">
        <v>1734</v>
      </c>
      <c r="B160" s="14" t="s">
        <v>875</v>
      </c>
      <c r="C160" s="13" t="s">
        <v>547</v>
      </c>
    </row>
    <row r="161" spans="1:3">
      <c r="A161" s="13" t="s">
        <v>1734</v>
      </c>
      <c r="B161" s="14" t="s">
        <v>878</v>
      </c>
      <c r="C161" s="13" t="s">
        <v>513</v>
      </c>
    </row>
    <row r="162" spans="1:3">
      <c r="A162" s="13" t="s">
        <v>1734</v>
      </c>
      <c r="B162" s="14" t="s">
        <v>881</v>
      </c>
      <c r="C162" s="13" t="s">
        <v>512</v>
      </c>
    </row>
    <row r="163" spans="1:3">
      <c r="A163" s="13" t="s">
        <v>1734</v>
      </c>
      <c r="B163" s="14" t="s">
        <v>883</v>
      </c>
      <c r="C163" s="13" t="s">
        <v>513</v>
      </c>
    </row>
    <row r="164" spans="1:3">
      <c r="A164" s="13" t="s">
        <v>1734</v>
      </c>
      <c r="B164" s="14" t="s">
        <v>886</v>
      </c>
      <c r="C164" s="13" t="s">
        <v>512</v>
      </c>
    </row>
    <row r="165" spans="1:3">
      <c r="A165" s="13" t="s">
        <v>1734</v>
      </c>
      <c r="B165" s="14" t="s">
        <v>891</v>
      </c>
      <c r="C165" s="13" t="s">
        <v>383</v>
      </c>
    </row>
    <row r="166" spans="1:3">
      <c r="A166" s="13" t="s">
        <v>1734</v>
      </c>
      <c r="B166" s="14" t="s">
        <v>892</v>
      </c>
      <c r="C166" s="13" t="s">
        <v>384</v>
      </c>
    </row>
    <row r="167" spans="1:3">
      <c r="A167" s="13" t="s">
        <v>1734</v>
      </c>
      <c r="B167" s="14" t="s">
        <v>896</v>
      </c>
      <c r="C167" s="13" t="s">
        <v>547</v>
      </c>
    </row>
    <row r="168" spans="1:3">
      <c r="A168" s="13" t="s">
        <v>1734</v>
      </c>
      <c r="B168" s="14" t="s">
        <v>900</v>
      </c>
      <c r="C168" s="13" t="s">
        <v>512</v>
      </c>
    </row>
    <row r="169" spans="1:3">
      <c r="A169" s="13" t="s">
        <v>1735</v>
      </c>
      <c r="B169" s="14" t="s">
        <v>906</v>
      </c>
      <c r="C169" s="13" t="s">
        <v>547</v>
      </c>
    </row>
    <row r="170" spans="1:3">
      <c r="A170" s="13" t="s">
        <v>1735</v>
      </c>
      <c r="B170" s="14" t="s">
        <v>920</v>
      </c>
      <c r="C170" s="13" t="s">
        <v>512</v>
      </c>
    </row>
    <row r="171" spans="1:3">
      <c r="A171" s="13" t="s">
        <v>1735</v>
      </c>
      <c r="B171" s="14" t="s">
        <v>925</v>
      </c>
      <c r="C171" s="13" t="s">
        <v>441</v>
      </c>
    </row>
    <row r="172" spans="1:3">
      <c r="A172" s="13" t="s">
        <v>1735</v>
      </c>
      <c r="B172" s="14" t="s">
        <v>927</v>
      </c>
      <c r="C172" s="13" t="s">
        <v>513</v>
      </c>
    </row>
    <row r="173" spans="1:3">
      <c r="A173" s="13" t="s">
        <v>1735</v>
      </c>
      <c r="B173" s="14" t="s">
        <v>930</v>
      </c>
      <c r="C173" s="13" t="s">
        <v>1726</v>
      </c>
    </row>
    <row r="174" spans="1:3">
      <c r="A174" s="13" t="s">
        <v>1735</v>
      </c>
      <c r="B174" s="14" t="s">
        <v>945</v>
      </c>
      <c r="C174" s="13" t="s">
        <v>1726</v>
      </c>
    </row>
    <row r="175" spans="1:3">
      <c r="A175" s="13" t="s">
        <v>1735</v>
      </c>
      <c r="B175" s="14" t="s">
        <v>952</v>
      </c>
      <c r="C175" s="13" t="s">
        <v>512</v>
      </c>
    </row>
    <row r="176" spans="1:3">
      <c r="A176" s="13" t="s">
        <v>1735</v>
      </c>
      <c r="B176" s="14" t="s">
        <v>959</v>
      </c>
      <c r="C176" s="13" t="s">
        <v>512</v>
      </c>
    </row>
    <row r="177" spans="1:3">
      <c r="A177" s="13" t="s">
        <v>1735</v>
      </c>
      <c r="B177" s="14" t="s">
        <v>966</v>
      </c>
      <c r="C177" s="13" t="s">
        <v>512</v>
      </c>
    </row>
    <row r="178" spans="1:3">
      <c r="A178" s="13" t="s">
        <v>1735</v>
      </c>
      <c r="B178" s="14" t="s">
        <v>971</v>
      </c>
      <c r="C178" s="13" t="s">
        <v>512</v>
      </c>
    </row>
    <row r="179" spans="1:3">
      <c r="A179" s="13" t="s">
        <v>1735</v>
      </c>
      <c r="B179" s="14" t="s">
        <v>975</v>
      </c>
      <c r="C179" s="13" t="s">
        <v>1726</v>
      </c>
    </row>
    <row r="180" spans="1:3">
      <c r="A180" s="13" t="s">
        <v>1735</v>
      </c>
      <c r="B180" s="14" t="s">
        <v>982</v>
      </c>
      <c r="C180" s="13" t="s">
        <v>512</v>
      </c>
    </row>
    <row r="181" spans="1:3">
      <c r="A181" s="13" t="s">
        <v>1736</v>
      </c>
      <c r="B181" s="14" t="s">
        <v>986</v>
      </c>
      <c r="C181" s="13" t="s">
        <v>383</v>
      </c>
    </row>
    <row r="182" spans="1:3">
      <c r="A182" s="13" t="s">
        <v>1736</v>
      </c>
      <c r="B182" s="14" t="s">
        <v>987</v>
      </c>
      <c r="C182" s="13" t="s">
        <v>512</v>
      </c>
    </row>
    <row r="183" spans="1:3">
      <c r="A183" s="13" t="s">
        <v>1736</v>
      </c>
      <c r="B183" s="14" t="s">
        <v>991</v>
      </c>
      <c r="C183" s="13" t="s">
        <v>384</v>
      </c>
    </row>
    <row r="184" spans="1:3">
      <c r="A184" s="13" t="s">
        <v>1736</v>
      </c>
      <c r="B184" s="14" t="s">
        <v>994</v>
      </c>
      <c r="C184" s="13" t="s">
        <v>547</v>
      </c>
    </row>
    <row r="185" spans="1:3">
      <c r="A185" s="13" t="s">
        <v>1737</v>
      </c>
      <c r="B185" s="14" t="s">
        <v>999</v>
      </c>
      <c r="C185" s="13" t="s">
        <v>547</v>
      </c>
    </row>
    <row r="186" spans="1:3">
      <c r="A186" s="13" t="s">
        <v>1737</v>
      </c>
      <c r="B186" s="14" t="s">
        <v>1003</v>
      </c>
      <c r="C186" s="13" t="s">
        <v>512</v>
      </c>
    </row>
    <row r="187" spans="1:3">
      <c r="A187" s="13" t="s">
        <v>1737</v>
      </c>
      <c r="B187" s="14" t="s">
        <v>1007</v>
      </c>
      <c r="C187" s="13" t="s">
        <v>512</v>
      </c>
    </row>
    <row r="188" spans="1:3">
      <c r="A188" s="13" t="s">
        <v>1737</v>
      </c>
      <c r="B188" s="14" t="s">
        <v>1011</v>
      </c>
      <c r="C188" s="13" t="s">
        <v>512</v>
      </c>
    </row>
    <row r="189" spans="1:3">
      <c r="A189" s="13" t="s">
        <v>1737</v>
      </c>
      <c r="B189" s="14" t="s">
        <v>1013</v>
      </c>
      <c r="C189" s="13" t="s">
        <v>512</v>
      </c>
    </row>
    <row r="190" spans="1:3">
      <c r="A190" s="13" t="s">
        <v>1738</v>
      </c>
      <c r="B190" s="14" t="s">
        <v>1016</v>
      </c>
      <c r="C190" s="13" t="s">
        <v>512</v>
      </c>
    </row>
    <row r="191" spans="1:3">
      <c r="A191" s="13" t="s">
        <v>1738</v>
      </c>
      <c r="B191" s="14" t="s">
        <v>1020</v>
      </c>
      <c r="C191" s="13" t="s">
        <v>512</v>
      </c>
    </row>
    <row r="192" spans="1:3">
      <c r="A192" s="13" t="s">
        <v>1738</v>
      </c>
      <c r="B192" s="14" t="s">
        <v>1028</v>
      </c>
      <c r="C192" s="13" t="s">
        <v>512</v>
      </c>
    </row>
    <row r="193" spans="1:3">
      <c r="A193" s="13" t="s">
        <v>1738</v>
      </c>
      <c r="B193" s="14" t="s">
        <v>1031</v>
      </c>
      <c r="C193" s="13" t="s">
        <v>512</v>
      </c>
    </row>
    <row r="194" spans="1:3">
      <c r="A194" s="13" t="s">
        <v>1738</v>
      </c>
      <c r="B194" s="14" t="s">
        <v>1033</v>
      </c>
      <c r="C194" s="13" t="s">
        <v>512</v>
      </c>
    </row>
    <row r="195" spans="1:3">
      <c r="A195" s="13" t="s">
        <v>1738</v>
      </c>
      <c r="B195" s="14" t="s">
        <v>1035</v>
      </c>
      <c r="C195" s="13" t="s">
        <v>512</v>
      </c>
    </row>
    <row r="196" spans="1:3">
      <c r="A196" s="13" t="s">
        <v>1738</v>
      </c>
      <c r="B196" s="14" t="s">
        <v>1037</v>
      </c>
      <c r="C196" s="13" t="s">
        <v>512</v>
      </c>
    </row>
    <row r="197" spans="1:3">
      <c r="A197" s="13" t="s">
        <v>1739</v>
      </c>
      <c r="B197" s="14" t="s">
        <v>1040</v>
      </c>
      <c r="C197" s="13" t="s">
        <v>383</v>
      </c>
    </row>
    <row r="198" spans="1:3">
      <c r="A198" s="13" t="s">
        <v>1739</v>
      </c>
      <c r="B198" s="14" t="s">
        <v>1045</v>
      </c>
      <c r="C198" s="13" t="s">
        <v>1726</v>
      </c>
    </row>
    <row r="199" spans="1:3">
      <c r="A199" s="13" t="s">
        <v>1739</v>
      </c>
      <c r="B199" s="14" t="s">
        <v>1050</v>
      </c>
      <c r="C199" s="13" t="s">
        <v>384</v>
      </c>
    </row>
    <row r="200" spans="1:3">
      <c r="A200" s="13" t="s">
        <v>1739</v>
      </c>
      <c r="B200" s="14" t="s">
        <v>1054</v>
      </c>
      <c r="C200" s="13" t="s">
        <v>384</v>
      </c>
    </row>
    <row r="201" spans="1:3">
      <c r="A201" s="13" t="s">
        <v>1739</v>
      </c>
      <c r="B201" s="14" t="s">
        <v>1057</v>
      </c>
      <c r="C201" s="13" t="s">
        <v>512</v>
      </c>
    </row>
    <row r="202" spans="1:3">
      <c r="A202" s="13" t="s">
        <v>1739</v>
      </c>
      <c r="B202" s="14" t="s">
        <v>1062</v>
      </c>
      <c r="C202" s="13" t="s">
        <v>384</v>
      </c>
    </row>
    <row r="203" spans="1:3">
      <c r="A203" s="13" t="s">
        <v>1739</v>
      </c>
      <c r="B203" s="14" t="s">
        <v>1065</v>
      </c>
      <c r="C203" s="13" t="s">
        <v>512</v>
      </c>
    </row>
    <row r="204" spans="1:3">
      <c r="A204" s="13" t="s">
        <v>1740</v>
      </c>
      <c r="B204" s="14" t="s">
        <v>1068</v>
      </c>
      <c r="C204" s="13" t="s">
        <v>383</v>
      </c>
    </row>
    <row r="205" spans="1:3">
      <c r="A205" s="13" t="s">
        <v>1740</v>
      </c>
      <c r="B205" s="14" t="s">
        <v>1071</v>
      </c>
      <c r="C205" s="13" t="s">
        <v>512</v>
      </c>
    </row>
    <row r="206" spans="1:3">
      <c r="A206" s="13" t="s">
        <v>1740</v>
      </c>
      <c r="B206" s="14" t="s">
        <v>1074</v>
      </c>
      <c r="C206" s="13" t="s">
        <v>512</v>
      </c>
    </row>
    <row r="207" spans="1:3">
      <c r="A207" s="13" t="s">
        <v>1740</v>
      </c>
      <c r="B207" s="14" t="s">
        <v>1077</v>
      </c>
      <c r="C207" s="13" t="s">
        <v>512</v>
      </c>
    </row>
    <row r="208" spans="1:3">
      <c r="A208" s="13" t="s">
        <v>1740</v>
      </c>
      <c r="B208" s="14" t="s">
        <v>1080</v>
      </c>
      <c r="C208" s="13" t="s">
        <v>512</v>
      </c>
    </row>
    <row r="209" spans="1:3">
      <c r="A209" s="13" t="s">
        <v>1740</v>
      </c>
      <c r="B209" s="14" t="s">
        <v>1087</v>
      </c>
      <c r="C209" s="13" t="s">
        <v>512</v>
      </c>
    </row>
    <row r="210" spans="1:3">
      <c r="A210" s="13" t="s">
        <v>1741</v>
      </c>
      <c r="B210" s="14" t="s">
        <v>1090</v>
      </c>
      <c r="C210" s="13" t="s">
        <v>547</v>
      </c>
    </row>
    <row r="211" spans="1:3">
      <c r="A211" s="13" t="s">
        <v>1741</v>
      </c>
      <c r="B211" s="14" t="s">
        <v>1097</v>
      </c>
      <c r="C211" s="13" t="s">
        <v>547</v>
      </c>
    </row>
    <row r="212" spans="1:3">
      <c r="A212" s="13" t="s">
        <v>1741</v>
      </c>
      <c r="B212" s="14" t="s">
        <v>1103</v>
      </c>
      <c r="C212" s="13" t="s">
        <v>547</v>
      </c>
    </row>
    <row r="213" spans="1:3">
      <c r="A213" s="13" t="s">
        <v>1741</v>
      </c>
      <c r="B213" s="14" t="s">
        <v>1109</v>
      </c>
      <c r="C213" s="13" t="s">
        <v>547</v>
      </c>
    </row>
    <row r="214" spans="1:3">
      <c r="A214" s="13" t="s">
        <v>1741</v>
      </c>
      <c r="B214" s="14" t="s">
        <v>1115</v>
      </c>
      <c r="C214" s="13" t="s">
        <v>441</v>
      </c>
    </row>
    <row r="215" spans="1:3">
      <c r="A215" s="13" t="s">
        <v>1741</v>
      </c>
      <c r="B215" s="14" t="s">
        <v>1117</v>
      </c>
      <c r="C215" s="13" t="s">
        <v>441</v>
      </c>
    </row>
    <row r="216" spans="1:3">
      <c r="A216" s="13" t="s">
        <v>1741</v>
      </c>
      <c r="B216" s="14" t="s">
        <v>1119</v>
      </c>
      <c r="C216" s="13" t="s">
        <v>547</v>
      </c>
    </row>
    <row r="217" spans="1:3">
      <c r="A217" s="13" t="s">
        <v>1741</v>
      </c>
      <c r="B217" s="14" t="s">
        <v>1122</v>
      </c>
      <c r="C217" s="13" t="s">
        <v>513</v>
      </c>
    </row>
    <row r="218" spans="1:3">
      <c r="A218" s="13" t="s">
        <v>1742</v>
      </c>
      <c r="B218" s="14" t="s">
        <v>1137</v>
      </c>
      <c r="C218" s="13" t="s">
        <v>512</v>
      </c>
    </row>
    <row r="219" spans="1:3">
      <c r="A219" s="13" t="s">
        <v>1742</v>
      </c>
      <c r="B219" s="14" t="s">
        <v>1154</v>
      </c>
      <c r="C219" s="13" t="s">
        <v>1726</v>
      </c>
    </row>
    <row r="220" spans="1:3">
      <c r="A220" s="13" t="s">
        <v>1742</v>
      </c>
      <c r="B220" s="14" t="s">
        <v>1162</v>
      </c>
      <c r="C220" s="13" t="s">
        <v>1726</v>
      </c>
    </row>
    <row r="221" spans="1:3">
      <c r="A221" s="13" t="s">
        <v>1588</v>
      </c>
      <c r="B221" s="14" t="s">
        <v>1169</v>
      </c>
      <c r="C221" s="13" t="s">
        <v>512</v>
      </c>
    </row>
    <row r="222" spans="1:3">
      <c r="A222" s="13" t="s">
        <v>1588</v>
      </c>
      <c r="B222" s="14" t="s">
        <v>1179</v>
      </c>
      <c r="C222" s="13" t="s">
        <v>512</v>
      </c>
    </row>
    <row r="223" spans="1:3">
      <c r="A223" s="13" t="s">
        <v>1588</v>
      </c>
      <c r="B223" s="14" t="s">
        <v>1187</v>
      </c>
      <c r="C223" s="13" t="s">
        <v>512</v>
      </c>
    </row>
    <row r="224" spans="1:3">
      <c r="A224" s="13" t="s">
        <v>1588</v>
      </c>
      <c r="B224" s="14" t="s">
        <v>1194</v>
      </c>
      <c r="C224" s="13" t="s">
        <v>512</v>
      </c>
    </row>
    <row r="225" spans="1:3">
      <c r="A225" s="13" t="s">
        <v>1588</v>
      </c>
      <c r="B225" s="14" t="s">
        <v>1201</v>
      </c>
      <c r="C225" s="13" t="s">
        <v>1726</v>
      </c>
    </row>
    <row r="226" spans="1:3">
      <c r="A226" s="13" t="s">
        <v>1588</v>
      </c>
      <c r="B226" s="14" t="s">
        <v>1339</v>
      </c>
      <c r="C226" s="13" t="s">
        <v>512</v>
      </c>
    </row>
    <row r="227" spans="1:3">
      <c r="A227" s="13" t="s">
        <v>1588</v>
      </c>
      <c r="B227" s="14" t="s">
        <v>1343</v>
      </c>
      <c r="C227" s="13" t="s">
        <v>512</v>
      </c>
    </row>
    <row r="228" spans="1:3">
      <c r="A228" s="13" t="s">
        <v>1743</v>
      </c>
      <c r="B228" s="14" t="s">
        <v>1362</v>
      </c>
      <c r="C228" s="13" t="s">
        <v>1726</v>
      </c>
    </row>
    <row r="229" spans="1:3">
      <c r="A229" s="13" t="s">
        <v>1743</v>
      </c>
      <c r="B229" s="14" t="s">
        <v>1385</v>
      </c>
      <c r="C229" s="13" t="s">
        <v>383</v>
      </c>
    </row>
    <row r="230" spans="1:3">
      <c r="A230" s="13" t="s">
        <v>1743</v>
      </c>
      <c r="B230" s="14" t="s">
        <v>1387</v>
      </c>
      <c r="C230" s="13" t="s">
        <v>512</v>
      </c>
    </row>
    <row r="231" spans="1:3">
      <c r="A231" s="13" t="s">
        <v>1743</v>
      </c>
      <c r="B231" s="14" t="s">
        <v>1409</v>
      </c>
      <c r="C231" s="13" t="s">
        <v>512</v>
      </c>
    </row>
    <row r="232" spans="1:3">
      <c r="A232" s="13" t="s">
        <v>1743</v>
      </c>
      <c r="B232" s="14" t="s">
        <v>1421</v>
      </c>
      <c r="C232" s="13" t="s">
        <v>512</v>
      </c>
    </row>
    <row r="233" spans="1:3">
      <c r="A233" s="13" t="s">
        <v>1743</v>
      </c>
      <c r="B233" s="14" t="s">
        <v>1429</v>
      </c>
      <c r="C233" s="13" t="s">
        <v>1726</v>
      </c>
    </row>
    <row r="234" spans="1:3">
      <c r="A234" s="13" t="s">
        <v>1743</v>
      </c>
      <c r="B234" s="14" t="s">
        <v>1445</v>
      </c>
      <c r="C234" s="13" t="s">
        <v>512</v>
      </c>
    </row>
    <row r="235" spans="1:3">
      <c r="A235" s="13" t="s">
        <v>1744</v>
      </c>
      <c r="B235" s="14" t="s">
        <v>1462</v>
      </c>
      <c r="C235" s="13" t="s">
        <v>1726</v>
      </c>
    </row>
    <row r="236" spans="1:3">
      <c r="A236" s="13" t="s">
        <v>1745</v>
      </c>
      <c r="B236" s="14" t="s">
        <v>1481</v>
      </c>
      <c r="C236" s="13" t="s">
        <v>1726</v>
      </c>
    </row>
    <row r="237" spans="1:3">
      <c r="A237" s="13" t="s">
        <v>1745</v>
      </c>
      <c r="B237" s="14" t="s">
        <v>1488</v>
      </c>
      <c r="C237" s="13" t="s">
        <v>1726</v>
      </c>
    </row>
    <row r="238" spans="1:3">
      <c r="A238" s="13" t="s">
        <v>1745</v>
      </c>
      <c r="B238" s="14" t="s">
        <v>1553</v>
      </c>
      <c r="C238" s="13" t="s">
        <v>513</v>
      </c>
    </row>
    <row r="239" spans="1:3">
      <c r="A239" s="13" t="s">
        <v>1746</v>
      </c>
      <c r="B239" s="14" t="s">
        <v>1594</v>
      </c>
      <c r="C239" s="13" t="s">
        <v>1726</v>
      </c>
    </row>
    <row r="240" spans="1:3">
      <c r="A240" s="13" t="s">
        <v>1746</v>
      </c>
      <c r="B240" s="14" t="s">
        <v>1597</v>
      </c>
      <c r="C240" s="13" t="s">
        <v>513</v>
      </c>
    </row>
    <row r="241" spans="1:3">
      <c r="A241" s="13" t="s">
        <v>1747</v>
      </c>
      <c r="B241" s="14" t="s">
        <v>1601</v>
      </c>
      <c r="C241" s="13" t="s">
        <v>512</v>
      </c>
    </row>
    <row r="242" spans="1:3">
      <c r="A242" s="13" t="s">
        <v>1747</v>
      </c>
      <c r="B242" s="14" t="s">
        <v>1618</v>
      </c>
      <c r="C242" s="13" t="s">
        <v>441</v>
      </c>
    </row>
    <row r="243" spans="1:3">
      <c r="A243" s="13" t="s">
        <v>1747</v>
      </c>
      <c r="B243" s="14" t="s">
        <v>1624</v>
      </c>
      <c r="C243" s="13" t="s">
        <v>383</v>
      </c>
    </row>
    <row r="244" spans="1:3">
      <c r="A244" s="13" t="s">
        <v>1747</v>
      </c>
      <c r="B244" s="14" t="s">
        <v>1629</v>
      </c>
      <c r="C244" s="13" t="s">
        <v>512</v>
      </c>
    </row>
    <row r="245" spans="1:3">
      <c r="A245" s="13" t="s">
        <v>1747</v>
      </c>
      <c r="B245" s="14" t="s">
        <v>1669</v>
      </c>
      <c r="C245" s="13" t="s">
        <v>441</v>
      </c>
    </row>
    <row r="246" spans="1:3">
      <c r="A246" s="13" t="s">
        <v>1747</v>
      </c>
      <c r="B246" s="14" t="s">
        <v>1673</v>
      </c>
      <c r="C246" s="13" t="s">
        <v>441</v>
      </c>
    </row>
    <row r="247" spans="1:3">
      <c r="A247" s="13" t="s">
        <v>1748</v>
      </c>
      <c r="B247" s="14" t="s">
        <v>1675</v>
      </c>
      <c r="C247" s="13" t="s">
        <v>1726</v>
      </c>
    </row>
    <row r="248" spans="1:3">
      <c r="A248" s="13" t="s">
        <v>1748</v>
      </c>
      <c r="B248" s="14" t="s">
        <v>1683</v>
      </c>
      <c r="C248" s="13" t="s">
        <v>1726</v>
      </c>
    </row>
    <row r="249" spans="1:3">
      <c r="A249" s="13" t="s">
        <v>1751</v>
      </c>
      <c r="B249" s="14" t="s">
        <v>1749</v>
      </c>
      <c r="C249" s="13" t="s">
        <v>1750</v>
      </c>
    </row>
    <row r="251" spans="1:3" ht="21" customHeight="1">
      <c r="A251" s="1" t="s">
        <v>1752</v>
      </c>
    </row>
    <row r="252" spans="1:3">
      <c r="A252" s="2" t="s">
        <v>1753</v>
      </c>
    </row>
    <row r="253" spans="1:3">
      <c r="A253" s="2" t="s">
        <v>1754</v>
      </c>
    </row>
    <row r="254" spans="1:3">
      <c r="A254" s="2" t="s">
        <v>1755</v>
      </c>
    </row>
    <row r="255" spans="1:3">
      <c r="A255" s="2" t="s">
        <v>1756</v>
      </c>
    </row>
    <row r="256" spans="1:3">
      <c r="A256" s="2" t="s">
        <v>1757</v>
      </c>
    </row>
    <row r="257" spans="1:1">
      <c r="A257" s="2" t="s">
        <v>1758</v>
      </c>
    </row>
    <row r="258" spans="1:1">
      <c r="A258" s="2" t="s">
        <v>1759</v>
      </c>
    </row>
    <row r="259" spans="1:1">
      <c r="A259" s="2" t="s">
        <v>1760</v>
      </c>
    </row>
    <row r="260" spans="1:1">
      <c r="A260" s="2" t="s">
        <v>1761</v>
      </c>
    </row>
    <row r="261" spans="1:1">
      <c r="A261" s="2" t="s">
        <v>1762</v>
      </c>
    </row>
    <row r="262" spans="1:1">
      <c r="A262" s="2" t="s">
        <v>1763</v>
      </c>
    </row>
    <row r="263" spans="1:1">
      <c r="A263" s="2" t="s">
        <v>1764</v>
      </c>
    </row>
    <row r="264" spans="1:1">
      <c r="A264" s="2" t="s">
        <v>1765</v>
      </c>
    </row>
    <row r="265" spans="1:1">
      <c r="A265" s="2" t="s">
        <v>1766</v>
      </c>
    </row>
    <row r="266" spans="1:1">
      <c r="A266" s="2" t="s">
        <v>1767</v>
      </c>
    </row>
    <row r="267" spans="1:1">
      <c r="A267" s="2" t="s">
        <v>1768</v>
      </c>
    </row>
    <row r="268" spans="1:1">
      <c r="A268" s="2" t="s">
        <v>1769</v>
      </c>
    </row>
    <row r="269" spans="1:1">
      <c r="A269" s="2" t="s">
        <v>1770</v>
      </c>
    </row>
    <row r="270" spans="1:1">
      <c r="A270" s="2" t="s">
        <v>1771</v>
      </c>
    </row>
    <row r="271" spans="1:1">
      <c r="A271" s="2" t="s">
        <v>1772</v>
      </c>
    </row>
    <row r="272" spans="1:1">
      <c r="A272" s="2" t="s">
        <v>1773</v>
      </c>
    </row>
    <row r="273" spans="1:1">
      <c r="A273" s="2" t="s">
        <v>1774</v>
      </c>
    </row>
    <row r="274" spans="1:1">
      <c r="A274" s="2" t="s">
        <v>1775</v>
      </c>
    </row>
    <row r="275" spans="1:1">
      <c r="A275" s="2" t="s">
        <v>1776</v>
      </c>
    </row>
    <row r="276" spans="1:1">
      <c r="A276" s="2" t="s">
        <v>1777</v>
      </c>
    </row>
    <row r="277" spans="1:1">
      <c r="A277" s="2" t="s">
        <v>1778</v>
      </c>
    </row>
    <row r="278" spans="1:1">
      <c r="A278" s="2" t="s">
        <v>1779</v>
      </c>
    </row>
    <row r="279" spans="1:1">
      <c r="A279" s="2" t="s">
        <v>1780</v>
      </c>
    </row>
    <row r="280" spans="1:1">
      <c r="A280" s="2" t="s">
        <v>1781</v>
      </c>
    </row>
    <row r="281" spans="1:1">
      <c r="A281" s="2" t="s">
        <v>1782</v>
      </c>
    </row>
    <row r="282" spans="1:1">
      <c r="A282" s="2" t="s">
        <v>1783</v>
      </c>
    </row>
    <row r="283" spans="1:1">
      <c r="A283" s="2" t="s">
        <v>1784</v>
      </c>
    </row>
    <row r="284" spans="1:1">
      <c r="A284" s="2" t="s">
        <v>1785</v>
      </c>
    </row>
    <row r="285" spans="1:1">
      <c r="A285" s="2" t="s">
        <v>1786</v>
      </c>
    </row>
    <row r="286" spans="1:1">
      <c r="A286" s="2" t="s">
        <v>1787</v>
      </c>
    </row>
    <row r="287" spans="1:1">
      <c r="A287" s="2" t="s">
        <v>1788</v>
      </c>
    </row>
    <row r="288" spans="1:1">
      <c r="A288" s="2" t="s">
        <v>1789</v>
      </c>
    </row>
    <row r="289" spans="1:1">
      <c r="A289" s="2" t="s">
        <v>1790</v>
      </c>
    </row>
    <row r="290" spans="1:1">
      <c r="A290" s="2" t="s">
        <v>1791</v>
      </c>
    </row>
    <row r="291" spans="1:1">
      <c r="A291" s="2" t="s">
        <v>1792</v>
      </c>
    </row>
    <row r="292" spans="1:1">
      <c r="A292" s="2" t="s">
        <v>1793</v>
      </c>
    </row>
    <row r="293" spans="1:1">
      <c r="A293" s="2" t="s">
        <v>1794</v>
      </c>
    </row>
    <row r="294" spans="1:1">
      <c r="A294" s="2" t="s">
        <v>1795</v>
      </c>
    </row>
    <row r="295" spans="1:1">
      <c r="A295" s="2" t="s">
        <v>1796</v>
      </c>
    </row>
    <row r="296" spans="1:1">
      <c r="A296" s="2" t="s">
        <v>1797</v>
      </c>
    </row>
    <row r="297" spans="1:1">
      <c r="A297" s="2" t="s">
        <v>1798</v>
      </c>
    </row>
    <row r="298" spans="1:1">
      <c r="A298" s="2" t="s">
        <v>1799</v>
      </c>
    </row>
    <row r="299" spans="1:1">
      <c r="A299" s="2" t="s">
        <v>1800</v>
      </c>
    </row>
    <row r="300" spans="1:1">
      <c r="A300" s="2" t="s">
        <v>1801</v>
      </c>
    </row>
    <row r="301" spans="1:1">
      <c r="A301" s="2" t="s">
        <v>1802</v>
      </c>
    </row>
    <row r="302" spans="1:1">
      <c r="A302" s="2" t="s">
        <v>1803</v>
      </c>
    </row>
    <row r="303" spans="1:1">
      <c r="A303" s="2" t="s">
        <v>1804</v>
      </c>
    </row>
    <row r="304" spans="1:1">
      <c r="A304" s="2" t="s">
        <v>1805</v>
      </c>
    </row>
    <row r="305" spans="1:1">
      <c r="A305" s="2" t="s">
        <v>1806</v>
      </c>
    </row>
    <row r="306" spans="1:1">
      <c r="A306" s="2" t="s">
        <v>1807</v>
      </c>
    </row>
    <row r="307" spans="1:1">
      <c r="A307" s="2" t="s">
        <v>1808</v>
      </c>
    </row>
    <row r="308" spans="1:1">
      <c r="A308" s="2" t="s">
        <v>1809</v>
      </c>
    </row>
    <row r="309" spans="1:1">
      <c r="A309" s="2" t="s">
        <v>1810</v>
      </c>
    </row>
    <row r="310" spans="1:1">
      <c r="A310" s="2" t="s">
        <v>1811</v>
      </c>
    </row>
    <row r="311" spans="1:1">
      <c r="A311" s="2" t="s">
        <v>1812</v>
      </c>
    </row>
    <row r="312" spans="1:1">
      <c r="A312" s="2" t="s">
        <v>1813</v>
      </c>
    </row>
    <row r="313" spans="1:1">
      <c r="A313" s="2" t="s">
        <v>1814</v>
      </c>
    </row>
    <row r="314" spans="1:1">
      <c r="A314" s="2" t="s">
        <v>1815</v>
      </c>
    </row>
    <row r="315" spans="1:1">
      <c r="A315" s="2" t="s">
        <v>1816</v>
      </c>
    </row>
    <row r="316" spans="1:1">
      <c r="A316" s="2" t="s">
        <v>1817</v>
      </c>
    </row>
    <row r="317" spans="1:1">
      <c r="A317" s="2" t="s">
        <v>1818</v>
      </c>
    </row>
    <row r="318" spans="1:1">
      <c r="A318" s="2" t="s">
        <v>1819</v>
      </c>
    </row>
    <row r="319" spans="1:1">
      <c r="A319" s="2" t="s">
        <v>1820</v>
      </c>
    </row>
    <row r="320" spans="1:1">
      <c r="A320" s="2" t="s">
        <v>1821</v>
      </c>
    </row>
    <row r="321" spans="1:1">
      <c r="A321" s="2" t="s">
        <v>1822</v>
      </c>
    </row>
    <row r="322" spans="1:1">
      <c r="A322" s="2" t="s">
        <v>1823</v>
      </c>
    </row>
    <row r="323" spans="1:1">
      <c r="A323" s="2" t="s">
        <v>1824</v>
      </c>
    </row>
    <row r="324" spans="1:1">
      <c r="A324" s="2"/>
    </row>
    <row r="325" spans="1:1">
      <c r="A325" s="2" t="s">
        <v>1825</v>
      </c>
    </row>
  </sheetData>
  <sheetProtection sort="0" autoFilter="0"/>
  <autoFilter ref="A28:C249"/>
  <hyperlinks>
    <hyperlink ref="B29" location="'Input'!B6" display="1000. Company, charging year, data version"/>
    <hyperlink ref="B30" location="'Input'!B11" display="1001. CDCM target revenue (£ unless otherwise stated)"/>
    <hyperlink ref="B31" location="'Input'!B59" display="1010. Financial and general assumptions"/>
    <hyperlink ref="B32" location="'Input'!B69" display="1017. Diversity allowance between top and bottom of network level"/>
    <hyperlink ref="B33" location="'Input'!B81" display="1018. Proportion of relevant load going through 132kV/HV direct transformation"/>
    <hyperlink ref="B34" location="'Input'!B86" display="1019. Network model GSP peak demand (MW)"/>
    <hyperlink ref="B35" location="'Input'!B91" display="1020. Gross asset cost by network level (£)"/>
    <hyperlink ref="B36" location="'Input'!B103" display="1022. LV service model asset cost (£)"/>
    <hyperlink ref="B37" location="'Input'!B108" display="1023. HV service model asset cost (£)"/>
    <hyperlink ref="B38" location="'Input'!B113" display="1025. Matrix of applicability of LV service models to tariffs with fixed charges"/>
    <hyperlink ref="B39" location="'Input'!B139" display="1026. Matrix of applicability of LV service models to unmetered tariffs"/>
    <hyperlink ref="B40" location="'Input'!B144" display="1028. Matrix of applicability of HV service models to tariffs with fixed charges"/>
    <hyperlink ref="B41" location="'Input'!B155" display="1032. Loss adjustment factors to transmission"/>
    <hyperlink ref="B42" location="'Input'!B161" display="1037. Embedded network (LDNO) discounts"/>
    <hyperlink ref="B43" location="'Input'!B167" display="1041. Load profile data for demand users"/>
    <hyperlink ref="B44" location="'Input'!B193" display="1053. Volume forecasts for the charging year"/>
    <hyperlink ref="B45" location="'Input'!B307" display="1055. Transmission exit charges (£/year)"/>
    <hyperlink ref="B46" location="'Input'!B312" display="1059. Other expenditure"/>
    <hyperlink ref="B47" location="'Input'!B320" display="1060. Customer contributions under current connection charging policy"/>
    <hyperlink ref="B48" location="'Input'!B328" display="1061. Average split of rate 1 units by distribution time band"/>
    <hyperlink ref="B49" location="'Input'!B341" display="1062. Average split of rate 2 units by distribution time band"/>
    <hyperlink ref="B50" location="'Input'!B350" display="1064. Average split of rate 1 units by special distribution time band"/>
    <hyperlink ref="B51" location="'Input'!B360" display="1066. Typical annual hours by special distribution time band"/>
    <hyperlink ref="B52" location="'Input'!B367" display="1068. Typical annual hours by distribution time band"/>
    <hyperlink ref="B53" location="'Input'!B374" display="1069. Peaking probabilities by network level"/>
    <hyperlink ref="B54" location="'Input'!B389" display="1092. Average kVAr by kVA, by network level"/>
    <hyperlink ref="B55" location="'Input'!B394" display="1201. Current tariff information"/>
    <hyperlink ref="B56" location="'LAFs'!B13" display="2001. Loss adjustment factors to transmission"/>
    <hyperlink ref="B57" location="'LAFs'!B50" display="2002. Mapping of DRM network levels to core network levels"/>
    <hyperlink ref="B58" location="'LAFs'!B66" display="2003. Loss adjustment factor to transmission for each DRM network level"/>
    <hyperlink ref="B59" location="'LAFs'!B82" display="2004. Loss adjustment factor to transmission for each network level"/>
    <hyperlink ref="B60" location="'LAFs'!B90" display="2005. Network use factors"/>
    <hyperlink ref="B61" location="'LAFs'!B130" display="2006. Proportion going through 132kV/EHV"/>
    <hyperlink ref="B62" location="'LAFs'!B138" display="2007. Proportion going through EHV"/>
    <hyperlink ref="B63" location="'LAFs'!B146" display="2008. Proportion going through EHV/HV"/>
    <hyperlink ref="B64" location="'LAFs'!B159" display="2009. Rerouteing matrix for all network levels"/>
    <hyperlink ref="B65" location="'LAFs'!B176" display="2010. Network use factors: interim step in calculations before adjustments"/>
    <hyperlink ref="B66" location="'LAFs'!B218" display="2011. Network use factors for all tariffs"/>
    <hyperlink ref="B67" location="'LAFs'!B260" display="2012. Loss adjustment factors between end user meter reading and each network level, scaled by network use"/>
    <hyperlink ref="B68" location="'DRM'!B11" display="2101. Annuity rate"/>
    <hyperlink ref="B69" location="'DRM'!B20" display="2102. Loss adjustment factor to transmission for each core level"/>
    <hyperlink ref="B70" location="'DRM'!B30" display="2103. Loss adjustment factors"/>
    <hyperlink ref="B71" location="'DRM'!B47" display="2104. Diversity calculations"/>
    <hyperlink ref="B72" location="'DRM'!B63" display="2105. Network model total maximum demand at substation (MW)"/>
    <hyperlink ref="B73" location="'DRM'!B79" display="2106. Network model contribution to system maximum load measured at network level exit (MW)"/>
    <hyperlink ref="B74" location="'DRM'!B97" display="2107. Rerouteing matrix for DRM network levels"/>
    <hyperlink ref="B75" location="'DRM'!B112" display="2108. GSP simultaneous maximum load assumed through each network level (MW)"/>
    <hyperlink ref="B76" location="'DRM'!B129" display="2109. Network model annuity by simultaneous maximum load for each network level (£/kW/year)"/>
    <hyperlink ref="B77" location="'SM'!B10" display="2201. Asset £/customer from LV service models"/>
    <hyperlink ref="B78" location="'SM'!B38" display="2202. LV unmetered service model assets £/(MWh/year)"/>
    <hyperlink ref="B79" location="'SM'!B48" display="2203. LV unmetered service model asset charge (p/kWh)"/>
    <hyperlink ref="B80" location="'SM'!B57" display="2204. Asset £/customer from HV service models"/>
    <hyperlink ref="B81" location="'SM'!B71" display="2205. Service model assets by tariff (£)"/>
    <hyperlink ref="B82" location="'SM'!B117" display="2206. Replacement annuities for service models"/>
    <hyperlink ref="B83" location="'Loads'!B18" display="2301. Demand coefficient (load at time of system maximum load divided by average load)"/>
    <hyperlink ref="B84" location="'Loads'!B45" display="2302. Load coefficient"/>
    <hyperlink ref="B85" location="'Loads'!B82" display="2303. Discount map"/>
    <hyperlink ref="B86" location="'Loads'!B210" display="2304. LDNO discounts and volumes adjusted for discount"/>
    <hyperlink ref="B87" location="'Loads'!B333" display="2305. Equivalent volume for each end user"/>
    <hyperlink ref="B88" location="'Multi'!B12" display="2401. Adjust annual hours by distribution time band to match days in year"/>
    <hyperlink ref="B89" location="'Multi'!B25" display="2402. Normalisation of split of rate 1 units by time band"/>
    <hyperlink ref="B90" location="'Multi'!B42" display="2403. Split of rate 1 units between distribution time bands"/>
    <hyperlink ref="B91" location="'Multi'!B74" display="2404. Normalisation of split of rate 2 units by time band"/>
    <hyperlink ref="B92" location="'Multi'!B87" display="2405. Split of rate 2 units between distribution time bands"/>
    <hyperlink ref="B93" location="'Multi'!B107" display="2406. Split of rate 3 units between distribution time bands (default)"/>
    <hyperlink ref="B94" location="'Multi'!B127" display="2407. All units (MWh)"/>
    <hyperlink ref="B95" location="'Multi'!B174" display="2408. Calculation of implied load coefficients for one-rate users"/>
    <hyperlink ref="B96" location="'Multi'!B192" display="2409. Calculation of implied load coefficients for two-rate users"/>
    <hyperlink ref="B97" location="'Multi'!B215" display="2410. Calculation of implied load coefficients for three-rate users"/>
    <hyperlink ref="B98" location="'Multi'!B232" display="2411. Calculation of adjusted time band load coefficients"/>
    <hyperlink ref="B99" location="'Multi'!B264" display="2412. Normalisation of peaking probabilities"/>
    <hyperlink ref="B100" location="'Multi'!B280" display="2413. Peaking probabilities by network level (reshaped)"/>
    <hyperlink ref="B101" location="'Multi'!B291" display="2414. Pseudo load coefficient by time band and network level"/>
    <hyperlink ref="B102" location="'Multi'!B318" display="2415. Single rate non half hourly pseudo timeband load coefficients"/>
    <hyperlink ref="B103" location="'Multi'!B327" display="2416. Single rate non half hourly units (MWh)"/>
    <hyperlink ref="B104" location="'Multi'!B336" display="2417. Single rate non half hourly timeband use"/>
    <hyperlink ref="B105" location="'Multi'!B346" display="2418. Single rate non half hourly tariff pseudo load coefficient"/>
    <hyperlink ref="B106" location="'Multi'!B355" display="2419. Multi rate non half hourly units (MWh)"/>
    <hyperlink ref="B107" location="'Multi'!B364" display="2420. Multi rate non half hourly pseudo timeband load coefficients"/>
    <hyperlink ref="B108" location="'Multi'!B373" display="2421. Multi rate non half hourly timeband use"/>
    <hyperlink ref="B109" location="'Multi'!B383" display="2422. Multi rate non half hourly tariff pseudo load coefficient"/>
    <hyperlink ref="B110" location="'Multi'!B392" display="2423. Off-peak non half hourly units (MWh)"/>
    <hyperlink ref="B111" location="'Multi'!B401" display="2424. Off-peak non half hourly pseudo timeband load coefficients"/>
    <hyperlink ref="B112" location="'Multi'!B410" display="2425. Off-peak non half hourly timeband use"/>
    <hyperlink ref="B113" location="'Multi'!B420" display="2426. Off-peak non half hourly tariff pseudo load coefficient"/>
    <hyperlink ref="B114" location="'Multi'!B429" display="2427. Aggregated half hourly units (MWh)"/>
    <hyperlink ref="B115" location="'Multi'!B438" display="2428. Aggregated half hourly pseudo timeband load coefficients"/>
    <hyperlink ref="B116" location="'Multi'!B447" display="2429. Aggregated half hourly timeband use"/>
    <hyperlink ref="B117" location="'Multi'!B457" display="2430. Aggregated half hourly tariff pseudo load coefficient"/>
    <hyperlink ref="B118" location="'Multi'!B471" display="2431. Average non half hourly tariff pseudo load coefficient"/>
    <hyperlink ref="B119" location="'Multi'!B485" display="2432. Average non half hourly timeband use"/>
    <hyperlink ref="B120" location="'Multi'!B495" display="2433. Aggregated half hourly tariff pseudo load coefficient using average non half hourly unit mix"/>
    <hyperlink ref="B121" location="'Multi'!B505" display="2434. Relative correction factor for aggregated half hourly tariff"/>
    <hyperlink ref="B122" location="'Multi'!B522" display="2435. Correction factor for non half hourly tariffs"/>
    <hyperlink ref="B123" location="'Multi'!B532" display="2436. Single rate non half hourly corrected pseudo timeband load coefficient"/>
    <hyperlink ref="B124" location="'Multi'!B542" display="2437. Multi rate non half hourly corrected pseudo timeband load coefficient"/>
    <hyperlink ref="B125" location="'Multi'!B552" display="2438. Off-peak non half hourly corrected pseudo timeband load coefficient"/>
    <hyperlink ref="B126" location="'Multi'!B563" display="2439. Aggregated half hourly corrected pseudo timeband load coefficient"/>
    <hyperlink ref="B127" location="'Multi'!B576" display="2440. Pseudo load coefficient by time band and network level (equalised)"/>
    <hyperlink ref="B128" location="'Multi'!B604" display="2441. Unit rate 1 pseudo load coefficient by network level"/>
    <hyperlink ref="B129" location="'Multi'!B632" display="2442. Unit rate 2 pseudo load coefficient by network level"/>
    <hyperlink ref="B130" location="'Multi'!B656" display="2443. Unit rate 3 pseudo load coefficient by network level"/>
    <hyperlink ref="B131" location="'Multi'!B678" display="2444. Adjust annual hours by special distribution time band to match days in year"/>
    <hyperlink ref="B132" location="'Multi'!B691" display="2445. Normalisation of split of rate 1 units by special time band"/>
    <hyperlink ref="B133" location="'Multi'!B703" display="2446. Split of rate 1 units between special distribution time bands"/>
    <hyperlink ref="B134" location="'Multi'!B712" display="2447. Split of rate 2 units between special distribution time bands (default)"/>
    <hyperlink ref="B135" location="'Multi'!B717" display="2448. Split of rate 3 units between special distribution time bands (default)"/>
    <hyperlink ref="B136" location="'Multi'!B732" display="2449. Calculation of implied special load coefficients for one-rate users"/>
    <hyperlink ref="B137" location="'Multi'!B754" display="2450. Calculation of implied special load coefficients for three-rate users"/>
    <hyperlink ref="B138" location="'Multi'!B768" display="2451. Estimated contributions to peak demand"/>
    <hyperlink ref="B139" location="'Multi'!B781" display="2452. Load coefficient correction factor for the group"/>
    <hyperlink ref="B140" location="'Multi'!B796" display="2453. Calculation of special peaking probabilities"/>
    <hyperlink ref="B141" location="'Multi'!B814" display="2454. Special peaking probabilities by network level"/>
    <hyperlink ref="B142" location="'Multi'!B830" display="2455. Special peaking probabilities by network level (reshaped)"/>
    <hyperlink ref="B143" location="'Multi'!B841" display="2456. Pseudo load coefficient by special time band and network level"/>
    <hyperlink ref="B144" location="'Multi'!B850" display="2457. Unit rate 1 pseudo load coefficient by network level (special)"/>
    <hyperlink ref="B145" location="'Multi'!B863" display="2458. Unit rate 2 pseudo load coefficient by network level (special)"/>
    <hyperlink ref="B146" location="'Multi'!B872" display="2459. Unit rate 3 pseudo load coefficient by network level (special)"/>
    <hyperlink ref="B147" location="'Multi'!B881" display="2460. Unit rate 1 pseudo load coefficient by network level (combined)"/>
    <hyperlink ref="B148" location="'Multi'!B914" display="2461. Unit rate 2 pseudo load coefficient by network level (combined)"/>
    <hyperlink ref="B149" location="'Multi'!B939" display="2462. Unit rate 3 pseudo load coefficient by network level (combined)"/>
    <hyperlink ref="B150" location="'SMD'!B11" display="2501. Contributions of users on one-rate multi tariffs to system simultaneous maximum load by network level (kW)"/>
    <hyperlink ref="B151" location="'SMD'!B31" display="2502. Contributions of users on two-rate multi tariffs to system simultaneous maximum load by network level (kW)"/>
    <hyperlink ref="B152" location="'SMD'!B50" display="2503. Contributions of users on three-rate multi tariffs to system simultaneous maximum load by network level (kW)"/>
    <hyperlink ref="B153" location="'SMD'!B72" display="2504. Estimated contributions of users on each tariff to system simultaneous maximum load by network level (kW)"/>
    <hyperlink ref="B154" location="'SMD'!B115" display="2505. Contributions of users on each tariff to system simultaneous maximum load by network level (kW)"/>
    <hyperlink ref="B155" location="'SMD'!B155" display="2506. Forecast system simultaneous maximum load (kW) from forecast units"/>
    <hyperlink ref="B156" location="'AMD'!B12" display="2601. Pre-processing of data for standing charge factors"/>
    <hyperlink ref="B157" location="'AMD'!B40" display="2602. Standing charges factors adapted to use 132kV/HV"/>
    <hyperlink ref="B158" location="'AMD'!B70" display="2603. Capacity-based contributions to chargeable aggregate maximum load by network level (kW)"/>
    <hyperlink ref="B159" location="'AMD'!B84" display="2604. Unit-based contributions to chargeable aggregate maximum load (kW)"/>
    <hyperlink ref="B160" location="'AMD'!B101" display="2605. Contributions to aggregate maximum load by network level (kW)"/>
    <hyperlink ref="B161" location="'AMD'!B120" display="2606. Forecast chargeable aggregate maximum load (kW)"/>
    <hyperlink ref="B162" location="'AMD'!B129" display="2607. Forecast simultaneous load subject to standing charge factors (kW)"/>
    <hyperlink ref="B163" location="'AMD'!B155" display="2608. Forecast simultaneous load replaced by standing charge (kW)"/>
    <hyperlink ref="B164" location="'AMD'!B164" display="2609. Calculated LV diversity allowance"/>
    <hyperlink ref="B165" location="'AMD'!B169" display="2610. Network level mapping for diversity allowances"/>
    <hyperlink ref="B166" location="'AMD'!B185" display="2611. Diversity allowances including 132kV/HV"/>
    <hyperlink ref="B167" location="'AMD'!B202" display="2612. Diversity allowances (including calculated LV value)"/>
    <hyperlink ref="B168" location="'AMD'!B213" display="2613. Forecast simultaneous maximum load (kW) adjusted for standing charges"/>
    <hyperlink ref="B169" location="'Otex'!B9" display="2701. Operating expenditure coded by network level (£/year)"/>
    <hyperlink ref="B170" location="'Otex'!B19" display="2702. Network model assets (£) scaled by load forecast"/>
    <hyperlink ref="B171" location="'Otex'!B27" display="2703. Annual consumption by tariff for unmetered users (MWh)"/>
    <hyperlink ref="B172" location="'Otex'!B39" display="2704. Total unmetered units"/>
    <hyperlink ref="B173" location="'Otex'!B55" display="2705. Service model asset data"/>
    <hyperlink ref="B174" location="'Otex'!B67" display="2706. Data for allocation of operating expenditure"/>
    <hyperlink ref="B175" location="'Otex'!B78" display="2707. Amount of expenditure to be allocated according to asset values (£/year)"/>
    <hyperlink ref="B176" location="'Otex'!B89" display="2708. Total operating expenditure by network level  (£/year)"/>
    <hyperlink ref="B177" location="'Otex'!B98" display="2709. Operating expenditure percentage by network level"/>
    <hyperlink ref="B178" location="'Otex'!B107" display="2710. Unit operating expenditure based on simultaneous maximum load (£/kW/year)"/>
    <hyperlink ref="B179" location="'Otex'!B120" display="2711. Operating expenditure for customer assets p/MPAN/day"/>
    <hyperlink ref="B180" location="'Otex'!B161" display="2712. Operating expenditure for unmetered customer assets (p/kWh)"/>
    <hyperlink ref="B181" location="'Contrib'!B6" display="2801. Network level of supply (for customer contributions) by tariff"/>
    <hyperlink ref="B182" location="'Contrib'!B47" display="2802. Contribution proportion of asset annuities, by customer type and network level of assets"/>
    <hyperlink ref="B183" location="'Contrib'!B63" display="2803. Proportion of asset annuities deemed to be covered by customer contributions"/>
    <hyperlink ref="B184" location="'Contrib'!B105" display="2804. Proportion of annual charge covered by contributions (for all charging levels)"/>
    <hyperlink ref="B185" location="'Yard'!B10" display="2901. Unit cost at each level, £/kW/year (relative to system simultaneous maximum load)"/>
    <hyperlink ref="B186" location="'Yard'!B22" display="2902. Pay-as-you-go yardstick unit costs by charging level (p/kWh)"/>
    <hyperlink ref="B187" location="'Yard'!B66" display="2903. Contributions to pay-as-you-go unit rate 1 (p/kWh)"/>
    <hyperlink ref="B188" location="'Yard'!B102" display="2904. Contributions to pay-as-you-go unit rate 2 (p/kWh)"/>
    <hyperlink ref="B189" location="'Yard'!B130" display="2905. Contributions to pay-as-you-go unit rate 3 (p/kWh)"/>
    <hyperlink ref="B190" location="'Standing'!B10" display="3001. Costs based on aggregate maximum load (£/kW/year)"/>
    <hyperlink ref="B191" location="'Standing'!B24" display="3002. Capacity elements p/kVA/day"/>
    <hyperlink ref="B192" location="'Standing'!B51" display="3003. Yardstick components p/kWh (taking account of standing charges)"/>
    <hyperlink ref="B193" location="'Standing'!B78" display="3004. Contributions to unit rate 1 p/kWh by network level (taking account of standing charges)"/>
    <hyperlink ref="B194" location="'Standing'!B105" display="3005. Contributions to unit rate 2 p/kWh by network level (taking account of standing charges)"/>
    <hyperlink ref="B195" location="'Standing'!B124" display="3006. Contributions to unit rate 3 p/kWh by network level (taking account of standing charges)"/>
    <hyperlink ref="B196" location="'Standing'!B141" display="3007. Exceeded capacity charge elements p/kVA/day"/>
    <hyperlink ref="B197" location="'AggCap'!B6" display="3101. Mapping of tariffs to tariff groups"/>
    <hyperlink ref="B198" location="'AggCap'!B26" display="3102. Capacity use for tariffs charged for capacity on an exit point basis"/>
    <hyperlink ref="B199" location="'AggCap'!B43" display="3103. Aggregate capacity (kW)"/>
    <hyperlink ref="B200" location="'AggCap'!B52" display="3104. Aggregate number of users charged for capacity on an exit point basis"/>
    <hyperlink ref="B201" location="'AggCap'!B62" display="3105. Average maximum kVA by exit point"/>
    <hyperlink ref="B202" location="'AggCap'!B71" display="3106. Deemed average maximum kVA for each tariff"/>
    <hyperlink ref="B203" location="'AggCap'!B88" display="3107. Capacity-driven fixed charge elements from standing charges factors p/MPAN/day"/>
    <hyperlink ref="B204" location="'Reactive'!B7" display="3201. Network use factors for generator reactive unit charges"/>
    <hyperlink ref="B205" location="'Reactive'!B20" display="3202. Standard components p/kWh for reactive power (absolute value)"/>
    <hyperlink ref="B206" location="'Reactive'!B32" display="3203. Standard reactive p/kVArh"/>
    <hyperlink ref="B207" location="'Reactive'!B42" display="3204. Absolute value of load coefficient (kW peak / average kW)"/>
    <hyperlink ref="B208" location="'Reactive'!B61" display="3205. Pay-as-you-go components p/kWh for reactive power (absolute value)"/>
    <hyperlink ref="B209" location="'Reactive'!B76" display="3206. Pay-as-you-go reactive p/kVArh"/>
    <hyperlink ref="B210" location="'Aggreg'!B14" display="3301. Unit rate 1 p/kWh (elements)"/>
    <hyperlink ref="B211" location="'Aggreg'!B58" display="3302. Unit rate 2 p/kWh (elements)"/>
    <hyperlink ref="B212" location="'Aggreg'!B102" display="3303. Unit rate 3 p/kWh (elements)"/>
    <hyperlink ref="B213" location="'Aggreg'!B146" display="3304. Fixed charge p/MPAN/day (elements)"/>
    <hyperlink ref="B214" location="'Aggreg'!B186" display="3305. Capacity charge p/kVA/day (elements)"/>
    <hyperlink ref="B215" location="'Aggreg'!B226" display="3306. Exceeded capacity charge p/kVA/day (elements)"/>
    <hyperlink ref="B216" location="'Aggreg'!B267" display="3307. Reactive power charge p/kVArh (elements)"/>
    <hyperlink ref="B217" location="'Aggreg'!B314" display="3308. Summary of charges before revenue matching"/>
    <hyperlink ref="B218" location="'Revenue'!B22" display="3401. Net revenues by tariff before matching (£)"/>
    <hyperlink ref="B219" location="'Revenue'!B65" display="3402. Target CDCM revenue"/>
    <hyperlink ref="B220" location="'Revenue'!B76" display="3403. Revenue surplus or shortfall"/>
    <hyperlink ref="B221" location="'Adder'!B11" display="3501. Adder value at which the minimum is breached"/>
    <hyperlink ref="B222" location="'Adder'!B55" display="3502. Marginal revenue effect of adder"/>
    <hyperlink ref="B223" location="'Adder'!B98" display="3503. Constraint-free solution"/>
    <hyperlink ref="B224" location="'Adder'!B109" display="3504. Starting point"/>
    <hyperlink ref="B225" location="'Adder'!B138" display="3505. Solve for General adder rate (p/kWh)"/>
    <hyperlink ref="B226" location="'Adder'!B245" display="3506. General adder rate (p/kWh)"/>
    <hyperlink ref="B227" location="'Adder'!B264" display="3507. Adder"/>
    <hyperlink ref="B228" location="'Adjust'!B18" display="3601. Tariffs before rounding"/>
    <hyperlink ref="B229" location="'Adjust'!B55" display="3602. Decimal places"/>
    <hyperlink ref="B230" location="'Adjust'!B77" display="3603. Tariff rounding"/>
    <hyperlink ref="B231" location="'Adjust'!B131" display="3604. All the way tariffs"/>
    <hyperlink ref="B232" location="'Adjust'!B185" display="3605. Net revenues by tariff from rounding"/>
    <hyperlink ref="B233" location="'Adjust'!B233" display="3606. Revenue forecast summary"/>
    <hyperlink ref="B234" location="'Adjust'!B250" display="3607. Tariffs"/>
    <hyperlink ref="B235" location="'Tariffs'!B15" display="3701. Tariffs"/>
    <hyperlink ref="B236" location="'Summary'!B13" display="3801. Headline parameters"/>
    <hyperlink ref="B237" location="'Summary'!B47" display="3802. Revenue summary"/>
    <hyperlink ref="B238" location="'Summary'!B171" display="3803. Revenue summary by tariff component"/>
    <hyperlink ref="B239" location="'M-Rev'!B7" display="3901. Revenue matrix by tariff"/>
    <hyperlink ref="B240" location="'M-Rev'!B45" display="3902. Revenues by charging element and network level"/>
    <hyperlink ref="B241" location="'CData'!B24" display="4001. Revenues under current tariffs (£)"/>
    <hyperlink ref="B242" location="'CData'!B58" display="4002. All-the-way volumes"/>
    <hyperlink ref="B243" location="'CData'!B95" display="4003. Normalised to"/>
    <hyperlink ref="B244" location="'CData'!B159" display="4004. Normalised volumes for comparisons"/>
    <hyperlink ref="B245" location="'CData'!B275" display="4005. LDNO LV charges (normalised £)"/>
    <hyperlink ref="B246" location="'CData'!B307" display="4006. LDNO HV charges (normalised £)"/>
    <hyperlink ref="B247" location="'CTables'!B13" display="4101. Comparison with current all-the-way demand tariffs"/>
    <hyperlink ref="B248" location="'CTables'!B44" display="4102. LDNO margins in use of system charges"/>
    <hyperlink ref="B249" location="'M-ATW'!A1" display="Tariff matrices"/>
  </hyperlinks>
  <pageMargins left="0.7" right="0.7" top="0.75" bottom="0.75" header="0.3" footer="0.3"/>
  <pageSetup paperSize="9" scale="50" fitToHeight="0" orientation="portrait"/>
  <headerFooter>
    <oddHeader>&amp;L&amp;A&amp;C&amp;R&amp;P of &amp;N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50.7109375" customWidth="1"/>
    <col min="2" max="251" width="16.7109375" customWidth="1"/>
  </cols>
  <sheetData>
    <row r="1" spans="1:13" ht="21" customHeight="1">
      <c r="A1" s="1" t="str">
        <f>"Other expenditure for "&amp;Input!B7&amp;" in "&amp;Input!C7&amp;" ("&amp;Input!D7&amp;")"</f>
        <v>Other expenditure for Electricity North West in 2019/20 (Version 1)</v>
      </c>
    </row>
    <row r="3" spans="1:13" ht="21" customHeight="1">
      <c r="A3" s="1" t="s">
        <v>906</v>
      </c>
    </row>
    <row r="4" spans="1:13">
      <c r="A4" s="2" t="s">
        <v>379</v>
      </c>
    </row>
    <row r="5" spans="1:13">
      <c r="A5" s="29" t="s">
        <v>907</v>
      </c>
    </row>
    <row r="6" spans="1:13">
      <c r="A6" s="2" t="s">
        <v>908</v>
      </c>
    </row>
    <row r="7" spans="1:13">
      <c r="A7" s="2" t="s">
        <v>397</v>
      </c>
    </row>
    <row r="9" spans="1:13" ht="30">
      <c r="B9" s="15" t="s">
        <v>321</v>
      </c>
      <c r="C9" s="15" t="s">
        <v>909</v>
      </c>
      <c r="D9" s="15" t="s">
        <v>910</v>
      </c>
      <c r="E9" s="15" t="s">
        <v>911</v>
      </c>
      <c r="F9" s="15" t="s">
        <v>912</v>
      </c>
      <c r="G9" s="15" t="s">
        <v>913</v>
      </c>
      <c r="H9" s="15" t="s">
        <v>914</v>
      </c>
      <c r="I9" s="15" t="s">
        <v>915</v>
      </c>
      <c r="J9" s="15" t="s">
        <v>916</v>
      </c>
      <c r="K9" s="15" t="s">
        <v>917</v>
      </c>
      <c r="L9" s="15" t="s">
        <v>918</v>
      </c>
    </row>
    <row r="10" spans="1:13" ht="30">
      <c r="A10" s="4" t="s">
        <v>919</v>
      </c>
      <c r="B10" s="41">
        <f>Input!$B308</f>
        <v>21229764.795076028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17"/>
    </row>
    <row r="12" spans="1:13" ht="21" customHeight="1">
      <c r="A12" s="1" t="s">
        <v>920</v>
      </c>
    </row>
    <row r="13" spans="1:13">
      <c r="A13" s="2" t="s">
        <v>379</v>
      </c>
    </row>
    <row r="14" spans="1:13">
      <c r="A14" s="29" t="s">
        <v>474</v>
      </c>
    </row>
    <row r="15" spans="1:13">
      <c r="A15" s="29" t="s">
        <v>921</v>
      </c>
    </row>
    <row r="16" spans="1:13">
      <c r="A16" s="29" t="s">
        <v>922</v>
      </c>
    </row>
    <row r="17" spans="1:10">
      <c r="A17" s="2" t="s">
        <v>923</v>
      </c>
    </row>
    <row r="19" spans="1:10" ht="30">
      <c r="B19" s="15" t="s">
        <v>333</v>
      </c>
      <c r="C19" s="15" t="s">
        <v>334</v>
      </c>
      <c r="D19" s="15" t="s">
        <v>335</v>
      </c>
      <c r="E19" s="15" t="s">
        <v>336</v>
      </c>
      <c r="F19" s="15" t="s">
        <v>337</v>
      </c>
      <c r="G19" s="15" t="s">
        <v>338</v>
      </c>
      <c r="H19" s="15" t="s">
        <v>339</v>
      </c>
      <c r="I19" s="15" t="s">
        <v>340</v>
      </c>
    </row>
    <row r="20" spans="1:10">
      <c r="A20" s="4" t="s">
        <v>924</v>
      </c>
      <c r="B20" s="39">
        <f>IF(DRM!$B$113,AMD!$C214*Input!$B$92/DRM!$B$113/1000,0)</f>
        <v>727852568.39890492</v>
      </c>
      <c r="C20" s="39">
        <f>IF(DRM!$B$114,AMD!$D214*Input!$B$93/DRM!$B$114/1000,0)</f>
        <v>287906000.71985006</v>
      </c>
      <c r="D20" s="39">
        <f>IF(DRM!$B$115,AMD!$E214*Input!$B$94/DRM!$B$115/1000,0)</f>
        <v>758037864.1436522</v>
      </c>
      <c r="E20" s="39">
        <f>IF(DRM!$B$116,AMD!$F214*Input!$B$95/DRM!$B$116/1000,0)</f>
        <v>566634306.79611182</v>
      </c>
      <c r="F20" s="39">
        <f>IF(DRM!$B$117,AMD!$G214*Input!$B$96/DRM!$B$117/1000,0)</f>
        <v>0</v>
      </c>
      <c r="G20" s="39">
        <f>IF(DRM!$B$118,AMD!$H214*Input!$B$97/DRM!$B$118/1000,0)</f>
        <v>1063032962.4367547</v>
      </c>
      <c r="H20" s="39">
        <f>IF(DRM!$B$119,AMD!$I214*Input!$B$98/DRM!$B$119/1000,0)</f>
        <v>778470215.6289947</v>
      </c>
      <c r="I20" s="39">
        <f>IF(DRM!$B$120,AMD!$J214*Input!$B$99/DRM!$B$120/1000,0)</f>
        <v>326209585.38394517</v>
      </c>
      <c r="J20" s="17"/>
    </row>
    <row r="22" spans="1:10" ht="21" customHeight="1">
      <c r="A22" s="1" t="s">
        <v>925</v>
      </c>
    </row>
    <row r="23" spans="1:10">
      <c r="A23" s="2" t="s">
        <v>379</v>
      </c>
    </row>
    <row r="24" spans="1:10">
      <c r="A24" s="29" t="s">
        <v>606</v>
      </c>
    </row>
    <row r="25" spans="1:10">
      <c r="A25" s="2" t="s">
        <v>665</v>
      </c>
    </row>
    <row r="27" spans="1:10" ht="75">
      <c r="B27" s="15" t="s">
        <v>926</v>
      </c>
    </row>
    <row r="28" spans="1:10">
      <c r="A28" s="4" t="s">
        <v>228</v>
      </c>
      <c r="B28" s="41">
        <f>Multi!B$142</f>
        <v>17466.3968856461</v>
      </c>
      <c r="C28" s="17"/>
    </row>
    <row r="29" spans="1:10">
      <c r="A29" s="4" t="s">
        <v>229</v>
      </c>
      <c r="B29" s="41">
        <f>Multi!B$143</f>
        <v>9322.3454758277185</v>
      </c>
      <c r="C29" s="17"/>
    </row>
    <row r="30" spans="1:10">
      <c r="A30" s="4" t="s">
        <v>230</v>
      </c>
      <c r="B30" s="41">
        <f>Multi!B$144</f>
        <v>411.24693034888236</v>
      </c>
      <c r="C30" s="17"/>
    </row>
    <row r="31" spans="1:10">
      <c r="A31" s="4" t="s">
        <v>231</v>
      </c>
      <c r="B31" s="41">
        <f>Multi!B$145</f>
        <v>5.1405866293610297E-2</v>
      </c>
      <c r="C31" s="17"/>
    </row>
    <row r="32" spans="1:10">
      <c r="A32" s="4" t="s">
        <v>232</v>
      </c>
      <c r="B32" s="41">
        <f>Multi!B$146</f>
        <v>215855.29517257059</v>
      </c>
      <c r="C32" s="17"/>
    </row>
    <row r="34" spans="1:3" ht="21" customHeight="1">
      <c r="A34" s="1" t="s">
        <v>927</v>
      </c>
    </row>
    <row r="35" spans="1:3">
      <c r="A35" s="2" t="s">
        <v>379</v>
      </c>
    </row>
    <row r="36" spans="1:3">
      <c r="A36" s="29" t="s">
        <v>928</v>
      </c>
    </row>
    <row r="37" spans="1:3">
      <c r="A37" s="2" t="s">
        <v>851</v>
      </c>
    </row>
    <row r="39" spans="1:3" ht="30">
      <c r="B39" s="15" t="s">
        <v>929</v>
      </c>
    </row>
    <row r="40" spans="1:3">
      <c r="A40" s="4" t="s">
        <v>929</v>
      </c>
      <c r="B40" s="39">
        <f>SUM(B$28:B$32)</f>
        <v>243055.33587025959</v>
      </c>
      <c r="C40" s="17"/>
    </row>
    <row r="42" spans="1:3" ht="21" customHeight="1">
      <c r="A42" s="1" t="s">
        <v>930</v>
      </c>
    </row>
    <row r="43" spans="1:3">
      <c r="A43" s="2" t="s">
        <v>379</v>
      </c>
    </row>
    <row r="44" spans="1:3">
      <c r="A44" s="29" t="s">
        <v>931</v>
      </c>
    </row>
    <row r="45" spans="1:3">
      <c r="A45" s="29" t="s">
        <v>932</v>
      </c>
    </row>
    <row r="46" spans="1:3">
      <c r="A46" s="29" t="s">
        <v>933</v>
      </c>
    </row>
    <row r="47" spans="1:3">
      <c r="A47" s="29" t="s">
        <v>934</v>
      </c>
    </row>
    <row r="48" spans="1:3">
      <c r="A48" s="29" t="s">
        <v>935</v>
      </c>
    </row>
    <row r="49" spans="1:13">
      <c r="A49" s="29" t="s">
        <v>936</v>
      </c>
    </row>
    <row r="50" spans="1:13">
      <c r="A50" s="29" t="s">
        <v>937</v>
      </c>
    </row>
    <row r="51" spans="1:13">
      <c r="A51" s="30" t="s">
        <v>382</v>
      </c>
      <c r="B51" s="30" t="s">
        <v>384</v>
      </c>
      <c r="C51" s="30"/>
      <c r="D51" s="30" t="s">
        <v>512</v>
      </c>
      <c r="E51" s="30" t="s">
        <v>441</v>
      </c>
      <c r="F51" s="30"/>
      <c r="G51" s="30" t="s">
        <v>512</v>
      </c>
      <c r="H51" s="30"/>
    </row>
    <row r="52" spans="1:13">
      <c r="A52" s="30" t="s">
        <v>385</v>
      </c>
      <c r="B52" s="30" t="s">
        <v>387</v>
      </c>
      <c r="C52" s="30"/>
      <c r="D52" s="30" t="s">
        <v>938</v>
      </c>
      <c r="E52" s="30" t="s">
        <v>939</v>
      </c>
      <c r="F52" s="30"/>
      <c r="G52" s="30" t="s">
        <v>940</v>
      </c>
      <c r="H52" s="30"/>
    </row>
    <row r="54" spans="1:13" ht="30">
      <c r="B54" s="28" t="s">
        <v>941</v>
      </c>
      <c r="C54" s="28"/>
      <c r="E54" s="28" t="s">
        <v>942</v>
      </c>
      <c r="F54" s="28"/>
      <c r="G54" s="28" t="s">
        <v>943</v>
      </c>
      <c r="H54" s="28"/>
    </row>
    <row r="55" spans="1:13" ht="45">
      <c r="B55" s="15" t="s">
        <v>491</v>
      </c>
      <c r="C55" s="15" t="s">
        <v>503</v>
      </c>
      <c r="D55" s="15" t="s">
        <v>942</v>
      </c>
      <c r="E55" s="15" t="s">
        <v>491</v>
      </c>
      <c r="F55" s="15" t="s">
        <v>503</v>
      </c>
      <c r="G55" s="15" t="s">
        <v>491</v>
      </c>
      <c r="H55" s="15" t="s">
        <v>503</v>
      </c>
    </row>
    <row r="56" spans="1:13">
      <c r="A56" s="4" t="s">
        <v>944</v>
      </c>
      <c r="B56" s="39">
        <f>SUMPRODUCT(SM!B$72:B$104,Loads!$E$334:$E$366)</f>
        <v>1369949435.7096515</v>
      </c>
      <c r="C56" s="39">
        <f>SUMPRODUCT(SM!C$72:C$104,Loads!$E$334:$E$366)</f>
        <v>41201015.710132733</v>
      </c>
      <c r="D56" s="39">
        <f>SM!B39*$B40</f>
        <v>210344908.01227161</v>
      </c>
      <c r="E56" s="41">
        <f>$D56</f>
        <v>210344908.01227161</v>
      </c>
      <c r="F56" s="10"/>
      <c r="G56" s="39">
        <f>B56+E56</f>
        <v>1580294343.7219231</v>
      </c>
      <c r="H56" s="39">
        <f>C56+F56</f>
        <v>41201015.710132733</v>
      </c>
      <c r="I56" s="17"/>
    </row>
    <row r="58" spans="1:13" ht="21" customHeight="1">
      <c r="A58" s="1" t="s">
        <v>945</v>
      </c>
    </row>
    <row r="59" spans="1:13">
      <c r="A59" s="2" t="s">
        <v>379</v>
      </c>
    </row>
    <row r="60" spans="1:13">
      <c r="A60" s="29" t="s">
        <v>946</v>
      </c>
    </row>
    <row r="61" spans="1:13">
      <c r="A61" s="29" t="s">
        <v>947</v>
      </c>
    </row>
    <row r="62" spans="1:13">
      <c r="A62" s="29" t="s">
        <v>948</v>
      </c>
    </row>
    <row r="63" spans="1:13">
      <c r="A63" s="30" t="s">
        <v>382</v>
      </c>
      <c r="B63" s="31" t="s">
        <v>547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0" t="s">
        <v>513</v>
      </c>
    </row>
    <row r="64" spans="1:13">
      <c r="A64" s="30" t="s">
        <v>385</v>
      </c>
      <c r="B64" s="31" t="s">
        <v>775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0" t="s">
        <v>568</v>
      </c>
    </row>
    <row r="66" spans="1:14">
      <c r="B66" s="32" t="s">
        <v>949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</row>
    <row r="67" spans="1:14" ht="60">
      <c r="B67" s="15" t="s">
        <v>148</v>
      </c>
      <c r="C67" s="15" t="s">
        <v>333</v>
      </c>
      <c r="D67" s="15" t="s">
        <v>334</v>
      </c>
      <c r="E67" s="15" t="s">
        <v>335</v>
      </c>
      <c r="F67" s="15" t="s">
        <v>336</v>
      </c>
      <c r="G67" s="15" t="s">
        <v>337</v>
      </c>
      <c r="H67" s="15" t="s">
        <v>338</v>
      </c>
      <c r="I67" s="15" t="s">
        <v>339</v>
      </c>
      <c r="J67" s="15" t="s">
        <v>340</v>
      </c>
      <c r="K67" s="15" t="s">
        <v>491</v>
      </c>
      <c r="L67" s="15" t="s">
        <v>503</v>
      </c>
      <c r="M67" s="15" t="s">
        <v>950</v>
      </c>
    </row>
    <row r="68" spans="1:14">
      <c r="A68" s="4" t="s">
        <v>951</v>
      </c>
      <c r="B68" s="10"/>
      <c r="C68" s="41">
        <f>$B20</f>
        <v>727852568.39890492</v>
      </c>
      <c r="D68" s="41">
        <f>$C20</f>
        <v>287906000.71985006</v>
      </c>
      <c r="E68" s="41">
        <f>$D20</f>
        <v>758037864.1436522</v>
      </c>
      <c r="F68" s="41">
        <f>$E20</f>
        <v>566634306.79611182</v>
      </c>
      <c r="G68" s="41">
        <f>$F20</f>
        <v>0</v>
      </c>
      <c r="H68" s="41">
        <f>$G20</f>
        <v>1063032962.4367547</v>
      </c>
      <c r="I68" s="41">
        <f>$H20</f>
        <v>778470215.6289947</v>
      </c>
      <c r="J68" s="41">
        <f>$I20</f>
        <v>326209585.38394517</v>
      </c>
      <c r="K68" s="41">
        <f>$G56</f>
        <v>1580294343.7219231</v>
      </c>
      <c r="L68" s="41">
        <f>$H56</f>
        <v>41201015.710132733</v>
      </c>
      <c r="M68" s="41">
        <f>SUM($B68:$L68)</f>
        <v>6129638862.9402695</v>
      </c>
      <c r="N68" s="17"/>
    </row>
    <row r="70" spans="1:14" ht="21" customHeight="1">
      <c r="A70" s="1" t="s">
        <v>952</v>
      </c>
    </row>
    <row r="71" spans="1:14">
      <c r="A71" s="2" t="s">
        <v>379</v>
      </c>
    </row>
    <row r="72" spans="1:14">
      <c r="A72" s="29" t="s">
        <v>953</v>
      </c>
    </row>
    <row r="73" spans="1:14">
      <c r="A73" s="29" t="s">
        <v>954</v>
      </c>
    </row>
    <row r="74" spans="1:14">
      <c r="A74" s="29" t="s">
        <v>955</v>
      </c>
    </row>
    <row r="75" spans="1:14">
      <c r="A75" s="29" t="s">
        <v>956</v>
      </c>
    </row>
    <row r="76" spans="1:14">
      <c r="A76" s="2" t="s">
        <v>957</v>
      </c>
    </row>
    <row r="78" spans="1:14" ht="90">
      <c r="B78" s="15" t="s">
        <v>958</v>
      </c>
    </row>
    <row r="79" spans="1:14">
      <c r="A79" s="4" t="s">
        <v>328</v>
      </c>
      <c r="B79" s="39">
        <f>Input!B313+Input!E313+Input!C313*Input!D313</f>
        <v>122338374.69043623</v>
      </c>
      <c r="C79" s="17"/>
    </row>
    <row r="81" spans="1:13" ht="21" customHeight="1">
      <c r="A81" s="1" t="s">
        <v>959</v>
      </c>
    </row>
    <row r="82" spans="1:13">
      <c r="A82" s="2" t="s">
        <v>379</v>
      </c>
    </row>
    <row r="83" spans="1:13">
      <c r="A83" s="29" t="s">
        <v>960</v>
      </c>
    </row>
    <row r="84" spans="1:13">
      <c r="A84" s="29" t="s">
        <v>961</v>
      </c>
    </row>
    <row r="85" spans="1:13">
      <c r="A85" s="29" t="s">
        <v>962</v>
      </c>
    </row>
    <row r="86" spans="1:13">
      <c r="A86" s="29" t="s">
        <v>963</v>
      </c>
    </row>
    <row r="87" spans="1:13">
      <c r="A87" s="2" t="s">
        <v>964</v>
      </c>
    </row>
    <row r="89" spans="1:13" ht="30">
      <c r="B89" s="15" t="s">
        <v>321</v>
      </c>
      <c r="C89" s="15" t="s">
        <v>909</v>
      </c>
      <c r="D89" s="15" t="s">
        <v>910</v>
      </c>
      <c r="E89" s="15" t="s">
        <v>911</v>
      </c>
      <c r="F89" s="15" t="s">
        <v>912</v>
      </c>
      <c r="G89" s="15" t="s">
        <v>913</v>
      </c>
      <c r="H89" s="15" t="s">
        <v>914</v>
      </c>
      <c r="I89" s="15" t="s">
        <v>915</v>
      </c>
      <c r="J89" s="15" t="s">
        <v>916</v>
      </c>
      <c r="K89" s="15" t="s">
        <v>917</v>
      </c>
      <c r="L89" s="15" t="s">
        <v>918</v>
      </c>
    </row>
    <row r="90" spans="1:13">
      <c r="A90" s="4" t="s">
        <v>965</v>
      </c>
      <c r="B90" s="39">
        <f t="shared" ref="B90:L90" si="0">B10+$B79/$M68*B68</f>
        <v>21229764.795076028</v>
      </c>
      <c r="C90" s="39">
        <f t="shared" si="0"/>
        <v>14526842.808071855</v>
      </c>
      <c r="D90" s="39">
        <f t="shared" si="0"/>
        <v>5746170.8559441511</v>
      </c>
      <c r="E90" s="39">
        <f t="shared" si="0"/>
        <v>15129295.92211896</v>
      </c>
      <c r="F90" s="39">
        <f t="shared" si="0"/>
        <v>11309168.727115896</v>
      </c>
      <c r="G90" s="39">
        <f t="shared" si="0"/>
        <v>0</v>
      </c>
      <c r="H90" s="39">
        <f t="shared" si="0"/>
        <v>21216539.469095211</v>
      </c>
      <c r="I90" s="39">
        <f t="shared" si="0"/>
        <v>15537094.934053162</v>
      </c>
      <c r="J90" s="39">
        <f t="shared" si="0"/>
        <v>6510652.8095147619</v>
      </c>
      <c r="K90" s="39">
        <f t="shared" si="0"/>
        <v>31540298.844081115</v>
      </c>
      <c r="L90" s="39">
        <f t="shared" si="0"/>
        <v>822310.32044112205</v>
      </c>
      <c r="M90" s="17"/>
    </row>
    <row r="92" spans="1:13" ht="21" customHeight="1">
      <c r="A92" s="1" t="s">
        <v>966</v>
      </c>
    </row>
    <row r="93" spans="1:13">
      <c r="A93" s="2" t="s">
        <v>379</v>
      </c>
    </row>
    <row r="94" spans="1:13">
      <c r="A94" s="29" t="s">
        <v>967</v>
      </c>
    </row>
    <row r="95" spans="1:13">
      <c r="A95" s="29" t="s">
        <v>968</v>
      </c>
    </row>
    <row r="96" spans="1:13">
      <c r="A96" s="2" t="s">
        <v>969</v>
      </c>
    </row>
    <row r="98" spans="1:13" ht="30">
      <c r="B98" s="15" t="s">
        <v>321</v>
      </c>
      <c r="C98" s="15" t="s">
        <v>909</v>
      </c>
      <c r="D98" s="15" t="s">
        <v>910</v>
      </c>
      <c r="E98" s="15" t="s">
        <v>911</v>
      </c>
      <c r="F98" s="15" t="s">
        <v>912</v>
      </c>
      <c r="G98" s="15" t="s">
        <v>913</v>
      </c>
      <c r="H98" s="15" t="s">
        <v>914</v>
      </c>
      <c r="I98" s="15" t="s">
        <v>915</v>
      </c>
      <c r="J98" s="15" t="s">
        <v>916</v>
      </c>
      <c r="K98" s="15" t="s">
        <v>917</v>
      </c>
      <c r="L98" s="15" t="s">
        <v>918</v>
      </c>
    </row>
    <row r="99" spans="1:13">
      <c r="A99" s="4" t="s">
        <v>970</v>
      </c>
      <c r="B99" s="36" t="str">
        <f t="shared" ref="B99:L99" si="1">IF(B68="","",IF(B68&gt;0,B90/B68,0))</f>
        <v/>
      </c>
      <c r="C99" s="36">
        <f t="shared" si="1"/>
        <v>1.9958496320246977E-2</v>
      </c>
      <c r="D99" s="36">
        <f t="shared" si="1"/>
        <v>1.9958496320246977E-2</v>
      </c>
      <c r="E99" s="36">
        <f t="shared" si="1"/>
        <v>1.9958496320246977E-2</v>
      </c>
      <c r="F99" s="36">
        <f t="shared" si="1"/>
        <v>1.9958496320246977E-2</v>
      </c>
      <c r="G99" s="36">
        <f t="shared" si="1"/>
        <v>0</v>
      </c>
      <c r="H99" s="36">
        <f t="shared" si="1"/>
        <v>1.9958496320246977E-2</v>
      </c>
      <c r="I99" s="36">
        <f t="shared" si="1"/>
        <v>1.9958496320246977E-2</v>
      </c>
      <c r="J99" s="36">
        <f t="shared" si="1"/>
        <v>1.9958496320246977E-2</v>
      </c>
      <c r="K99" s="36">
        <f t="shared" si="1"/>
        <v>1.9958496320246977E-2</v>
      </c>
      <c r="L99" s="36">
        <f t="shared" si="1"/>
        <v>1.9958496320246977E-2</v>
      </c>
      <c r="M99" s="17"/>
    </row>
    <row r="101" spans="1:13" ht="21" customHeight="1">
      <c r="A101" s="1" t="s">
        <v>971</v>
      </c>
    </row>
    <row r="102" spans="1:13">
      <c r="A102" s="2" t="s">
        <v>379</v>
      </c>
    </row>
    <row r="103" spans="1:13">
      <c r="A103" s="29" t="s">
        <v>972</v>
      </c>
    </row>
    <row r="104" spans="1:13">
      <c r="A104" s="29" t="s">
        <v>968</v>
      </c>
    </row>
    <row r="105" spans="1:13">
      <c r="A105" s="2" t="s">
        <v>973</v>
      </c>
    </row>
    <row r="107" spans="1:13" ht="30">
      <c r="B107" s="15" t="s">
        <v>321</v>
      </c>
      <c r="C107" s="15" t="s">
        <v>909</v>
      </c>
      <c r="D107" s="15" t="s">
        <v>910</v>
      </c>
      <c r="E107" s="15" t="s">
        <v>911</v>
      </c>
      <c r="F107" s="15" t="s">
        <v>912</v>
      </c>
      <c r="G107" s="15" t="s">
        <v>913</v>
      </c>
      <c r="H107" s="15" t="s">
        <v>914</v>
      </c>
      <c r="I107" s="15" t="s">
        <v>915</v>
      </c>
      <c r="J107" s="15" t="s">
        <v>916</v>
      </c>
    </row>
    <row r="108" spans="1:13" ht="30">
      <c r="A108" s="4" t="s">
        <v>974</v>
      </c>
      <c r="B108" s="34">
        <f>IF(AMD!B214&gt;0,$B90/AMD!B214,0)</f>
        <v>6.0658204726506959</v>
      </c>
      <c r="C108" s="34">
        <f>IF(AMD!C214&gt;0,$C90/AMD!C214,0)</f>
        <v>4.3007484450422284</v>
      </c>
      <c r="D108" s="34">
        <f>IF(AMD!D214&gt;0,$D90/AMD!D214,0)</f>
        <v>1.7095703390950534</v>
      </c>
      <c r="E108" s="34">
        <f>IF(AMD!E214&gt;0,$E90/AMD!E214,0)</f>
        <v>4.3439776866906312</v>
      </c>
      <c r="F108" s="34">
        <f>IF(AMD!F214&gt;0,$F90/AMD!F214,0)</f>
        <v>2.7550633146844397</v>
      </c>
      <c r="G108" s="34">
        <f>IF(AMD!G214&gt;0,$G90/AMD!G214,0)</f>
        <v>0</v>
      </c>
      <c r="H108" s="34">
        <f>IF(AMD!H214&gt;0,$H90/AMD!H214,0)</f>
        <v>5.0620276261014761</v>
      </c>
      <c r="I108" s="34">
        <f>IF(AMD!I214&gt;0,$I90/AMD!I214,0)</f>
        <v>4.6571848952586432</v>
      </c>
      <c r="J108" s="34">
        <f>IF(AMD!J214&gt;0,$J90/AMD!J214,0)</f>
        <v>2.7150339241953914</v>
      </c>
      <c r="K108" s="17"/>
    </row>
    <row r="110" spans="1:13" ht="21" customHeight="1">
      <c r="A110" s="1" t="s">
        <v>975</v>
      </c>
    </row>
    <row r="111" spans="1:13">
      <c r="A111" s="2" t="s">
        <v>379</v>
      </c>
    </row>
    <row r="112" spans="1:13">
      <c r="A112" s="29" t="s">
        <v>508</v>
      </c>
    </row>
    <row r="113" spans="1:5">
      <c r="A113" s="29" t="s">
        <v>976</v>
      </c>
    </row>
    <row r="114" spans="1:5">
      <c r="A114" s="29" t="s">
        <v>977</v>
      </c>
    </row>
    <row r="115" spans="1:5">
      <c r="A115" s="29" t="s">
        <v>978</v>
      </c>
    </row>
    <row r="116" spans="1:5">
      <c r="A116" s="30" t="s">
        <v>382</v>
      </c>
      <c r="B116" s="30" t="s">
        <v>512</v>
      </c>
      <c r="C116" s="30"/>
      <c r="D116" s="30" t="s">
        <v>513</v>
      </c>
    </row>
    <row r="117" spans="1:5">
      <c r="A117" s="30" t="s">
        <v>385</v>
      </c>
      <c r="B117" s="30" t="s">
        <v>979</v>
      </c>
      <c r="C117" s="30"/>
      <c r="D117" s="30" t="s">
        <v>569</v>
      </c>
    </row>
    <row r="119" spans="1:5" ht="30">
      <c r="B119" s="28" t="s">
        <v>980</v>
      </c>
      <c r="C119" s="28"/>
    </row>
    <row r="120" spans="1:5" ht="75">
      <c r="B120" s="15" t="s">
        <v>917</v>
      </c>
      <c r="C120" s="15" t="s">
        <v>918</v>
      </c>
      <c r="D120" s="15" t="s">
        <v>981</v>
      </c>
    </row>
    <row r="121" spans="1:5">
      <c r="A121" s="4" t="s">
        <v>180</v>
      </c>
      <c r="B121" s="34">
        <f>100/Input!$F$60*$K$99*SM!$B72</f>
        <v>2.9888206560198993</v>
      </c>
      <c r="C121" s="34">
        <f>100/Input!$F$60*$L$99*SM!$C72</f>
        <v>0</v>
      </c>
      <c r="D121" s="34">
        <f t="shared" ref="D121:D153" si="2">SUM($B121:$C121)</f>
        <v>2.9888206560198993</v>
      </c>
      <c r="E121" s="17"/>
    </row>
    <row r="122" spans="1:5">
      <c r="A122" s="4" t="s">
        <v>181</v>
      </c>
      <c r="B122" s="34">
        <f>100/Input!$F$60*$K$99*SM!$B73</f>
        <v>2.9888206560198993</v>
      </c>
      <c r="C122" s="34">
        <f>100/Input!$F$60*$L$99*SM!$C73</f>
        <v>0</v>
      </c>
      <c r="D122" s="34">
        <f t="shared" si="2"/>
        <v>2.9888206560198993</v>
      </c>
      <c r="E122" s="17"/>
    </row>
    <row r="123" spans="1:5">
      <c r="A123" s="4" t="s">
        <v>226</v>
      </c>
      <c r="B123" s="34">
        <f>100/Input!$F$60*$K$99*SM!$B74</f>
        <v>0</v>
      </c>
      <c r="C123" s="34">
        <f>100/Input!$F$60*$L$99*SM!$C74</f>
        <v>0</v>
      </c>
      <c r="D123" s="34">
        <f t="shared" si="2"/>
        <v>0</v>
      </c>
      <c r="E123" s="17"/>
    </row>
    <row r="124" spans="1:5">
      <c r="A124" s="4" t="s">
        <v>182</v>
      </c>
      <c r="B124" s="34">
        <f>100/Input!$F$60*$K$99*SM!$B75</f>
        <v>2.9888206560198993</v>
      </c>
      <c r="C124" s="34">
        <f>100/Input!$F$60*$L$99*SM!$C75</f>
        <v>0</v>
      </c>
      <c r="D124" s="34">
        <f t="shared" si="2"/>
        <v>2.9888206560198993</v>
      </c>
      <c r="E124" s="17"/>
    </row>
    <row r="125" spans="1:5">
      <c r="A125" s="4" t="s">
        <v>183</v>
      </c>
      <c r="B125" s="34">
        <f>100/Input!$F$60*$K$99*SM!$B76</f>
        <v>2.9888206560198993</v>
      </c>
      <c r="C125" s="34">
        <f>100/Input!$F$60*$L$99*SM!$C76</f>
        <v>0</v>
      </c>
      <c r="D125" s="34">
        <f t="shared" si="2"/>
        <v>2.9888206560198993</v>
      </c>
      <c r="E125" s="17"/>
    </row>
    <row r="126" spans="1:5">
      <c r="A126" s="4" t="s">
        <v>227</v>
      </c>
      <c r="B126" s="34">
        <f>100/Input!$F$60*$K$99*SM!$B77</f>
        <v>0</v>
      </c>
      <c r="C126" s="34">
        <f>100/Input!$F$60*$L$99*SM!$C77</f>
        <v>0</v>
      </c>
      <c r="D126" s="34">
        <f t="shared" si="2"/>
        <v>0</v>
      </c>
      <c r="E126" s="17"/>
    </row>
    <row r="127" spans="1:5">
      <c r="A127" s="4" t="s">
        <v>184</v>
      </c>
      <c r="B127" s="34">
        <f>100/Input!$F$60*$K$99*SM!$B78</f>
        <v>11.405697703635974</v>
      </c>
      <c r="C127" s="34">
        <f>100/Input!$F$60*$L$99*SM!$C78</f>
        <v>0</v>
      </c>
      <c r="D127" s="34">
        <f t="shared" si="2"/>
        <v>11.405697703635974</v>
      </c>
      <c r="E127" s="17"/>
    </row>
    <row r="128" spans="1:5">
      <c r="A128" s="4" t="s">
        <v>185</v>
      </c>
      <c r="B128" s="34">
        <f>100/Input!$F$60*$K$99*SM!$B79</f>
        <v>45.106413068356694</v>
      </c>
      <c r="C128" s="34">
        <f>100/Input!$F$60*$L$99*SM!$C79</f>
        <v>0</v>
      </c>
      <c r="D128" s="34">
        <f t="shared" si="2"/>
        <v>45.106413068356694</v>
      </c>
      <c r="E128" s="17"/>
    </row>
    <row r="129" spans="1:5">
      <c r="A129" s="4" t="s">
        <v>205</v>
      </c>
      <c r="B129" s="34">
        <f>100/Input!$F$60*$K$99*SM!$B80</f>
        <v>0</v>
      </c>
      <c r="C129" s="34">
        <f>100/Input!$F$60*$L$99*SM!$C80</f>
        <v>99.182988171499503</v>
      </c>
      <c r="D129" s="34">
        <f t="shared" si="2"/>
        <v>99.182988171499503</v>
      </c>
      <c r="E129" s="17"/>
    </row>
    <row r="130" spans="1:5">
      <c r="A130" s="4" t="s">
        <v>186</v>
      </c>
      <c r="B130" s="34">
        <f>100/Input!$F$60*$K$99*SM!$B81</f>
        <v>2.9888206560198993</v>
      </c>
      <c r="C130" s="34">
        <f>100/Input!$F$60*$L$99*SM!$C81</f>
        <v>0</v>
      </c>
      <c r="D130" s="34">
        <f t="shared" si="2"/>
        <v>2.9888206560198993</v>
      </c>
      <c r="E130" s="17"/>
    </row>
    <row r="131" spans="1:5">
      <c r="A131" s="4" t="s">
        <v>187</v>
      </c>
      <c r="B131" s="34">
        <f>100/Input!$F$60*$K$99*SM!$B82</f>
        <v>2.9888206560198993</v>
      </c>
      <c r="C131" s="34">
        <f>100/Input!$F$60*$L$99*SM!$C82</f>
        <v>0</v>
      </c>
      <c r="D131" s="34">
        <f t="shared" si="2"/>
        <v>2.9888206560198993</v>
      </c>
      <c r="E131" s="17"/>
    </row>
    <row r="132" spans="1:5">
      <c r="A132" s="4" t="s">
        <v>188</v>
      </c>
      <c r="B132" s="34">
        <f>100/Input!$F$60*$K$99*SM!$B83</f>
        <v>14.051320860512647</v>
      </c>
      <c r="C132" s="34">
        <f>100/Input!$F$60*$L$99*SM!$C83</f>
        <v>0</v>
      </c>
      <c r="D132" s="34">
        <f t="shared" si="2"/>
        <v>14.051320860512647</v>
      </c>
      <c r="E132" s="17"/>
    </row>
    <row r="133" spans="1:5">
      <c r="A133" s="4" t="s">
        <v>189</v>
      </c>
      <c r="B133" s="34">
        <f>100/Input!$F$60*$K$99*SM!$B84</f>
        <v>45.106413068356694</v>
      </c>
      <c r="C133" s="34">
        <f>100/Input!$F$60*$L$99*SM!$C84</f>
        <v>0</v>
      </c>
      <c r="D133" s="34">
        <f t="shared" si="2"/>
        <v>45.106413068356694</v>
      </c>
      <c r="E133" s="17"/>
    </row>
    <row r="134" spans="1:5">
      <c r="A134" s="4" t="s">
        <v>206</v>
      </c>
      <c r="B134" s="34">
        <f>100/Input!$F$60*$K$99*SM!$B85</f>
        <v>0</v>
      </c>
      <c r="C134" s="34">
        <f>100/Input!$F$60*$L$99*SM!$C85</f>
        <v>99.182988171499503</v>
      </c>
      <c r="D134" s="34">
        <f t="shared" si="2"/>
        <v>99.182988171499503</v>
      </c>
      <c r="E134" s="17"/>
    </row>
    <row r="135" spans="1:5">
      <c r="A135" s="4" t="s">
        <v>228</v>
      </c>
      <c r="B135" s="34">
        <f>100/Input!$F$60*$K$99*SM!$B86</f>
        <v>0</v>
      </c>
      <c r="C135" s="34">
        <f>100/Input!$F$60*$L$99*SM!$C86</f>
        <v>0</v>
      </c>
      <c r="D135" s="34">
        <f t="shared" si="2"/>
        <v>0</v>
      </c>
      <c r="E135" s="17"/>
    </row>
    <row r="136" spans="1:5">
      <c r="A136" s="4" t="s">
        <v>229</v>
      </c>
      <c r="B136" s="34">
        <f>100/Input!$F$60*$K$99*SM!$B87</f>
        <v>0</v>
      </c>
      <c r="C136" s="34">
        <f>100/Input!$F$60*$L$99*SM!$C87</f>
        <v>0</v>
      </c>
      <c r="D136" s="34">
        <f t="shared" si="2"/>
        <v>0</v>
      </c>
      <c r="E136" s="17"/>
    </row>
    <row r="137" spans="1:5">
      <c r="A137" s="4" t="s">
        <v>230</v>
      </c>
      <c r="B137" s="34">
        <f>100/Input!$F$60*$K$99*SM!$B88</f>
        <v>0</v>
      </c>
      <c r="C137" s="34">
        <f>100/Input!$F$60*$L$99*SM!$C88</f>
        <v>0</v>
      </c>
      <c r="D137" s="34">
        <f t="shared" si="2"/>
        <v>0</v>
      </c>
      <c r="E137" s="17"/>
    </row>
    <row r="138" spans="1:5">
      <c r="A138" s="4" t="s">
        <v>231</v>
      </c>
      <c r="B138" s="34">
        <f>100/Input!$F$60*$K$99*SM!$B89</f>
        <v>0</v>
      </c>
      <c r="C138" s="34">
        <f>100/Input!$F$60*$L$99*SM!$C89</f>
        <v>0</v>
      </c>
      <c r="D138" s="34">
        <f t="shared" si="2"/>
        <v>0</v>
      </c>
      <c r="E138" s="17"/>
    </row>
    <row r="139" spans="1:5">
      <c r="A139" s="4" t="s">
        <v>232</v>
      </c>
      <c r="B139" s="34">
        <f>100/Input!$F$60*$K$99*SM!$B90</f>
        <v>0</v>
      </c>
      <c r="C139" s="34">
        <f>100/Input!$F$60*$L$99*SM!$C90</f>
        <v>0</v>
      </c>
      <c r="D139" s="34">
        <f t="shared" si="2"/>
        <v>0</v>
      </c>
      <c r="E139" s="17"/>
    </row>
    <row r="140" spans="1:5">
      <c r="A140" s="4" t="s">
        <v>190</v>
      </c>
      <c r="B140" s="34">
        <f>100/Input!$F$60*$K$99*SM!$B91</f>
        <v>0</v>
      </c>
      <c r="C140" s="34">
        <f>100/Input!$F$60*$L$99*SM!$C91</f>
        <v>0</v>
      </c>
      <c r="D140" s="34">
        <f t="shared" si="2"/>
        <v>0</v>
      </c>
      <c r="E140" s="17"/>
    </row>
    <row r="141" spans="1:5">
      <c r="A141" s="4" t="s">
        <v>191</v>
      </c>
      <c r="B141" s="34">
        <f>100/Input!$F$60*$K$99*SM!$B92</f>
        <v>0</v>
      </c>
      <c r="C141" s="34">
        <f>100/Input!$F$60*$L$99*SM!$C92</f>
        <v>0</v>
      </c>
      <c r="D141" s="34">
        <f t="shared" si="2"/>
        <v>0</v>
      </c>
      <c r="E141" s="17"/>
    </row>
    <row r="142" spans="1:5">
      <c r="A142" s="4" t="s">
        <v>192</v>
      </c>
      <c r="B142" s="34">
        <f>100/Input!$F$60*$K$99*SM!$B93</f>
        <v>0</v>
      </c>
      <c r="C142" s="34">
        <f>100/Input!$F$60*$L$99*SM!$C93</f>
        <v>0</v>
      </c>
      <c r="D142" s="34">
        <f t="shared" si="2"/>
        <v>0</v>
      </c>
      <c r="E142" s="17"/>
    </row>
    <row r="143" spans="1:5">
      <c r="A143" s="4" t="s">
        <v>193</v>
      </c>
      <c r="B143" s="34">
        <f>100/Input!$F$60*$K$99*SM!$B94</f>
        <v>0</v>
      </c>
      <c r="C143" s="34">
        <f>100/Input!$F$60*$L$99*SM!$C94</f>
        <v>0</v>
      </c>
      <c r="D143" s="34">
        <f t="shared" si="2"/>
        <v>0</v>
      </c>
      <c r="E143" s="17"/>
    </row>
    <row r="144" spans="1:5">
      <c r="A144" s="4" t="s">
        <v>194</v>
      </c>
      <c r="B144" s="34">
        <f>100/Input!$F$60*$K$99*SM!$B95</f>
        <v>0</v>
      </c>
      <c r="C144" s="34">
        <f>100/Input!$F$60*$L$99*SM!$C95</f>
        <v>0</v>
      </c>
      <c r="D144" s="34">
        <f t="shared" si="2"/>
        <v>0</v>
      </c>
      <c r="E144" s="17"/>
    </row>
    <row r="145" spans="1:5">
      <c r="A145" s="4" t="s">
        <v>195</v>
      </c>
      <c r="B145" s="34">
        <f>100/Input!$F$60*$K$99*SM!$B96</f>
        <v>0</v>
      </c>
      <c r="C145" s="34">
        <f>100/Input!$F$60*$L$99*SM!$C96</f>
        <v>0</v>
      </c>
      <c r="D145" s="34">
        <f t="shared" si="2"/>
        <v>0</v>
      </c>
      <c r="E145" s="17"/>
    </row>
    <row r="146" spans="1:5">
      <c r="A146" s="4" t="s">
        <v>196</v>
      </c>
      <c r="B146" s="34">
        <f>100/Input!$F$60*$K$99*SM!$B97</f>
        <v>0</v>
      </c>
      <c r="C146" s="34">
        <f>100/Input!$F$60*$L$99*SM!$C97</f>
        <v>0</v>
      </c>
      <c r="D146" s="34">
        <f t="shared" si="2"/>
        <v>0</v>
      </c>
      <c r="E146" s="17"/>
    </row>
    <row r="147" spans="1:5">
      <c r="A147" s="4" t="s">
        <v>197</v>
      </c>
      <c r="B147" s="34">
        <f>100/Input!$F$60*$K$99*SM!$B98</f>
        <v>0</v>
      </c>
      <c r="C147" s="34">
        <f>100/Input!$F$60*$L$99*SM!$C98</f>
        <v>0</v>
      </c>
      <c r="D147" s="34">
        <f t="shared" si="2"/>
        <v>0</v>
      </c>
      <c r="E147" s="17"/>
    </row>
    <row r="148" spans="1:5">
      <c r="A148" s="4" t="s">
        <v>198</v>
      </c>
      <c r="B148" s="34">
        <f>100/Input!$F$60*$K$99*SM!$B99</f>
        <v>0</v>
      </c>
      <c r="C148" s="34">
        <f>100/Input!$F$60*$L$99*SM!$C99</f>
        <v>0</v>
      </c>
      <c r="D148" s="34">
        <f t="shared" si="2"/>
        <v>0</v>
      </c>
      <c r="E148" s="17"/>
    </row>
    <row r="149" spans="1:5">
      <c r="A149" s="4" t="s">
        <v>199</v>
      </c>
      <c r="B149" s="34">
        <f>100/Input!$F$60*$K$99*SM!$B100</f>
        <v>0</v>
      </c>
      <c r="C149" s="34">
        <f>100/Input!$F$60*$L$99*SM!$C100</f>
        <v>0</v>
      </c>
      <c r="D149" s="34">
        <f t="shared" si="2"/>
        <v>0</v>
      </c>
      <c r="E149" s="17"/>
    </row>
    <row r="150" spans="1:5">
      <c r="A150" s="4" t="s">
        <v>207</v>
      </c>
      <c r="B150" s="34">
        <f>100/Input!$F$60*$K$99*SM!$B101</f>
        <v>0</v>
      </c>
      <c r="C150" s="34">
        <f>100/Input!$F$60*$L$99*SM!$C101</f>
        <v>6.6786577800535563</v>
      </c>
      <c r="D150" s="34">
        <f t="shared" si="2"/>
        <v>6.6786577800535563</v>
      </c>
      <c r="E150" s="17"/>
    </row>
    <row r="151" spans="1:5">
      <c r="A151" s="4" t="s">
        <v>208</v>
      </c>
      <c r="B151" s="34">
        <f>100/Input!$F$60*$K$99*SM!$B102</f>
        <v>0</v>
      </c>
      <c r="C151" s="34">
        <f>100/Input!$F$60*$L$99*SM!$C102</f>
        <v>6.6786577800535563</v>
      </c>
      <c r="D151" s="34">
        <f t="shared" si="2"/>
        <v>6.6786577800535563</v>
      </c>
      <c r="E151" s="17"/>
    </row>
    <row r="152" spans="1:5">
      <c r="A152" s="4" t="s">
        <v>209</v>
      </c>
      <c r="B152" s="34">
        <f>100/Input!$F$60*$K$99*SM!$B103</f>
        <v>0</v>
      </c>
      <c r="C152" s="34">
        <f>100/Input!$F$60*$L$99*SM!$C103</f>
        <v>6.6786577800535563</v>
      </c>
      <c r="D152" s="34">
        <f t="shared" si="2"/>
        <v>6.6786577800535563</v>
      </c>
      <c r="E152" s="17"/>
    </row>
    <row r="153" spans="1:5">
      <c r="A153" s="4" t="s">
        <v>210</v>
      </c>
      <c r="B153" s="34">
        <f>100/Input!$F$60*$K$99*SM!$B104</f>
        <v>0</v>
      </c>
      <c r="C153" s="34">
        <f>100/Input!$F$60*$L$99*SM!$C104</f>
        <v>6.6786577800535563</v>
      </c>
      <c r="D153" s="34">
        <f t="shared" si="2"/>
        <v>6.6786577800535563</v>
      </c>
      <c r="E153" s="17"/>
    </row>
    <row r="155" spans="1:5" ht="21" customHeight="1">
      <c r="A155" s="1" t="s">
        <v>982</v>
      </c>
    </row>
    <row r="156" spans="1:5">
      <c r="A156" s="2" t="s">
        <v>379</v>
      </c>
    </row>
    <row r="157" spans="1:5">
      <c r="A157" s="29" t="s">
        <v>983</v>
      </c>
    </row>
    <row r="158" spans="1:5">
      <c r="A158" s="29" t="s">
        <v>497</v>
      </c>
    </row>
    <row r="159" spans="1:5">
      <c r="A159" s="2" t="s">
        <v>984</v>
      </c>
    </row>
    <row r="161" spans="1:3" ht="30">
      <c r="B161" s="15" t="s">
        <v>917</v>
      </c>
    </row>
    <row r="162" spans="1:3">
      <c r="A162" s="4" t="s">
        <v>228</v>
      </c>
      <c r="B162" s="34">
        <f>0.1*$K$99*SM!$B$39</f>
        <v>1.7272478538741278</v>
      </c>
      <c r="C162" s="17"/>
    </row>
    <row r="163" spans="1:3">
      <c r="A163" s="4" t="s">
        <v>229</v>
      </c>
      <c r="B163" s="34">
        <f>0.1*$K$99*SM!$B$39</f>
        <v>1.7272478538741278</v>
      </c>
      <c r="C163" s="17"/>
    </row>
    <row r="164" spans="1:3">
      <c r="A164" s="4" t="s">
        <v>230</v>
      </c>
      <c r="B164" s="34">
        <f>0.1*$K$99*SM!$B$39</f>
        <v>1.7272478538741278</v>
      </c>
      <c r="C164" s="17"/>
    </row>
    <row r="165" spans="1:3">
      <c r="A165" s="4" t="s">
        <v>231</v>
      </c>
      <c r="B165" s="34">
        <f>0.1*$K$99*SM!$B$39</f>
        <v>1.7272478538741278</v>
      </c>
      <c r="C165" s="17"/>
    </row>
    <row r="166" spans="1:3">
      <c r="A166" s="4" t="s">
        <v>232</v>
      </c>
      <c r="B166" s="34">
        <f>0.1*$K$99*SM!$B$39</f>
        <v>1.7272478538741278</v>
      </c>
      <c r="C166" s="17"/>
    </row>
  </sheetData>
  <sheetProtection sheet="1" objects="1" scenarios="1"/>
  <hyperlinks>
    <hyperlink ref="A5" location="'Input'!B307" display="x1 = 1055. Transmission exit charges (£/year)"/>
    <hyperlink ref="A14" location="'DRM'!B112" display="x1 = 2108. GSP simultaneous maximum load assumed through each network level (MW)"/>
    <hyperlink ref="A15" location="'AMD'!B213" display="x2 = 2613. Forecast simultaneous maximum load (kW) adjusted for standing charges"/>
    <hyperlink ref="A16" location="'Input'!B91" display="x3 = 1020. Gross asset cost by network level (£)"/>
    <hyperlink ref="A24" location="'Multi'!B127" display="x1 = 2407. All units (MWh)"/>
    <hyperlink ref="A36" location="'Otex'!B27" display="x1 = 2703. Annual consumption by tariff for unmetered users (MWh)"/>
    <hyperlink ref="A44" location="'SM'!B71" display="x1 = 2205. Service model assets by tariff (£)"/>
    <hyperlink ref="A45" location="'Loads'!E333" display="x2 = 2305. MPANs (in Equivalent volume for each end user)"/>
    <hyperlink ref="A46" location="'SM'!B38" display="x3 = 2202. LV unmetered service model assets £/(MWh/year)"/>
    <hyperlink ref="A47" location="'Otex'!B39" display="x4 = 2704. Total unmetered units"/>
    <hyperlink ref="A48" location="'Otex'!D55" display="x5 = Service model assets (£) scaled by annual MWh (in Service model asset data)"/>
    <hyperlink ref="A49" location="'Otex'!B55" display="x6 = Service model assets (£) scaled by user count (in Service model asset data)"/>
    <hyperlink ref="A50" location="'Otex'!E55" display="x7 = Service model assets (£) scaled by annual MWh (in Service model asset data)"/>
    <hyperlink ref="A60" location="'Otex'!B19" display="x1 = 2702. Network model assets (£) scaled by load forecast"/>
    <hyperlink ref="A61" location="'Otex'!G55" display="x2 = 2705. Service model assets (£) (in Service model asset data)"/>
    <hyperlink ref="A62" location="'Otex'!B67" display="x3 = Model assets (£) scaled by demand forecast (in Data for allocation of operating expenditure)"/>
    <hyperlink ref="A72" location="'Input'!B312" display="x1 = 1059. Direct cost (£/year) (in Other expenditure)"/>
    <hyperlink ref="A73" location="'Input'!E312" display="x2 = 1059. Network rates (£/year) (in Other expenditure)"/>
    <hyperlink ref="A74" location="'Input'!C312" display="x3 = 1059. Indirect cost (£/year) (in Other expenditure)"/>
    <hyperlink ref="A75" location="'Input'!D312" display="x4 = 1059. Indirect cost proportion (in Other expenditure)"/>
    <hyperlink ref="A83" location="'Otex'!B9" display="x1 = 2701. Operating expenditure coded by network level (£/year)"/>
    <hyperlink ref="A84" location="'Otex'!B78" display="x2 = 2707. Amount of expenditure to be allocated according to asset values (£/year)"/>
    <hyperlink ref="A85" location="'Otex'!M67" display="x3 = 2706. Denominator for allocation of operating expenditure (in Data for allocation of operating expenditure)"/>
    <hyperlink ref="A86" location="'Otex'!B67" display="x4 = 2706. Model assets (£) scaled by demand forecast (in Data for allocation of operating expenditure)"/>
    <hyperlink ref="A94" location="'Otex'!B67" display="x1 = 2706. Model assets (£) scaled by demand forecast (in Data for allocation of operating expenditure)"/>
    <hyperlink ref="A95" location="'Otex'!B89" display="x2 = 2708. Total operating expenditure by network level  (£/year)"/>
    <hyperlink ref="A103" location="'AMD'!B213" display="x1 = 2613. Forecast simultaneous maximum load (kW) adjusted for standing charges"/>
    <hyperlink ref="A104" location="'Otex'!B89" display="x2 = 2708. Total operating expenditure by network level  (£/year)"/>
    <hyperlink ref="A112" location="'Input'!F59" display="x1 = 1010. Days in the charging year (in Financial and general assumptions)"/>
    <hyperlink ref="A113" location="'Otex'!B98" display="x2 = 2709. Operating expenditure percentage by network level"/>
    <hyperlink ref="A114" location="'SM'!B71" display="x3 = 2205. Service model assets by tariff (£)"/>
    <hyperlink ref="A115" location="'Otex'!B120" display="x4 = Operating expenditure p/MPAN/day by level (in Operating expenditure for customer assets p/MPAN/day)"/>
    <hyperlink ref="A157" location="'Otex'!B98" display="x1 = 2709. Operating expenditure percentage by network level"/>
    <hyperlink ref="A158" location="'SM'!B38" display="x2 = 2202. LV unmetered service model assets £/(MWh/year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3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50.7109375" customWidth="1"/>
    <col min="2" max="251" width="24.7109375" customWidth="1"/>
  </cols>
  <sheetData>
    <row r="1" spans="1:6" ht="21" customHeight="1">
      <c r="A1" s="1" t="str">
        <f>"Customer contributions for "&amp;Input!B7&amp;" in "&amp;Input!C7&amp;" ("&amp;Input!D7&amp;")"</f>
        <v>Customer contributions for Electricity North West in 2019/20 (Version 1)</v>
      </c>
    </row>
    <row r="2" spans="1:6">
      <c r="A2" s="2" t="s">
        <v>985</v>
      </c>
    </row>
    <row r="4" spans="1:6" ht="21" customHeight="1">
      <c r="A4" s="1" t="s">
        <v>986</v>
      </c>
    </row>
    <row r="6" spans="1:6">
      <c r="B6" s="15" t="s">
        <v>341</v>
      </c>
      <c r="C6" s="15" t="s">
        <v>342</v>
      </c>
      <c r="D6" s="15" t="s">
        <v>343</v>
      </c>
      <c r="E6" s="15" t="s">
        <v>344</v>
      </c>
    </row>
    <row r="7" spans="1:6">
      <c r="A7" s="4" t="s">
        <v>180</v>
      </c>
      <c r="B7" s="37">
        <v>1</v>
      </c>
      <c r="C7" s="37">
        <v>0</v>
      </c>
      <c r="D7" s="37">
        <v>0</v>
      </c>
      <c r="E7" s="37">
        <v>0</v>
      </c>
      <c r="F7" s="17"/>
    </row>
    <row r="8" spans="1:6">
      <c r="A8" s="4" t="s">
        <v>181</v>
      </c>
      <c r="B8" s="37">
        <v>1</v>
      </c>
      <c r="C8" s="37">
        <v>0</v>
      </c>
      <c r="D8" s="37">
        <v>0</v>
      </c>
      <c r="E8" s="37">
        <v>0</v>
      </c>
      <c r="F8" s="17"/>
    </row>
    <row r="9" spans="1:6">
      <c r="A9" s="4" t="s">
        <v>226</v>
      </c>
      <c r="B9" s="37">
        <v>1</v>
      </c>
      <c r="C9" s="37">
        <v>0</v>
      </c>
      <c r="D9" s="37">
        <v>0</v>
      </c>
      <c r="E9" s="37">
        <v>0</v>
      </c>
      <c r="F9" s="17"/>
    </row>
    <row r="10" spans="1:6">
      <c r="A10" s="4" t="s">
        <v>182</v>
      </c>
      <c r="B10" s="37">
        <v>1</v>
      </c>
      <c r="C10" s="37">
        <v>0</v>
      </c>
      <c r="D10" s="37">
        <v>0</v>
      </c>
      <c r="E10" s="37">
        <v>0</v>
      </c>
      <c r="F10" s="17"/>
    </row>
    <row r="11" spans="1:6">
      <c r="A11" s="4" t="s">
        <v>183</v>
      </c>
      <c r="B11" s="37">
        <v>1</v>
      </c>
      <c r="C11" s="37">
        <v>0</v>
      </c>
      <c r="D11" s="37">
        <v>0</v>
      </c>
      <c r="E11" s="37">
        <v>0</v>
      </c>
      <c r="F11" s="17"/>
    </row>
    <row r="12" spans="1:6">
      <c r="A12" s="4" t="s">
        <v>227</v>
      </c>
      <c r="B12" s="37">
        <v>1</v>
      </c>
      <c r="C12" s="37">
        <v>0</v>
      </c>
      <c r="D12" s="37">
        <v>0</v>
      </c>
      <c r="E12" s="37">
        <v>0</v>
      </c>
      <c r="F12" s="17"/>
    </row>
    <row r="13" spans="1:6">
      <c r="A13" s="4" t="s">
        <v>184</v>
      </c>
      <c r="B13" s="37">
        <v>1</v>
      </c>
      <c r="C13" s="37">
        <v>0</v>
      </c>
      <c r="D13" s="37">
        <v>0</v>
      </c>
      <c r="E13" s="37">
        <v>0</v>
      </c>
      <c r="F13" s="17"/>
    </row>
    <row r="14" spans="1:6">
      <c r="A14" s="4" t="s">
        <v>185</v>
      </c>
      <c r="B14" s="37">
        <v>0</v>
      </c>
      <c r="C14" s="37">
        <v>1</v>
      </c>
      <c r="D14" s="37">
        <v>0</v>
      </c>
      <c r="E14" s="37">
        <v>0</v>
      </c>
      <c r="F14" s="17"/>
    </row>
    <row r="15" spans="1:6">
      <c r="A15" s="4" t="s">
        <v>205</v>
      </c>
      <c r="B15" s="37">
        <v>0</v>
      </c>
      <c r="C15" s="37">
        <v>0</v>
      </c>
      <c r="D15" s="37">
        <v>1</v>
      </c>
      <c r="E15" s="37">
        <v>0</v>
      </c>
      <c r="F15" s="17"/>
    </row>
    <row r="16" spans="1:6">
      <c r="A16" s="4" t="s">
        <v>186</v>
      </c>
      <c r="B16" s="37">
        <v>1</v>
      </c>
      <c r="C16" s="37">
        <v>0</v>
      </c>
      <c r="D16" s="37">
        <v>0</v>
      </c>
      <c r="E16" s="37">
        <v>0</v>
      </c>
      <c r="F16" s="17"/>
    </row>
    <row r="17" spans="1:6">
      <c r="A17" s="4" t="s">
        <v>187</v>
      </c>
      <c r="B17" s="37">
        <v>1</v>
      </c>
      <c r="C17" s="37">
        <v>0</v>
      </c>
      <c r="D17" s="37">
        <v>0</v>
      </c>
      <c r="E17" s="37">
        <v>0</v>
      </c>
      <c r="F17" s="17"/>
    </row>
    <row r="18" spans="1:6">
      <c r="A18" s="4" t="s">
        <v>188</v>
      </c>
      <c r="B18" s="37">
        <v>1</v>
      </c>
      <c r="C18" s="37">
        <v>0</v>
      </c>
      <c r="D18" s="37">
        <v>0</v>
      </c>
      <c r="E18" s="37">
        <v>0</v>
      </c>
      <c r="F18" s="17"/>
    </row>
    <row r="19" spans="1:6">
      <c r="A19" s="4" t="s">
        <v>189</v>
      </c>
      <c r="B19" s="37">
        <v>0</v>
      </c>
      <c r="C19" s="37">
        <v>1</v>
      </c>
      <c r="D19" s="37">
        <v>0</v>
      </c>
      <c r="E19" s="37">
        <v>0</v>
      </c>
      <c r="F19" s="17"/>
    </row>
    <row r="20" spans="1:6">
      <c r="A20" s="4" t="s">
        <v>206</v>
      </c>
      <c r="B20" s="37">
        <v>0</v>
      </c>
      <c r="C20" s="37">
        <v>0</v>
      </c>
      <c r="D20" s="37">
        <v>1</v>
      </c>
      <c r="E20" s="37">
        <v>0</v>
      </c>
      <c r="F20" s="17"/>
    </row>
    <row r="21" spans="1:6">
      <c r="A21" s="4" t="s">
        <v>228</v>
      </c>
      <c r="B21" s="37">
        <v>1</v>
      </c>
      <c r="C21" s="37">
        <v>0</v>
      </c>
      <c r="D21" s="37">
        <v>0</v>
      </c>
      <c r="E21" s="37">
        <v>0</v>
      </c>
      <c r="F21" s="17"/>
    </row>
    <row r="22" spans="1:6">
      <c r="A22" s="4" t="s">
        <v>229</v>
      </c>
      <c r="B22" s="37">
        <v>1</v>
      </c>
      <c r="C22" s="37">
        <v>0</v>
      </c>
      <c r="D22" s="37">
        <v>0</v>
      </c>
      <c r="E22" s="37">
        <v>0</v>
      </c>
      <c r="F22" s="17"/>
    </row>
    <row r="23" spans="1:6">
      <c r="A23" s="4" t="s">
        <v>230</v>
      </c>
      <c r="B23" s="37">
        <v>1</v>
      </c>
      <c r="C23" s="37">
        <v>0</v>
      </c>
      <c r="D23" s="37">
        <v>0</v>
      </c>
      <c r="E23" s="37">
        <v>0</v>
      </c>
      <c r="F23" s="17"/>
    </row>
    <row r="24" spans="1:6">
      <c r="A24" s="4" t="s">
        <v>231</v>
      </c>
      <c r="B24" s="37">
        <v>1</v>
      </c>
      <c r="C24" s="37">
        <v>0</v>
      </c>
      <c r="D24" s="37">
        <v>0</v>
      </c>
      <c r="E24" s="37">
        <v>0</v>
      </c>
      <c r="F24" s="17"/>
    </row>
    <row r="25" spans="1:6">
      <c r="A25" s="4" t="s">
        <v>232</v>
      </c>
      <c r="B25" s="37">
        <v>1</v>
      </c>
      <c r="C25" s="37">
        <v>0</v>
      </c>
      <c r="D25" s="37">
        <v>0</v>
      </c>
      <c r="E25" s="37">
        <v>0</v>
      </c>
      <c r="F25" s="17"/>
    </row>
    <row r="26" spans="1:6">
      <c r="A26" s="4" t="s">
        <v>190</v>
      </c>
      <c r="B26" s="37">
        <v>1</v>
      </c>
      <c r="C26" s="37">
        <v>0</v>
      </c>
      <c r="D26" s="37">
        <v>0</v>
      </c>
      <c r="E26" s="37">
        <v>0</v>
      </c>
      <c r="F26" s="17"/>
    </row>
    <row r="27" spans="1:6">
      <c r="A27" s="4" t="s">
        <v>191</v>
      </c>
      <c r="B27" s="37">
        <v>0</v>
      </c>
      <c r="C27" s="37">
        <v>1</v>
      </c>
      <c r="D27" s="37">
        <v>0</v>
      </c>
      <c r="E27" s="37">
        <v>0</v>
      </c>
      <c r="F27" s="17"/>
    </row>
    <row r="28" spans="1:6">
      <c r="A28" s="4" t="s">
        <v>192</v>
      </c>
      <c r="B28" s="37">
        <v>1</v>
      </c>
      <c r="C28" s="37">
        <v>0</v>
      </c>
      <c r="D28" s="37">
        <v>0</v>
      </c>
      <c r="E28" s="37">
        <v>0</v>
      </c>
      <c r="F28" s="17"/>
    </row>
    <row r="29" spans="1:6">
      <c r="A29" s="4" t="s">
        <v>193</v>
      </c>
      <c r="B29" s="37">
        <v>1</v>
      </c>
      <c r="C29" s="37">
        <v>0</v>
      </c>
      <c r="D29" s="37">
        <v>0</v>
      </c>
      <c r="E29" s="37">
        <v>0</v>
      </c>
      <c r="F29" s="17"/>
    </row>
    <row r="30" spans="1:6">
      <c r="A30" s="4" t="s">
        <v>194</v>
      </c>
      <c r="B30" s="37">
        <v>1</v>
      </c>
      <c r="C30" s="37">
        <v>0</v>
      </c>
      <c r="D30" s="37">
        <v>0</v>
      </c>
      <c r="E30" s="37">
        <v>0</v>
      </c>
      <c r="F30" s="17"/>
    </row>
    <row r="31" spans="1:6">
      <c r="A31" s="4" t="s">
        <v>195</v>
      </c>
      <c r="B31" s="37">
        <v>1</v>
      </c>
      <c r="C31" s="37">
        <v>0</v>
      </c>
      <c r="D31" s="37">
        <v>0</v>
      </c>
      <c r="E31" s="37">
        <v>0</v>
      </c>
      <c r="F31" s="17"/>
    </row>
    <row r="32" spans="1:6">
      <c r="A32" s="4" t="s">
        <v>196</v>
      </c>
      <c r="B32" s="37">
        <v>0</v>
      </c>
      <c r="C32" s="37">
        <v>1</v>
      </c>
      <c r="D32" s="37">
        <v>0</v>
      </c>
      <c r="E32" s="37">
        <v>0</v>
      </c>
      <c r="F32" s="17"/>
    </row>
    <row r="33" spans="1:6">
      <c r="A33" s="4" t="s">
        <v>197</v>
      </c>
      <c r="B33" s="37">
        <v>0</v>
      </c>
      <c r="C33" s="37">
        <v>1</v>
      </c>
      <c r="D33" s="37">
        <v>0</v>
      </c>
      <c r="E33" s="37">
        <v>0</v>
      </c>
      <c r="F33" s="17"/>
    </row>
    <row r="34" spans="1:6">
      <c r="A34" s="4" t="s">
        <v>198</v>
      </c>
      <c r="B34" s="37">
        <v>0</v>
      </c>
      <c r="C34" s="37">
        <v>1</v>
      </c>
      <c r="D34" s="37">
        <v>0</v>
      </c>
      <c r="E34" s="37">
        <v>0</v>
      </c>
      <c r="F34" s="17"/>
    </row>
    <row r="35" spans="1:6">
      <c r="A35" s="4" t="s">
        <v>199</v>
      </c>
      <c r="B35" s="37">
        <v>0</v>
      </c>
      <c r="C35" s="37">
        <v>1</v>
      </c>
      <c r="D35" s="37">
        <v>0</v>
      </c>
      <c r="E35" s="37">
        <v>0</v>
      </c>
      <c r="F35" s="17"/>
    </row>
    <row r="36" spans="1:6">
      <c r="A36" s="4" t="s">
        <v>207</v>
      </c>
      <c r="B36" s="37">
        <v>0</v>
      </c>
      <c r="C36" s="37">
        <v>0</v>
      </c>
      <c r="D36" s="37">
        <v>1</v>
      </c>
      <c r="E36" s="37">
        <v>0</v>
      </c>
      <c r="F36" s="17"/>
    </row>
    <row r="37" spans="1:6">
      <c r="A37" s="4" t="s">
        <v>208</v>
      </c>
      <c r="B37" s="37">
        <v>0</v>
      </c>
      <c r="C37" s="37">
        <v>0</v>
      </c>
      <c r="D37" s="37">
        <v>1</v>
      </c>
      <c r="E37" s="37">
        <v>0</v>
      </c>
      <c r="F37" s="17"/>
    </row>
    <row r="38" spans="1:6">
      <c r="A38" s="4" t="s">
        <v>209</v>
      </c>
      <c r="B38" s="37">
        <v>0</v>
      </c>
      <c r="C38" s="37">
        <v>0</v>
      </c>
      <c r="D38" s="37">
        <v>1</v>
      </c>
      <c r="E38" s="37">
        <v>0</v>
      </c>
      <c r="F38" s="17"/>
    </row>
    <row r="39" spans="1:6">
      <c r="A39" s="4" t="s">
        <v>210</v>
      </c>
      <c r="B39" s="37">
        <v>0</v>
      </c>
      <c r="C39" s="37">
        <v>0</v>
      </c>
      <c r="D39" s="37">
        <v>1</v>
      </c>
      <c r="E39" s="37">
        <v>0</v>
      </c>
      <c r="F39" s="17"/>
    </row>
    <row r="41" spans="1:6" ht="21" customHeight="1">
      <c r="A41" s="1" t="s">
        <v>987</v>
      </c>
    </row>
    <row r="42" spans="1:6">
      <c r="A42" s="2" t="s">
        <v>379</v>
      </c>
    </row>
    <row r="43" spans="1:6">
      <c r="A43" s="29" t="s">
        <v>988</v>
      </c>
    </row>
    <row r="44" spans="1:6">
      <c r="A44" s="29" t="s">
        <v>989</v>
      </c>
    </row>
    <row r="45" spans="1:6">
      <c r="A45" s="2" t="s">
        <v>990</v>
      </c>
    </row>
    <row r="47" spans="1:6">
      <c r="B47" s="15" t="s">
        <v>341</v>
      </c>
      <c r="C47" s="15" t="s">
        <v>342</v>
      </c>
      <c r="D47" s="15" t="s">
        <v>343</v>
      </c>
      <c r="E47" s="15" t="s">
        <v>344</v>
      </c>
    </row>
    <row r="48" spans="1:6">
      <c r="A48" s="4" t="s">
        <v>479</v>
      </c>
      <c r="B48" s="36">
        <f>Input!$B$321*(1-Input!$D$60)</f>
        <v>0</v>
      </c>
      <c r="C48" s="36">
        <f>Input!$B$322*(1-Input!$D$60)</f>
        <v>0</v>
      </c>
      <c r="D48" s="36">
        <f>Input!$B$323*(1-Input!$D$60)</f>
        <v>0</v>
      </c>
      <c r="E48" s="36">
        <f>Input!$B$324*(1-Input!$D$60)</f>
        <v>0</v>
      </c>
      <c r="F48" s="17"/>
    </row>
    <row r="49" spans="1:10">
      <c r="A49" s="4" t="s">
        <v>480</v>
      </c>
      <c r="B49" s="36">
        <f>Input!$C$321*(1-Input!$D$60)</f>
        <v>0</v>
      </c>
      <c r="C49" s="36">
        <f>Input!$C$322*(1-Input!$D$60)</f>
        <v>0</v>
      </c>
      <c r="D49" s="36">
        <f>Input!$C$323*(1-Input!$D$60)</f>
        <v>0</v>
      </c>
      <c r="E49" s="36">
        <f>Input!$C$324*(1-Input!$D$60)</f>
        <v>0</v>
      </c>
      <c r="F49" s="17"/>
    </row>
    <row r="50" spans="1:10">
      <c r="A50" s="4" t="s">
        <v>481</v>
      </c>
      <c r="B50" s="36">
        <f>Input!$D$321*(1-Input!$D$60)</f>
        <v>0</v>
      </c>
      <c r="C50" s="36">
        <f>Input!$D$322*(1-Input!$D$60)</f>
        <v>0</v>
      </c>
      <c r="D50" s="36">
        <f>Input!$D$323*(1-Input!$D$60)</f>
        <v>0</v>
      </c>
      <c r="E50" s="36">
        <f>Input!$D$324*(1-Input!$D$60)</f>
        <v>0.56999999999999995</v>
      </c>
      <c r="F50" s="17"/>
    </row>
    <row r="51" spans="1:10">
      <c r="A51" s="4" t="s">
        <v>482</v>
      </c>
      <c r="B51" s="36">
        <f>Input!$E$321*(1-Input!$D$60)</f>
        <v>0</v>
      </c>
      <c r="C51" s="36">
        <f>Input!$E$322*(1-Input!$D$60)</f>
        <v>0</v>
      </c>
      <c r="D51" s="36">
        <f>Input!$E$323*(1-Input!$D$60)</f>
        <v>0.56999999999999995</v>
      </c>
      <c r="E51" s="36">
        <f>Input!$E$324*(1-Input!$D$60)</f>
        <v>0.92</v>
      </c>
      <c r="F51" s="17"/>
    </row>
    <row r="52" spans="1:10">
      <c r="A52" s="4" t="s">
        <v>483</v>
      </c>
      <c r="B52" s="36">
        <f>Input!$F$321*(1-Input!$D$60)</f>
        <v>0</v>
      </c>
      <c r="C52" s="36">
        <f>Input!$F$322*(1-Input!$D$60)</f>
        <v>0</v>
      </c>
      <c r="D52" s="36">
        <f>Input!$F$323*(1-Input!$D$60)</f>
        <v>0</v>
      </c>
      <c r="E52" s="36">
        <f>Input!$F$324*(1-Input!$D$60)</f>
        <v>0</v>
      </c>
      <c r="F52" s="17"/>
    </row>
    <row r="53" spans="1:10">
      <c r="A53" s="4" t="s">
        <v>484</v>
      </c>
      <c r="B53" s="36">
        <f>Input!$G$321*(1-Input!$D$60)</f>
        <v>0.3</v>
      </c>
      <c r="C53" s="36">
        <f>Input!$G$322*(1-Input!$D$60)</f>
        <v>0.3</v>
      </c>
      <c r="D53" s="36">
        <f>Input!$G$323*(1-Input!$D$60)</f>
        <v>0.91</v>
      </c>
      <c r="E53" s="36">
        <f>Input!$G$324*(1-Input!$D$60)</f>
        <v>0</v>
      </c>
      <c r="F53" s="17"/>
    </row>
    <row r="54" spans="1:10">
      <c r="A54" s="4" t="s">
        <v>485</v>
      </c>
      <c r="B54" s="36">
        <f>Input!$H$321*(1-Input!$D$60)</f>
        <v>0.3</v>
      </c>
      <c r="C54" s="36">
        <f>Input!$H$322*(1-Input!$D$60)</f>
        <v>0.97</v>
      </c>
      <c r="D54" s="36">
        <f>Input!$H$323*(1-Input!$D$60)</f>
        <v>0</v>
      </c>
      <c r="E54" s="36">
        <f>Input!$H$324*(1-Input!$D$60)</f>
        <v>0</v>
      </c>
      <c r="F54" s="17"/>
    </row>
    <row r="55" spans="1:10">
      <c r="A55" s="4" t="s">
        <v>486</v>
      </c>
      <c r="B55" s="36">
        <f>Input!$I$321*(1-Input!$D$60)</f>
        <v>0.97</v>
      </c>
      <c r="C55" s="36">
        <f>Input!$I$322*(1-Input!$D$60)</f>
        <v>0</v>
      </c>
      <c r="D55" s="36">
        <f>Input!$I$323*(1-Input!$D$60)</f>
        <v>0</v>
      </c>
      <c r="E55" s="36">
        <f>Input!$I$324*(1-Input!$D$60)</f>
        <v>0</v>
      </c>
      <c r="F55" s="17"/>
    </row>
    <row r="57" spans="1:10" ht="21" customHeight="1">
      <c r="A57" s="1" t="s">
        <v>991</v>
      </c>
    </row>
    <row r="58" spans="1:10">
      <c r="A58" s="2" t="s">
        <v>379</v>
      </c>
    </row>
    <row r="59" spans="1:10">
      <c r="A59" s="29" t="s">
        <v>992</v>
      </c>
    </row>
    <row r="60" spans="1:10">
      <c r="A60" s="29" t="s">
        <v>993</v>
      </c>
    </row>
    <row r="61" spans="1:10">
      <c r="A61" s="2" t="s">
        <v>392</v>
      </c>
    </row>
    <row r="63" spans="1:10" ht="30">
      <c r="B63" s="15" t="s">
        <v>333</v>
      </c>
      <c r="C63" s="15" t="s">
        <v>334</v>
      </c>
      <c r="D63" s="15" t="s">
        <v>335</v>
      </c>
      <c r="E63" s="15" t="s">
        <v>336</v>
      </c>
      <c r="F63" s="15" t="s">
        <v>337</v>
      </c>
      <c r="G63" s="15" t="s">
        <v>338</v>
      </c>
      <c r="H63" s="15" t="s">
        <v>339</v>
      </c>
      <c r="I63" s="15" t="s">
        <v>340</v>
      </c>
    </row>
    <row r="64" spans="1:10">
      <c r="A64" s="4" t="s">
        <v>180</v>
      </c>
      <c r="B64" s="36">
        <f t="shared" ref="B64:B96" si="0">SUMPRODUCT($B7:$E7,$B$48:$E$48)</f>
        <v>0</v>
      </c>
      <c r="C64" s="36">
        <f t="shared" ref="C64:C96" si="1">SUMPRODUCT($B7:$E7,$B$49:$E$49)</f>
        <v>0</v>
      </c>
      <c r="D64" s="36">
        <f t="shared" ref="D64:D96" si="2">SUMPRODUCT($B7:$E7,$B$50:$E$50)</f>
        <v>0</v>
      </c>
      <c r="E64" s="36">
        <f t="shared" ref="E64:E96" si="3">SUMPRODUCT($B7:$E7,$B$51:$E$51)</f>
        <v>0</v>
      </c>
      <c r="F64" s="36">
        <f t="shared" ref="F64:F96" si="4">SUMPRODUCT($B7:$E7,$B$52:$E$52)</f>
        <v>0</v>
      </c>
      <c r="G64" s="36">
        <f t="shared" ref="G64:G96" si="5">SUMPRODUCT($B7:$E7,$B$53:$E$53)</f>
        <v>0.3</v>
      </c>
      <c r="H64" s="36">
        <f t="shared" ref="H64:H96" si="6">SUMPRODUCT($B7:$E7,$B$54:$E$54)</f>
        <v>0.3</v>
      </c>
      <c r="I64" s="36">
        <f t="shared" ref="I64:I96" si="7">SUMPRODUCT($B7:$E7,$B$55:$E$55)</f>
        <v>0.97</v>
      </c>
      <c r="J64" s="17"/>
    </row>
    <row r="65" spans="1:10">
      <c r="A65" s="4" t="s">
        <v>181</v>
      </c>
      <c r="B65" s="36">
        <f t="shared" si="0"/>
        <v>0</v>
      </c>
      <c r="C65" s="36">
        <f t="shared" si="1"/>
        <v>0</v>
      </c>
      <c r="D65" s="36">
        <f t="shared" si="2"/>
        <v>0</v>
      </c>
      <c r="E65" s="36">
        <f t="shared" si="3"/>
        <v>0</v>
      </c>
      <c r="F65" s="36">
        <f t="shared" si="4"/>
        <v>0</v>
      </c>
      <c r="G65" s="36">
        <f t="shared" si="5"/>
        <v>0.3</v>
      </c>
      <c r="H65" s="36">
        <f t="shared" si="6"/>
        <v>0.3</v>
      </c>
      <c r="I65" s="36">
        <f t="shared" si="7"/>
        <v>0.97</v>
      </c>
      <c r="J65" s="17"/>
    </row>
    <row r="66" spans="1:10">
      <c r="A66" s="4" t="s">
        <v>226</v>
      </c>
      <c r="B66" s="36">
        <f t="shared" si="0"/>
        <v>0</v>
      </c>
      <c r="C66" s="36">
        <f t="shared" si="1"/>
        <v>0</v>
      </c>
      <c r="D66" s="36">
        <f t="shared" si="2"/>
        <v>0</v>
      </c>
      <c r="E66" s="36">
        <f t="shared" si="3"/>
        <v>0</v>
      </c>
      <c r="F66" s="36">
        <f t="shared" si="4"/>
        <v>0</v>
      </c>
      <c r="G66" s="36">
        <f t="shared" si="5"/>
        <v>0.3</v>
      </c>
      <c r="H66" s="36">
        <f t="shared" si="6"/>
        <v>0.3</v>
      </c>
      <c r="I66" s="36">
        <f t="shared" si="7"/>
        <v>0.97</v>
      </c>
      <c r="J66" s="17"/>
    </row>
    <row r="67" spans="1:10">
      <c r="A67" s="4" t="s">
        <v>182</v>
      </c>
      <c r="B67" s="36">
        <f t="shared" si="0"/>
        <v>0</v>
      </c>
      <c r="C67" s="36">
        <f t="shared" si="1"/>
        <v>0</v>
      </c>
      <c r="D67" s="36">
        <f t="shared" si="2"/>
        <v>0</v>
      </c>
      <c r="E67" s="36">
        <f t="shared" si="3"/>
        <v>0</v>
      </c>
      <c r="F67" s="36">
        <f t="shared" si="4"/>
        <v>0</v>
      </c>
      <c r="G67" s="36">
        <f t="shared" si="5"/>
        <v>0.3</v>
      </c>
      <c r="H67" s="36">
        <f t="shared" si="6"/>
        <v>0.3</v>
      </c>
      <c r="I67" s="36">
        <f t="shared" si="7"/>
        <v>0.97</v>
      </c>
      <c r="J67" s="17"/>
    </row>
    <row r="68" spans="1:10">
      <c r="A68" s="4" t="s">
        <v>183</v>
      </c>
      <c r="B68" s="36">
        <f t="shared" si="0"/>
        <v>0</v>
      </c>
      <c r="C68" s="36">
        <f t="shared" si="1"/>
        <v>0</v>
      </c>
      <c r="D68" s="36">
        <f t="shared" si="2"/>
        <v>0</v>
      </c>
      <c r="E68" s="36">
        <f t="shared" si="3"/>
        <v>0</v>
      </c>
      <c r="F68" s="36">
        <f t="shared" si="4"/>
        <v>0</v>
      </c>
      <c r="G68" s="36">
        <f t="shared" si="5"/>
        <v>0.3</v>
      </c>
      <c r="H68" s="36">
        <f t="shared" si="6"/>
        <v>0.3</v>
      </c>
      <c r="I68" s="36">
        <f t="shared" si="7"/>
        <v>0.97</v>
      </c>
      <c r="J68" s="17"/>
    </row>
    <row r="69" spans="1:10">
      <c r="A69" s="4" t="s">
        <v>227</v>
      </c>
      <c r="B69" s="36">
        <f t="shared" si="0"/>
        <v>0</v>
      </c>
      <c r="C69" s="36">
        <f t="shared" si="1"/>
        <v>0</v>
      </c>
      <c r="D69" s="36">
        <f t="shared" si="2"/>
        <v>0</v>
      </c>
      <c r="E69" s="36">
        <f t="shared" si="3"/>
        <v>0</v>
      </c>
      <c r="F69" s="36">
        <f t="shared" si="4"/>
        <v>0</v>
      </c>
      <c r="G69" s="36">
        <f t="shared" si="5"/>
        <v>0.3</v>
      </c>
      <c r="H69" s="36">
        <f t="shared" si="6"/>
        <v>0.3</v>
      </c>
      <c r="I69" s="36">
        <f t="shared" si="7"/>
        <v>0.97</v>
      </c>
      <c r="J69" s="17"/>
    </row>
    <row r="70" spans="1:10">
      <c r="A70" s="4" t="s">
        <v>184</v>
      </c>
      <c r="B70" s="36">
        <f t="shared" si="0"/>
        <v>0</v>
      </c>
      <c r="C70" s="36">
        <f t="shared" si="1"/>
        <v>0</v>
      </c>
      <c r="D70" s="36">
        <f t="shared" si="2"/>
        <v>0</v>
      </c>
      <c r="E70" s="36">
        <f t="shared" si="3"/>
        <v>0</v>
      </c>
      <c r="F70" s="36">
        <f t="shared" si="4"/>
        <v>0</v>
      </c>
      <c r="G70" s="36">
        <f t="shared" si="5"/>
        <v>0.3</v>
      </c>
      <c r="H70" s="36">
        <f t="shared" si="6"/>
        <v>0.3</v>
      </c>
      <c r="I70" s="36">
        <f t="shared" si="7"/>
        <v>0.97</v>
      </c>
      <c r="J70" s="17"/>
    </row>
    <row r="71" spans="1:10">
      <c r="A71" s="4" t="s">
        <v>185</v>
      </c>
      <c r="B71" s="36">
        <f t="shared" si="0"/>
        <v>0</v>
      </c>
      <c r="C71" s="36">
        <f t="shared" si="1"/>
        <v>0</v>
      </c>
      <c r="D71" s="36">
        <f t="shared" si="2"/>
        <v>0</v>
      </c>
      <c r="E71" s="36">
        <f t="shared" si="3"/>
        <v>0</v>
      </c>
      <c r="F71" s="36">
        <f t="shared" si="4"/>
        <v>0</v>
      </c>
      <c r="G71" s="36">
        <f t="shared" si="5"/>
        <v>0.3</v>
      </c>
      <c r="H71" s="36">
        <f t="shared" si="6"/>
        <v>0.97</v>
      </c>
      <c r="I71" s="36">
        <f t="shared" si="7"/>
        <v>0</v>
      </c>
      <c r="J71" s="17"/>
    </row>
    <row r="72" spans="1:10">
      <c r="A72" s="4" t="s">
        <v>205</v>
      </c>
      <c r="B72" s="36">
        <f t="shared" si="0"/>
        <v>0</v>
      </c>
      <c r="C72" s="36">
        <f t="shared" si="1"/>
        <v>0</v>
      </c>
      <c r="D72" s="36">
        <f t="shared" si="2"/>
        <v>0</v>
      </c>
      <c r="E72" s="36">
        <f t="shared" si="3"/>
        <v>0.56999999999999995</v>
      </c>
      <c r="F72" s="36">
        <f t="shared" si="4"/>
        <v>0</v>
      </c>
      <c r="G72" s="36">
        <f t="shared" si="5"/>
        <v>0.91</v>
      </c>
      <c r="H72" s="36">
        <f t="shared" si="6"/>
        <v>0</v>
      </c>
      <c r="I72" s="36">
        <f t="shared" si="7"/>
        <v>0</v>
      </c>
      <c r="J72" s="17"/>
    </row>
    <row r="73" spans="1:10">
      <c r="A73" s="4" t="s">
        <v>186</v>
      </c>
      <c r="B73" s="36">
        <f t="shared" si="0"/>
        <v>0</v>
      </c>
      <c r="C73" s="36">
        <f t="shared" si="1"/>
        <v>0</v>
      </c>
      <c r="D73" s="36">
        <f t="shared" si="2"/>
        <v>0</v>
      </c>
      <c r="E73" s="36">
        <f t="shared" si="3"/>
        <v>0</v>
      </c>
      <c r="F73" s="36">
        <f t="shared" si="4"/>
        <v>0</v>
      </c>
      <c r="G73" s="36">
        <f t="shared" si="5"/>
        <v>0.3</v>
      </c>
      <c r="H73" s="36">
        <f t="shared" si="6"/>
        <v>0.3</v>
      </c>
      <c r="I73" s="36">
        <f t="shared" si="7"/>
        <v>0.97</v>
      </c>
      <c r="J73" s="17"/>
    </row>
    <row r="74" spans="1:10">
      <c r="A74" s="4" t="s">
        <v>187</v>
      </c>
      <c r="B74" s="36">
        <f t="shared" si="0"/>
        <v>0</v>
      </c>
      <c r="C74" s="36">
        <f t="shared" si="1"/>
        <v>0</v>
      </c>
      <c r="D74" s="36">
        <f t="shared" si="2"/>
        <v>0</v>
      </c>
      <c r="E74" s="36">
        <f t="shared" si="3"/>
        <v>0</v>
      </c>
      <c r="F74" s="36">
        <f t="shared" si="4"/>
        <v>0</v>
      </c>
      <c r="G74" s="36">
        <f t="shared" si="5"/>
        <v>0.3</v>
      </c>
      <c r="H74" s="36">
        <f t="shared" si="6"/>
        <v>0.3</v>
      </c>
      <c r="I74" s="36">
        <f t="shared" si="7"/>
        <v>0.97</v>
      </c>
      <c r="J74" s="17"/>
    </row>
    <row r="75" spans="1:10">
      <c r="A75" s="4" t="s">
        <v>188</v>
      </c>
      <c r="B75" s="36">
        <f t="shared" si="0"/>
        <v>0</v>
      </c>
      <c r="C75" s="36">
        <f t="shared" si="1"/>
        <v>0</v>
      </c>
      <c r="D75" s="36">
        <f t="shared" si="2"/>
        <v>0</v>
      </c>
      <c r="E75" s="36">
        <f t="shared" si="3"/>
        <v>0</v>
      </c>
      <c r="F75" s="36">
        <f t="shared" si="4"/>
        <v>0</v>
      </c>
      <c r="G75" s="36">
        <f t="shared" si="5"/>
        <v>0.3</v>
      </c>
      <c r="H75" s="36">
        <f t="shared" si="6"/>
        <v>0.3</v>
      </c>
      <c r="I75" s="36">
        <f t="shared" si="7"/>
        <v>0.97</v>
      </c>
      <c r="J75" s="17"/>
    </row>
    <row r="76" spans="1:10">
      <c r="A76" s="4" t="s">
        <v>189</v>
      </c>
      <c r="B76" s="36">
        <f t="shared" si="0"/>
        <v>0</v>
      </c>
      <c r="C76" s="36">
        <f t="shared" si="1"/>
        <v>0</v>
      </c>
      <c r="D76" s="36">
        <f t="shared" si="2"/>
        <v>0</v>
      </c>
      <c r="E76" s="36">
        <f t="shared" si="3"/>
        <v>0</v>
      </c>
      <c r="F76" s="36">
        <f t="shared" si="4"/>
        <v>0</v>
      </c>
      <c r="G76" s="36">
        <f t="shared" si="5"/>
        <v>0.3</v>
      </c>
      <c r="H76" s="36">
        <f t="shared" si="6"/>
        <v>0.97</v>
      </c>
      <c r="I76" s="36">
        <f t="shared" si="7"/>
        <v>0</v>
      </c>
      <c r="J76" s="17"/>
    </row>
    <row r="77" spans="1:10">
      <c r="A77" s="4" t="s">
        <v>206</v>
      </c>
      <c r="B77" s="36">
        <f t="shared" si="0"/>
        <v>0</v>
      </c>
      <c r="C77" s="36">
        <f t="shared" si="1"/>
        <v>0</v>
      </c>
      <c r="D77" s="36">
        <f t="shared" si="2"/>
        <v>0</v>
      </c>
      <c r="E77" s="36">
        <f t="shared" si="3"/>
        <v>0.56999999999999995</v>
      </c>
      <c r="F77" s="36">
        <f t="shared" si="4"/>
        <v>0</v>
      </c>
      <c r="G77" s="36">
        <f t="shared" si="5"/>
        <v>0.91</v>
      </c>
      <c r="H77" s="36">
        <f t="shared" si="6"/>
        <v>0</v>
      </c>
      <c r="I77" s="36">
        <f t="shared" si="7"/>
        <v>0</v>
      </c>
      <c r="J77" s="17"/>
    </row>
    <row r="78" spans="1:10">
      <c r="A78" s="4" t="s">
        <v>228</v>
      </c>
      <c r="B78" s="36">
        <f t="shared" si="0"/>
        <v>0</v>
      </c>
      <c r="C78" s="36">
        <f t="shared" si="1"/>
        <v>0</v>
      </c>
      <c r="D78" s="36">
        <f t="shared" si="2"/>
        <v>0</v>
      </c>
      <c r="E78" s="36">
        <f t="shared" si="3"/>
        <v>0</v>
      </c>
      <c r="F78" s="36">
        <f t="shared" si="4"/>
        <v>0</v>
      </c>
      <c r="G78" s="36">
        <f t="shared" si="5"/>
        <v>0.3</v>
      </c>
      <c r="H78" s="36">
        <f t="shared" si="6"/>
        <v>0.3</v>
      </c>
      <c r="I78" s="36">
        <f t="shared" si="7"/>
        <v>0.97</v>
      </c>
      <c r="J78" s="17"/>
    </row>
    <row r="79" spans="1:10">
      <c r="A79" s="4" t="s">
        <v>229</v>
      </c>
      <c r="B79" s="36">
        <f t="shared" si="0"/>
        <v>0</v>
      </c>
      <c r="C79" s="36">
        <f t="shared" si="1"/>
        <v>0</v>
      </c>
      <c r="D79" s="36">
        <f t="shared" si="2"/>
        <v>0</v>
      </c>
      <c r="E79" s="36">
        <f t="shared" si="3"/>
        <v>0</v>
      </c>
      <c r="F79" s="36">
        <f t="shared" si="4"/>
        <v>0</v>
      </c>
      <c r="G79" s="36">
        <f t="shared" si="5"/>
        <v>0.3</v>
      </c>
      <c r="H79" s="36">
        <f t="shared" si="6"/>
        <v>0.3</v>
      </c>
      <c r="I79" s="36">
        <f t="shared" si="7"/>
        <v>0.97</v>
      </c>
      <c r="J79" s="17"/>
    </row>
    <row r="80" spans="1:10">
      <c r="A80" s="4" t="s">
        <v>230</v>
      </c>
      <c r="B80" s="36">
        <f t="shared" si="0"/>
        <v>0</v>
      </c>
      <c r="C80" s="36">
        <f t="shared" si="1"/>
        <v>0</v>
      </c>
      <c r="D80" s="36">
        <f t="shared" si="2"/>
        <v>0</v>
      </c>
      <c r="E80" s="36">
        <f t="shared" si="3"/>
        <v>0</v>
      </c>
      <c r="F80" s="36">
        <f t="shared" si="4"/>
        <v>0</v>
      </c>
      <c r="G80" s="36">
        <f t="shared" si="5"/>
        <v>0.3</v>
      </c>
      <c r="H80" s="36">
        <f t="shared" si="6"/>
        <v>0.3</v>
      </c>
      <c r="I80" s="36">
        <f t="shared" si="7"/>
        <v>0.97</v>
      </c>
      <c r="J80" s="17"/>
    </row>
    <row r="81" spans="1:10">
      <c r="A81" s="4" t="s">
        <v>231</v>
      </c>
      <c r="B81" s="36">
        <f t="shared" si="0"/>
        <v>0</v>
      </c>
      <c r="C81" s="36">
        <f t="shared" si="1"/>
        <v>0</v>
      </c>
      <c r="D81" s="36">
        <f t="shared" si="2"/>
        <v>0</v>
      </c>
      <c r="E81" s="36">
        <f t="shared" si="3"/>
        <v>0</v>
      </c>
      <c r="F81" s="36">
        <f t="shared" si="4"/>
        <v>0</v>
      </c>
      <c r="G81" s="36">
        <f t="shared" si="5"/>
        <v>0.3</v>
      </c>
      <c r="H81" s="36">
        <f t="shared" si="6"/>
        <v>0.3</v>
      </c>
      <c r="I81" s="36">
        <f t="shared" si="7"/>
        <v>0.97</v>
      </c>
      <c r="J81" s="17"/>
    </row>
    <row r="82" spans="1:10">
      <c r="A82" s="4" t="s">
        <v>232</v>
      </c>
      <c r="B82" s="36">
        <f t="shared" si="0"/>
        <v>0</v>
      </c>
      <c r="C82" s="36">
        <f t="shared" si="1"/>
        <v>0</v>
      </c>
      <c r="D82" s="36">
        <f t="shared" si="2"/>
        <v>0</v>
      </c>
      <c r="E82" s="36">
        <f t="shared" si="3"/>
        <v>0</v>
      </c>
      <c r="F82" s="36">
        <f t="shared" si="4"/>
        <v>0</v>
      </c>
      <c r="G82" s="36">
        <f t="shared" si="5"/>
        <v>0.3</v>
      </c>
      <c r="H82" s="36">
        <f t="shared" si="6"/>
        <v>0.3</v>
      </c>
      <c r="I82" s="36">
        <f t="shared" si="7"/>
        <v>0.97</v>
      </c>
      <c r="J82" s="17"/>
    </row>
    <row r="83" spans="1:10">
      <c r="A83" s="4" t="s">
        <v>190</v>
      </c>
      <c r="B83" s="36">
        <f t="shared" si="0"/>
        <v>0</v>
      </c>
      <c r="C83" s="36">
        <f t="shared" si="1"/>
        <v>0</v>
      </c>
      <c r="D83" s="36">
        <f t="shared" si="2"/>
        <v>0</v>
      </c>
      <c r="E83" s="36">
        <f t="shared" si="3"/>
        <v>0</v>
      </c>
      <c r="F83" s="36">
        <f t="shared" si="4"/>
        <v>0</v>
      </c>
      <c r="G83" s="36">
        <f t="shared" si="5"/>
        <v>0.3</v>
      </c>
      <c r="H83" s="36">
        <f t="shared" si="6"/>
        <v>0.3</v>
      </c>
      <c r="I83" s="36">
        <f t="shared" si="7"/>
        <v>0.97</v>
      </c>
      <c r="J83" s="17"/>
    </row>
    <row r="84" spans="1:10">
      <c r="A84" s="4" t="s">
        <v>191</v>
      </c>
      <c r="B84" s="36">
        <f t="shared" si="0"/>
        <v>0</v>
      </c>
      <c r="C84" s="36">
        <f t="shared" si="1"/>
        <v>0</v>
      </c>
      <c r="D84" s="36">
        <f t="shared" si="2"/>
        <v>0</v>
      </c>
      <c r="E84" s="36">
        <f t="shared" si="3"/>
        <v>0</v>
      </c>
      <c r="F84" s="36">
        <f t="shared" si="4"/>
        <v>0</v>
      </c>
      <c r="G84" s="36">
        <f t="shared" si="5"/>
        <v>0.3</v>
      </c>
      <c r="H84" s="36">
        <f t="shared" si="6"/>
        <v>0.97</v>
      </c>
      <c r="I84" s="36">
        <f t="shared" si="7"/>
        <v>0</v>
      </c>
      <c r="J84" s="17"/>
    </row>
    <row r="85" spans="1:10">
      <c r="A85" s="4" t="s">
        <v>192</v>
      </c>
      <c r="B85" s="36">
        <f t="shared" si="0"/>
        <v>0</v>
      </c>
      <c r="C85" s="36">
        <f t="shared" si="1"/>
        <v>0</v>
      </c>
      <c r="D85" s="36">
        <f t="shared" si="2"/>
        <v>0</v>
      </c>
      <c r="E85" s="36">
        <f t="shared" si="3"/>
        <v>0</v>
      </c>
      <c r="F85" s="36">
        <f t="shared" si="4"/>
        <v>0</v>
      </c>
      <c r="G85" s="36">
        <f t="shared" si="5"/>
        <v>0.3</v>
      </c>
      <c r="H85" s="36">
        <f t="shared" si="6"/>
        <v>0.3</v>
      </c>
      <c r="I85" s="36">
        <f t="shared" si="7"/>
        <v>0.97</v>
      </c>
      <c r="J85" s="17"/>
    </row>
    <row r="86" spans="1:10">
      <c r="A86" s="4" t="s">
        <v>193</v>
      </c>
      <c r="B86" s="36">
        <f t="shared" si="0"/>
        <v>0</v>
      </c>
      <c r="C86" s="36">
        <f t="shared" si="1"/>
        <v>0</v>
      </c>
      <c r="D86" s="36">
        <f t="shared" si="2"/>
        <v>0</v>
      </c>
      <c r="E86" s="36">
        <f t="shared" si="3"/>
        <v>0</v>
      </c>
      <c r="F86" s="36">
        <f t="shared" si="4"/>
        <v>0</v>
      </c>
      <c r="G86" s="36">
        <f t="shared" si="5"/>
        <v>0.3</v>
      </c>
      <c r="H86" s="36">
        <f t="shared" si="6"/>
        <v>0.3</v>
      </c>
      <c r="I86" s="36">
        <f t="shared" si="7"/>
        <v>0.97</v>
      </c>
      <c r="J86" s="17"/>
    </row>
    <row r="87" spans="1:10">
      <c r="A87" s="4" t="s">
        <v>194</v>
      </c>
      <c r="B87" s="36">
        <f t="shared" si="0"/>
        <v>0</v>
      </c>
      <c r="C87" s="36">
        <f t="shared" si="1"/>
        <v>0</v>
      </c>
      <c r="D87" s="36">
        <f t="shared" si="2"/>
        <v>0</v>
      </c>
      <c r="E87" s="36">
        <f t="shared" si="3"/>
        <v>0</v>
      </c>
      <c r="F87" s="36">
        <f t="shared" si="4"/>
        <v>0</v>
      </c>
      <c r="G87" s="36">
        <f t="shared" si="5"/>
        <v>0.3</v>
      </c>
      <c r="H87" s="36">
        <f t="shared" si="6"/>
        <v>0.3</v>
      </c>
      <c r="I87" s="36">
        <f t="shared" si="7"/>
        <v>0.97</v>
      </c>
      <c r="J87" s="17"/>
    </row>
    <row r="88" spans="1:10">
      <c r="A88" s="4" t="s">
        <v>195</v>
      </c>
      <c r="B88" s="36">
        <f t="shared" si="0"/>
        <v>0</v>
      </c>
      <c r="C88" s="36">
        <f t="shared" si="1"/>
        <v>0</v>
      </c>
      <c r="D88" s="36">
        <f t="shared" si="2"/>
        <v>0</v>
      </c>
      <c r="E88" s="36">
        <f t="shared" si="3"/>
        <v>0</v>
      </c>
      <c r="F88" s="36">
        <f t="shared" si="4"/>
        <v>0</v>
      </c>
      <c r="G88" s="36">
        <f t="shared" si="5"/>
        <v>0.3</v>
      </c>
      <c r="H88" s="36">
        <f t="shared" si="6"/>
        <v>0.3</v>
      </c>
      <c r="I88" s="36">
        <f t="shared" si="7"/>
        <v>0.97</v>
      </c>
      <c r="J88" s="17"/>
    </row>
    <row r="89" spans="1:10">
      <c r="A89" s="4" t="s">
        <v>196</v>
      </c>
      <c r="B89" s="36">
        <f t="shared" si="0"/>
        <v>0</v>
      </c>
      <c r="C89" s="36">
        <f t="shared" si="1"/>
        <v>0</v>
      </c>
      <c r="D89" s="36">
        <f t="shared" si="2"/>
        <v>0</v>
      </c>
      <c r="E89" s="36">
        <f t="shared" si="3"/>
        <v>0</v>
      </c>
      <c r="F89" s="36">
        <f t="shared" si="4"/>
        <v>0</v>
      </c>
      <c r="G89" s="36">
        <f t="shared" si="5"/>
        <v>0.3</v>
      </c>
      <c r="H89" s="36">
        <f t="shared" si="6"/>
        <v>0.97</v>
      </c>
      <c r="I89" s="36">
        <f t="shared" si="7"/>
        <v>0</v>
      </c>
      <c r="J89" s="17"/>
    </row>
    <row r="90" spans="1:10">
      <c r="A90" s="4" t="s">
        <v>197</v>
      </c>
      <c r="B90" s="36">
        <f t="shared" si="0"/>
        <v>0</v>
      </c>
      <c r="C90" s="36">
        <f t="shared" si="1"/>
        <v>0</v>
      </c>
      <c r="D90" s="36">
        <f t="shared" si="2"/>
        <v>0</v>
      </c>
      <c r="E90" s="36">
        <f t="shared" si="3"/>
        <v>0</v>
      </c>
      <c r="F90" s="36">
        <f t="shared" si="4"/>
        <v>0</v>
      </c>
      <c r="G90" s="36">
        <f t="shared" si="5"/>
        <v>0.3</v>
      </c>
      <c r="H90" s="36">
        <f t="shared" si="6"/>
        <v>0.97</v>
      </c>
      <c r="I90" s="36">
        <f t="shared" si="7"/>
        <v>0</v>
      </c>
      <c r="J90" s="17"/>
    </row>
    <row r="91" spans="1:10">
      <c r="A91" s="4" t="s">
        <v>198</v>
      </c>
      <c r="B91" s="36">
        <f t="shared" si="0"/>
        <v>0</v>
      </c>
      <c r="C91" s="36">
        <f t="shared" si="1"/>
        <v>0</v>
      </c>
      <c r="D91" s="36">
        <f t="shared" si="2"/>
        <v>0</v>
      </c>
      <c r="E91" s="36">
        <f t="shared" si="3"/>
        <v>0</v>
      </c>
      <c r="F91" s="36">
        <f t="shared" si="4"/>
        <v>0</v>
      </c>
      <c r="G91" s="36">
        <f t="shared" si="5"/>
        <v>0.3</v>
      </c>
      <c r="H91" s="36">
        <f t="shared" si="6"/>
        <v>0.97</v>
      </c>
      <c r="I91" s="36">
        <f t="shared" si="7"/>
        <v>0</v>
      </c>
      <c r="J91" s="17"/>
    </row>
    <row r="92" spans="1:10">
      <c r="A92" s="4" t="s">
        <v>199</v>
      </c>
      <c r="B92" s="36">
        <f t="shared" si="0"/>
        <v>0</v>
      </c>
      <c r="C92" s="36">
        <f t="shared" si="1"/>
        <v>0</v>
      </c>
      <c r="D92" s="36">
        <f t="shared" si="2"/>
        <v>0</v>
      </c>
      <c r="E92" s="36">
        <f t="shared" si="3"/>
        <v>0</v>
      </c>
      <c r="F92" s="36">
        <f t="shared" si="4"/>
        <v>0</v>
      </c>
      <c r="G92" s="36">
        <f t="shared" si="5"/>
        <v>0.3</v>
      </c>
      <c r="H92" s="36">
        <f t="shared" si="6"/>
        <v>0.97</v>
      </c>
      <c r="I92" s="36">
        <f t="shared" si="7"/>
        <v>0</v>
      </c>
      <c r="J92" s="17"/>
    </row>
    <row r="93" spans="1:10">
      <c r="A93" s="4" t="s">
        <v>207</v>
      </c>
      <c r="B93" s="36">
        <f t="shared" si="0"/>
        <v>0</v>
      </c>
      <c r="C93" s="36">
        <f t="shared" si="1"/>
        <v>0</v>
      </c>
      <c r="D93" s="36">
        <f t="shared" si="2"/>
        <v>0</v>
      </c>
      <c r="E93" s="36">
        <f t="shared" si="3"/>
        <v>0.56999999999999995</v>
      </c>
      <c r="F93" s="36">
        <f t="shared" si="4"/>
        <v>0</v>
      </c>
      <c r="G93" s="36">
        <f t="shared" si="5"/>
        <v>0.91</v>
      </c>
      <c r="H93" s="36">
        <f t="shared" si="6"/>
        <v>0</v>
      </c>
      <c r="I93" s="36">
        <f t="shared" si="7"/>
        <v>0</v>
      </c>
      <c r="J93" s="17"/>
    </row>
    <row r="94" spans="1:10">
      <c r="A94" s="4" t="s">
        <v>208</v>
      </c>
      <c r="B94" s="36">
        <f t="shared" si="0"/>
        <v>0</v>
      </c>
      <c r="C94" s="36">
        <f t="shared" si="1"/>
        <v>0</v>
      </c>
      <c r="D94" s="36">
        <f t="shared" si="2"/>
        <v>0</v>
      </c>
      <c r="E94" s="36">
        <f t="shared" si="3"/>
        <v>0.56999999999999995</v>
      </c>
      <c r="F94" s="36">
        <f t="shared" si="4"/>
        <v>0</v>
      </c>
      <c r="G94" s="36">
        <f t="shared" si="5"/>
        <v>0.91</v>
      </c>
      <c r="H94" s="36">
        <f t="shared" si="6"/>
        <v>0</v>
      </c>
      <c r="I94" s="36">
        <f t="shared" si="7"/>
        <v>0</v>
      </c>
      <c r="J94" s="17"/>
    </row>
    <row r="95" spans="1:10">
      <c r="A95" s="4" t="s">
        <v>209</v>
      </c>
      <c r="B95" s="36">
        <f t="shared" si="0"/>
        <v>0</v>
      </c>
      <c r="C95" s="36">
        <f t="shared" si="1"/>
        <v>0</v>
      </c>
      <c r="D95" s="36">
        <f t="shared" si="2"/>
        <v>0</v>
      </c>
      <c r="E95" s="36">
        <f t="shared" si="3"/>
        <v>0.56999999999999995</v>
      </c>
      <c r="F95" s="36">
        <f t="shared" si="4"/>
        <v>0</v>
      </c>
      <c r="G95" s="36">
        <f t="shared" si="5"/>
        <v>0.91</v>
      </c>
      <c r="H95" s="36">
        <f t="shared" si="6"/>
        <v>0</v>
      </c>
      <c r="I95" s="36">
        <f t="shared" si="7"/>
        <v>0</v>
      </c>
      <c r="J95" s="17"/>
    </row>
    <row r="96" spans="1:10">
      <c r="A96" s="4" t="s">
        <v>210</v>
      </c>
      <c r="B96" s="36">
        <f t="shared" si="0"/>
        <v>0</v>
      </c>
      <c r="C96" s="36">
        <f t="shared" si="1"/>
        <v>0</v>
      </c>
      <c r="D96" s="36">
        <f t="shared" si="2"/>
        <v>0</v>
      </c>
      <c r="E96" s="36">
        <f t="shared" si="3"/>
        <v>0.56999999999999995</v>
      </c>
      <c r="F96" s="36">
        <f t="shared" si="4"/>
        <v>0</v>
      </c>
      <c r="G96" s="36">
        <f t="shared" si="5"/>
        <v>0.91</v>
      </c>
      <c r="H96" s="36">
        <f t="shared" si="6"/>
        <v>0</v>
      </c>
      <c r="I96" s="36">
        <f t="shared" si="7"/>
        <v>0</v>
      </c>
      <c r="J96" s="17"/>
    </row>
    <row r="98" spans="1:20" ht="21" customHeight="1">
      <c r="A98" s="1" t="s">
        <v>994</v>
      </c>
    </row>
    <row r="99" spans="1:20">
      <c r="A99" s="2" t="s">
        <v>379</v>
      </c>
    </row>
    <row r="100" spans="1:20">
      <c r="A100" s="2" t="s">
        <v>995</v>
      </c>
    </row>
    <row r="101" spans="1:20">
      <c r="A101" s="2" t="s">
        <v>996</v>
      </c>
    </row>
    <row r="102" spans="1:20">
      <c r="A102" s="29" t="s">
        <v>997</v>
      </c>
    </row>
    <row r="103" spans="1:20">
      <c r="A103" s="2" t="s">
        <v>422</v>
      </c>
    </row>
    <row r="105" spans="1:20" ht="30">
      <c r="B105" s="15" t="s">
        <v>148</v>
      </c>
      <c r="C105" s="15" t="s">
        <v>333</v>
      </c>
      <c r="D105" s="15" t="s">
        <v>334</v>
      </c>
      <c r="E105" s="15" t="s">
        <v>335</v>
      </c>
      <c r="F105" s="15" t="s">
        <v>336</v>
      </c>
      <c r="G105" s="15" t="s">
        <v>337</v>
      </c>
      <c r="H105" s="15" t="s">
        <v>338</v>
      </c>
      <c r="I105" s="15" t="s">
        <v>339</v>
      </c>
      <c r="J105" s="15" t="s">
        <v>340</v>
      </c>
      <c r="K105" s="15" t="s">
        <v>321</v>
      </c>
      <c r="L105" s="15" t="s">
        <v>909</v>
      </c>
      <c r="M105" s="15" t="s">
        <v>910</v>
      </c>
      <c r="N105" s="15" t="s">
        <v>911</v>
      </c>
      <c r="O105" s="15" t="s">
        <v>912</v>
      </c>
      <c r="P105" s="15" t="s">
        <v>913</v>
      </c>
      <c r="Q105" s="15" t="s">
        <v>914</v>
      </c>
      <c r="R105" s="15" t="s">
        <v>915</v>
      </c>
      <c r="S105" s="15" t="s">
        <v>916</v>
      </c>
    </row>
    <row r="106" spans="1:20">
      <c r="A106" s="4" t="s">
        <v>180</v>
      </c>
      <c r="B106" s="37">
        <v>0</v>
      </c>
      <c r="C106" s="38">
        <f t="shared" ref="C106:C138" si="8">$B64</f>
        <v>0</v>
      </c>
      <c r="D106" s="38">
        <f t="shared" ref="D106:D138" si="9">$C64</f>
        <v>0</v>
      </c>
      <c r="E106" s="38">
        <f t="shared" ref="E106:E138" si="10">$D64</f>
        <v>0</v>
      </c>
      <c r="F106" s="38">
        <f t="shared" ref="F106:F138" si="11">$E64</f>
        <v>0</v>
      </c>
      <c r="G106" s="38">
        <f t="shared" ref="G106:G138" si="12">$F64</f>
        <v>0</v>
      </c>
      <c r="H106" s="38">
        <f t="shared" ref="H106:H138" si="13">$G64</f>
        <v>0.3</v>
      </c>
      <c r="I106" s="38">
        <f t="shared" ref="I106:I138" si="14">$H64</f>
        <v>0.3</v>
      </c>
      <c r="J106" s="38">
        <f t="shared" ref="J106:J138" si="15">$I64</f>
        <v>0.97</v>
      </c>
      <c r="K106" s="37">
        <v>0</v>
      </c>
      <c r="L106" s="37">
        <v>0</v>
      </c>
      <c r="M106" s="37">
        <v>0</v>
      </c>
      <c r="N106" s="37">
        <v>0</v>
      </c>
      <c r="O106" s="37">
        <v>0</v>
      </c>
      <c r="P106" s="37">
        <v>0</v>
      </c>
      <c r="Q106" s="37">
        <v>0</v>
      </c>
      <c r="R106" s="37">
        <v>0</v>
      </c>
      <c r="S106" s="37">
        <v>0</v>
      </c>
      <c r="T106" s="17"/>
    </row>
    <row r="107" spans="1:20">
      <c r="A107" s="4" t="s">
        <v>181</v>
      </c>
      <c r="B107" s="37">
        <v>0</v>
      </c>
      <c r="C107" s="38">
        <f t="shared" si="8"/>
        <v>0</v>
      </c>
      <c r="D107" s="38">
        <f t="shared" si="9"/>
        <v>0</v>
      </c>
      <c r="E107" s="38">
        <f t="shared" si="10"/>
        <v>0</v>
      </c>
      <c r="F107" s="38">
        <f t="shared" si="11"/>
        <v>0</v>
      </c>
      <c r="G107" s="38">
        <f t="shared" si="12"/>
        <v>0</v>
      </c>
      <c r="H107" s="38">
        <f t="shared" si="13"/>
        <v>0.3</v>
      </c>
      <c r="I107" s="38">
        <f t="shared" si="14"/>
        <v>0.3</v>
      </c>
      <c r="J107" s="38">
        <f t="shared" si="15"/>
        <v>0.97</v>
      </c>
      <c r="K107" s="37">
        <v>0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v>0</v>
      </c>
      <c r="R107" s="37">
        <v>0</v>
      </c>
      <c r="S107" s="37">
        <v>0</v>
      </c>
      <c r="T107" s="17"/>
    </row>
    <row r="108" spans="1:20">
      <c r="A108" s="4" t="s">
        <v>226</v>
      </c>
      <c r="B108" s="37">
        <v>0</v>
      </c>
      <c r="C108" s="38">
        <f t="shared" si="8"/>
        <v>0</v>
      </c>
      <c r="D108" s="38">
        <f t="shared" si="9"/>
        <v>0</v>
      </c>
      <c r="E108" s="38">
        <f t="shared" si="10"/>
        <v>0</v>
      </c>
      <c r="F108" s="38">
        <f t="shared" si="11"/>
        <v>0</v>
      </c>
      <c r="G108" s="38">
        <f t="shared" si="12"/>
        <v>0</v>
      </c>
      <c r="H108" s="38">
        <f t="shared" si="13"/>
        <v>0.3</v>
      </c>
      <c r="I108" s="38">
        <f t="shared" si="14"/>
        <v>0.3</v>
      </c>
      <c r="J108" s="38">
        <f t="shared" si="15"/>
        <v>0.97</v>
      </c>
      <c r="K108" s="37">
        <v>0</v>
      </c>
      <c r="L108" s="37">
        <v>0</v>
      </c>
      <c r="M108" s="37">
        <v>0</v>
      </c>
      <c r="N108" s="37">
        <v>0</v>
      </c>
      <c r="O108" s="37">
        <v>0</v>
      </c>
      <c r="P108" s="37">
        <v>0</v>
      </c>
      <c r="Q108" s="37">
        <v>0</v>
      </c>
      <c r="R108" s="37">
        <v>0</v>
      </c>
      <c r="S108" s="37">
        <v>0</v>
      </c>
      <c r="T108" s="17"/>
    </row>
    <row r="109" spans="1:20">
      <c r="A109" s="4" t="s">
        <v>182</v>
      </c>
      <c r="B109" s="37">
        <v>0</v>
      </c>
      <c r="C109" s="38">
        <f t="shared" si="8"/>
        <v>0</v>
      </c>
      <c r="D109" s="38">
        <f t="shared" si="9"/>
        <v>0</v>
      </c>
      <c r="E109" s="38">
        <f t="shared" si="10"/>
        <v>0</v>
      </c>
      <c r="F109" s="38">
        <f t="shared" si="11"/>
        <v>0</v>
      </c>
      <c r="G109" s="38">
        <f t="shared" si="12"/>
        <v>0</v>
      </c>
      <c r="H109" s="38">
        <f t="shared" si="13"/>
        <v>0.3</v>
      </c>
      <c r="I109" s="38">
        <f t="shared" si="14"/>
        <v>0.3</v>
      </c>
      <c r="J109" s="38">
        <f t="shared" si="15"/>
        <v>0.97</v>
      </c>
      <c r="K109" s="37">
        <v>0</v>
      </c>
      <c r="L109" s="37">
        <v>0</v>
      </c>
      <c r="M109" s="37">
        <v>0</v>
      </c>
      <c r="N109" s="37">
        <v>0</v>
      </c>
      <c r="O109" s="37">
        <v>0</v>
      </c>
      <c r="P109" s="37">
        <v>0</v>
      </c>
      <c r="Q109" s="37">
        <v>0</v>
      </c>
      <c r="R109" s="37">
        <v>0</v>
      </c>
      <c r="S109" s="37">
        <v>0</v>
      </c>
      <c r="T109" s="17"/>
    </row>
    <row r="110" spans="1:20">
      <c r="A110" s="4" t="s">
        <v>183</v>
      </c>
      <c r="B110" s="37">
        <v>0</v>
      </c>
      <c r="C110" s="38">
        <f t="shared" si="8"/>
        <v>0</v>
      </c>
      <c r="D110" s="38">
        <f t="shared" si="9"/>
        <v>0</v>
      </c>
      <c r="E110" s="38">
        <f t="shared" si="10"/>
        <v>0</v>
      </c>
      <c r="F110" s="38">
        <f t="shared" si="11"/>
        <v>0</v>
      </c>
      <c r="G110" s="38">
        <f t="shared" si="12"/>
        <v>0</v>
      </c>
      <c r="H110" s="38">
        <f t="shared" si="13"/>
        <v>0.3</v>
      </c>
      <c r="I110" s="38">
        <f t="shared" si="14"/>
        <v>0.3</v>
      </c>
      <c r="J110" s="38">
        <f t="shared" si="15"/>
        <v>0.97</v>
      </c>
      <c r="K110" s="37">
        <v>0</v>
      </c>
      <c r="L110" s="37">
        <v>0</v>
      </c>
      <c r="M110" s="37">
        <v>0</v>
      </c>
      <c r="N110" s="37">
        <v>0</v>
      </c>
      <c r="O110" s="37">
        <v>0</v>
      </c>
      <c r="P110" s="37">
        <v>0</v>
      </c>
      <c r="Q110" s="37">
        <v>0</v>
      </c>
      <c r="R110" s="37">
        <v>0</v>
      </c>
      <c r="S110" s="37">
        <v>0</v>
      </c>
      <c r="T110" s="17"/>
    </row>
    <row r="111" spans="1:20">
      <c r="A111" s="4" t="s">
        <v>227</v>
      </c>
      <c r="B111" s="37">
        <v>0</v>
      </c>
      <c r="C111" s="38">
        <f t="shared" si="8"/>
        <v>0</v>
      </c>
      <c r="D111" s="38">
        <f t="shared" si="9"/>
        <v>0</v>
      </c>
      <c r="E111" s="38">
        <f t="shared" si="10"/>
        <v>0</v>
      </c>
      <c r="F111" s="38">
        <f t="shared" si="11"/>
        <v>0</v>
      </c>
      <c r="G111" s="38">
        <f t="shared" si="12"/>
        <v>0</v>
      </c>
      <c r="H111" s="38">
        <f t="shared" si="13"/>
        <v>0.3</v>
      </c>
      <c r="I111" s="38">
        <f t="shared" si="14"/>
        <v>0.3</v>
      </c>
      <c r="J111" s="38">
        <f t="shared" si="15"/>
        <v>0.97</v>
      </c>
      <c r="K111" s="37">
        <v>0</v>
      </c>
      <c r="L111" s="37">
        <v>0</v>
      </c>
      <c r="M111" s="37">
        <v>0</v>
      </c>
      <c r="N111" s="37">
        <v>0</v>
      </c>
      <c r="O111" s="37">
        <v>0</v>
      </c>
      <c r="P111" s="37">
        <v>0</v>
      </c>
      <c r="Q111" s="37">
        <v>0</v>
      </c>
      <c r="R111" s="37">
        <v>0</v>
      </c>
      <c r="S111" s="37">
        <v>0</v>
      </c>
      <c r="T111" s="17"/>
    </row>
    <row r="112" spans="1:20">
      <c r="A112" s="4" t="s">
        <v>184</v>
      </c>
      <c r="B112" s="37">
        <v>0</v>
      </c>
      <c r="C112" s="38">
        <f t="shared" si="8"/>
        <v>0</v>
      </c>
      <c r="D112" s="38">
        <f t="shared" si="9"/>
        <v>0</v>
      </c>
      <c r="E112" s="38">
        <f t="shared" si="10"/>
        <v>0</v>
      </c>
      <c r="F112" s="38">
        <f t="shared" si="11"/>
        <v>0</v>
      </c>
      <c r="G112" s="38">
        <f t="shared" si="12"/>
        <v>0</v>
      </c>
      <c r="H112" s="38">
        <f t="shared" si="13"/>
        <v>0.3</v>
      </c>
      <c r="I112" s="38">
        <f t="shared" si="14"/>
        <v>0.3</v>
      </c>
      <c r="J112" s="38">
        <f t="shared" si="15"/>
        <v>0.97</v>
      </c>
      <c r="K112" s="37">
        <v>0</v>
      </c>
      <c r="L112" s="37">
        <v>0</v>
      </c>
      <c r="M112" s="37">
        <v>0</v>
      </c>
      <c r="N112" s="37">
        <v>0</v>
      </c>
      <c r="O112" s="37">
        <v>0</v>
      </c>
      <c r="P112" s="37">
        <v>0</v>
      </c>
      <c r="Q112" s="37">
        <v>0</v>
      </c>
      <c r="R112" s="37">
        <v>0</v>
      </c>
      <c r="S112" s="37">
        <v>0</v>
      </c>
      <c r="T112" s="17"/>
    </row>
    <row r="113" spans="1:20">
      <c r="A113" s="4" t="s">
        <v>185</v>
      </c>
      <c r="B113" s="37">
        <v>0</v>
      </c>
      <c r="C113" s="38">
        <f t="shared" si="8"/>
        <v>0</v>
      </c>
      <c r="D113" s="38">
        <f t="shared" si="9"/>
        <v>0</v>
      </c>
      <c r="E113" s="38">
        <f t="shared" si="10"/>
        <v>0</v>
      </c>
      <c r="F113" s="38">
        <f t="shared" si="11"/>
        <v>0</v>
      </c>
      <c r="G113" s="38">
        <f t="shared" si="12"/>
        <v>0</v>
      </c>
      <c r="H113" s="38">
        <f t="shared" si="13"/>
        <v>0.3</v>
      </c>
      <c r="I113" s="38">
        <f t="shared" si="14"/>
        <v>0.97</v>
      </c>
      <c r="J113" s="38">
        <f t="shared" si="15"/>
        <v>0</v>
      </c>
      <c r="K113" s="37">
        <v>0</v>
      </c>
      <c r="L113" s="37">
        <v>0</v>
      </c>
      <c r="M113" s="37">
        <v>0</v>
      </c>
      <c r="N113" s="37">
        <v>0</v>
      </c>
      <c r="O113" s="37">
        <v>0</v>
      </c>
      <c r="P113" s="37">
        <v>0</v>
      </c>
      <c r="Q113" s="37">
        <v>0</v>
      </c>
      <c r="R113" s="37">
        <v>0</v>
      </c>
      <c r="S113" s="37">
        <v>0</v>
      </c>
      <c r="T113" s="17"/>
    </row>
    <row r="114" spans="1:20">
      <c r="A114" s="4" t="s">
        <v>205</v>
      </c>
      <c r="B114" s="37">
        <v>0</v>
      </c>
      <c r="C114" s="38">
        <f t="shared" si="8"/>
        <v>0</v>
      </c>
      <c r="D114" s="38">
        <f t="shared" si="9"/>
        <v>0</v>
      </c>
      <c r="E114" s="38">
        <f t="shared" si="10"/>
        <v>0</v>
      </c>
      <c r="F114" s="38">
        <f t="shared" si="11"/>
        <v>0.56999999999999995</v>
      </c>
      <c r="G114" s="38">
        <f t="shared" si="12"/>
        <v>0</v>
      </c>
      <c r="H114" s="38">
        <f t="shared" si="13"/>
        <v>0.91</v>
      </c>
      <c r="I114" s="38">
        <f t="shared" si="14"/>
        <v>0</v>
      </c>
      <c r="J114" s="38">
        <f t="shared" si="15"/>
        <v>0</v>
      </c>
      <c r="K114" s="37">
        <v>0</v>
      </c>
      <c r="L114" s="37">
        <v>0</v>
      </c>
      <c r="M114" s="37">
        <v>0</v>
      </c>
      <c r="N114" s="37">
        <v>0</v>
      </c>
      <c r="O114" s="37">
        <v>0</v>
      </c>
      <c r="P114" s="37">
        <v>0</v>
      </c>
      <c r="Q114" s="37">
        <v>0</v>
      </c>
      <c r="R114" s="37">
        <v>0</v>
      </c>
      <c r="S114" s="37">
        <v>0</v>
      </c>
      <c r="T114" s="17"/>
    </row>
    <row r="115" spans="1:20">
      <c r="A115" s="4" t="s">
        <v>186</v>
      </c>
      <c r="B115" s="37">
        <v>0</v>
      </c>
      <c r="C115" s="38">
        <f t="shared" si="8"/>
        <v>0</v>
      </c>
      <c r="D115" s="38">
        <f t="shared" si="9"/>
        <v>0</v>
      </c>
      <c r="E115" s="38">
        <f t="shared" si="10"/>
        <v>0</v>
      </c>
      <c r="F115" s="38">
        <f t="shared" si="11"/>
        <v>0</v>
      </c>
      <c r="G115" s="38">
        <f t="shared" si="12"/>
        <v>0</v>
      </c>
      <c r="H115" s="38">
        <f t="shared" si="13"/>
        <v>0.3</v>
      </c>
      <c r="I115" s="38">
        <f t="shared" si="14"/>
        <v>0.3</v>
      </c>
      <c r="J115" s="38">
        <f t="shared" si="15"/>
        <v>0.97</v>
      </c>
      <c r="K115" s="37">
        <v>0</v>
      </c>
      <c r="L115" s="37">
        <v>0</v>
      </c>
      <c r="M115" s="37">
        <v>0</v>
      </c>
      <c r="N115" s="37">
        <v>0</v>
      </c>
      <c r="O115" s="37">
        <v>0</v>
      </c>
      <c r="P115" s="37">
        <v>0</v>
      </c>
      <c r="Q115" s="37">
        <v>0</v>
      </c>
      <c r="R115" s="37">
        <v>0</v>
      </c>
      <c r="S115" s="37">
        <v>0</v>
      </c>
      <c r="T115" s="17"/>
    </row>
    <row r="116" spans="1:20">
      <c r="A116" s="4" t="s">
        <v>187</v>
      </c>
      <c r="B116" s="37">
        <v>0</v>
      </c>
      <c r="C116" s="38">
        <f t="shared" si="8"/>
        <v>0</v>
      </c>
      <c r="D116" s="38">
        <f t="shared" si="9"/>
        <v>0</v>
      </c>
      <c r="E116" s="38">
        <f t="shared" si="10"/>
        <v>0</v>
      </c>
      <c r="F116" s="38">
        <f t="shared" si="11"/>
        <v>0</v>
      </c>
      <c r="G116" s="38">
        <f t="shared" si="12"/>
        <v>0</v>
      </c>
      <c r="H116" s="38">
        <f t="shared" si="13"/>
        <v>0.3</v>
      </c>
      <c r="I116" s="38">
        <f t="shared" si="14"/>
        <v>0.3</v>
      </c>
      <c r="J116" s="38">
        <f t="shared" si="15"/>
        <v>0.97</v>
      </c>
      <c r="K116" s="37">
        <v>0</v>
      </c>
      <c r="L116" s="37">
        <v>0</v>
      </c>
      <c r="M116" s="37">
        <v>0</v>
      </c>
      <c r="N116" s="37">
        <v>0</v>
      </c>
      <c r="O116" s="37">
        <v>0</v>
      </c>
      <c r="P116" s="37">
        <v>0</v>
      </c>
      <c r="Q116" s="37">
        <v>0</v>
      </c>
      <c r="R116" s="37">
        <v>0</v>
      </c>
      <c r="S116" s="37">
        <v>0</v>
      </c>
      <c r="T116" s="17"/>
    </row>
    <row r="117" spans="1:20">
      <c r="A117" s="4" t="s">
        <v>188</v>
      </c>
      <c r="B117" s="37">
        <v>0</v>
      </c>
      <c r="C117" s="38">
        <f t="shared" si="8"/>
        <v>0</v>
      </c>
      <c r="D117" s="38">
        <f t="shared" si="9"/>
        <v>0</v>
      </c>
      <c r="E117" s="38">
        <f t="shared" si="10"/>
        <v>0</v>
      </c>
      <c r="F117" s="38">
        <f t="shared" si="11"/>
        <v>0</v>
      </c>
      <c r="G117" s="38">
        <f t="shared" si="12"/>
        <v>0</v>
      </c>
      <c r="H117" s="38">
        <f t="shared" si="13"/>
        <v>0.3</v>
      </c>
      <c r="I117" s="38">
        <f t="shared" si="14"/>
        <v>0.3</v>
      </c>
      <c r="J117" s="38">
        <f t="shared" si="15"/>
        <v>0.97</v>
      </c>
      <c r="K117" s="37">
        <v>0</v>
      </c>
      <c r="L117" s="37">
        <v>0</v>
      </c>
      <c r="M117" s="37">
        <v>0</v>
      </c>
      <c r="N117" s="37">
        <v>0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17"/>
    </row>
    <row r="118" spans="1:20">
      <c r="A118" s="4" t="s">
        <v>189</v>
      </c>
      <c r="B118" s="37">
        <v>0</v>
      </c>
      <c r="C118" s="38">
        <f t="shared" si="8"/>
        <v>0</v>
      </c>
      <c r="D118" s="38">
        <f t="shared" si="9"/>
        <v>0</v>
      </c>
      <c r="E118" s="38">
        <f t="shared" si="10"/>
        <v>0</v>
      </c>
      <c r="F118" s="38">
        <f t="shared" si="11"/>
        <v>0</v>
      </c>
      <c r="G118" s="38">
        <f t="shared" si="12"/>
        <v>0</v>
      </c>
      <c r="H118" s="38">
        <f t="shared" si="13"/>
        <v>0.3</v>
      </c>
      <c r="I118" s="38">
        <f t="shared" si="14"/>
        <v>0.97</v>
      </c>
      <c r="J118" s="38">
        <f t="shared" si="15"/>
        <v>0</v>
      </c>
      <c r="K118" s="37">
        <v>0</v>
      </c>
      <c r="L118" s="37">
        <v>0</v>
      </c>
      <c r="M118" s="37">
        <v>0</v>
      </c>
      <c r="N118" s="37">
        <v>0</v>
      </c>
      <c r="O118" s="37">
        <v>0</v>
      </c>
      <c r="P118" s="37">
        <v>0</v>
      </c>
      <c r="Q118" s="37">
        <v>0</v>
      </c>
      <c r="R118" s="37">
        <v>0</v>
      </c>
      <c r="S118" s="37">
        <v>0</v>
      </c>
      <c r="T118" s="17"/>
    </row>
    <row r="119" spans="1:20">
      <c r="A119" s="4" t="s">
        <v>206</v>
      </c>
      <c r="B119" s="37">
        <v>0</v>
      </c>
      <c r="C119" s="38">
        <f t="shared" si="8"/>
        <v>0</v>
      </c>
      <c r="D119" s="38">
        <f t="shared" si="9"/>
        <v>0</v>
      </c>
      <c r="E119" s="38">
        <f t="shared" si="10"/>
        <v>0</v>
      </c>
      <c r="F119" s="38">
        <f t="shared" si="11"/>
        <v>0.56999999999999995</v>
      </c>
      <c r="G119" s="38">
        <f t="shared" si="12"/>
        <v>0</v>
      </c>
      <c r="H119" s="38">
        <f t="shared" si="13"/>
        <v>0.91</v>
      </c>
      <c r="I119" s="38">
        <f t="shared" si="14"/>
        <v>0</v>
      </c>
      <c r="J119" s="38">
        <f t="shared" si="15"/>
        <v>0</v>
      </c>
      <c r="K119" s="37">
        <v>0</v>
      </c>
      <c r="L119" s="37">
        <v>0</v>
      </c>
      <c r="M119" s="37">
        <v>0</v>
      </c>
      <c r="N119" s="37">
        <v>0</v>
      </c>
      <c r="O119" s="37">
        <v>0</v>
      </c>
      <c r="P119" s="37">
        <v>0</v>
      </c>
      <c r="Q119" s="37">
        <v>0</v>
      </c>
      <c r="R119" s="37">
        <v>0</v>
      </c>
      <c r="S119" s="37">
        <v>0</v>
      </c>
      <c r="T119" s="17"/>
    </row>
    <row r="120" spans="1:20">
      <c r="A120" s="4" t="s">
        <v>228</v>
      </c>
      <c r="B120" s="37">
        <v>0</v>
      </c>
      <c r="C120" s="38">
        <f t="shared" si="8"/>
        <v>0</v>
      </c>
      <c r="D120" s="38">
        <f t="shared" si="9"/>
        <v>0</v>
      </c>
      <c r="E120" s="38">
        <f t="shared" si="10"/>
        <v>0</v>
      </c>
      <c r="F120" s="38">
        <f t="shared" si="11"/>
        <v>0</v>
      </c>
      <c r="G120" s="38">
        <f t="shared" si="12"/>
        <v>0</v>
      </c>
      <c r="H120" s="38">
        <f t="shared" si="13"/>
        <v>0.3</v>
      </c>
      <c r="I120" s="38">
        <f t="shared" si="14"/>
        <v>0.3</v>
      </c>
      <c r="J120" s="38">
        <f t="shared" si="15"/>
        <v>0.97</v>
      </c>
      <c r="K120" s="37">
        <v>0</v>
      </c>
      <c r="L120" s="37">
        <v>0</v>
      </c>
      <c r="M120" s="37">
        <v>0</v>
      </c>
      <c r="N120" s="37">
        <v>0</v>
      </c>
      <c r="O120" s="37">
        <v>0</v>
      </c>
      <c r="P120" s="37">
        <v>0</v>
      </c>
      <c r="Q120" s="37">
        <v>0</v>
      </c>
      <c r="R120" s="37">
        <v>0</v>
      </c>
      <c r="S120" s="37">
        <v>0</v>
      </c>
      <c r="T120" s="17"/>
    </row>
    <row r="121" spans="1:20">
      <c r="A121" s="4" t="s">
        <v>229</v>
      </c>
      <c r="B121" s="37">
        <v>0</v>
      </c>
      <c r="C121" s="38">
        <f t="shared" si="8"/>
        <v>0</v>
      </c>
      <c r="D121" s="38">
        <f t="shared" si="9"/>
        <v>0</v>
      </c>
      <c r="E121" s="38">
        <f t="shared" si="10"/>
        <v>0</v>
      </c>
      <c r="F121" s="38">
        <f t="shared" si="11"/>
        <v>0</v>
      </c>
      <c r="G121" s="38">
        <f t="shared" si="12"/>
        <v>0</v>
      </c>
      <c r="H121" s="38">
        <f t="shared" si="13"/>
        <v>0.3</v>
      </c>
      <c r="I121" s="38">
        <f t="shared" si="14"/>
        <v>0.3</v>
      </c>
      <c r="J121" s="38">
        <f t="shared" si="15"/>
        <v>0.97</v>
      </c>
      <c r="K121" s="37">
        <v>0</v>
      </c>
      <c r="L121" s="37">
        <v>0</v>
      </c>
      <c r="M121" s="37">
        <v>0</v>
      </c>
      <c r="N121" s="37">
        <v>0</v>
      </c>
      <c r="O121" s="37">
        <v>0</v>
      </c>
      <c r="P121" s="37">
        <v>0</v>
      </c>
      <c r="Q121" s="37">
        <v>0</v>
      </c>
      <c r="R121" s="37">
        <v>0</v>
      </c>
      <c r="S121" s="37">
        <v>0</v>
      </c>
      <c r="T121" s="17"/>
    </row>
    <row r="122" spans="1:20">
      <c r="A122" s="4" t="s">
        <v>230</v>
      </c>
      <c r="B122" s="37">
        <v>0</v>
      </c>
      <c r="C122" s="38">
        <f t="shared" si="8"/>
        <v>0</v>
      </c>
      <c r="D122" s="38">
        <f t="shared" si="9"/>
        <v>0</v>
      </c>
      <c r="E122" s="38">
        <f t="shared" si="10"/>
        <v>0</v>
      </c>
      <c r="F122" s="38">
        <f t="shared" si="11"/>
        <v>0</v>
      </c>
      <c r="G122" s="38">
        <f t="shared" si="12"/>
        <v>0</v>
      </c>
      <c r="H122" s="38">
        <f t="shared" si="13"/>
        <v>0.3</v>
      </c>
      <c r="I122" s="38">
        <f t="shared" si="14"/>
        <v>0.3</v>
      </c>
      <c r="J122" s="38">
        <f t="shared" si="15"/>
        <v>0.97</v>
      </c>
      <c r="K122" s="37">
        <v>0</v>
      </c>
      <c r="L122" s="37">
        <v>0</v>
      </c>
      <c r="M122" s="37">
        <v>0</v>
      </c>
      <c r="N122" s="37">
        <v>0</v>
      </c>
      <c r="O122" s="37">
        <v>0</v>
      </c>
      <c r="P122" s="37">
        <v>0</v>
      </c>
      <c r="Q122" s="37">
        <v>0</v>
      </c>
      <c r="R122" s="37">
        <v>0</v>
      </c>
      <c r="S122" s="37">
        <v>0</v>
      </c>
      <c r="T122" s="17"/>
    </row>
    <row r="123" spans="1:20">
      <c r="A123" s="4" t="s">
        <v>231</v>
      </c>
      <c r="B123" s="37">
        <v>0</v>
      </c>
      <c r="C123" s="38">
        <f t="shared" si="8"/>
        <v>0</v>
      </c>
      <c r="D123" s="38">
        <f t="shared" si="9"/>
        <v>0</v>
      </c>
      <c r="E123" s="38">
        <f t="shared" si="10"/>
        <v>0</v>
      </c>
      <c r="F123" s="38">
        <f t="shared" si="11"/>
        <v>0</v>
      </c>
      <c r="G123" s="38">
        <f t="shared" si="12"/>
        <v>0</v>
      </c>
      <c r="H123" s="38">
        <f t="shared" si="13"/>
        <v>0.3</v>
      </c>
      <c r="I123" s="38">
        <f t="shared" si="14"/>
        <v>0.3</v>
      </c>
      <c r="J123" s="38">
        <f t="shared" si="15"/>
        <v>0.97</v>
      </c>
      <c r="K123" s="37">
        <v>0</v>
      </c>
      <c r="L123" s="37">
        <v>0</v>
      </c>
      <c r="M123" s="37">
        <v>0</v>
      </c>
      <c r="N123" s="37">
        <v>0</v>
      </c>
      <c r="O123" s="37">
        <v>0</v>
      </c>
      <c r="P123" s="37">
        <v>0</v>
      </c>
      <c r="Q123" s="37">
        <v>0</v>
      </c>
      <c r="R123" s="37">
        <v>0</v>
      </c>
      <c r="S123" s="37">
        <v>0</v>
      </c>
      <c r="T123" s="17"/>
    </row>
    <row r="124" spans="1:20">
      <c r="A124" s="4" t="s">
        <v>232</v>
      </c>
      <c r="B124" s="37">
        <v>0</v>
      </c>
      <c r="C124" s="38">
        <f t="shared" si="8"/>
        <v>0</v>
      </c>
      <c r="D124" s="38">
        <f t="shared" si="9"/>
        <v>0</v>
      </c>
      <c r="E124" s="38">
        <f t="shared" si="10"/>
        <v>0</v>
      </c>
      <c r="F124" s="38">
        <f t="shared" si="11"/>
        <v>0</v>
      </c>
      <c r="G124" s="38">
        <f t="shared" si="12"/>
        <v>0</v>
      </c>
      <c r="H124" s="38">
        <f t="shared" si="13"/>
        <v>0.3</v>
      </c>
      <c r="I124" s="38">
        <f t="shared" si="14"/>
        <v>0.3</v>
      </c>
      <c r="J124" s="38">
        <f t="shared" si="15"/>
        <v>0.97</v>
      </c>
      <c r="K124" s="37">
        <v>0</v>
      </c>
      <c r="L124" s="37">
        <v>0</v>
      </c>
      <c r="M124" s="37">
        <v>0</v>
      </c>
      <c r="N124" s="37">
        <v>0</v>
      </c>
      <c r="O124" s="37">
        <v>0</v>
      </c>
      <c r="P124" s="37">
        <v>0</v>
      </c>
      <c r="Q124" s="37">
        <v>0</v>
      </c>
      <c r="R124" s="37">
        <v>0</v>
      </c>
      <c r="S124" s="37">
        <v>0</v>
      </c>
      <c r="T124" s="17"/>
    </row>
    <row r="125" spans="1:20">
      <c r="A125" s="4" t="s">
        <v>190</v>
      </c>
      <c r="B125" s="37">
        <v>0</v>
      </c>
      <c r="C125" s="38">
        <f t="shared" si="8"/>
        <v>0</v>
      </c>
      <c r="D125" s="38">
        <f t="shared" si="9"/>
        <v>0</v>
      </c>
      <c r="E125" s="38">
        <f t="shared" si="10"/>
        <v>0</v>
      </c>
      <c r="F125" s="38">
        <f t="shared" si="11"/>
        <v>0</v>
      </c>
      <c r="G125" s="38">
        <f t="shared" si="12"/>
        <v>0</v>
      </c>
      <c r="H125" s="38">
        <f t="shared" si="13"/>
        <v>0.3</v>
      </c>
      <c r="I125" s="38">
        <f t="shared" si="14"/>
        <v>0.3</v>
      </c>
      <c r="J125" s="38">
        <f t="shared" si="15"/>
        <v>0.97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17"/>
    </row>
    <row r="126" spans="1:20">
      <c r="A126" s="4" t="s">
        <v>191</v>
      </c>
      <c r="B126" s="37">
        <v>0</v>
      </c>
      <c r="C126" s="38">
        <f t="shared" si="8"/>
        <v>0</v>
      </c>
      <c r="D126" s="38">
        <f t="shared" si="9"/>
        <v>0</v>
      </c>
      <c r="E126" s="38">
        <f t="shared" si="10"/>
        <v>0</v>
      </c>
      <c r="F126" s="38">
        <f t="shared" si="11"/>
        <v>0</v>
      </c>
      <c r="G126" s="38">
        <f t="shared" si="12"/>
        <v>0</v>
      </c>
      <c r="H126" s="38">
        <f t="shared" si="13"/>
        <v>0.3</v>
      </c>
      <c r="I126" s="38">
        <f t="shared" si="14"/>
        <v>0.97</v>
      </c>
      <c r="J126" s="38">
        <f t="shared" si="15"/>
        <v>0</v>
      </c>
      <c r="K126" s="37">
        <v>0</v>
      </c>
      <c r="L126" s="37">
        <v>0</v>
      </c>
      <c r="M126" s="37">
        <v>0</v>
      </c>
      <c r="N126" s="37">
        <v>0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  <c r="T126" s="17"/>
    </row>
    <row r="127" spans="1:20">
      <c r="A127" s="4" t="s">
        <v>192</v>
      </c>
      <c r="B127" s="37">
        <v>0</v>
      </c>
      <c r="C127" s="38">
        <f t="shared" si="8"/>
        <v>0</v>
      </c>
      <c r="D127" s="38">
        <f t="shared" si="9"/>
        <v>0</v>
      </c>
      <c r="E127" s="38">
        <f t="shared" si="10"/>
        <v>0</v>
      </c>
      <c r="F127" s="38">
        <f t="shared" si="11"/>
        <v>0</v>
      </c>
      <c r="G127" s="38">
        <f t="shared" si="12"/>
        <v>0</v>
      </c>
      <c r="H127" s="38">
        <f t="shared" si="13"/>
        <v>0.3</v>
      </c>
      <c r="I127" s="38">
        <f t="shared" si="14"/>
        <v>0.3</v>
      </c>
      <c r="J127" s="38">
        <f t="shared" si="15"/>
        <v>0.97</v>
      </c>
      <c r="K127" s="37">
        <v>0</v>
      </c>
      <c r="L127" s="37">
        <v>0</v>
      </c>
      <c r="M127" s="37">
        <v>0</v>
      </c>
      <c r="N127" s="37">
        <v>0</v>
      </c>
      <c r="O127" s="37">
        <v>0</v>
      </c>
      <c r="P127" s="37">
        <v>0</v>
      </c>
      <c r="Q127" s="37">
        <v>0</v>
      </c>
      <c r="R127" s="37">
        <v>0</v>
      </c>
      <c r="S127" s="37">
        <v>0</v>
      </c>
      <c r="T127" s="17"/>
    </row>
    <row r="128" spans="1:20">
      <c r="A128" s="4" t="s">
        <v>193</v>
      </c>
      <c r="B128" s="37">
        <v>0</v>
      </c>
      <c r="C128" s="38">
        <f t="shared" si="8"/>
        <v>0</v>
      </c>
      <c r="D128" s="38">
        <f t="shared" si="9"/>
        <v>0</v>
      </c>
      <c r="E128" s="38">
        <f t="shared" si="10"/>
        <v>0</v>
      </c>
      <c r="F128" s="38">
        <f t="shared" si="11"/>
        <v>0</v>
      </c>
      <c r="G128" s="38">
        <f t="shared" si="12"/>
        <v>0</v>
      </c>
      <c r="H128" s="38">
        <f t="shared" si="13"/>
        <v>0.3</v>
      </c>
      <c r="I128" s="38">
        <f t="shared" si="14"/>
        <v>0.3</v>
      </c>
      <c r="J128" s="38">
        <f t="shared" si="15"/>
        <v>0.97</v>
      </c>
      <c r="K128" s="37">
        <v>0</v>
      </c>
      <c r="L128" s="37">
        <v>0</v>
      </c>
      <c r="M128" s="37">
        <v>0</v>
      </c>
      <c r="N128" s="37">
        <v>0</v>
      </c>
      <c r="O128" s="37">
        <v>0</v>
      </c>
      <c r="P128" s="37">
        <v>0</v>
      </c>
      <c r="Q128" s="37">
        <v>0</v>
      </c>
      <c r="R128" s="37">
        <v>0</v>
      </c>
      <c r="S128" s="37">
        <v>0</v>
      </c>
      <c r="T128" s="17"/>
    </row>
    <row r="129" spans="1:20">
      <c r="A129" s="4" t="s">
        <v>194</v>
      </c>
      <c r="B129" s="37">
        <v>0</v>
      </c>
      <c r="C129" s="38">
        <f t="shared" si="8"/>
        <v>0</v>
      </c>
      <c r="D129" s="38">
        <f t="shared" si="9"/>
        <v>0</v>
      </c>
      <c r="E129" s="38">
        <f t="shared" si="10"/>
        <v>0</v>
      </c>
      <c r="F129" s="38">
        <f t="shared" si="11"/>
        <v>0</v>
      </c>
      <c r="G129" s="38">
        <f t="shared" si="12"/>
        <v>0</v>
      </c>
      <c r="H129" s="38">
        <f t="shared" si="13"/>
        <v>0.3</v>
      </c>
      <c r="I129" s="38">
        <f t="shared" si="14"/>
        <v>0.3</v>
      </c>
      <c r="J129" s="38">
        <f t="shared" si="15"/>
        <v>0.97</v>
      </c>
      <c r="K129" s="37">
        <v>0</v>
      </c>
      <c r="L129" s="37">
        <v>0</v>
      </c>
      <c r="M129" s="37">
        <v>0</v>
      </c>
      <c r="N129" s="37">
        <v>0</v>
      </c>
      <c r="O129" s="37">
        <v>0</v>
      </c>
      <c r="P129" s="37">
        <v>0</v>
      </c>
      <c r="Q129" s="37">
        <v>0</v>
      </c>
      <c r="R129" s="37">
        <v>0</v>
      </c>
      <c r="S129" s="37">
        <v>0</v>
      </c>
      <c r="T129" s="17"/>
    </row>
    <row r="130" spans="1:20">
      <c r="A130" s="4" t="s">
        <v>195</v>
      </c>
      <c r="B130" s="37">
        <v>0</v>
      </c>
      <c r="C130" s="38">
        <f t="shared" si="8"/>
        <v>0</v>
      </c>
      <c r="D130" s="38">
        <f t="shared" si="9"/>
        <v>0</v>
      </c>
      <c r="E130" s="38">
        <f t="shared" si="10"/>
        <v>0</v>
      </c>
      <c r="F130" s="38">
        <f t="shared" si="11"/>
        <v>0</v>
      </c>
      <c r="G130" s="38">
        <f t="shared" si="12"/>
        <v>0</v>
      </c>
      <c r="H130" s="38">
        <f t="shared" si="13"/>
        <v>0.3</v>
      </c>
      <c r="I130" s="38">
        <f t="shared" si="14"/>
        <v>0.3</v>
      </c>
      <c r="J130" s="38">
        <f t="shared" si="15"/>
        <v>0.97</v>
      </c>
      <c r="K130" s="37">
        <v>0</v>
      </c>
      <c r="L130" s="37">
        <v>0</v>
      </c>
      <c r="M130" s="37">
        <v>0</v>
      </c>
      <c r="N130" s="37">
        <v>0</v>
      </c>
      <c r="O130" s="37">
        <v>0</v>
      </c>
      <c r="P130" s="37">
        <v>0</v>
      </c>
      <c r="Q130" s="37">
        <v>0</v>
      </c>
      <c r="R130" s="37">
        <v>0</v>
      </c>
      <c r="S130" s="37">
        <v>0</v>
      </c>
      <c r="T130" s="17"/>
    </row>
    <row r="131" spans="1:20">
      <c r="A131" s="4" t="s">
        <v>196</v>
      </c>
      <c r="B131" s="37">
        <v>0</v>
      </c>
      <c r="C131" s="38">
        <f t="shared" si="8"/>
        <v>0</v>
      </c>
      <c r="D131" s="38">
        <f t="shared" si="9"/>
        <v>0</v>
      </c>
      <c r="E131" s="38">
        <f t="shared" si="10"/>
        <v>0</v>
      </c>
      <c r="F131" s="38">
        <f t="shared" si="11"/>
        <v>0</v>
      </c>
      <c r="G131" s="38">
        <f t="shared" si="12"/>
        <v>0</v>
      </c>
      <c r="H131" s="38">
        <f t="shared" si="13"/>
        <v>0.3</v>
      </c>
      <c r="I131" s="38">
        <f t="shared" si="14"/>
        <v>0.97</v>
      </c>
      <c r="J131" s="38">
        <f t="shared" si="15"/>
        <v>0</v>
      </c>
      <c r="K131" s="37">
        <v>0</v>
      </c>
      <c r="L131" s="37">
        <v>0</v>
      </c>
      <c r="M131" s="37">
        <v>0</v>
      </c>
      <c r="N131" s="37">
        <v>0</v>
      </c>
      <c r="O131" s="37">
        <v>0</v>
      </c>
      <c r="P131" s="37">
        <v>0</v>
      </c>
      <c r="Q131" s="37">
        <v>0</v>
      </c>
      <c r="R131" s="37">
        <v>0</v>
      </c>
      <c r="S131" s="37">
        <v>0</v>
      </c>
      <c r="T131" s="17"/>
    </row>
    <row r="132" spans="1:20">
      <c r="A132" s="4" t="s">
        <v>197</v>
      </c>
      <c r="B132" s="37">
        <v>0</v>
      </c>
      <c r="C132" s="38">
        <f t="shared" si="8"/>
        <v>0</v>
      </c>
      <c r="D132" s="38">
        <f t="shared" si="9"/>
        <v>0</v>
      </c>
      <c r="E132" s="38">
        <f t="shared" si="10"/>
        <v>0</v>
      </c>
      <c r="F132" s="38">
        <f t="shared" si="11"/>
        <v>0</v>
      </c>
      <c r="G132" s="38">
        <f t="shared" si="12"/>
        <v>0</v>
      </c>
      <c r="H132" s="38">
        <f t="shared" si="13"/>
        <v>0.3</v>
      </c>
      <c r="I132" s="38">
        <f t="shared" si="14"/>
        <v>0.97</v>
      </c>
      <c r="J132" s="38">
        <f t="shared" si="15"/>
        <v>0</v>
      </c>
      <c r="K132" s="37">
        <v>0</v>
      </c>
      <c r="L132" s="37">
        <v>0</v>
      </c>
      <c r="M132" s="37">
        <v>0</v>
      </c>
      <c r="N132" s="37">
        <v>0</v>
      </c>
      <c r="O132" s="37">
        <v>0</v>
      </c>
      <c r="P132" s="37">
        <v>0</v>
      </c>
      <c r="Q132" s="37">
        <v>0</v>
      </c>
      <c r="R132" s="37">
        <v>0</v>
      </c>
      <c r="S132" s="37">
        <v>0</v>
      </c>
      <c r="T132" s="17"/>
    </row>
    <row r="133" spans="1:20">
      <c r="A133" s="4" t="s">
        <v>198</v>
      </c>
      <c r="B133" s="37">
        <v>0</v>
      </c>
      <c r="C133" s="38">
        <f t="shared" si="8"/>
        <v>0</v>
      </c>
      <c r="D133" s="38">
        <f t="shared" si="9"/>
        <v>0</v>
      </c>
      <c r="E133" s="38">
        <f t="shared" si="10"/>
        <v>0</v>
      </c>
      <c r="F133" s="38">
        <f t="shared" si="11"/>
        <v>0</v>
      </c>
      <c r="G133" s="38">
        <f t="shared" si="12"/>
        <v>0</v>
      </c>
      <c r="H133" s="38">
        <f t="shared" si="13"/>
        <v>0.3</v>
      </c>
      <c r="I133" s="38">
        <f t="shared" si="14"/>
        <v>0.97</v>
      </c>
      <c r="J133" s="38">
        <f t="shared" si="15"/>
        <v>0</v>
      </c>
      <c r="K133" s="37">
        <v>0</v>
      </c>
      <c r="L133" s="37">
        <v>0</v>
      </c>
      <c r="M133" s="37">
        <v>0</v>
      </c>
      <c r="N133" s="37">
        <v>0</v>
      </c>
      <c r="O133" s="37">
        <v>0</v>
      </c>
      <c r="P133" s="37">
        <v>0</v>
      </c>
      <c r="Q133" s="37">
        <v>0</v>
      </c>
      <c r="R133" s="37">
        <v>0</v>
      </c>
      <c r="S133" s="37">
        <v>0</v>
      </c>
      <c r="T133" s="17"/>
    </row>
    <row r="134" spans="1:20">
      <c r="A134" s="4" t="s">
        <v>199</v>
      </c>
      <c r="B134" s="37">
        <v>0</v>
      </c>
      <c r="C134" s="38">
        <f t="shared" si="8"/>
        <v>0</v>
      </c>
      <c r="D134" s="38">
        <f t="shared" si="9"/>
        <v>0</v>
      </c>
      <c r="E134" s="38">
        <f t="shared" si="10"/>
        <v>0</v>
      </c>
      <c r="F134" s="38">
        <f t="shared" si="11"/>
        <v>0</v>
      </c>
      <c r="G134" s="38">
        <f t="shared" si="12"/>
        <v>0</v>
      </c>
      <c r="H134" s="38">
        <f t="shared" si="13"/>
        <v>0.3</v>
      </c>
      <c r="I134" s="38">
        <f t="shared" si="14"/>
        <v>0.97</v>
      </c>
      <c r="J134" s="38">
        <f t="shared" si="15"/>
        <v>0</v>
      </c>
      <c r="K134" s="37">
        <v>0</v>
      </c>
      <c r="L134" s="37">
        <v>0</v>
      </c>
      <c r="M134" s="37">
        <v>0</v>
      </c>
      <c r="N134" s="37">
        <v>0</v>
      </c>
      <c r="O134" s="37">
        <v>0</v>
      </c>
      <c r="P134" s="37">
        <v>0</v>
      </c>
      <c r="Q134" s="37">
        <v>0</v>
      </c>
      <c r="R134" s="37">
        <v>0</v>
      </c>
      <c r="S134" s="37">
        <v>0</v>
      </c>
      <c r="T134" s="17"/>
    </row>
    <row r="135" spans="1:20">
      <c r="A135" s="4" t="s">
        <v>207</v>
      </c>
      <c r="B135" s="37">
        <v>0</v>
      </c>
      <c r="C135" s="38">
        <f t="shared" si="8"/>
        <v>0</v>
      </c>
      <c r="D135" s="38">
        <f t="shared" si="9"/>
        <v>0</v>
      </c>
      <c r="E135" s="38">
        <f t="shared" si="10"/>
        <v>0</v>
      </c>
      <c r="F135" s="38">
        <f t="shared" si="11"/>
        <v>0.56999999999999995</v>
      </c>
      <c r="G135" s="38">
        <f t="shared" si="12"/>
        <v>0</v>
      </c>
      <c r="H135" s="38">
        <f t="shared" si="13"/>
        <v>0.91</v>
      </c>
      <c r="I135" s="38">
        <f t="shared" si="14"/>
        <v>0</v>
      </c>
      <c r="J135" s="38">
        <f t="shared" si="15"/>
        <v>0</v>
      </c>
      <c r="K135" s="37">
        <v>0</v>
      </c>
      <c r="L135" s="37">
        <v>0</v>
      </c>
      <c r="M135" s="37">
        <v>0</v>
      </c>
      <c r="N135" s="37">
        <v>0</v>
      </c>
      <c r="O135" s="37">
        <v>0</v>
      </c>
      <c r="P135" s="37">
        <v>0</v>
      </c>
      <c r="Q135" s="37">
        <v>0</v>
      </c>
      <c r="R135" s="37">
        <v>0</v>
      </c>
      <c r="S135" s="37">
        <v>0</v>
      </c>
      <c r="T135" s="17"/>
    </row>
    <row r="136" spans="1:20">
      <c r="A136" s="4" t="s">
        <v>208</v>
      </c>
      <c r="B136" s="37">
        <v>0</v>
      </c>
      <c r="C136" s="38">
        <f t="shared" si="8"/>
        <v>0</v>
      </c>
      <c r="D136" s="38">
        <f t="shared" si="9"/>
        <v>0</v>
      </c>
      <c r="E136" s="38">
        <f t="shared" si="10"/>
        <v>0</v>
      </c>
      <c r="F136" s="38">
        <f t="shared" si="11"/>
        <v>0.56999999999999995</v>
      </c>
      <c r="G136" s="38">
        <f t="shared" si="12"/>
        <v>0</v>
      </c>
      <c r="H136" s="38">
        <f t="shared" si="13"/>
        <v>0.91</v>
      </c>
      <c r="I136" s="38">
        <f t="shared" si="14"/>
        <v>0</v>
      </c>
      <c r="J136" s="38">
        <f t="shared" si="15"/>
        <v>0</v>
      </c>
      <c r="K136" s="37">
        <v>0</v>
      </c>
      <c r="L136" s="37">
        <v>0</v>
      </c>
      <c r="M136" s="37">
        <v>0</v>
      </c>
      <c r="N136" s="37">
        <v>0</v>
      </c>
      <c r="O136" s="37">
        <v>0</v>
      </c>
      <c r="P136" s="37">
        <v>0</v>
      </c>
      <c r="Q136" s="37">
        <v>0</v>
      </c>
      <c r="R136" s="37">
        <v>0</v>
      </c>
      <c r="S136" s="37">
        <v>0</v>
      </c>
      <c r="T136" s="17"/>
    </row>
    <row r="137" spans="1:20">
      <c r="A137" s="4" t="s">
        <v>209</v>
      </c>
      <c r="B137" s="37">
        <v>0</v>
      </c>
      <c r="C137" s="38">
        <f t="shared" si="8"/>
        <v>0</v>
      </c>
      <c r="D137" s="38">
        <f t="shared" si="9"/>
        <v>0</v>
      </c>
      <c r="E137" s="38">
        <f t="shared" si="10"/>
        <v>0</v>
      </c>
      <c r="F137" s="38">
        <f t="shared" si="11"/>
        <v>0.56999999999999995</v>
      </c>
      <c r="G137" s="38">
        <f t="shared" si="12"/>
        <v>0</v>
      </c>
      <c r="H137" s="38">
        <f t="shared" si="13"/>
        <v>0.91</v>
      </c>
      <c r="I137" s="38">
        <f t="shared" si="14"/>
        <v>0</v>
      </c>
      <c r="J137" s="38">
        <f t="shared" si="15"/>
        <v>0</v>
      </c>
      <c r="K137" s="37">
        <v>0</v>
      </c>
      <c r="L137" s="37">
        <v>0</v>
      </c>
      <c r="M137" s="37">
        <v>0</v>
      </c>
      <c r="N137" s="37">
        <v>0</v>
      </c>
      <c r="O137" s="37">
        <v>0</v>
      </c>
      <c r="P137" s="37">
        <v>0</v>
      </c>
      <c r="Q137" s="37">
        <v>0</v>
      </c>
      <c r="R137" s="37">
        <v>0</v>
      </c>
      <c r="S137" s="37">
        <v>0</v>
      </c>
      <c r="T137" s="17"/>
    </row>
    <row r="138" spans="1:20">
      <c r="A138" s="4" t="s">
        <v>210</v>
      </c>
      <c r="B138" s="37">
        <v>0</v>
      </c>
      <c r="C138" s="38">
        <f t="shared" si="8"/>
        <v>0</v>
      </c>
      <c r="D138" s="38">
        <f t="shared" si="9"/>
        <v>0</v>
      </c>
      <c r="E138" s="38">
        <f t="shared" si="10"/>
        <v>0</v>
      </c>
      <c r="F138" s="38">
        <f t="shared" si="11"/>
        <v>0.56999999999999995</v>
      </c>
      <c r="G138" s="38">
        <f t="shared" si="12"/>
        <v>0</v>
      </c>
      <c r="H138" s="38">
        <f t="shared" si="13"/>
        <v>0.91</v>
      </c>
      <c r="I138" s="38">
        <f t="shared" si="14"/>
        <v>0</v>
      </c>
      <c r="J138" s="38">
        <f t="shared" si="15"/>
        <v>0</v>
      </c>
      <c r="K138" s="37">
        <v>0</v>
      </c>
      <c r="L138" s="37">
        <v>0</v>
      </c>
      <c r="M138" s="37">
        <v>0</v>
      </c>
      <c r="N138" s="37">
        <v>0</v>
      </c>
      <c r="O138" s="37">
        <v>0</v>
      </c>
      <c r="P138" s="37">
        <v>0</v>
      </c>
      <c r="Q138" s="37">
        <v>0</v>
      </c>
      <c r="R138" s="37">
        <v>0</v>
      </c>
      <c r="S138" s="37">
        <v>0</v>
      </c>
      <c r="T138" s="17"/>
    </row>
  </sheetData>
  <sheetProtection sheet="1" objects="1" scenarios="1"/>
  <hyperlinks>
    <hyperlink ref="A43" location="'Input'!B320" display="x1 = 1060. Customer contributions under current connection charging policy"/>
    <hyperlink ref="A44" location="'Input'!D59" display="x2 = 1010. Annuity proportion for customer-contributed assets (in Financial and general assumptions)"/>
    <hyperlink ref="A59" location="'Contrib'!B6" display="x1 = 2801. Network level of supply (for customer contributions) by tariff"/>
    <hyperlink ref="A60" location="'Contrib'!B47" display="x2 = 2802. Contribution proportion of asset annuities, by customer type and network level of assets"/>
    <hyperlink ref="A102" location="'Contrib'!B63" display="x3 = 2803. Proportion of asset annuities deemed to be covered by customer contributions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4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50.7109375" customWidth="1"/>
    <col min="2" max="251" width="16.7109375" customWidth="1"/>
  </cols>
  <sheetData>
    <row r="1" spans="1:20" ht="21" customHeight="1">
      <c r="A1" s="1" t="str">
        <f>"Yardsticks for "&amp;Input!B7&amp;" in "&amp;Input!C7&amp;" ("&amp;Input!D7&amp;")"</f>
        <v>Yardsticks for Electricity North West in 2019/20 (Version 1)</v>
      </c>
    </row>
    <row r="2" spans="1:20">
      <c r="A2" s="2" t="s">
        <v>998</v>
      </c>
    </row>
    <row r="4" spans="1:20" ht="21" customHeight="1">
      <c r="A4" s="1" t="s">
        <v>999</v>
      </c>
    </row>
    <row r="5" spans="1:20">
      <c r="A5" s="2" t="s">
        <v>379</v>
      </c>
    </row>
    <row r="6" spans="1:20">
      <c r="A6" s="29" t="s">
        <v>1000</v>
      </c>
    </row>
    <row r="7" spans="1:20">
      <c r="A7" s="29" t="s">
        <v>1001</v>
      </c>
    </row>
    <row r="8" spans="1:20">
      <c r="A8" s="2" t="s">
        <v>397</v>
      </c>
    </row>
    <row r="10" spans="1:20" ht="30">
      <c r="B10" s="15" t="s">
        <v>148</v>
      </c>
      <c r="C10" s="15" t="s">
        <v>333</v>
      </c>
      <c r="D10" s="15" t="s">
        <v>334</v>
      </c>
      <c r="E10" s="15" t="s">
        <v>335</v>
      </c>
      <c r="F10" s="15" t="s">
        <v>336</v>
      </c>
      <c r="G10" s="15" t="s">
        <v>337</v>
      </c>
      <c r="H10" s="15" t="s">
        <v>338</v>
      </c>
      <c r="I10" s="15" t="s">
        <v>339</v>
      </c>
      <c r="J10" s="15" t="s">
        <v>340</v>
      </c>
      <c r="K10" s="15" t="s">
        <v>321</v>
      </c>
      <c r="L10" s="15" t="s">
        <v>909</v>
      </c>
      <c r="M10" s="15" t="s">
        <v>910</v>
      </c>
      <c r="N10" s="15" t="s">
        <v>911</v>
      </c>
      <c r="O10" s="15" t="s">
        <v>912</v>
      </c>
      <c r="P10" s="15" t="s">
        <v>913</v>
      </c>
      <c r="Q10" s="15" t="s">
        <v>914</v>
      </c>
      <c r="R10" s="15" t="s">
        <v>915</v>
      </c>
      <c r="S10" s="15" t="s">
        <v>916</v>
      </c>
    </row>
    <row r="11" spans="1:20" ht="30">
      <c r="A11" s="4" t="s">
        <v>1002</v>
      </c>
      <c r="B11" s="10"/>
      <c r="C11" s="35">
        <f>DRM!$B$130</f>
        <v>10.919457327240881</v>
      </c>
      <c r="D11" s="35">
        <f>DRM!$B$131</f>
        <v>4.3405422577515722</v>
      </c>
      <c r="E11" s="35">
        <f>DRM!$B$132</f>
        <v>11.029214934666836</v>
      </c>
      <c r="F11" s="35">
        <f>DRM!$B$133</f>
        <v>6.9950141662489553</v>
      </c>
      <c r="G11" s="35">
        <f>DRM!$B$134</f>
        <v>0</v>
      </c>
      <c r="H11" s="35">
        <f>DRM!$B$135</f>
        <v>12.852319859871926</v>
      </c>
      <c r="I11" s="35">
        <f>DRM!$B$136</f>
        <v>11.824437624913966</v>
      </c>
      <c r="J11" s="35">
        <f>DRM!$B$137</f>
        <v>6.8933808745402771</v>
      </c>
      <c r="K11" s="35">
        <f>Otex!$B108</f>
        <v>6.0658204726506959</v>
      </c>
      <c r="L11" s="35">
        <f>Otex!$C108</f>
        <v>4.3007484450422284</v>
      </c>
      <c r="M11" s="35">
        <f>Otex!$D108</f>
        <v>1.7095703390950534</v>
      </c>
      <c r="N11" s="35">
        <f>Otex!$E108</f>
        <v>4.3439776866906312</v>
      </c>
      <c r="O11" s="35">
        <f>Otex!$F108</f>
        <v>2.7550633146844397</v>
      </c>
      <c r="P11" s="35">
        <f>Otex!$G108</f>
        <v>0</v>
      </c>
      <c r="Q11" s="35">
        <f>Otex!$H108</f>
        <v>5.0620276261014761</v>
      </c>
      <c r="R11" s="35">
        <f>Otex!$I108</f>
        <v>4.6571848952586432</v>
      </c>
      <c r="S11" s="35">
        <f>Otex!$J108</f>
        <v>2.7150339241953914</v>
      </c>
      <c r="T11" s="17"/>
    </row>
    <row r="13" spans="1:20" ht="21" customHeight="1">
      <c r="A13" s="1" t="s">
        <v>1003</v>
      </c>
    </row>
    <row r="14" spans="1:20">
      <c r="A14" s="2" t="s">
        <v>379</v>
      </c>
    </row>
    <row r="15" spans="1:20">
      <c r="A15" s="29" t="s">
        <v>1004</v>
      </c>
    </row>
    <row r="16" spans="1:20">
      <c r="A16" s="29" t="s">
        <v>841</v>
      </c>
    </row>
    <row r="17" spans="1:20">
      <c r="A17" s="29" t="s">
        <v>828</v>
      </c>
    </row>
    <row r="18" spans="1:20">
      <c r="A18" s="29" t="s">
        <v>1005</v>
      </c>
    </row>
    <row r="19" spans="1:20">
      <c r="A19" s="29" t="s">
        <v>773</v>
      </c>
    </row>
    <row r="20" spans="1:20">
      <c r="A20" s="2" t="s">
        <v>1006</v>
      </c>
    </row>
    <row r="22" spans="1:20" ht="30">
      <c r="B22" s="15" t="s">
        <v>148</v>
      </c>
      <c r="C22" s="15" t="s">
        <v>333</v>
      </c>
      <c r="D22" s="15" t="s">
        <v>334</v>
      </c>
      <c r="E22" s="15" t="s">
        <v>335</v>
      </c>
      <c r="F22" s="15" t="s">
        <v>336</v>
      </c>
      <c r="G22" s="15" t="s">
        <v>337</v>
      </c>
      <c r="H22" s="15" t="s">
        <v>338</v>
      </c>
      <c r="I22" s="15" t="s">
        <v>339</v>
      </c>
      <c r="J22" s="15" t="s">
        <v>340</v>
      </c>
      <c r="K22" s="15" t="s">
        <v>321</v>
      </c>
      <c r="L22" s="15" t="s">
        <v>909</v>
      </c>
      <c r="M22" s="15" t="s">
        <v>910</v>
      </c>
      <c r="N22" s="15" t="s">
        <v>911</v>
      </c>
      <c r="O22" s="15" t="s">
        <v>912</v>
      </c>
      <c r="P22" s="15" t="s">
        <v>913</v>
      </c>
      <c r="Q22" s="15" t="s">
        <v>914</v>
      </c>
      <c r="R22" s="15" t="s">
        <v>915</v>
      </c>
      <c r="S22" s="15" t="s">
        <v>916</v>
      </c>
    </row>
    <row r="23" spans="1:20">
      <c r="A23" s="4" t="s">
        <v>180</v>
      </c>
      <c r="B23" s="34">
        <f>B$11*Loads!$B46*LAFs!B261*(1-Contrib!B106)/(24*Input!$F$60)*100</f>
        <v>0</v>
      </c>
      <c r="C23" s="34">
        <f>C$11*Loads!$B46*LAFs!C261*(1-Contrib!C106)/(24*Input!$F$60)*100</f>
        <v>0.27727509656592647</v>
      </c>
      <c r="D23" s="34">
        <f>D$11*Loads!$B46*LAFs!D261*(1-Contrib!D106)/(24*Input!$F$60)*100</f>
        <v>0.10967765673632293</v>
      </c>
      <c r="E23" s="34">
        <f>E$11*Loads!$B46*LAFs!E261*(1-Contrib!E106)/(24*Input!$F$60)*100</f>
        <v>0.27694349840987809</v>
      </c>
      <c r="F23" s="34">
        <f>F$11*Loads!$B46*LAFs!F261*(1-Contrib!F106)/(24*Input!$F$60)*100</f>
        <v>0.17469689955652504</v>
      </c>
      <c r="G23" s="34">
        <f>G$11*Loads!$B46*LAFs!G261*(1-Contrib!G106)/(24*Input!$F$60)*100</f>
        <v>0</v>
      </c>
      <c r="H23" s="34">
        <f>H$11*Loads!$B46*LAFs!H261*(1-Contrib!H106)/(24*Input!$F$60)*100</f>
        <v>0.22201119121108256</v>
      </c>
      <c r="I23" s="34">
        <f>I$11*Loads!$B46*LAFs!I261*(1-Contrib!I106)/(24*Input!$F$60)*100</f>
        <v>0.20156849002585189</v>
      </c>
      <c r="J23" s="34">
        <f>J$11*Loads!$B46*LAFs!J261*(1-Contrib!J106)/(24*Input!$F$60)*100</f>
        <v>4.7889365406063172E-3</v>
      </c>
      <c r="K23" s="34">
        <f>K$11*Loads!$B46*LAFs!B261*(1-Contrib!K106)/(24*Input!$F$60)*100</f>
        <v>0.15557580454608275</v>
      </c>
      <c r="L23" s="34">
        <f>L$11*Loads!$B46*LAFs!C261*(1-Contrib!L106)/(24*Input!$F$60)*100</f>
        <v>0.10920784840011453</v>
      </c>
      <c r="M23" s="34">
        <f>M$11*Loads!$B46*LAFs!D261*(1-Contrib!M106)/(24*Input!$F$60)*100</f>
        <v>4.3197752189375861E-2</v>
      </c>
      <c r="N23" s="34">
        <f>N$11*Loads!$B46*LAFs!E261*(1-Contrib!N106)/(24*Input!$F$60)*100</f>
        <v>0.10907724481687177</v>
      </c>
      <c r="O23" s="34">
        <f>O$11*Loads!$B46*LAFs!F261*(1-Contrib!O106)/(24*Input!$F$60)*100</f>
        <v>6.8806296558994673E-2</v>
      </c>
      <c r="P23" s="34">
        <f>P$11*Loads!$B46*LAFs!G261*(1-Contrib!P106)/(24*Input!$F$60)*100</f>
        <v>0</v>
      </c>
      <c r="Q23" s="34">
        <f>Q$11*Loads!$B46*LAFs!H261*(1-Contrib!Q106)/(24*Input!$F$60)*100</f>
        <v>0.12491650150847844</v>
      </c>
      <c r="R23" s="34">
        <f>R$11*Loads!$B46*LAFs!I261*(1-Contrib!R106)/(24*Input!$F$60)*100</f>
        <v>0.11341424029582491</v>
      </c>
      <c r="S23" s="34">
        <f>S$11*Loads!$B46*LAFs!J261*(1-Contrib!S106)/(24*Input!$F$60)*100</f>
        <v>6.2872512076943082E-2</v>
      </c>
      <c r="T23" s="17"/>
    </row>
    <row r="24" spans="1:20">
      <c r="A24" s="4" t="s">
        <v>181</v>
      </c>
      <c r="B24" s="34">
        <f>B$11*Loads!$B47*LAFs!B262*(1-Contrib!B107)/(24*Input!$F$60)*100</f>
        <v>0</v>
      </c>
      <c r="C24" s="34">
        <f>C$11*Loads!$B47*LAFs!C262*(1-Contrib!C107)/(24*Input!$F$60)*100</f>
        <v>0.17266698137578951</v>
      </c>
      <c r="D24" s="34">
        <f>D$11*Loads!$B47*LAFs!D262*(1-Contrib!D107)/(24*Input!$F$60)*100</f>
        <v>6.8299353773836544E-2</v>
      </c>
      <c r="E24" s="34">
        <f>E$11*Loads!$B47*LAFs!E262*(1-Contrib!E107)/(24*Input!$F$60)*100</f>
        <v>0.17246048590128141</v>
      </c>
      <c r="F24" s="34">
        <f>F$11*Loads!$B47*LAFs!F262*(1-Contrib!F107)/(24*Input!$F$60)*100</f>
        <v>0.10878866034390731</v>
      </c>
      <c r="G24" s="34">
        <f>G$11*Loads!$B47*LAFs!G262*(1-Contrib!G107)/(24*Input!$F$60)*100</f>
        <v>0</v>
      </c>
      <c r="H24" s="34">
        <f>H$11*Loads!$B47*LAFs!H262*(1-Contrib!H107)/(24*Input!$F$60)*100</f>
        <v>0.13825259712404903</v>
      </c>
      <c r="I24" s="34">
        <f>I$11*Loads!$B47*LAFs!I262*(1-Contrib!I107)/(24*Input!$F$60)*100</f>
        <v>0.12552235359140712</v>
      </c>
      <c r="J24" s="34">
        <f>J$11*Loads!$B47*LAFs!J262*(1-Contrib!J107)/(24*Input!$F$60)*100</f>
        <v>2.982205133846567E-3</v>
      </c>
      <c r="K24" s="34">
        <f>K$11*Loads!$B47*LAFs!B262*(1-Contrib!K107)/(24*Input!$F$60)*100</f>
        <v>9.6881418052972831E-2</v>
      </c>
      <c r="L24" s="34">
        <f>L$11*Loads!$B47*LAFs!C262*(1-Contrib!L107)/(24*Input!$F$60)*100</f>
        <v>6.8006790942760229E-2</v>
      </c>
      <c r="M24" s="34">
        <f>M$11*Loads!$B47*LAFs!D262*(1-Contrib!M107)/(24*Input!$F$60)*100</f>
        <v>2.6900452168756091E-2</v>
      </c>
      <c r="N24" s="34">
        <f>N$11*Loads!$B47*LAFs!E262*(1-Contrib!N107)/(24*Input!$F$60)*100</f>
        <v>6.7925460427489703E-2</v>
      </c>
      <c r="O24" s="34">
        <f>O$11*Loads!$B47*LAFs!F262*(1-Contrib!O107)/(24*Input!$F$60)*100</f>
        <v>4.2847611176159803E-2</v>
      </c>
      <c r="P24" s="34">
        <f>P$11*Loads!$B47*LAFs!G262*(1-Contrib!P107)/(24*Input!$F$60)*100</f>
        <v>0</v>
      </c>
      <c r="Q24" s="34">
        <f>Q$11*Loads!$B47*LAFs!H262*(1-Contrib!Q107)/(24*Input!$F$60)*100</f>
        <v>7.7789009927780775E-2</v>
      </c>
      <c r="R24" s="34">
        <f>R$11*Loads!$B47*LAFs!I262*(1-Contrib!R107)/(24*Input!$F$60)*100</f>
        <v>7.062622918337845E-2</v>
      </c>
      <c r="S24" s="34">
        <f>S$11*Loads!$B47*LAFs!J262*(1-Contrib!S107)/(24*Input!$F$60)*100</f>
        <v>3.9152477111327751E-2</v>
      </c>
      <c r="T24" s="17"/>
    </row>
    <row r="25" spans="1:20">
      <c r="A25" s="4" t="s">
        <v>226</v>
      </c>
      <c r="B25" s="34">
        <f>B$11*Loads!$B48*LAFs!B263*(1-Contrib!B108)/(24*Input!$F$60)*100</f>
        <v>0</v>
      </c>
      <c r="C25" s="34">
        <f>C$11*Loads!$B48*LAFs!C263*(1-Contrib!C108)/(24*Input!$F$60)*100</f>
        <v>0</v>
      </c>
      <c r="D25" s="34">
        <f>D$11*Loads!$B48*LAFs!D263*(1-Contrib!D108)/(24*Input!$F$60)*100</f>
        <v>0</v>
      </c>
      <c r="E25" s="34">
        <f>E$11*Loads!$B48*LAFs!E263*(1-Contrib!E108)/(24*Input!$F$60)*100</f>
        <v>0</v>
      </c>
      <c r="F25" s="34">
        <f>F$11*Loads!$B48*LAFs!F263*(1-Contrib!F108)/(24*Input!$F$60)*100</f>
        <v>0</v>
      </c>
      <c r="G25" s="34">
        <f>G$11*Loads!$B48*LAFs!G263*(1-Contrib!G108)/(24*Input!$F$60)*100</f>
        <v>0</v>
      </c>
      <c r="H25" s="34">
        <f>H$11*Loads!$B48*LAFs!H263*(1-Contrib!H108)/(24*Input!$F$60)*100</f>
        <v>0</v>
      </c>
      <c r="I25" s="34">
        <f>I$11*Loads!$B48*LAFs!I263*(1-Contrib!I108)/(24*Input!$F$60)*100</f>
        <v>0</v>
      </c>
      <c r="J25" s="34">
        <f>J$11*Loads!$B48*LAFs!J263*(1-Contrib!J108)/(24*Input!$F$60)*100</f>
        <v>0</v>
      </c>
      <c r="K25" s="34">
        <f>K$11*Loads!$B48*LAFs!B263*(1-Contrib!K108)/(24*Input!$F$60)*100</f>
        <v>0</v>
      </c>
      <c r="L25" s="34">
        <f>L$11*Loads!$B48*LAFs!C263*(1-Contrib!L108)/(24*Input!$F$60)*100</f>
        <v>0</v>
      </c>
      <c r="M25" s="34">
        <f>M$11*Loads!$B48*LAFs!D263*(1-Contrib!M108)/(24*Input!$F$60)*100</f>
        <v>0</v>
      </c>
      <c r="N25" s="34">
        <f>N$11*Loads!$B48*LAFs!E263*(1-Contrib!N108)/(24*Input!$F$60)*100</f>
        <v>0</v>
      </c>
      <c r="O25" s="34">
        <f>O$11*Loads!$B48*LAFs!F263*(1-Contrib!O108)/(24*Input!$F$60)*100</f>
        <v>0</v>
      </c>
      <c r="P25" s="34">
        <f>P$11*Loads!$B48*LAFs!G263*(1-Contrib!P108)/(24*Input!$F$60)*100</f>
        <v>0</v>
      </c>
      <c r="Q25" s="34">
        <f>Q$11*Loads!$B48*LAFs!H263*(1-Contrib!Q108)/(24*Input!$F$60)*100</f>
        <v>0</v>
      </c>
      <c r="R25" s="34">
        <f>R$11*Loads!$B48*LAFs!I263*(1-Contrib!R108)/(24*Input!$F$60)*100</f>
        <v>0</v>
      </c>
      <c r="S25" s="34">
        <f>S$11*Loads!$B48*LAFs!J263*(1-Contrib!S108)/(24*Input!$F$60)*100</f>
        <v>0</v>
      </c>
      <c r="T25" s="17"/>
    </row>
    <row r="26" spans="1:20">
      <c r="A26" s="4" t="s">
        <v>182</v>
      </c>
      <c r="B26" s="34">
        <f>B$11*Loads!$B49*LAFs!B264*(1-Contrib!B109)/(24*Input!$F$60)*100</f>
        <v>0</v>
      </c>
      <c r="C26" s="34">
        <f>C$11*Loads!$B49*LAFs!C264*(1-Contrib!C109)/(24*Input!$F$60)*100</f>
        <v>0.2228996167119556</v>
      </c>
      <c r="D26" s="34">
        <f>D$11*Loads!$B49*LAFs!D264*(1-Contrib!D109)/(24*Input!$F$60)*100</f>
        <v>8.8169143032212904E-2</v>
      </c>
      <c r="E26" s="34">
        <f>E$11*Loads!$B49*LAFs!E264*(1-Contrib!E109)/(24*Input!$F$60)*100</f>
        <v>0.22263304714692436</v>
      </c>
      <c r="F26" s="34">
        <f>F$11*Loads!$B49*LAFs!F264*(1-Contrib!F109)/(24*Input!$F$60)*100</f>
        <v>0.1404376824106808</v>
      </c>
      <c r="G26" s="34">
        <f>G$11*Loads!$B49*LAFs!G264*(1-Contrib!G109)/(24*Input!$F$60)*100</f>
        <v>0</v>
      </c>
      <c r="H26" s="34">
        <f>H$11*Loads!$B49*LAFs!H264*(1-Contrib!H109)/(24*Input!$F$60)*100</f>
        <v>0.17847332861697829</v>
      </c>
      <c r="I26" s="34">
        <f>I$11*Loads!$B49*LAFs!I264*(1-Contrib!I109)/(24*Input!$F$60)*100</f>
        <v>0.16203957630680091</v>
      </c>
      <c r="J26" s="34">
        <f>J$11*Loads!$B49*LAFs!J264*(1-Contrib!J109)/(24*Input!$F$60)*100</f>
        <v>3.849794419259082E-3</v>
      </c>
      <c r="K26" s="34">
        <f>K$11*Loads!$B49*LAFs!B264*(1-Contrib!K109)/(24*Input!$F$60)*100</f>
        <v>0.12506636056560089</v>
      </c>
      <c r="L26" s="34">
        <f>L$11*Loads!$B49*LAFs!C264*(1-Contrib!L109)/(24*Input!$F$60)*100</f>
        <v>8.7791467217233854E-2</v>
      </c>
      <c r="M26" s="34">
        <f>M$11*Loads!$B49*LAFs!D264*(1-Contrib!M109)/(24*Input!$F$60)*100</f>
        <v>3.4726387349902278E-2</v>
      </c>
      <c r="N26" s="34">
        <f>N$11*Loads!$B49*LAFs!E264*(1-Contrib!N109)/(24*Input!$F$60)*100</f>
        <v>8.768647586025094E-2</v>
      </c>
      <c r="O26" s="34">
        <f>O$11*Loads!$B49*LAFs!F264*(1-Contrib!O109)/(24*Input!$F$60)*100</f>
        <v>5.5312926838067031E-2</v>
      </c>
      <c r="P26" s="34">
        <f>P$11*Loads!$B49*LAFs!G264*(1-Contrib!P109)/(24*Input!$F$60)*100</f>
        <v>0</v>
      </c>
      <c r="Q26" s="34">
        <f>Q$11*Loads!$B49*LAFs!H264*(1-Contrib!Q109)/(24*Input!$F$60)*100</f>
        <v>0.10041954958121514</v>
      </c>
      <c r="R26" s="34">
        <f>R$11*Loads!$B49*LAFs!I264*(1-Contrib!R109)/(24*Input!$F$60)*100</f>
        <v>9.1172957848402722E-2</v>
      </c>
      <c r="S26" s="34">
        <f>S$11*Loads!$B49*LAFs!J264*(1-Contrib!S109)/(24*Input!$F$60)*100</f>
        <v>5.0542796728722084E-2</v>
      </c>
      <c r="T26" s="17"/>
    </row>
    <row r="27" spans="1:20">
      <c r="A27" s="4" t="s">
        <v>183</v>
      </c>
      <c r="B27" s="34">
        <f>B$11*Loads!$B50*LAFs!B265*(1-Contrib!B110)/(24*Input!$F$60)*100</f>
        <v>0</v>
      </c>
      <c r="C27" s="34">
        <f>C$11*Loads!$B50*LAFs!C265*(1-Contrib!C110)/(24*Input!$F$60)*100</f>
        <v>0.18043942018739501</v>
      </c>
      <c r="D27" s="34">
        <f>D$11*Loads!$B50*LAFs!D265*(1-Contrib!D110)/(24*Input!$F$60)*100</f>
        <v>7.1373783776895461E-2</v>
      </c>
      <c r="E27" s="34">
        <f>E$11*Loads!$B50*LAFs!E265*(1-Contrib!E110)/(24*Input!$F$60)*100</f>
        <v>0.18022362951685295</v>
      </c>
      <c r="F27" s="34">
        <f>F$11*Loads!$B50*LAFs!F265*(1-Contrib!F110)/(24*Input!$F$60)*100</f>
        <v>0.1136856777075184</v>
      </c>
      <c r="G27" s="34">
        <f>G$11*Loads!$B50*LAFs!G265*(1-Contrib!G110)/(24*Input!$F$60)*100</f>
        <v>0</v>
      </c>
      <c r="H27" s="34">
        <f>H$11*Loads!$B50*LAFs!H265*(1-Contrib!H110)/(24*Input!$F$60)*100</f>
        <v>0.14447590538559538</v>
      </c>
      <c r="I27" s="34">
        <f>I$11*Loads!$B50*LAFs!I265*(1-Contrib!I110)/(24*Input!$F$60)*100</f>
        <v>0.13117262213148551</v>
      </c>
      <c r="J27" s="34">
        <f>J$11*Loads!$B50*LAFs!J265*(1-Contrib!J110)/(24*Input!$F$60)*100</f>
        <v>3.1164462420294448E-3</v>
      </c>
      <c r="K27" s="34">
        <f>K$11*Loads!$B50*LAFs!B265*(1-Contrib!K110)/(24*Input!$F$60)*100</f>
        <v>0.10124244230786193</v>
      </c>
      <c r="L27" s="34">
        <f>L$11*Loads!$B50*LAFs!C265*(1-Contrib!L110)/(24*Input!$F$60)*100</f>
        <v>7.1068051510151886E-2</v>
      </c>
      <c r="M27" s="34">
        <f>M$11*Loads!$B50*LAFs!D265*(1-Contrib!M110)/(24*Input!$F$60)*100</f>
        <v>2.8111350261838149E-2</v>
      </c>
      <c r="N27" s="34">
        <f>N$11*Loads!$B50*LAFs!E265*(1-Contrib!N110)/(24*Input!$F$60)*100</f>
        <v>7.0983059979622842E-2</v>
      </c>
      <c r="O27" s="34">
        <f>O$11*Loads!$B50*LAFs!F265*(1-Contrib!O110)/(24*Input!$F$60)*100</f>
        <v>4.4776355360117974E-2</v>
      </c>
      <c r="P27" s="34">
        <f>P$11*Loads!$B50*LAFs!G265*(1-Contrib!P110)/(24*Input!$F$60)*100</f>
        <v>0</v>
      </c>
      <c r="Q27" s="34">
        <f>Q$11*Loads!$B50*LAFs!H265*(1-Contrib!Q110)/(24*Input!$F$60)*100</f>
        <v>8.1290607714813293E-2</v>
      </c>
      <c r="R27" s="34">
        <f>R$11*Loads!$B50*LAFs!I265*(1-Contrib!R110)/(24*Input!$F$60)*100</f>
        <v>7.380540125465905E-2</v>
      </c>
      <c r="S27" s="34">
        <f>S$11*Loads!$B50*LAFs!J265*(1-Contrib!S110)/(24*Input!$F$60)*100</f>
        <v>4.0914888374013143E-2</v>
      </c>
      <c r="T27" s="17"/>
    </row>
    <row r="28" spans="1:20">
      <c r="A28" s="4" t="s">
        <v>227</v>
      </c>
      <c r="B28" s="34">
        <f>B$11*Loads!$B51*LAFs!B266*(1-Contrib!B111)/(24*Input!$F$60)*100</f>
        <v>0</v>
      </c>
      <c r="C28" s="34">
        <f>C$11*Loads!$B51*LAFs!C266*(1-Contrib!C111)/(24*Input!$F$60)*100</f>
        <v>0</v>
      </c>
      <c r="D28" s="34">
        <f>D$11*Loads!$B51*LAFs!D266*(1-Contrib!D111)/(24*Input!$F$60)*100</f>
        <v>0</v>
      </c>
      <c r="E28" s="34">
        <f>E$11*Loads!$B51*LAFs!E266*(1-Contrib!E111)/(24*Input!$F$60)*100</f>
        <v>0</v>
      </c>
      <c r="F28" s="34">
        <f>F$11*Loads!$B51*LAFs!F266*(1-Contrib!F111)/(24*Input!$F$60)*100</f>
        <v>0</v>
      </c>
      <c r="G28" s="34">
        <f>G$11*Loads!$B51*LAFs!G266*(1-Contrib!G111)/(24*Input!$F$60)*100</f>
        <v>0</v>
      </c>
      <c r="H28" s="34">
        <f>H$11*Loads!$B51*LAFs!H266*(1-Contrib!H111)/(24*Input!$F$60)*100</f>
        <v>0</v>
      </c>
      <c r="I28" s="34">
        <f>I$11*Loads!$B51*LAFs!I266*(1-Contrib!I111)/(24*Input!$F$60)*100</f>
        <v>0</v>
      </c>
      <c r="J28" s="34">
        <f>J$11*Loads!$B51*LAFs!J266*(1-Contrib!J111)/(24*Input!$F$60)*100</f>
        <v>0</v>
      </c>
      <c r="K28" s="34">
        <f>K$11*Loads!$B51*LAFs!B266*(1-Contrib!K111)/(24*Input!$F$60)*100</f>
        <v>0</v>
      </c>
      <c r="L28" s="34">
        <f>L$11*Loads!$B51*LAFs!C266*(1-Contrib!L111)/(24*Input!$F$60)*100</f>
        <v>0</v>
      </c>
      <c r="M28" s="34">
        <f>M$11*Loads!$B51*LAFs!D266*(1-Contrib!M111)/(24*Input!$F$60)*100</f>
        <v>0</v>
      </c>
      <c r="N28" s="34">
        <f>N$11*Loads!$B51*LAFs!E266*(1-Contrib!N111)/(24*Input!$F$60)*100</f>
        <v>0</v>
      </c>
      <c r="O28" s="34">
        <f>O$11*Loads!$B51*LAFs!F266*(1-Contrib!O111)/(24*Input!$F$60)*100</f>
        <v>0</v>
      </c>
      <c r="P28" s="34">
        <f>P$11*Loads!$B51*LAFs!G266*(1-Contrib!P111)/(24*Input!$F$60)*100</f>
        <v>0</v>
      </c>
      <c r="Q28" s="34">
        <f>Q$11*Loads!$B51*LAFs!H266*(1-Contrib!Q111)/(24*Input!$F$60)*100</f>
        <v>0</v>
      </c>
      <c r="R28" s="34">
        <f>R$11*Loads!$B51*LAFs!I266*(1-Contrib!R111)/(24*Input!$F$60)*100</f>
        <v>0</v>
      </c>
      <c r="S28" s="34">
        <f>S$11*Loads!$B51*LAFs!J266*(1-Contrib!S111)/(24*Input!$F$60)*100</f>
        <v>0</v>
      </c>
      <c r="T28" s="17"/>
    </row>
    <row r="29" spans="1:20">
      <c r="A29" s="4" t="s">
        <v>184</v>
      </c>
      <c r="B29" s="34">
        <f>B$11*Loads!$B52*LAFs!B267*(1-Contrib!B112)/(24*Input!$F$60)*100</f>
        <v>0</v>
      </c>
      <c r="C29" s="34">
        <f>C$11*Loads!$B52*LAFs!C267*(1-Contrib!C112)/(24*Input!$F$60)*100</f>
        <v>0.19229154307573706</v>
      </c>
      <c r="D29" s="34">
        <f>D$11*Loads!$B52*LAFs!D267*(1-Contrib!D112)/(24*Input!$F$60)*100</f>
        <v>7.6061954773295123E-2</v>
      </c>
      <c r="E29" s="34">
        <f>E$11*Loads!$B52*LAFs!E267*(1-Contrib!E112)/(24*Input!$F$60)*100</f>
        <v>0.19206157824334738</v>
      </c>
      <c r="F29" s="34">
        <f>F$11*Loads!$B52*LAFs!F267*(1-Contrib!F112)/(24*Input!$F$60)*100</f>
        <v>0.12115309597695531</v>
      </c>
      <c r="G29" s="34">
        <f>G$11*Loads!$B52*LAFs!G267*(1-Contrib!G112)/(24*Input!$F$60)*100</f>
        <v>0</v>
      </c>
      <c r="H29" s="34">
        <f>H$11*Loads!$B52*LAFs!H267*(1-Contrib!H112)/(24*Input!$F$60)*100</f>
        <v>0.15396577286165025</v>
      </c>
      <c r="I29" s="34">
        <f>I$11*Loads!$B52*LAFs!I267*(1-Contrib!I112)/(24*Input!$F$60)*100</f>
        <v>0.13978866642753687</v>
      </c>
      <c r="J29" s="34">
        <f>J$11*Loads!$B52*LAFs!J267*(1-Contrib!J112)/(24*Input!$F$60)*100</f>
        <v>3.3211493152109283E-3</v>
      </c>
      <c r="K29" s="34">
        <f>K$11*Loads!$B52*LAFs!B267*(1-Contrib!K112)/(24*Input!$F$60)*100</f>
        <v>0.10789252944792517</v>
      </c>
      <c r="L29" s="34">
        <f>L$11*Loads!$B52*LAFs!C267*(1-Contrib!L112)/(24*Input!$F$60)*100</f>
        <v>7.5736140551108486E-2</v>
      </c>
      <c r="M29" s="34">
        <f>M$11*Loads!$B52*LAFs!D267*(1-Contrib!M112)/(24*Input!$F$60)*100</f>
        <v>2.9957838005561274E-2</v>
      </c>
      <c r="N29" s="34">
        <f>N$11*Loads!$B52*LAFs!E267*(1-Contrib!N112)/(24*Input!$F$60)*100</f>
        <v>7.5645566370938638E-2</v>
      </c>
      <c r="O29" s="34">
        <f>O$11*Loads!$B52*LAFs!F267*(1-Contrib!O112)/(24*Input!$F$60)*100</f>
        <v>4.7717480229999727E-2</v>
      </c>
      <c r="P29" s="34">
        <f>P$11*Loads!$B52*LAFs!G267*(1-Contrib!P112)/(24*Input!$F$60)*100</f>
        <v>0</v>
      </c>
      <c r="Q29" s="34">
        <f>Q$11*Loads!$B52*LAFs!H267*(1-Contrib!Q112)/(24*Input!$F$60)*100</f>
        <v>8.6630163069753838E-2</v>
      </c>
      <c r="R29" s="34">
        <f>R$11*Loads!$B52*LAFs!I267*(1-Contrib!R112)/(24*Input!$F$60)*100</f>
        <v>7.8653292500292307E-2</v>
      </c>
      <c r="S29" s="34">
        <f>S$11*Loads!$B52*LAFs!J267*(1-Contrib!S112)/(24*Input!$F$60)*100</f>
        <v>4.3602373650057487E-2</v>
      </c>
      <c r="T29" s="17"/>
    </row>
    <row r="30" spans="1:20">
      <c r="A30" s="4" t="s">
        <v>185</v>
      </c>
      <c r="B30" s="34">
        <f>B$11*Loads!$B53*LAFs!B268*(1-Contrib!B113)/(24*Input!$F$60)*100</f>
        <v>0</v>
      </c>
      <c r="C30" s="34">
        <f>C$11*Loads!$B53*LAFs!C268*(1-Contrib!C113)/(24*Input!$F$60)*100</f>
        <v>0.18238124018859941</v>
      </c>
      <c r="D30" s="34">
        <f>D$11*Loads!$B53*LAFs!D268*(1-Contrib!D113)/(24*Input!$F$60)*100</f>
        <v>7.2141881129212798E-2</v>
      </c>
      <c r="E30" s="34">
        <f>E$11*Loads!$B53*LAFs!E268*(1-Contrib!E113)/(24*Input!$F$60)*100</f>
        <v>0.18216312726142575</v>
      </c>
      <c r="F30" s="34">
        <f>F$11*Loads!$B53*LAFs!F268*(1-Contrib!F113)/(24*Input!$F$60)*100</f>
        <v>0.11490911947314628</v>
      </c>
      <c r="G30" s="34">
        <f>G$11*Loads!$B53*LAFs!G268*(1-Contrib!G113)/(24*Input!$F$60)*100</f>
        <v>0</v>
      </c>
      <c r="H30" s="34">
        <f>H$11*Loads!$B53*LAFs!H268*(1-Contrib!H113)/(24*Input!$F$60)*100</f>
        <v>0.14603069980068772</v>
      </c>
      <c r="I30" s="34">
        <f>I$11*Loads!$B53*LAFs!I268*(1-Contrib!I113)/(24*Input!$F$60)*100</f>
        <v>5.68218221581006E-3</v>
      </c>
      <c r="J30" s="34">
        <f>J$11*Loads!$B53*LAFs!J268*(1-Contrib!J113)/(24*Input!$F$60)*100</f>
        <v>0</v>
      </c>
      <c r="K30" s="34">
        <f>K$11*Loads!$B53*LAFs!B268*(1-Contrib!K113)/(24*Input!$F$60)*100</f>
        <v>0.10233197473508886</v>
      </c>
      <c r="L30" s="34">
        <f>L$11*Loads!$B53*LAFs!C268*(1-Contrib!L113)/(24*Input!$F$60)*100</f>
        <v>7.1832858688792314E-2</v>
      </c>
      <c r="M30" s="34">
        <f>M$11*Loads!$B53*LAFs!D268*(1-Contrib!M113)/(24*Input!$F$60)*100</f>
        <v>2.8413873857528093E-2</v>
      </c>
      <c r="N30" s="34">
        <f>N$11*Loads!$B53*LAFs!E268*(1-Contrib!N113)/(24*Input!$F$60)*100</f>
        <v>7.1746952511930778E-2</v>
      </c>
      <c r="O30" s="34">
        <f>O$11*Loads!$B53*LAFs!F268*(1-Contrib!O113)/(24*Input!$F$60)*100</f>
        <v>4.525822136439251E-2</v>
      </c>
      <c r="P30" s="34">
        <f>P$11*Loads!$B53*LAFs!G268*(1-Contrib!P113)/(24*Input!$F$60)*100</f>
        <v>0</v>
      </c>
      <c r="Q30" s="34">
        <f>Q$11*Loads!$B53*LAFs!H268*(1-Contrib!Q113)/(24*Input!$F$60)*100</f>
        <v>8.21654261320236E-2</v>
      </c>
      <c r="R30" s="34">
        <f>R$11*Loads!$B53*LAFs!I268*(1-Contrib!R113)/(24*Input!$F$60)*100</f>
        <v>7.4599666743898438E-2</v>
      </c>
      <c r="S30" s="34">
        <f>S$11*Loads!$B53*LAFs!J268*(1-Contrib!S113)/(24*Input!$F$60)*100</f>
        <v>0</v>
      </c>
      <c r="T30" s="17"/>
    </row>
    <row r="31" spans="1:20">
      <c r="A31" s="4" t="s">
        <v>205</v>
      </c>
      <c r="B31" s="34">
        <f>B$11*Loads!$B54*LAFs!B269*(1-Contrib!B114)/(24*Input!$F$60)*100</f>
        <v>0</v>
      </c>
      <c r="C31" s="34">
        <f>C$11*Loads!$B54*LAFs!C269*(1-Contrib!C114)/(24*Input!$F$60)*100</f>
        <v>0.19140020646865027</v>
      </c>
      <c r="D31" s="34">
        <f>D$11*Loads!$B54*LAFs!D269*(1-Contrib!D114)/(24*Input!$F$60)*100</f>
        <v>7.5709381781204094E-2</v>
      </c>
      <c r="E31" s="34">
        <f>E$11*Loads!$B54*LAFs!E269*(1-Contrib!E114)/(24*Input!$F$60)*100</f>
        <v>0.191171307601358</v>
      </c>
      <c r="F31" s="34">
        <f>F$11*Loads!$B54*LAFs!F269*(1-Contrib!F114)/(24*Input!$F$60)*100</f>
        <v>5.1854349399671984E-2</v>
      </c>
      <c r="G31" s="34">
        <f>G$11*Loads!$B54*LAFs!G269*(1-Contrib!G114)/(24*Input!$F$60)*100</f>
        <v>0</v>
      </c>
      <c r="H31" s="34">
        <f>H$11*Loads!$B54*LAFs!H269*(1-Contrib!H114)/(24*Input!$F$60)*100</f>
        <v>1.9703840041990273E-2</v>
      </c>
      <c r="I31" s="34">
        <f>I$11*Loads!$B54*LAFs!I269*(1-Contrib!I114)/(24*Input!$F$60)*100</f>
        <v>0</v>
      </c>
      <c r="J31" s="34">
        <f>J$11*Loads!$B54*LAFs!J269*(1-Contrib!J114)/(24*Input!$F$60)*100</f>
        <v>0</v>
      </c>
      <c r="K31" s="34">
        <f>K$11*Loads!$B54*LAFs!B269*(1-Contrib!K114)/(24*Input!$F$60)*100</f>
        <v>0.10739241093210336</v>
      </c>
      <c r="L31" s="34">
        <f>L$11*Loads!$B54*LAFs!C269*(1-Contrib!L114)/(24*Input!$F$60)*100</f>
        <v>7.53850778185884E-2</v>
      </c>
      <c r="M31" s="34">
        <f>M$11*Loads!$B54*LAFs!D269*(1-Contrib!M114)/(24*Input!$F$60)*100</f>
        <v>2.9818973252299524E-2</v>
      </c>
      <c r="N31" s="34">
        <f>N$11*Loads!$B54*LAFs!E269*(1-Contrib!N114)/(24*Input!$F$60)*100</f>
        <v>7.52949234805039E-2</v>
      </c>
      <c r="O31" s="34">
        <f>O$11*Loads!$B54*LAFs!F269*(1-Contrib!O114)/(24*Input!$F$60)*100</f>
        <v>4.7496293503601746E-2</v>
      </c>
      <c r="P31" s="34">
        <f>P$11*Loads!$B54*LAFs!G269*(1-Contrib!P114)/(24*Input!$F$60)*100</f>
        <v>0</v>
      </c>
      <c r="Q31" s="34">
        <f>Q$11*Loads!$B54*LAFs!H269*(1-Contrib!Q114)/(24*Input!$F$60)*100</f>
        <v>8.6228602843095525E-2</v>
      </c>
      <c r="R31" s="34">
        <f>R$11*Loads!$B54*LAFs!I269*(1-Contrib!R114)/(24*Input!$F$60)*100</f>
        <v>0</v>
      </c>
      <c r="S31" s="34">
        <f>S$11*Loads!$B54*LAFs!J269*(1-Contrib!S114)/(24*Input!$F$60)*100</f>
        <v>0</v>
      </c>
      <c r="T31" s="17"/>
    </row>
    <row r="32" spans="1:20">
      <c r="A32" s="4" t="s">
        <v>186</v>
      </c>
      <c r="B32" s="34">
        <f>B$11*Loads!$B55*LAFs!B270*(1-Contrib!B115)/(24*Input!$F$60)*100</f>
        <v>0</v>
      </c>
      <c r="C32" s="34">
        <f>C$11*Loads!$B55*LAFs!C270*(1-Contrib!C115)/(24*Input!$F$60)*100</f>
        <v>0.27727509656592647</v>
      </c>
      <c r="D32" s="34">
        <f>D$11*Loads!$B55*LAFs!D270*(1-Contrib!D115)/(24*Input!$F$60)*100</f>
        <v>0.10967765673632293</v>
      </c>
      <c r="E32" s="34">
        <f>E$11*Loads!$B55*LAFs!E270*(1-Contrib!E115)/(24*Input!$F$60)*100</f>
        <v>0.27694349840987809</v>
      </c>
      <c r="F32" s="34">
        <f>F$11*Loads!$B55*LAFs!F270*(1-Contrib!F115)/(24*Input!$F$60)*100</f>
        <v>0.17469689955652504</v>
      </c>
      <c r="G32" s="34">
        <f>G$11*Loads!$B55*LAFs!G270*(1-Contrib!G115)/(24*Input!$F$60)*100</f>
        <v>0</v>
      </c>
      <c r="H32" s="34">
        <f>H$11*Loads!$B55*LAFs!H270*(1-Contrib!H115)/(24*Input!$F$60)*100</f>
        <v>0.22201119121108256</v>
      </c>
      <c r="I32" s="34">
        <f>I$11*Loads!$B55*LAFs!I270*(1-Contrib!I115)/(24*Input!$F$60)*100</f>
        <v>0.20156849002585189</v>
      </c>
      <c r="J32" s="34">
        <f>J$11*Loads!$B55*LAFs!J270*(1-Contrib!J115)/(24*Input!$F$60)*100</f>
        <v>4.7889365406063172E-3</v>
      </c>
      <c r="K32" s="34">
        <f>K$11*Loads!$B55*LAFs!B270*(1-Contrib!K115)/(24*Input!$F$60)*100</f>
        <v>0.15557580454608275</v>
      </c>
      <c r="L32" s="34">
        <f>L$11*Loads!$B55*LAFs!C270*(1-Contrib!L115)/(24*Input!$F$60)*100</f>
        <v>0.10920784840011453</v>
      </c>
      <c r="M32" s="34">
        <f>M$11*Loads!$B55*LAFs!D270*(1-Contrib!M115)/(24*Input!$F$60)*100</f>
        <v>4.3197752189375861E-2</v>
      </c>
      <c r="N32" s="34">
        <f>N$11*Loads!$B55*LAFs!E270*(1-Contrib!N115)/(24*Input!$F$60)*100</f>
        <v>0.10907724481687177</v>
      </c>
      <c r="O32" s="34">
        <f>O$11*Loads!$B55*LAFs!F270*(1-Contrib!O115)/(24*Input!$F$60)*100</f>
        <v>6.8806296558994673E-2</v>
      </c>
      <c r="P32" s="34">
        <f>P$11*Loads!$B55*LAFs!G270*(1-Contrib!P115)/(24*Input!$F$60)*100</f>
        <v>0</v>
      </c>
      <c r="Q32" s="34">
        <f>Q$11*Loads!$B55*LAFs!H270*(1-Contrib!Q115)/(24*Input!$F$60)*100</f>
        <v>0.12491650150847844</v>
      </c>
      <c r="R32" s="34">
        <f>R$11*Loads!$B55*LAFs!I270*(1-Contrib!R115)/(24*Input!$F$60)*100</f>
        <v>0.11341424029582491</v>
      </c>
      <c r="S32" s="34">
        <f>S$11*Loads!$B55*LAFs!J270*(1-Contrib!S115)/(24*Input!$F$60)*100</f>
        <v>6.2872512076943082E-2</v>
      </c>
      <c r="T32" s="17"/>
    </row>
    <row r="33" spans="1:20">
      <c r="A33" s="4" t="s">
        <v>187</v>
      </c>
      <c r="B33" s="34">
        <f>B$11*Loads!$B56*LAFs!B271*(1-Contrib!B116)/(24*Input!$F$60)*100</f>
        <v>0</v>
      </c>
      <c r="C33" s="34">
        <f>C$11*Loads!$B56*LAFs!C271*(1-Contrib!C116)/(24*Input!$F$60)*100</f>
        <v>0.2228996167119556</v>
      </c>
      <c r="D33" s="34">
        <f>D$11*Loads!$B56*LAFs!D271*(1-Contrib!D116)/(24*Input!$F$60)*100</f>
        <v>8.8169143032212904E-2</v>
      </c>
      <c r="E33" s="34">
        <f>E$11*Loads!$B56*LAFs!E271*(1-Contrib!E116)/(24*Input!$F$60)*100</f>
        <v>0.22263304714692436</v>
      </c>
      <c r="F33" s="34">
        <f>F$11*Loads!$B56*LAFs!F271*(1-Contrib!F116)/(24*Input!$F$60)*100</f>
        <v>0.1404376824106808</v>
      </c>
      <c r="G33" s="34">
        <f>G$11*Loads!$B56*LAFs!G271*(1-Contrib!G116)/(24*Input!$F$60)*100</f>
        <v>0</v>
      </c>
      <c r="H33" s="34">
        <f>H$11*Loads!$B56*LAFs!H271*(1-Contrib!H116)/(24*Input!$F$60)*100</f>
        <v>0.17847332861697829</v>
      </c>
      <c r="I33" s="34">
        <f>I$11*Loads!$B56*LAFs!I271*(1-Contrib!I116)/(24*Input!$F$60)*100</f>
        <v>0.16203957630680091</v>
      </c>
      <c r="J33" s="34">
        <f>J$11*Loads!$B56*LAFs!J271*(1-Contrib!J116)/(24*Input!$F$60)*100</f>
        <v>3.849794419259082E-3</v>
      </c>
      <c r="K33" s="34">
        <f>K$11*Loads!$B56*LAFs!B271*(1-Contrib!K116)/(24*Input!$F$60)*100</f>
        <v>0.12506636056560089</v>
      </c>
      <c r="L33" s="34">
        <f>L$11*Loads!$B56*LAFs!C271*(1-Contrib!L116)/(24*Input!$F$60)*100</f>
        <v>8.7791467217233854E-2</v>
      </c>
      <c r="M33" s="34">
        <f>M$11*Loads!$B56*LAFs!D271*(1-Contrib!M116)/(24*Input!$F$60)*100</f>
        <v>3.4726387349902278E-2</v>
      </c>
      <c r="N33" s="34">
        <f>N$11*Loads!$B56*LAFs!E271*(1-Contrib!N116)/(24*Input!$F$60)*100</f>
        <v>8.768647586025094E-2</v>
      </c>
      <c r="O33" s="34">
        <f>O$11*Loads!$B56*LAFs!F271*(1-Contrib!O116)/(24*Input!$F$60)*100</f>
        <v>5.5312926838067031E-2</v>
      </c>
      <c r="P33" s="34">
        <f>P$11*Loads!$B56*LAFs!G271*(1-Contrib!P116)/(24*Input!$F$60)*100</f>
        <v>0</v>
      </c>
      <c r="Q33" s="34">
        <f>Q$11*Loads!$B56*LAFs!H271*(1-Contrib!Q116)/(24*Input!$F$60)*100</f>
        <v>0.10041954958121514</v>
      </c>
      <c r="R33" s="34">
        <f>R$11*Loads!$B56*LAFs!I271*(1-Contrib!R116)/(24*Input!$F$60)*100</f>
        <v>9.1172957848402722E-2</v>
      </c>
      <c r="S33" s="34">
        <f>S$11*Loads!$B56*LAFs!J271*(1-Contrib!S116)/(24*Input!$F$60)*100</f>
        <v>5.0542796728722084E-2</v>
      </c>
      <c r="T33" s="17"/>
    </row>
    <row r="34" spans="1:20">
      <c r="A34" s="4" t="s">
        <v>188</v>
      </c>
      <c r="B34" s="34">
        <f>B$11*Loads!$B57*LAFs!B272*(1-Contrib!B117)/(24*Input!$F$60)*100</f>
        <v>0</v>
      </c>
      <c r="C34" s="34">
        <f>C$11*Loads!$B57*LAFs!C272*(1-Contrib!C117)/(24*Input!$F$60)*100</f>
        <v>0.198140749502101</v>
      </c>
      <c r="D34" s="34">
        <f>D$11*Loads!$B57*LAFs!D272*(1-Contrib!D117)/(24*Input!$F$60)*100</f>
        <v>7.8375639855569043E-2</v>
      </c>
      <c r="E34" s="34">
        <f>E$11*Loads!$B57*LAFs!E272*(1-Contrib!E117)/(24*Input!$F$60)*100</f>
        <v>0.19790378950105264</v>
      </c>
      <c r="F34" s="34">
        <f>F$11*Loads!$B57*LAFs!F272*(1-Contrib!F117)/(24*Input!$F$60)*100</f>
        <v>0.12483838268393847</v>
      </c>
      <c r="G34" s="34">
        <f>G$11*Loads!$B57*LAFs!G272*(1-Contrib!G117)/(24*Input!$F$60)*100</f>
        <v>0</v>
      </c>
      <c r="H34" s="34">
        <f>H$11*Loads!$B57*LAFs!H272*(1-Contrib!H117)/(24*Input!$F$60)*100</f>
        <v>0.15864916961252945</v>
      </c>
      <c r="I34" s="34">
        <f>I$11*Loads!$B57*LAFs!I272*(1-Contrib!I117)/(24*Input!$F$60)*100</f>
        <v>0.1440408178894384</v>
      </c>
      <c r="J34" s="34">
        <f>J$11*Loads!$B57*LAFs!J272*(1-Contrib!J117)/(24*Input!$F$60)*100</f>
        <v>3.4221734559855164E-3</v>
      </c>
      <c r="K34" s="34">
        <f>K$11*Loads!$B57*LAFs!B272*(1-Contrib!K117)/(24*Input!$F$60)*100</f>
        <v>0.11117445056889146</v>
      </c>
      <c r="L34" s="34">
        <f>L$11*Loads!$B57*LAFs!C272*(1-Contrib!L117)/(24*Input!$F$60)*100</f>
        <v>7.8039914876977118E-2</v>
      </c>
      <c r="M34" s="34">
        <f>M$11*Loads!$B57*LAFs!D272*(1-Contrib!M117)/(24*Input!$F$60)*100</f>
        <v>3.086910833903133E-2</v>
      </c>
      <c r="N34" s="34">
        <f>N$11*Loads!$B57*LAFs!E272*(1-Contrib!N117)/(24*Input!$F$60)*100</f>
        <v>7.7946585572644042E-2</v>
      </c>
      <c r="O34" s="34">
        <f>O$11*Loads!$B57*LAFs!F272*(1-Contrib!O117)/(24*Input!$F$60)*100</f>
        <v>4.9168970958852413E-2</v>
      </c>
      <c r="P34" s="34">
        <f>P$11*Loads!$B57*LAFs!G272*(1-Contrib!P117)/(24*Input!$F$60)*100</f>
        <v>0</v>
      </c>
      <c r="Q34" s="34">
        <f>Q$11*Loads!$B57*LAFs!H272*(1-Contrib!Q117)/(24*Input!$F$60)*100</f>
        <v>8.926531643344067E-2</v>
      </c>
      <c r="R34" s="34">
        <f>R$11*Loads!$B57*LAFs!I272*(1-Contrib!R117)/(24*Input!$F$60)*100</f>
        <v>8.1045802002211426E-2</v>
      </c>
      <c r="S34" s="34">
        <f>S$11*Loads!$B57*LAFs!J272*(1-Contrib!S117)/(24*Input!$F$60)*100</f>
        <v>4.4928689306374128E-2</v>
      </c>
      <c r="T34" s="17"/>
    </row>
    <row r="35" spans="1:20">
      <c r="A35" s="4" t="s">
        <v>189</v>
      </c>
      <c r="B35" s="34">
        <f>B$11*Loads!$B58*LAFs!B273*(1-Contrib!B118)/(24*Input!$F$60)*100</f>
        <v>0</v>
      </c>
      <c r="C35" s="34">
        <f>C$11*Loads!$B58*LAFs!C273*(1-Contrib!C118)/(24*Input!$F$60)*100</f>
        <v>0.17663336593012621</v>
      </c>
      <c r="D35" s="34">
        <f>D$11*Loads!$B58*LAFs!D273*(1-Contrib!D118)/(24*Input!$F$60)*100</f>
        <v>6.9868278531316053E-2</v>
      </c>
      <c r="E35" s="34">
        <f>E$11*Loads!$B58*LAFs!E273*(1-Contrib!E118)/(24*Input!$F$60)*100</f>
        <v>0.1764221269866926</v>
      </c>
      <c r="F35" s="34">
        <f>F$11*Loads!$B58*LAFs!F273*(1-Contrib!F118)/(24*Input!$F$60)*100</f>
        <v>0.11128767699802924</v>
      </c>
      <c r="G35" s="34">
        <f>G$11*Loads!$B58*LAFs!G273*(1-Contrib!G118)/(24*Input!$F$60)*100</f>
        <v>0</v>
      </c>
      <c r="H35" s="34">
        <f>H$11*Loads!$B58*LAFs!H273*(1-Contrib!H118)/(24*Input!$F$60)*100</f>
        <v>0.14142843862808463</v>
      </c>
      <c r="I35" s="34">
        <f>I$11*Loads!$B58*LAFs!I273*(1-Contrib!I118)/(24*Input!$F$60)*100</f>
        <v>5.50310420945132E-3</v>
      </c>
      <c r="J35" s="34">
        <f>J$11*Loads!$B58*LAFs!J273*(1-Contrib!J118)/(24*Input!$F$60)*100</f>
        <v>0</v>
      </c>
      <c r="K35" s="34">
        <f>K$11*Loads!$B58*LAFs!B273*(1-Contrib!K118)/(24*Input!$F$60)*100</f>
        <v>9.9106909905009297E-2</v>
      </c>
      <c r="L35" s="34">
        <f>L$11*Loads!$B58*LAFs!C273*(1-Contrib!L118)/(24*Input!$F$60)*100</f>
        <v>6.9568995152482938E-2</v>
      </c>
      <c r="M35" s="34">
        <f>M$11*Loads!$B58*LAFs!D273*(1-Contrib!M118)/(24*Input!$F$60)*100</f>
        <v>2.7518390451667377E-2</v>
      </c>
      <c r="N35" s="34">
        <f>N$11*Loads!$B58*LAFs!E273*(1-Contrib!N118)/(24*Input!$F$60)*100</f>
        <v>6.9485796369770716E-2</v>
      </c>
      <c r="O35" s="34">
        <f>O$11*Loads!$B58*LAFs!F273*(1-Contrib!O118)/(24*Input!$F$60)*100</f>
        <v>4.383187638891331E-2</v>
      </c>
      <c r="P35" s="34">
        <f>P$11*Loads!$B58*LAFs!G273*(1-Contrib!P118)/(24*Input!$F$60)*100</f>
        <v>0</v>
      </c>
      <c r="Q35" s="34">
        <f>Q$11*Loads!$B58*LAFs!H273*(1-Contrib!Q118)/(24*Input!$F$60)*100</f>
        <v>7.957592439756693E-2</v>
      </c>
      <c r="R35" s="34">
        <f>R$11*Loads!$B58*LAFs!I273*(1-Contrib!R118)/(24*Input!$F$60)*100</f>
        <v>7.2248605287552795E-2</v>
      </c>
      <c r="S35" s="34">
        <f>S$11*Loads!$B58*LAFs!J273*(1-Contrib!S118)/(24*Input!$F$60)*100</f>
        <v>0</v>
      </c>
      <c r="T35" s="17"/>
    </row>
    <row r="36" spans="1:20">
      <c r="A36" s="4" t="s">
        <v>206</v>
      </c>
      <c r="B36" s="34">
        <f>B$11*Loads!$B59*LAFs!B274*(1-Contrib!B119)/(24*Input!$F$60)*100</f>
        <v>0</v>
      </c>
      <c r="C36" s="34">
        <f>C$11*Loads!$B59*LAFs!C274*(1-Contrib!C119)/(24*Input!$F$60)*100</f>
        <v>0.15117950057231316</v>
      </c>
      <c r="D36" s="34">
        <f>D$11*Loads!$B59*LAFs!D274*(1-Contrib!D119)/(24*Input!$F$60)*100</f>
        <v>5.9799865096779453E-2</v>
      </c>
      <c r="E36" s="34">
        <f>E$11*Loads!$B59*LAFs!E274*(1-Contrib!E119)/(24*Input!$F$60)*100</f>
        <v>0.1509987023533495</v>
      </c>
      <c r="F36" s="34">
        <f>F$11*Loads!$B59*LAFs!F274*(1-Contrib!F119)/(24*Input!$F$60)*100</f>
        <v>4.0957712582345894E-2</v>
      </c>
      <c r="G36" s="34">
        <f>G$11*Loads!$B59*LAFs!G274*(1-Contrib!G119)/(24*Input!$F$60)*100</f>
        <v>0</v>
      </c>
      <c r="H36" s="34">
        <f>H$11*Loads!$B59*LAFs!H274*(1-Contrib!H119)/(24*Input!$F$60)*100</f>
        <v>1.5563288837897574E-2</v>
      </c>
      <c r="I36" s="34">
        <f>I$11*Loads!$B59*LAFs!I274*(1-Contrib!I119)/(24*Input!$F$60)*100</f>
        <v>0</v>
      </c>
      <c r="J36" s="34">
        <f>J$11*Loads!$B59*LAFs!J274*(1-Contrib!J119)/(24*Input!$F$60)*100</f>
        <v>0</v>
      </c>
      <c r="K36" s="34">
        <f>K$11*Loads!$B59*LAFs!B274*(1-Contrib!K119)/(24*Input!$F$60)*100</f>
        <v>8.4825044599057167E-2</v>
      </c>
      <c r="L36" s="34">
        <f>L$11*Loads!$B59*LAFs!C274*(1-Contrib!L119)/(24*Input!$F$60)*100</f>
        <v>5.9543710142683857E-2</v>
      </c>
      <c r="M36" s="34">
        <f>M$11*Loads!$B59*LAFs!D274*(1-Contrib!M119)/(24*Input!$F$60)*100</f>
        <v>2.3552835010134554E-2</v>
      </c>
      <c r="N36" s="34">
        <f>N$11*Loads!$B59*LAFs!E274*(1-Contrib!N119)/(24*Input!$F$60)*100</f>
        <v>5.9472500774326809E-2</v>
      </c>
      <c r="O36" s="34">
        <f>O$11*Loads!$B59*LAFs!F274*(1-Contrib!O119)/(24*Input!$F$60)*100</f>
        <v>3.7515455512774555E-2</v>
      </c>
      <c r="P36" s="34">
        <f>P$11*Loads!$B59*LAFs!G274*(1-Contrib!P119)/(24*Input!$F$60)*100</f>
        <v>0</v>
      </c>
      <c r="Q36" s="34">
        <f>Q$11*Loads!$B59*LAFs!H274*(1-Contrib!Q119)/(24*Input!$F$60)*100</f>
        <v>6.8108584381295884E-2</v>
      </c>
      <c r="R36" s="34">
        <f>R$11*Loads!$B59*LAFs!I274*(1-Contrib!R119)/(24*Input!$F$60)*100</f>
        <v>0</v>
      </c>
      <c r="S36" s="34">
        <f>S$11*Loads!$B59*LAFs!J274*(1-Contrib!S119)/(24*Input!$F$60)*100</f>
        <v>0</v>
      </c>
      <c r="T36" s="17"/>
    </row>
    <row r="37" spans="1:20">
      <c r="A37" s="4" t="s">
        <v>228</v>
      </c>
      <c r="B37" s="34">
        <f>B$11*Loads!$B60*LAFs!B275*(1-Contrib!B120)/(24*Input!$F$60)*100</f>
        <v>0</v>
      </c>
      <c r="C37" s="34">
        <f>C$11*Loads!$B60*LAFs!C275*(1-Contrib!C120)/(24*Input!$F$60)*100</f>
        <v>0.13631165338487333</v>
      </c>
      <c r="D37" s="34">
        <f>D$11*Loads!$B60*LAFs!D275*(1-Contrib!D120)/(24*Input!$F$60)*100</f>
        <v>5.391880812329676E-2</v>
      </c>
      <c r="E37" s="34">
        <f>E$11*Loads!$B60*LAFs!E275*(1-Contrib!E120)/(24*Input!$F$60)*100</f>
        <v>0.13614863588539305</v>
      </c>
      <c r="F37" s="34">
        <f>F$11*Loads!$B60*LAFs!F275*(1-Contrib!F120)/(24*Input!$F$60)*100</f>
        <v>8.5883022004823673E-2</v>
      </c>
      <c r="G37" s="34">
        <f>G$11*Loads!$B60*LAFs!G275*(1-Contrib!G120)/(24*Input!$F$60)*100</f>
        <v>0</v>
      </c>
      <c r="H37" s="34">
        <f>H$11*Loads!$B60*LAFs!H275*(1-Contrib!H120)/(24*Input!$F$60)*100</f>
        <v>0.1091432765464117</v>
      </c>
      <c r="I37" s="34">
        <f>I$11*Loads!$B60*LAFs!I275*(1-Contrib!I120)/(24*Input!$F$60)*100</f>
        <v>9.9093407543664302E-2</v>
      </c>
      <c r="J37" s="34">
        <f>J$11*Loads!$B60*LAFs!J275*(1-Contrib!J120)/(24*Input!$F$60)*100</f>
        <v>2.3542967467692225E-3</v>
      </c>
      <c r="K37" s="34">
        <f>K$11*Loads!$B60*LAFs!B275*(1-Contrib!K120)/(24*Input!$F$60)*100</f>
        <v>7.6482869925955238E-2</v>
      </c>
      <c r="L37" s="34">
        <f>L$11*Loads!$B60*LAFs!C275*(1-Contrib!L120)/(24*Input!$F$60)*100</f>
        <v>5.3687844896250031E-2</v>
      </c>
      <c r="M37" s="34">
        <f>M$11*Loads!$B60*LAFs!D275*(1-Contrib!M120)/(24*Input!$F$60)*100</f>
        <v>2.1236515995744353E-2</v>
      </c>
      <c r="N37" s="34">
        <f>N$11*Loads!$B60*LAFs!E275*(1-Contrib!N120)/(24*Input!$F$60)*100</f>
        <v>5.3623638659951484E-2</v>
      </c>
      <c r="O37" s="34">
        <f>O$11*Loads!$B60*LAFs!F275*(1-Contrib!O120)/(24*Input!$F$60)*100</f>
        <v>3.3825973422811365E-2</v>
      </c>
      <c r="P37" s="34">
        <f>P$11*Loads!$B60*LAFs!G275*(1-Contrib!P120)/(24*Input!$F$60)*100</f>
        <v>0</v>
      </c>
      <c r="Q37" s="34">
        <f>Q$11*Loads!$B60*LAFs!H275*(1-Contrib!Q120)/(24*Input!$F$60)*100</f>
        <v>6.1410400957614117E-2</v>
      </c>
      <c r="R37" s="34">
        <f>R$11*Loads!$B60*LAFs!I275*(1-Contrib!R120)/(24*Input!$F$60)*100</f>
        <v>5.5755755939074898E-2</v>
      </c>
      <c r="S37" s="34">
        <f>S$11*Loads!$B60*LAFs!J275*(1-Contrib!S120)/(24*Input!$F$60)*100</f>
        <v>3.0908856149765383E-2</v>
      </c>
      <c r="T37" s="17"/>
    </row>
    <row r="38" spans="1:20">
      <c r="A38" s="4" t="s">
        <v>229</v>
      </c>
      <c r="B38" s="34">
        <f>B$11*Loads!$B61*LAFs!B276*(1-Contrib!B121)/(24*Input!$F$60)*100</f>
        <v>0</v>
      </c>
      <c r="C38" s="34">
        <f>C$11*Loads!$B61*LAFs!C276*(1-Contrib!C121)/(24*Input!$F$60)*100</f>
        <v>0.28811625326930151</v>
      </c>
      <c r="D38" s="34">
        <f>D$11*Loads!$B61*LAFs!D276*(1-Contrib!D121)/(24*Input!$F$60)*100</f>
        <v>0.11396593461725678</v>
      </c>
      <c r="E38" s="34">
        <f>E$11*Loads!$B61*LAFs!E276*(1-Contrib!E121)/(24*Input!$F$60)*100</f>
        <v>0.28777168998361546</v>
      </c>
      <c r="F38" s="34">
        <f>F$11*Loads!$B61*LAFs!F276*(1-Contrib!F121)/(24*Input!$F$60)*100</f>
        <v>0.18152735958392152</v>
      </c>
      <c r="G38" s="34">
        <f>G$11*Loads!$B61*LAFs!G276*(1-Contrib!G121)/(24*Input!$F$60)*100</f>
        <v>0</v>
      </c>
      <c r="H38" s="34">
        <f>H$11*Loads!$B61*LAFs!H276*(1-Contrib!H121)/(24*Input!$F$60)*100</f>
        <v>0.23069158892307121</v>
      </c>
      <c r="I38" s="34">
        <f>I$11*Loads!$B61*LAFs!I276*(1-Contrib!I121)/(24*Input!$F$60)*100</f>
        <v>0.20944960020811229</v>
      </c>
      <c r="J38" s="34">
        <f>J$11*Loads!$B61*LAFs!J276*(1-Contrib!J121)/(24*Input!$F$60)*100</f>
        <v>4.9761787853020564E-3</v>
      </c>
      <c r="K38" s="34">
        <f>K$11*Loads!$B61*LAFs!B276*(1-Contrib!K121)/(24*Input!$F$60)*100</f>
        <v>0.16165865041730115</v>
      </c>
      <c r="L38" s="34">
        <f>L$11*Loads!$B61*LAFs!C276*(1-Contrib!L121)/(24*Input!$F$60)*100</f>
        <v>0.1134777572826909</v>
      </c>
      <c r="M38" s="34">
        <f>M$11*Loads!$B61*LAFs!D276*(1-Contrib!M121)/(24*Input!$F$60)*100</f>
        <v>4.4886737628453112E-2</v>
      </c>
      <c r="N38" s="34">
        <f>N$11*Loads!$B61*LAFs!E276*(1-Contrib!N121)/(24*Input!$F$60)*100</f>
        <v>0.11334204724044948</v>
      </c>
      <c r="O38" s="34">
        <f>O$11*Loads!$B61*LAFs!F276*(1-Contrib!O121)/(24*Input!$F$60)*100</f>
        <v>7.1496548415052E-2</v>
      </c>
      <c r="P38" s="34">
        <f>P$11*Loads!$B61*LAFs!G276*(1-Contrib!P121)/(24*Input!$F$60)*100</f>
        <v>0</v>
      </c>
      <c r="Q38" s="34">
        <f>Q$11*Loads!$B61*LAFs!H276*(1-Contrib!Q121)/(24*Input!$F$60)*100</f>
        <v>0.1298006017557172</v>
      </c>
      <c r="R38" s="34">
        <f>R$11*Loads!$B61*LAFs!I276*(1-Contrib!R121)/(24*Input!$F$60)*100</f>
        <v>0.11784861455687193</v>
      </c>
      <c r="S38" s="34">
        <f>S$11*Loads!$B61*LAFs!J276*(1-Contrib!S121)/(24*Input!$F$60)*100</f>
        <v>6.5330759370705774E-2</v>
      </c>
      <c r="T38" s="17"/>
    </row>
    <row r="39" spans="1:20">
      <c r="A39" s="4" t="s">
        <v>230</v>
      </c>
      <c r="B39" s="34">
        <f>B$11*Loads!$B62*LAFs!B277*(1-Contrib!B122)/(24*Input!$F$60)*100</f>
        <v>0</v>
      </c>
      <c r="C39" s="34">
        <f>C$11*Loads!$B62*LAFs!C277*(1-Contrib!C122)/(24*Input!$F$60)*100</f>
        <v>0.52871490952013178</v>
      </c>
      <c r="D39" s="34">
        <f>D$11*Loads!$B62*LAFs!D277*(1-Contrib!D122)/(24*Input!$F$60)*100</f>
        <v>0.20913602799498962</v>
      </c>
      <c r="E39" s="34">
        <f>E$11*Loads!$B62*LAFs!E277*(1-Contrib!E122)/(24*Input!$F$60)*100</f>
        <v>0.52808261007729118</v>
      </c>
      <c r="F39" s="34">
        <f>F$11*Loads!$B62*LAFs!F277*(1-Contrib!F122)/(24*Input!$F$60)*100</f>
        <v>0.33311630430003114</v>
      </c>
      <c r="G39" s="34">
        <f>G$11*Loads!$B62*LAFs!G277*(1-Contrib!G122)/(24*Input!$F$60)*100</f>
        <v>0</v>
      </c>
      <c r="H39" s="34">
        <f>H$11*Loads!$B62*LAFs!H277*(1-Contrib!H122)/(24*Input!$F$60)*100</f>
        <v>0.4233363483680731</v>
      </c>
      <c r="I39" s="34">
        <f>I$11*Loads!$B62*LAFs!I277*(1-Contrib!I122)/(24*Input!$F$60)*100</f>
        <v>0.38435570769258987</v>
      </c>
      <c r="J39" s="34">
        <f>J$11*Loads!$B62*LAFs!J277*(1-Contrib!J122)/(24*Input!$F$60)*100</f>
        <v>9.1316608708214928E-3</v>
      </c>
      <c r="K39" s="34">
        <f>K$11*Loads!$B62*LAFs!B277*(1-Contrib!K122)/(24*Input!$F$60)*100</f>
        <v>0.29665573447756916</v>
      </c>
      <c r="L39" s="34">
        <f>L$11*Loads!$B62*LAFs!C277*(1-Contrib!L122)/(24*Input!$F$60)*100</f>
        <v>0.20824018601333813</v>
      </c>
      <c r="M39" s="34">
        <f>M$11*Loads!$B62*LAFs!D277*(1-Contrib!M122)/(24*Input!$F$60)*100</f>
        <v>8.2370526322577756E-2</v>
      </c>
      <c r="N39" s="34">
        <f>N$11*Loads!$B62*LAFs!E277*(1-Contrib!N122)/(24*Input!$F$60)*100</f>
        <v>0.20799114791885212</v>
      </c>
      <c r="O39" s="34">
        <f>O$11*Loads!$B62*LAFs!F277*(1-Contrib!O122)/(24*Input!$F$60)*100</f>
        <v>0.1312015226400059</v>
      </c>
      <c r="P39" s="34">
        <f>P$11*Loads!$B62*LAFs!G277*(1-Contrib!P122)/(24*Input!$F$60)*100</f>
        <v>0</v>
      </c>
      <c r="Q39" s="34">
        <f>Q$11*Loads!$B62*LAFs!H277*(1-Contrib!Q122)/(24*Input!$F$60)*100</f>
        <v>0.23819382847793291</v>
      </c>
      <c r="R39" s="34">
        <f>R$11*Loads!$B62*LAFs!I277*(1-Contrib!R122)/(24*Input!$F$60)*100</f>
        <v>0.21626103656245313</v>
      </c>
      <c r="S39" s="34">
        <f>S$11*Loads!$B62*LAFs!J277*(1-Contrib!S122)/(24*Input!$F$60)*100</f>
        <v>0.11988683782194855</v>
      </c>
      <c r="T39" s="17"/>
    </row>
    <row r="40" spans="1:20">
      <c r="A40" s="4" t="s">
        <v>231</v>
      </c>
      <c r="B40" s="34">
        <f>B$11*Loads!$B63*LAFs!B278*(1-Contrib!B123)/(24*Input!$F$60)*100</f>
        <v>0</v>
      </c>
      <c r="C40" s="34">
        <f>C$11*Loads!$B63*LAFs!C278*(1-Contrib!C123)/(24*Input!$F$60)*100</f>
        <v>0</v>
      </c>
      <c r="D40" s="34">
        <f>D$11*Loads!$B63*LAFs!D278*(1-Contrib!D123)/(24*Input!$F$60)*100</f>
        <v>0</v>
      </c>
      <c r="E40" s="34">
        <f>E$11*Loads!$B63*LAFs!E278*(1-Contrib!E123)/(24*Input!$F$60)*100</f>
        <v>0</v>
      </c>
      <c r="F40" s="34">
        <f>F$11*Loads!$B63*LAFs!F278*(1-Contrib!F123)/(24*Input!$F$60)*100</f>
        <v>0</v>
      </c>
      <c r="G40" s="34">
        <f>G$11*Loads!$B63*LAFs!G278*(1-Contrib!G123)/(24*Input!$F$60)*100</f>
        <v>0</v>
      </c>
      <c r="H40" s="34">
        <f>H$11*Loads!$B63*LAFs!H278*(1-Contrib!H123)/(24*Input!$F$60)*100</f>
        <v>0</v>
      </c>
      <c r="I40" s="34">
        <f>I$11*Loads!$B63*LAFs!I278*(1-Contrib!I123)/(24*Input!$F$60)*100</f>
        <v>0</v>
      </c>
      <c r="J40" s="34">
        <f>J$11*Loads!$B63*LAFs!J278*(1-Contrib!J123)/(24*Input!$F$60)*100</f>
        <v>0</v>
      </c>
      <c r="K40" s="34">
        <f>K$11*Loads!$B63*LAFs!B278*(1-Contrib!K123)/(24*Input!$F$60)*100</f>
        <v>0</v>
      </c>
      <c r="L40" s="34">
        <f>L$11*Loads!$B63*LAFs!C278*(1-Contrib!L123)/(24*Input!$F$60)*100</f>
        <v>0</v>
      </c>
      <c r="M40" s="34">
        <f>M$11*Loads!$B63*LAFs!D278*(1-Contrib!M123)/(24*Input!$F$60)*100</f>
        <v>0</v>
      </c>
      <c r="N40" s="34">
        <f>N$11*Loads!$B63*LAFs!E278*(1-Contrib!N123)/(24*Input!$F$60)*100</f>
        <v>0</v>
      </c>
      <c r="O40" s="34">
        <f>O$11*Loads!$B63*LAFs!F278*(1-Contrib!O123)/(24*Input!$F$60)*100</f>
        <v>0</v>
      </c>
      <c r="P40" s="34">
        <f>P$11*Loads!$B63*LAFs!G278*(1-Contrib!P123)/(24*Input!$F$60)*100</f>
        <v>0</v>
      </c>
      <c r="Q40" s="34">
        <f>Q$11*Loads!$B63*LAFs!H278*(1-Contrib!Q123)/(24*Input!$F$60)*100</f>
        <v>0</v>
      </c>
      <c r="R40" s="34">
        <f>R$11*Loads!$B63*LAFs!I278*(1-Contrib!R123)/(24*Input!$F$60)*100</f>
        <v>0</v>
      </c>
      <c r="S40" s="34">
        <f>S$11*Loads!$B63*LAFs!J278*(1-Contrib!S123)/(24*Input!$F$60)*100</f>
        <v>0</v>
      </c>
      <c r="T40" s="17"/>
    </row>
    <row r="41" spans="1:20">
      <c r="A41" s="4" t="s">
        <v>232</v>
      </c>
      <c r="B41" s="34">
        <f>B$11*Loads!$B64*LAFs!B279*(1-Contrib!B124)/(24*Input!$F$60)*100</f>
        <v>0</v>
      </c>
      <c r="C41" s="34">
        <f>C$11*Loads!$B64*LAFs!C279*(1-Contrib!C124)/(24*Input!$F$60)*100</f>
        <v>0.28132911281072881</v>
      </c>
      <c r="D41" s="34">
        <f>D$11*Loads!$B64*LAFs!D279*(1-Contrib!D124)/(24*Input!$F$60)*100</f>
        <v>0.1112812446805983</v>
      </c>
      <c r="E41" s="34">
        <f>E$11*Loads!$B64*LAFs!E279*(1-Contrib!E124)/(24*Input!$F$60)*100</f>
        <v>0.28099266638547771</v>
      </c>
      <c r="F41" s="34">
        <f>F$11*Loads!$B64*LAFs!F279*(1-Contrib!F124)/(24*Input!$F$60)*100</f>
        <v>0.17725112847030117</v>
      </c>
      <c r="G41" s="34">
        <f>G$11*Loads!$B64*LAFs!G279*(1-Contrib!G124)/(24*Input!$F$60)*100</f>
        <v>0</v>
      </c>
      <c r="H41" s="34">
        <f>H$11*Loads!$B64*LAFs!H279*(1-Contrib!H124)/(24*Input!$F$60)*100</f>
        <v>0.22525719846829634</v>
      </c>
      <c r="I41" s="34">
        <f>I$11*Loads!$B64*LAFs!I279*(1-Contrib!I124)/(24*Input!$F$60)*100</f>
        <v>0.20451560624049109</v>
      </c>
      <c r="J41" s="34">
        <f>J$11*Loads!$B64*LAFs!J279*(1-Contrib!J124)/(24*Input!$F$60)*100</f>
        <v>4.8589551855239268E-3</v>
      </c>
      <c r="K41" s="34">
        <f>K$11*Loads!$B64*LAFs!B279*(1-Contrib!K124)/(24*Input!$F$60)*100</f>
        <v>0.1578504655118145</v>
      </c>
      <c r="L41" s="34">
        <f>L$11*Loads!$B64*LAFs!C279*(1-Contrib!L124)/(24*Input!$F$60)*100</f>
        <v>0.11080456731557874</v>
      </c>
      <c r="M41" s="34">
        <f>M$11*Loads!$B64*LAFs!D279*(1-Contrib!M124)/(24*Input!$F$60)*100</f>
        <v>4.3829342949900721E-2</v>
      </c>
      <c r="N41" s="34">
        <f>N$11*Loads!$B64*LAFs!E279*(1-Contrib!N124)/(24*Input!$F$60)*100</f>
        <v>0.11067205418815167</v>
      </c>
      <c r="O41" s="34">
        <f>O$11*Loads!$B64*LAFs!F279*(1-Contrib!O124)/(24*Input!$F$60)*100</f>
        <v>6.9812307727864759E-2</v>
      </c>
      <c r="P41" s="34">
        <f>P$11*Loads!$B64*LAFs!G279*(1-Contrib!P124)/(24*Input!$F$60)*100</f>
        <v>0</v>
      </c>
      <c r="Q41" s="34">
        <f>Q$11*Loads!$B64*LAFs!H279*(1-Contrib!Q124)/(24*Input!$F$60)*100</f>
        <v>0.12674289534128641</v>
      </c>
      <c r="R41" s="34">
        <f>R$11*Loads!$B64*LAFs!I279*(1-Contrib!R124)/(24*Input!$F$60)*100</f>
        <v>0.11507246051915415</v>
      </c>
      <c r="S41" s="34">
        <f>S$11*Loads!$B64*LAFs!J279*(1-Contrib!S124)/(24*Input!$F$60)*100</f>
        <v>6.3791765873869824E-2</v>
      </c>
      <c r="T41" s="17"/>
    </row>
    <row r="42" spans="1:20">
      <c r="A42" s="4" t="s">
        <v>190</v>
      </c>
      <c r="B42" s="34">
        <f>B$11*Loads!$B65*LAFs!B280*(1-Contrib!B125)/(24*Input!$F$60)*100</f>
        <v>0</v>
      </c>
      <c r="C42" s="34">
        <f>C$11*Loads!$B65*LAFs!C280*(1-Contrib!C125)/(24*Input!$F$60)*100</f>
        <v>-0.13631165338487333</v>
      </c>
      <c r="D42" s="34">
        <f>D$11*Loads!$B65*LAFs!D280*(1-Contrib!D125)/(24*Input!$F$60)*100</f>
        <v>-5.391880812329676E-2</v>
      </c>
      <c r="E42" s="34">
        <f>E$11*Loads!$B65*LAFs!E280*(1-Contrib!E125)/(24*Input!$F$60)*100</f>
        <v>-0.13614863588539305</v>
      </c>
      <c r="F42" s="34">
        <f>F$11*Loads!$B65*LAFs!F280*(1-Contrib!F125)/(24*Input!$F$60)*100</f>
        <v>-8.5883022004823673E-2</v>
      </c>
      <c r="G42" s="34">
        <f>G$11*Loads!$B65*LAFs!G280*(1-Contrib!G125)/(24*Input!$F$60)*100</f>
        <v>0</v>
      </c>
      <c r="H42" s="34">
        <f>H$11*Loads!$B65*LAFs!H280*(1-Contrib!H125)/(24*Input!$F$60)*100</f>
        <v>-0.1091432765464117</v>
      </c>
      <c r="I42" s="34">
        <f>I$11*Loads!$B65*LAFs!I280*(1-Contrib!I125)/(24*Input!$F$60)*100</f>
        <v>-9.9093407543664302E-2</v>
      </c>
      <c r="J42" s="34">
        <f>J$11*Loads!$B65*LAFs!J280*(1-Contrib!J125)/(24*Input!$F$60)*100</f>
        <v>0</v>
      </c>
      <c r="K42" s="34">
        <f>K$11*Loads!$B65*LAFs!B280*(1-Contrib!K125)/(24*Input!$F$60)*100</f>
        <v>-7.6482869925955238E-2</v>
      </c>
      <c r="L42" s="34">
        <f>L$11*Loads!$B65*LAFs!C280*(1-Contrib!L125)/(24*Input!$F$60)*100</f>
        <v>-5.3687844896250031E-2</v>
      </c>
      <c r="M42" s="34">
        <f>M$11*Loads!$B65*LAFs!D280*(1-Contrib!M125)/(24*Input!$F$60)*100</f>
        <v>-2.1236515995744353E-2</v>
      </c>
      <c r="N42" s="34">
        <f>N$11*Loads!$B65*LAFs!E280*(1-Contrib!N125)/(24*Input!$F$60)*100</f>
        <v>-5.3623638659951484E-2</v>
      </c>
      <c r="O42" s="34">
        <f>O$11*Loads!$B65*LAFs!F280*(1-Contrib!O125)/(24*Input!$F$60)*100</f>
        <v>-3.3825973422811365E-2</v>
      </c>
      <c r="P42" s="34">
        <f>P$11*Loads!$B65*LAFs!G280*(1-Contrib!P125)/(24*Input!$F$60)*100</f>
        <v>0</v>
      </c>
      <c r="Q42" s="34">
        <f>Q$11*Loads!$B65*LAFs!H280*(1-Contrib!Q125)/(24*Input!$F$60)*100</f>
        <v>-6.1410400957614117E-2</v>
      </c>
      <c r="R42" s="34">
        <f>R$11*Loads!$B65*LAFs!I280*(1-Contrib!R125)/(24*Input!$F$60)*100</f>
        <v>-5.5755755939074898E-2</v>
      </c>
      <c r="S42" s="34">
        <f>S$11*Loads!$B65*LAFs!J280*(1-Contrib!S125)/(24*Input!$F$60)*100</f>
        <v>0</v>
      </c>
      <c r="T42" s="17"/>
    </row>
    <row r="43" spans="1:20">
      <c r="A43" s="4" t="s">
        <v>191</v>
      </c>
      <c r="B43" s="34">
        <f>B$11*Loads!$B66*LAFs!B281*(1-Contrib!B126)/(24*Input!$F$60)*100</f>
        <v>0</v>
      </c>
      <c r="C43" s="34">
        <f>C$11*Loads!$B66*LAFs!C281*(1-Contrib!C126)/(24*Input!$F$60)*100</f>
        <v>-0.12962072025304061</v>
      </c>
      <c r="D43" s="34">
        <f>D$11*Loads!$B66*LAFs!D281*(1-Contrib!D126)/(24*Input!$F$60)*100</f>
        <v>-5.1272173512516436E-2</v>
      </c>
      <c r="E43" s="34">
        <f>E$11*Loads!$B66*LAFs!E281*(1-Contrib!E126)/(24*Input!$F$60)*100</f>
        <v>-0.12946570455796413</v>
      </c>
      <c r="F43" s="34">
        <f>F$11*Loads!$B66*LAFs!F281*(1-Contrib!F126)/(24*Input!$F$60)*100</f>
        <v>-8.166740622198583E-2</v>
      </c>
      <c r="G43" s="34">
        <f>G$11*Loads!$B66*LAFs!G281*(1-Contrib!G126)/(24*Input!$F$60)*100</f>
        <v>0</v>
      </c>
      <c r="H43" s="34">
        <f>H$11*Loads!$B66*LAFs!H281*(1-Contrib!H126)/(24*Input!$F$60)*100</f>
        <v>-0.1037859182646567</v>
      </c>
      <c r="I43" s="34">
        <f>I$11*Loads!$B66*LAFs!I281*(1-Contrib!I126)/(24*Input!$F$60)*100</f>
        <v>0</v>
      </c>
      <c r="J43" s="34">
        <f>J$11*Loads!$B66*LAFs!J281*(1-Contrib!J126)/(24*Input!$F$60)*100</f>
        <v>0</v>
      </c>
      <c r="K43" s="34">
        <f>K$11*Loads!$B66*LAFs!B281*(1-Contrib!K126)/(24*Input!$F$60)*100</f>
        <v>-7.2728665823094479E-2</v>
      </c>
      <c r="L43" s="34">
        <f>L$11*Loads!$B66*LAFs!C281*(1-Contrib!L126)/(24*Input!$F$60)*100</f>
        <v>-5.1052547243607221E-2</v>
      </c>
      <c r="M43" s="34">
        <f>M$11*Loads!$B66*LAFs!D281*(1-Contrib!M126)/(24*Input!$F$60)*100</f>
        <v>-2.019410982611609E-2</v>
      </c>
      <c r="N43" s="34">
        <f>N$11*Loads!$B66*LAFs!E281*(1-Contrib!N126)/(24*Input!$F$60)*100</f>
        <v>-5.0991492606038892E-2</v>
      </c>
      <c r="O43" s="34">
        <f>O$11*Loads!$B66*LAFs!F281*(1-Contrib!O126)/(24*Input!$F$60)*100</f>
        <v>-3.2165606750769404E-2</v>
      </c>
      <c r="P43" s="34">
        <f>P$11*Loads!$B66*LAFs!G281*(1-Contrib!P126)/(24*Input!$F$60)*100</f>
        <v>0</v>
      </c>
      <c r="Q43" s="34">
        <f>Q$11*Loads!$B66*LAFs!H281*(1-Contrib!Q126)/(24*Input!$F$60)*100</f>
        <v>-5.839603735624041E-2</v>
      </c>
      <c r="R43" s="34">
        <f>R$11*Loads!$B66*LAFs!I281*(1-Contrib!R126)/(24*Input!$F$60)*100</f>
        <v>0</v>
      </c>
      <c r="S43" s="34">
        <f>S$11*Loads!$B66*LAFs!J281*(1-Contrib!S126)/(24*Input!$F$60)*100</f>
        <v>0</v>
      </c>
      <c r="T43" s="17"/>
    </row>
    <row r="44" spans="1:20">
      <c r="A44" s="4" t="s">
        <v>192</v>
      </c>
      <c r="B44" s="34">
        <f>B$11*Loads!$B67*LAFs!B282*(1-Contrib!B127)/(24*Input!$F$60)*100</f>
        <v>0</v>
      </c>
      <c r="C44" s="34">
        <f>C$11*Loads!$B67*LAFs!C282*(1-Contrib!C127)/(24*Input!$F$60)*100</f>
        <v>-0.13631165338487333</v>
      </c>
      <c r="D44" s="34">
        <f>D$11*Loads!$B67*LAFs!D282*(1-Contrib!D127)/(24*Input!$F$60)*100</f>
        <v>-5.391880812329676E-2</v>
      </c>
      <c r="E44" s="34">
        <f>E$11*Loads!$B67*LAFs!E282*(1-Contrib!E127)/(24*Input!$F$60)*100</f>
        <v>-0.13614863588539305</v>
      </c>
      <c r="F44" s="34">
        <f>F$11*Loads!$B67*LAFs!F282*(1-Contrib!F127)/(24*Input!$F$60)*100</f>
        <v>-8.5883022004823673E-2</v>
      </c>
      <c r="G44" s="34">
        <f>G$11*Loads!$B67*LAFs!G282*(1-Contrib!G127)/(24*Input!$F$60)*100</f>
        <v>0</v>
      </c>
      <c r="H44" s="34">
        <f>H$11*Loads!$B67*LAFs!H282*(1-Contrib!H127)/(24*Input!$F$60)*100</f>
        <v>-0.1091432765464117</v>
      </c>
      <c r="I44" s="34">
        <f>I$11*Loads!$B67*LAFs!I282*(1-Contrib!I127)/(24*Input!$F$60)*100</f>
        <v>-9.9093407543664302E-2</v>
      </c>
      <c r="J44" s="34">
        <f>J$11*Loads!$B67*LAFs!J282*(1-Contrib!J127)/(24*Input!$F$60)*100</f>
        <v>0</v>
      </c>
      <c r="K44" s="34">
        <f>K$11*Loads!$B67*LAFs!B282*(1-Contrib!K127)/(24*Input!$F$60)*100</f>
        <v>-7.6482869925955238E-2</v>
      </c>
      <c r="L44" s="34">
        <f>L$11*Loads!$B67*LAFs!C282*(1-Contrib!L127)/(24*Input!$F$60)*100</f>
        <v>-5.3687844896250031E-2</v>
      </c>
      <c r="M44" s="34">
        <f>M$11*Loads!$B67*LAFs!D282*(1-Contrib!M127)/(24*Input!$F$60)*100</f>
        <v>-2.1236515995744353E-2</v>
      </c>
      <c r="N44" s="34">
        <f>N$11*Loads!$B67*LAFs!E282*(1-Contrib!N127)/(24*Input!$F$60)*100</f>
        <v>-5.3623638659951484E-2</v>
      </c>
      <c r="O44" s="34">
        <f>O$11*Loads!$B67*LAFs!F282*(1-Contrib!O127)/(24*Input!$F$60)*100</f>
        <v>-3.3825973422811365E-2</v>
      </c>
      <c r="P44" s="34">
        <f>P$11*Loads!$B67*LAFs!G282*(1-Contrib!P127)/(24*Input!$F$60)*100</f>
        <v>0</v>
      </c>
      <c r="Q44" s="34">
        <f>Q$11*Loads!$B67*LAFs!H282*(1-Contrib!Q127)/(24*Input!$F$60)*100</f>
        <v>-6.1410400957614117E-2</v>
      </c>
      <c r="R44" s="34">
        <f>R$11*Loads!$B67*LAFs!I282*(1-Contrib!R127)/(24*Input!$F$60)*100</f>
        <v>-5.5755755939074898E-2</v>
      </c>
      <c r="S44" s="34">
        <f>S$11*Loads!$B67*LAFs!J282*(1-Contrib!S127)/(24*Input!$F$60)*100</f>
        <v>0</v>
      </c>
      <c r="T44" s="17"/>
    </row>
    <row r="45" spans="1:20">
      <c r="A45" s="4" t="s">
        <v>193</v>
      </c>
      <c r="B45" s="34">
        <f>B$11*Loads!$B68*LAFs!B283*(1-Contrib!B128)/(24*Input!$F$60)*100</f>
        <v>0</v>
      </c>
      <c r="C45" s="34">
        <f>C$11*Loads!$B68*LAFs!C283*(1-Contrib!C128)/(24*Input!$F$60)*100</f>
        <v>-0.13631165338487333</v>
      </c>
      <c r="D45" s="34">
        <f>D$11*Loads!$B68*LAFs!D283*(1-Contrib!D128)/(24*Input!$F$60)*100</f>
        <v>-5.391880812329676E-2</v>
      </c>
      <c r="E45" s="34">
        <f>E$11*Loads!$B68*LAFs!E283*(1-Contrib!E128)/(24*Input!$F$60)*100</f>
        <v>-0.13614863588539305</v>
      </c>
      <c r="F45" s="34">
        <f>F$11*Loads!$B68*LAFs!F283*(1-Contrib!F128)/(24*Input!$F$60)*100</f>
        <v>-8.5883022004823673E-2</v>
      </c>
      <c r="G45" s="34">
        <f>G$11*Loads!$B68*LAFs!G283*(1-Contrib!G128)/(24*Input!$F$60)*100</f>
        <v>0</v>
      </c>
      <c r="H45" s="34">
        <f>H$11*Loads!$B68*LAFs!H283*(1-Contrib!H128)/(24*Input!$F$60)*100</f>
        <v>-0.1091432765464117</v>
      </c>
      <c r="I45" s="34">
        <f>I$11*Loads!$B68*LAFs!I283*(1-Contrib!I128)/(24*Input!$F$60)*100</f>
        <v>-9.9093407543664302E-2</v>
      </c>
      <c r="J45" s="34">
        <f>J$11*Loads!$B68*LAFs!J283*(1-Contrib!J128)/(24*Input!$F$60)*100</f>
        <v>0</v>
      </c>
      <c r="K45" s="34">
        <f>K$11*Loads!$B68*LAFs!B283*(1-Contrib!K128)/(24*Input!$F$60)*100</f>
        <v>-7.6482869925955238E-2</v>
      </c>
      <c r="L45" s="34">
        <f>L$11*Loads!$B68*LAFs!C283*(1-Contrib!L128)/(24*Input!$F$60)*100</f>
        <v>-5.3687844896250031E-2</v>
      </c>
      <c r="M45" s="34">
        <f>M$11*Loads!$B68*LAFs!D283*(1-Contrib!M128)/(24*Input!$F$60)*100</f>
        <v>-2.1236515995744353E-2</v>
      </c>
      <c r="N45" s="34">
        <f>N$11*Loads!$B68*LAFs!E283*(1-Contrib!N128)/(24*Input!$F$60)*100</f>
        <v>-5.3623638659951484E-2</v>
      </c>
      <c r="O45" s="34">
        <f>O$11*Loads!$B68*LAFs!F283*(1-Contrib!O128)/(24*Input!$F$60)*100</f>
        <v>-3.3825973422811365E-2</v>
      </c>
      <c r="P45" s="34">
        <f>P$11*Loads!$B68*LAFs!G283*(1-Contrib!P128)/(24*Input!$F$60)*100</f>
        <v>0</v>
      </c>
      <c r="Q45" s="34">
        <f>Q$11*Loads!$B68*LAFs!H283*(1-Contrib!Q128)/(24*Input!$F$60)*100</f>
        <v>-6.1410400957614117E-2</v>
      </c>
      <c r="R45" s="34">
        <f>R$11*Loads!$B68*LAFs!I283*(1-Contrib!R128)/(24*Input!$F$60)*100</f>
        <v>-5.5755755939074898E-2</v>
      </c>
      <c r="S45" s="34">
        <f>S$11*Loads!$B68*LAFs!J283*(1-Contrib!S128)/(24*Input!$F$60)*100</f>
        <v>0</v>
      </c>
      <c r="T45" s="17"/>
    </row>
    <row r="46" spans="1:20">
      <c r="A46" s="4" t="s">
        <v>194</v>
      </c>
      <c r="B46" s="34">
        <f>B$11*Loads!$B69*LAFs!B284*(1-Contrib!B129)/(24*Input!$F$60)*100</f>
        <v>0</v>
      </c>
      <c r="C46" s="34">
        <f>C$11*Loads!$B69*LAFs!C284*(1-Contrib!C129)/(24*Input!$F$60)*100</f>
        <v>-0.13631165338487333</v>
      </c>
      <c r="D46" s="34">
        <f>D$11*Loads!$B69*LAFs!D284*(1-Contrib!D129)/(24*Input!$F$60)*100</f>
        <v>-5.391880812329676E-2</v>
      </c>
      <c r="E46" s="34">
        <f>E$11*Loads!$B69*LAFs!E284*(1-Contrib!E129)/(24*Input!$F$60)*100</f>
        <v>-0.13614863588539305</v>
      </c>
      <c r="F46" s="34">
        <f>F$11*Loads!$B69*LAFs!F284*(1-Contrib!F129)/(24*Input!$F$60)*100</f>
        <v>-8.5883022004823673E-2</v>
      </c>
      <c r="G46" s="34">
        <f>G$11*Loads!$B69*LAFs!G284*(1-Contrib!G129)/(24*Input!$F$60)*100</f>
        <v>0</v>
      </c>
      <c r="H46" s="34">
        <f>H$11*Loads!$B69*LAFs!H284*(1-Contrib!H129)/(24*Input!$F$60)*100</f>
        <v>-0.1091432765464117</v>
      </c>
      <c r="I46" s="34">
        <f>I$11*Loads!$B69*LAFs!I284*(1-Contrib!I129)/(24*Input!$F$60)*100</f>
        <v>-9.9093407543664302E-2</v>
      </c>
      <c r="J46" s="34">
        <f>J$11*Loads!$B69*LAFs!J284*(1-Contrib!J129)/(24*Input!$F$60)*100</f>
        <v>0</v>
      </c>
      <c r="K46" s="34">
        <f>K$11*Loads!$B69*LAFs!B284*(1-Contrib!K129)/(24*Input!$F$60)*100</f>
        <v>-7.6482869925955238E-2</v>
      </c>
      <c r="L46" s="34">
        <f>L$11*Loads!$B69*LAFs!C284*(1-Contrib!L129)/(24*Input!$F$60)*100</f>
        <v>-5.3687844896250031E-2</v>
      </c>
      <c r="M46" s="34">
        <f>M$11*Loads!$B69*LAFs!D284*(1-Contrib!M129)/(24*Input!$F$60)*100</f>
        <v>-2.1236515995744353E-2</v>
      </c>
      <c r="N46" s="34">
        <f>N$11*Loads!$B69*LAFs!E284*(1-Contrib!N129)/(24*Input!$F$60)*100</f>
        <v>-5.3623638659951484E-2</v>
      </c>
      <c r="O46" s="34">
        <f>O$11*Loads!$B69*LAFs!F284*(1-Contrib!O129)/(24*Input!$F$60)*100</f>
        <v>-3.3825973422811365E-2</v>
      </c>
      <c r="P46" s="34">
        <f>P$11*Loads!$B69*LAFs!G284*(1-Contrib!P129)/(24*Input!$F$60)*100</f>
        <v>0</v>
      </c>
      <c r="Q46" s="34">
        <f>Q$11*Loads!$B69*LAFs!H284*(1-Contrib!Q129)/(24*Input!$F$60)*100</f>
        <v>-6.1410400957614117E-2</v>
      </c>
      <c r="R46" s="34">
        <f>R$11*Loads!$B69*LAFs!I284*(1-Contrib!R129)/(24*Input!$F$60)*100</f>
        <v>-5.5755755939074898E-2</v>
      </c>
      <c r="S46" s="34">
        <f>S$11*Loads!$B69*LAFs!J284*(1-Contrib!S129)/(24*Input!$F$60)*100</f>
        <v>0</v>
      </c>
      <c r="T46" s="17"/>
    </row>
    <row r="47" spans="1:20">
      <c r="A47" s="4" t="s">
        <v>195</v>
      </c>
      <c r="B47" s="34">
        <f>B$11*Loads!$B70*LAFs!B285*(1-Contrib!B130)/(24*Input!$F$60)*100</f>
        <v>0</v>
      </c>
      <c r="C47" s="34">
        <f>C$11*Loads!$B70*LAFs!C285*(1-Contrib!C130)/(24*Input!$F$60)*100</f>
        <v>-0.13631165338487333</v>
      </c>
      <c r="D47" s="34">
        <f>D$11*Loads!$B70*LAFs!D285*(1-Contrib!D130)/(24*Input!$F$60)*100</f>
        <v>-5.391880812329676E-2</v>
      </c>
      <c r="E47" s="34">
        <f>E$11*Loads!$B70*LAFs!E285*(1-Contrib!E130)/(24*Input!$F$60)*100</f>
        <v>-0.13614863588539305</v>
      </c>
      <c r="F47" s="34">
        <f>F$11*Loads!$B70*LAFs!F285*(1-Contrib!F130)/(24*Input!$F$60)*100</f>
        <v>-8.5883022004823673E-2</v>
      </c>
      <c r="G47" s="34">
        <f>G$11*Loads!$B70*LAFs!G285*(1-Contrib!G130)/(24*Input!$F$60)*100</f>
        <v>0</v>
      </c>
      <c r="H47" s="34">
        <f>H$11*Loads!$B70*LAFs!H285*(1-Contrib!H130)/(24*Input!$F$60)*100</f>
        <v>-0.1091432765464117</v>
      </c>
      <c r="I47" s="34">
        <f>I$11*Loads!$B70*LAFs!I285*(1-Contrib!I130)/(24*Input!$F$60)*100</f>
        <v>-9.9093407543664302E-2</v>
      </c>
      <c r="J47" s="34">
        <f>J$11*Loads!$B70*LAFs!J285*(1-Contrib!J130)/(24*Input!$F$60)*100</f>
        <v>0</v>
      </c>
      <c r="K47" s="34">
        <f>K$11*Loads!$B70*LAFs!B285*(1-Contrib!K130)/(24*Input!$F$60)*100</f>
        <v>-7.6482869925955238E-2</v>
      </c>
      <c r="L47" s="34">
        <f>L$11*Loads!$B70*LAFs!C285*(1-Contrib!L130)/(24*Input!$F$60)*100</f>
        <v>-5.3687844896250031E-2</v>
      </c>
      <c r="M47" s="34">
        <f>M$11*Loads!$B70*LAFs!D285*(1-Contrib!M130)/(24*Input!$F$60)*100</f>
        <v>-2.1236515995744353E-2</v>
      </c>
      <c r="N47" s="34">
        <f>N$11*Loads!$B70*LAFs!E285*(1-Contrib!N130)/(24*Input!$F$60)*100</f>
        <v>-5.3623638659951484E-2</v>
      </c>
      <c r="O47" s="34">
        <f>O$11*Loads!$B70*LAFs!F285*(1-Contrib!O130)/(24*Input!$F$60)*100</f>
        <v>-3.3825973422811365E-2</v>
      </c>
      <c r="P47" s="34">
        <f>P$11*Loads!$B70*LAFs!G285*(1-Contrib!P130)/(24*Input!$F$60)*100</f>
        <v>0</v>
      </c>
      <c r="Q47" s="34">
        <f>Q$11*Loads!$B70*LAFs!H285*(1-Contrib!Q130)/(24*Input!$F$60)*100</f>
        <v>-6.1410400957614117E-2</v>
      </c>
      <c r="R47" s="34">
        <f>R$11*Loads!$B70*LAFs!I285*(1-Contrib!R130)/(24*Input!$F$60)*100</f>
        <v>-5.5755755939074898E-2</v>
      </c>
      <c r="S47" s="34">
        <f>S$11*Loads!$B70*LAFs!J285*(1-Contrib!S130)/(24*Input!$F$60)*100</f>
        <v>0</v>
      </c>
      <c r="T47" s="17"/>
    </row>
    <row r="48" spans="1:20">
      <c r="A48" s="4" t="s">
        <v>196</v>
      </c>
      <c r="B48" s="34">
        <f>B$11*Loads!$B71*LAFs!B286*(1-Contrib!B131)/(24*Input!$F$60)*100</f>
        <v>0</v>
      </c>
      <c r="C48" s="34">
        <f>C$11*Loads!$B71*LAFs!C286*(1-Contrib!C131)/(24*Input!$F$60)*100</f>
        <v>-0.12962072025304061</v>
      </c>
      <c r="D48" s="34">
        <f>D$11*Loads!$B71*LAFs!D286*(1-Contrib!D131)/(24*Input!$F$60)*100</f>
        <v>-5.1272173512516436E-2</v>
      </c>
      <c r="E48" s="34">
        <f>E$11*Loads!$B71*LAFs!E286*(1-Contrib!E131)/(24*Input!$F$60)*100</f>
        <v>-0.12946570455796413</v>
      </c>
      <c r="F48" s="34">
        <f>F$11*Loads!$B71*LAFs!F286*(1-Contrib!F131)/(24*Input!$F$60)*100</f>
        <v>-8.166740622198583E-2</v>
      </c>
      <c r="G48" s="34">
        <f>G$11*Loads!$B71*LAFs!G286*(1-Contrib!G131)/(24*Input!$F$60)*100</f>
        <v>0</v>
      </c>
      <c r="H48" s="34">
        <f>H$11*Loads!$B71*LAFs!H286*(1-Contrib!H131)/(24*Input!$F$60)*100</f>
        <v>-0.1037859182646567</v>
      </c>
      <c r="I48" s="34">
        <f>I$11*Loads!$B71*LAFs!I286*(1-Contrib!I131)/(24*Input!$F$60)*100</f>
        <v>0</v>
      </c>
      <c r="J48" s="34">
        <f>J$11*Loads!$B71*LAFs!J286*(1-Contrib!J131)/(24*Input!$F$60)*100</f>
        <v>0</v>
      </c>
      <c r="K48" s="34">
        <f>K$11*Loads!$B71*LAFs!B286*(1-Contrib!K131)/(24*Input!$F$60)*100</f>
        <v>-7.2728665823094479E-2</v>
      </c>
      <c r="L48" s="34">
        <f>L$11*Loads!$B71*LAFs!C286*(1-Contrib!L131)/(24*Input!$F$60)*100</f>
        <v>-5.1052547243607221E-2</v>
      </c>
      <c r="M48" s="34">
        <f>M$11*Loads!$B71*LAFs!D286*(1-Contrib!M131)/(24*Input!$F$60)*100</f>
        <v>-2.019410982611609E-2</v>
      </c>
      <c r="N48" s="34">
        <f>N$11*Loads!$B71*LAFs!E286*(1-Contrib!N131)/(24*Input!$F$60)*100</f>
        <v>-5.0991492606038892E-2</v>
      </c>
      <c r="O48" s="34">
        <f>O$11*Loads!$B71*LAFs!F286*(1-Contrib!O131)/(24*Input!$F$60)*100</f>
        <v>-3.2165606750769404E-2</v>
      </c>
      <c r="P48" s="34">
        <f>P$11*Loads!$B71*LAFs!G286*(1-Contrib!P131)/(24*Input!$F$60)*100</f>
        <v>0</v>
      </c>
      <c r="Q48" s="34">
        <f>Q$11*Loads!$B71*LAFs!H286*(1-Contrib!Q131)/(24*Input!$F$60)*100</f>
        <v>-5.839603735624041E-2</v>
      </c>
      <c r="R48" s="34">
        <f>R$11*Loads!$B71*LAFs!I286*(1-Contrib!R131)/(24*Input!$F$60)*100</f>
        <v>0</v>
      </c>
      <c r="S48" s="34">
        <f>S$11*Loads!$B71*LAFs!J286*(1-Contrib!S131)/(24*Input!$F$60)*100</f>
        <v>0</v>
      </c>
      <c r="T48" s="17"/>
    </row>
    <row r="49" spans="1:20">
      <c r="A49" s="4" t="s">
        <v>197</v>
      </c>
      <c r="B49" s="34">
        <f>B$11*Loads!$B72*LAFs!B287*(1-Contrib!B132)/(24*Input!$F$60)*100</f>
        <v>0</v>
      </c>
      <c r="C49" s="34">
        <f>C$11*Loads!$B72*LAFs!C287*(1-Contrib!C132)/(24*Input!$F$60)*100</f>
        <v>-0.12962072025304061</v>
      </c>
      <c r="D49" s="34">
        <f>D$11*Loads!$B72*LAFs!D287*(1-Contrib!D132)/(24*Input!$F$60)*100</f>
        <v>-5.1272173512516436E-2</v>
      </c>
      <c r="E49" s="34">
        <f>E$11*Loads!$B72*LAFs!E287*(1-Contrib!E132)/(24*Input!$F$60)*100</f>
        <v>-0.12946570455796413</v>
      </c>
      <c r="F49" s="34">
        <f>F$11*Loads!$B72*LAFs!F287*(1-Contrib!F132)/(24*Input!$F$60)*100</f>
        <v>-8.166740622198583E-2</v>
      </c>
      <c r="G49" s="34">
        <f>G$11*Loads!$B72*LAFs!G287*(1-Contrib!G132)/(24*Input!$F$60)*100</f>
        <v>0</v>
      </c>
      <c r="H49" s="34">
        <f>H$11*Loads!$B72*LAFs!H287*(1-Contrib!H132)/(24*Input!$F$60)*100</f>
        <v>-0.1037859182646567</v>
      </c>
      <c r="I49" s="34">
        <f>I$11*Loads!$B72*LAFs!I287*(1-Contrib!I132)/(24*Input!$F$60)*100</f>
        <v>0</v>
      </c>
      <c r="J49" s="34">
        <f>J$11*Loads!$B72*LAFs!J287*(1-Contrib!J132)/(24*Input!$F$60)*100</f>
        <v>0</v>
      </c>
      <c r="K49" s="34">
        <f>K$11*Loads!$B72*LAFs!B287*(1-Contrib!K132)/(24*Input!$F$60)*100</f>
        <v>-7.2728665823094479E-2</v>
      </c>
      <c r="L49" s="34">
        <f>L$11*Loads!$B72*LAFs!C287*(1-Contrib!L132)/(24*Input!$F$60)*100</f>
        <v>-5.1052547243607221E-2</v>
      </c>
      <c r="M49" s="34">
        <f>M$11*Loads!$B72*LAFs!D287*(1-Contrib!M132)/(24*Input!$F$60)*100</f>
        <v>-2.019410982611609E-2</v>
      </c>
      <c r="N49" s="34">
        <f>N$11*Loads!$B72*LAFs!E287*(1-Contrib!N132)/(24*Input!$F$60)*100</f>
        <v>-5.0991492606038892E-2</v>
      </c>
      <c r="O49" s="34">
        <f>O$11*Loads!$B72*LAFs!F287*(1-Contrib!O132)/(24*Input!$F$60)*100</f>
        <v>-3.2165606750769404E-2</v>
      </c>
      <c r="P49" s="34">
        <f>P$11*Loads!$B72*LAFs!G287*(1-Contrib!P132)/(24*Input!$F$60)*100</f>
        <v>0</v>
      </c>
      <c r="Q49" s="34">
        <f>Q$11*Loads!$B72*LAFs!H287*(1-Contrib!Q132)/(24*Input!$F$60)*100</f>
        <v>-5.839603735624041E-2</v>
      </c>
      <c r="R49" s="34">
        <f>R$11*Loads!$B72*LAFs!I287*(1-Contrib!R132)/(24*Input!$F$60)*100</f>
        <v>0</v>
      </c>
      <c r="S49" s="34">
        <f>S$11*Loads!$B72*LAFs!J287*(1-Contrib!S132)/(24*Input!$F$60)*100</f>
        <v>0</v>
      </c>
      <c r="T49" s="17"/>
    </row>
    <row r="50" spans="1:20">
      <c r="A50" s="4" t="s">
        <v>198</v>
      </c>
      <c r="B50" s="34">
        <f>B$11*Loads!$B73*LAFs!B288*(1-Contrib!B133)/(24*Input!$F$60)*100</f>
        <v>0</v>
      </c>
      <c r="C50" s="34">
        <f>C$11*Loads!$B73*LAFs!C288*(1-Contrib!C133)/(24*Input!$F$60)*100</f>
        <v>-0.12962072025304061</v>
      </c>
      <c r="D50" s="34">
        <f>D$11*Loads!$B73*LAFs!D288*(1-Contrib!D133)/(24*Input!$F$60)*100</f>
        <v>-5.1272173512516436E-2</v>
      </c>
      <c r="E50" s="34">
        <f>E$11*Loads!$B73*LAFs!E288*(1-Contrib!E133)/(24*Input!$F$60)*100</f>
        <v>-0.12946570455796413</v>
      </c>
      <c r="F50" s="34">
        <f>F$11*Loads!$B73*LAFs!F288*(1-Contrib!F133)/(24*Input!$F$60)*100</f>
        <v>-8.166740622198583E-2</v>
      </c>
      <c r="G50" s="34">
        <f>G$11*Loads!$B73*LAFs!G288*(1-Contrib!G133)/(24*Input!$F$60)*100</f>
        <v>0</v>
      </c>
      <c r="H50" s="34">
        <f>H$11*Loads!$B73*LAFs!H288*(1-Contrib!H133)/(24*Input!$F$60)*100</f>
        <v>-0.1037859182646567</v>
      </c>
      <c r="I50" s="34">
        <f>I$11*Loads!$B73*LAFs!I288*(1-Contrib!I133)/(24*Input!$F$60)*100</f>
        <v>0</v>
      </c>
      <c r="J50" s="34">
        <f>J$11*Loads!$B73*LAFs!J288*(1-Contrib!J133)/(24*Input!$F$60)*100</f>
        <v>0</v>
      </c>
      <c r="K50" s="34">
        <f>K$11*Loads!$B73*LAFs!B288*(1-Contrib!K133)/(24*Input!$F$60)*100</f>
        <v>-7.2728665823094479E-2</v>
      </c>
      <c r="L50" s="34">
        <f>L$11*Loads!$B73*LAFs!C288*(1-Contrib!L133)/(24*Input!$F$60)*100</f>
        <v>-5.1052547243607221E-2</v>
      </c>
      <c r="M50" s="34">
        <f>M$11*Loads!$B73*LAFs!D288*(1-Contrib!M133)/(24*Input!$F$60)*100</f>
        <v>-2.019410982611609E-2</v>
      </c>
      <c r="N50" s="34">
        <f>N$11*Loads!$B73*LAFs!E288*(1-Contrib!N133)/(24*Input!$F$60)*100</f>
        <v>-5.0991492606038892E-2</v>
      </c>
      <c r="O50" s="34">
        <f>O$11*Loads!$B73*LAFs!F288*(1-Contrib!O133)/(24*Input!$F$60)*100</f>
        <v>-3.2165606750769404E-2</v>
      </c>
      <c r="P50" s="34">
        <f>P$11*Loads!$B73*LAFs!G288*(1-Contrib!P133)/(24*Input!$F$60)*100</f>
        <v>0</v>
      </c>
      <c r="Q50" s="34">
        <f>Q$11*Loads!$B73*LAFs!H288*(1-Contrib!Q133)/(24*Input!$F$60)*100</f>
        <v>-5.839603735624041E-2</v>
      </c>
      <c r="R50" s="34">
        <f>R$11*Loads!$B73*LAFs!I288*(1-Contrib!R133)/(24*Input!$F$60)*100</f>
        <v>0</v>
      </c>
      <c r="S50" s="34">
        <f>S$11*Loads!$B73*LAFs!J288*(1-Contrib!S133)/(24*Input!$F$60)*100</f>
        <v>0</v>
      </c>
      <c r="T50" s="17"/>
    </row>
    <row r="51" spans="1:20">
      <c r="A51" s="4" t="s">
        <v>199</v>
      </c>
      <c r="B51" s="34">
        <f>B$11*Loads!$B74*LAFs!B289*(1-Contrib!B134)/(24*Input!$F$60)*100</f>
        <v>0</v>
      </c>
      <c r="C51" s="34">
        <f>C$11*Loads!$B74*LAFs!C289*(1-Contrib!C134)/(24*Input!$F$60)*100</f>
        <v>-0.12962072025304061</v>
      </c>
      <c r="D51" s="34">
        <f>D$11*Loads!$B74*LAFs!D289*(1-Contrib!D134)/(24*Input!$F$60)*100</f>
        <v>-5.1272173512516436E-2</v>
      </c>
      <c r="E51" s="34">
        <f>E$11*Loads!$B74*LAFs!E289*(1-Contrib!E134)/(24*Input!$F$60)*100</f>
        <v>-0.12946570455796413</v>
      </c>
      <c r="F51" s="34">
        <f>F$11*Loads!$B74*LAFs!F289*(1-Contrib!F134)/(24*Input!$F$60)*100</f>
        <v>-8.166740622198583E-2</v>
      </c>
      <c r="G51" s="34">
        <f>G$11*Loads!$B74*LAFs!G289*(1-Contrib!G134)/(24*Input!$F$60)*100</f>
        <v>0</v>
      </c>
      <c r="H51" s="34">
        <f>H$11*Loads!$B74*LAFs!H289*(1-Contrib!H134)/(24*Input!$F$60)*100</f>
        <v>-0.1037859182646567</v>
      </c>
      <c r="I51" s="34">
        <f>I$11*Loads!$B74*LAFs!I289*(1-Contrib!I134)/(24*Input!$F$60)*100</f>
        <v>0</v>
      </c>
      <c r="J51" s="34">
        <f>J$11*Loads!$B74*LAFs!J289*(1-Contrib!J134)/(24*Input!$F$60)*100</f>
        <v>0</v>
      </c>
      <c r="K51" s="34">
        <f>K$11*Loads!$B74*LAFs!B289*(1-Contrib!K134)/(24*Input!$F$60)*100</f>
        <v>-7.2728665823094479E-2</v>
      </c>
      <c r="L51" s="34">
        <f>L$11*Loads!$B74*LAFs!C289*(1-Contrib!L134)/(24*Input!$F$60)*100</f>
        <v>-5.1052547243607221E-2</v>
      </c>
      <c r="M51" s="34">
        <f>M$11*Loads!$B74*LAFs!D289*(1-Contrib!M134)/(24*Input!$F$60)*100</f>
        <v>-2.019410982611609E-2</v>
      </c>
      <c r="N51" s="34">
        <f>N$11*Loads!$B74*LAFs!E289*(1-Contrib!N134)/(24*Input!$F$60)*100</f>
        <v>-5.0991492606038892E-2</v>
      </c>
      <c r="O51" s="34">
        <f>O$11*Loads!$B74*LAFs!F289*(1-Contrib!O134)/(24*Input!$F$60)*100</f>
        <v>-3.2165606750769404E-2</v>
      </c>
      <c r="P51" s="34">
        <f>P$11*Loads!$B74*LAFs!G289*(1-Contrib!P134)/(24*Input!$F$60)*100</f>
        <v>0</v>
      </c>
      <c r="Q51" s="34">
        <f>Q$11*Loads!$B74*LAFs!H289*(1-Contrib!Q134)/(24*Input!$F$60)*100</f>
        <v>-5.839603735624041E-2</v>
      </c>
      <c r="R51" s="34">
        <f>R$11*Loads!$B74*LAFs!I289*(1-Contrib!R134)/(24*Input!$F$60)*100</f>
        <v>0</v>
      </c>
      <c r="S51" s="34">
        <f>S$11*Loads!$B74*LAFs!J289*(1-Contrib!S134)/(24*Input!$F$60)*100</f>
        <v>0</v>
      </c>
      <c r="T51" s="17"/>
    </row>
    <row r="52" spans="1:20">
      <c r="A52" s="4" t="s">
        <v>207</v>
      </c>
      <c r="B52" s="34">
        <f>B$11*Loads!$B75*LAFs!B290*(1-Contrib!B135)/(24*Input!$F$60)*100</f>
        <v>0</v>
      </c>
      <c r="C52" s="34">
        <f>C$11*Loads!$B75*LAFs!C290*(1-Contrib!C135)/(24*Input!$F$60)*100</f>
        <v>-0.12791551877758725</v>
      </c>
      <c r="D52" s="34">
        <f>D$11*Loads!$B75*LAFs!D290*(1-Contrib!D135)/(24*Input!$F$60)*100</f>
        <v>-5.0597671891536633E-2</v>
      </c>
      <c r="E52" s="34">
        <f>E$11*Loads!$B75*LAFs!E290*(1-Contrib!E135)/(24*Input!$F$60)*100</f>
        <v>-0.12776254236289314</v>
      </c>
      <c r="F52" s="34">
        <f>F$11*Loads!$B75*LAFs!F290*(1-Contrib!F135)/(24*Input!$F$60)*100</f>
        <v>-3.4655009661234276E-2</v>
      </c>
      <c r="G52" s="34">
        <f>G$11*Loads!$B75*LAFs!G290*(1-Contrib!G135)/(24*Input!$F$60)*100</f>
        <v>0</v>
      </c>
      <c r="H52" s="34">
        <f>H$11*Loads!$B75*LAFs!H290*(1-Contrib!H135)/(24*Input!$F$60)*100</f>
        <v>0</v>
      </c>
      <c r="I52" s="34">
        <f>I$11*Loads!$B75*LAFs!I290*(1-Contrib!I135)/(24*Input!$F$60)*100</f>
        <v>0</v>
      </c>
      <c r="J52" s="34">
        <f>J$11*Loads!$B75*LAFs!J290*(1-Contrib!J135)/(24*Input!$F$60)*100</f>
        <v>0</v>
      </c>
      <c r="K52" s="34">
        <f>K$11*Loads!$B75*LAFs!B290*(1-Contrib!K135)/(24*Input!$F$60)*100</f>
        <v>-7.177189727538702E-2</v>
      </c>
      <c r="L52" s="34">
        <f>L$11*Loads!$B75*LAFs!C290*(1-Contrib!L135)/(24*Input!$F$60)*100</f>
        <v>-5.038093487549581E-2</v>
      </c>
      <c r="M52" s="34">
        <f>M$11*Loads!$B75*LAFs!D290*(1-Contrib!M135)/(24*Input!$F$60)*100</f>
        <v>-1.9928449939303719E-2</v>
      </c>
      <c r="N52" s="34">
        <f>N$11*Loads!$B75*LAFs!E290*(1-Contrib!N135)/(24*Input!$F$60)*100</f>
        <v>-5.0320683430949864E-2</v>
      </c>
      <c r="O52" s="34">
        <f>O$11*Loads!$B75*LAFs!F290*(1-Contrib!O135)/(24*Input!$F$60)*100</f>
        <v>-3.1742458044426838E-2</v>
      </c>
      <c r="P52" s="34">
        <f>P$11*Loads!$B75*LAFs!G290*(1-Contrib!P135)/(24*Input!$F$60)*100</f>
        <v>0</v>
      </c>
      <c r="Q52" s="34">
        <f>Q$11*Loads!$B75*LAFs!H290*(1-Contrib!Q135)/(24*Input!$F$60)*100</f>
        <v>0</v>
      </c>
      <c r="R52" s="34">
        <f>R$11*Loads!$B75*LAFs!I290*(1-Contrib!R135)/(24*Input!$F$60)*100</f>
        <v>0</v>
      </c>
      <c r="S52" s="34">
        <f>S$11*Loads!$B75*LAFs!J290*(1-Contrib!S135)/(24*Input!$F$60)*100</f>
        <v>0</v>
      </c>
      <c r="T52" s="17"/>
    </row>
    <row r="53" spans="1:20">
      <c r="A53" s="4" t="s">
        <v>208</v>
      </c>
      <c r="B53" s="34">
        <f>B$11*Loads!$B76*LAFs!B291*(1-Contrib!B136)/(24*Input!$F$60)*100</f>
        <v>0</v>
      </c>
      <c r="C53" s="34">
        <f>C$11*Loads!$B76*LAFs!C291*(1-Contrib!C136)/(24*Input!$F$60)*100</f>
        <v>-0.12791551877758725</v>
      </c>
      <c r="D53" s="34">
        <f>D$11*Loads!$B76*LAFs!D291*(1-Contrib!D136)/(24*Input!$F$60)*100</f>
        <v>-5.0597671891536633E-2</v>
      </c>
      <c r="E53" s="34">
        <f>E$11*Loads!$B76*LAFs!E291*(1-Contrib!E136)/(24*Input!$F$60)*100</f>
        <v>-0.12776254236289314</v>
      </c>
      <c r="F53" s="34">
        <f>F$11*Loads!$B76*LAFs!F291*(1-Contrib!F136)/(24*Input!$F$60)*100</f>
        <v>-3.4655009661234276E-2</v>
      </c>
      <c r="G53" s="34">
        <f>G$11*Loads!$B76*LAFs!G291*(1-Contrib!G136)/(24*Input!$F$60)*100</f>
        <v>0</v>
      </c>
      <c r="H53" s="34">
        <f>H$11*Loads!$B76*LAFs!H291*(1-Contrib!H136)/(24*Input!$F$60)*100</f>
        <v>0</v>
      </c>
      <c r="I53" s="34">
        <f>I$11*Loads!$B76*LAFs!I291*(1-Contrib!I136)/(24*Input!$F$60)*100</f>
        <v>0</v>
      </c>
      <c r="J53" s="34">
        <f>J$11*Loads!$B76*LAFs!J291*(1-Contrib!J136)/(24*Input!$F$60)*100</f>
        <v>0</v>
      </c>
      <c r="K53" s="34">
        <f>K$11*Loads!$B76*LAFs!B291*(1-Contrib!K136)/(24*Input!$F$60)*100</f>
        <v>-7.177189727538702E-2</v>
      </c>
      <c r="L53" s="34">
        <f>L$11*Loads!$B76*LAFs!C291*(1-Contrib!L136)/(24*Input!$F$60)*100</f>
        <v>-5.038093487549581E-2</v>
      </c>
      <c r="M53" s="34">
        <f>M$11*Loads!$B76*LAFs!D291*(1-Contrib!M136)/(24*Input!$F$60)*100</f>
        <v>-1.9928449939303719E-2</v>
      </c>
      <c r="N53" s="34">
        <f>N$11*Loads!$B76*LAFs!E291*(1-Contrib!N136)/(24*Input!$F$60)*100</f>
        <v>-5.0320683430949864E-2</v>
      </c>
      <c r="O53" s="34">
        <f>O$11*Loads!$B76*LAFs!F291*(1-Contrib!O136)/(24*Input!$F$60)*100</f>
        <v>-3.1742458044426838E-2</v>
      </c>
      <c r="P53" s="34">
        <f>P$11*Loads!$B76*LAFs!G291*(1-Contrib!P136)/(24*Input!$F$60)*100</f>
        <v>0</v>
      </c>
      <c r="Q53" s="34">
        <f>Q$11*Loads!$B76*LAFs!H291*(1-Contrib!Q136)/(24*Input!$F$60)*100</f>
        <v>0</v>
      </c>
      <c r="R53" s="34">
        <f>R$11*Loads!$B76*LAFs!I291*(1-Contrib!R136)/(24*Input!$F$60)*100</f>
        <v>0</v>
      </c>
      <c r="S53" s="34">
        <f>S$11*Loads!$B76*LAFs!J291*(1-Contrib!S136)/(24*Input!$F$60)*100</f>
        <v>0</v>
      </c>
      <c r="T53" s="17"/>
    </row>
    <row r="54" spans="1:20">
      <c r="A54" s="4" t="s">
        <v>209</v>
      </c>
      <c r="B54" s="34">
        <f>B$11*Loads!$B77*LAFs!B292*(1-Contrib!B137)/(24*Input!$F$60)*100</f>
        <v>0</v>
      </c>
      <c r="C54" s="34">
        <f>C$11*Loads!$B77*LAFs!C292*(1-Contrib!C137)/(24*Input!$F$60)*100</f>
        <v>-0.12791551877758725</v>
      </c>
      <c r="D54" s="34">
        <f>D$11*Loads!$B77*LAFs!D292*(1-Contrib!D137)/(24*Input!$F$60)*100</f>
        <v>-5.0597671891536633E-2</v>
      </c>
      <c r="E54" s="34">
        <f>E$11*Loads!$B77*LAFs!E292*(1-Contrib!E137)/(24*Input!$F$60)*100</f>
        <v>-0.12776254236289314</v>
      </c>
      <c r="F54" s="34">
        <f>F$11*Loads!$B77*LAFs!F292*(1-Contrib!F137)/(24*Input!$F$60)*100</f>
        <v>-3.4655009661234276E-2</v>
      </c>
      <c r="G54" s="34">
        <f>G$11*Loads!$B77*LAFs!G292*(1-Contrib!G137)/(24*Input!$F$60)*100</f>
        <v>0</v>
      </c>
      <c r="H54" s="34">
        <f>H$11*Loads!$B77*LAFs!H292*(1-Contrib!H137)/(24*Input!$F$60)*100</f>
        <v>0</v>
      </c>
      <c r="I54" s="34">
        <f>I$11*Loads!$B77*LAFs!I292*(1-Contrib!I137)/(24*Input!$F$60)*100</f>
        <v>0</v>
      </c>
      <c r="J54" s="34">
        <f>J$11*Loads!$B77*LAFs!J292*(1-Contrib!J137)/(24*Input!$F$60)*100</f>
        <v>0</v>
      </c>
      <c r="K54" s="34">
        <f>K$11*Loads!$B77*LAFs!B292*(1-Contrib!K137)/(24*Input!$F$60)*100</f>
        <v>-7.177189727538702E-2</v>
      </c>
      <c r="L54" s="34">
        <f>L$11*Loads!$B77*LAFs!C292*(1-Contrib!L137)/(24*Input!$F$60)*100</f>
        <v>-5.038093487549581E-2</v>
      </c>
      <c r="M54" s="34">
        <f>M$11*Loads!$B77*LAFs!D292*(1-Contrib!M137)/(24*Input!$F$60)*100</f>
        <v>-1.9928449939303719E-2</v>
      </c>
      <c r="N54" s="34">
        <f>N$11*Loads!$B77*LAFs!E292*(1-Contrib!N137)/(24*Input!$F$60)*100</f>
        <v>-5.0320683430949864E-2</v>
      </c>
      <c r="O54" s="34">
        <f>O$11*Loads!$B77*LAFs!F292*(1-Contrib!O137)/(24*Input!$F$60)*100</f>
        <v>-3.1742458044426838E-2</v>
      </c>
      <c r="P54" s="34">
        <f>P$11*Loads!$B77*LAFs!G292*(1-Contrib!P137)/(24*Input!$F$60)*100</f>
        <v>0</v>
      </c>
      <c r="Q54" s="34">
        <f>Q$11*Loads!$B77*LAFs!H292*(1-Contrib!Q137)/(24*Input!$F$60)*100</f>
        <v>0</v>
      </c>
      <c r="R54" s="34">
        <f>R$11*Loads!$B77*LAFs!I292*(1-Contrib!R137)/(24*Input!$F$60)*100</f>
        <v>0</v>
      </c>
      <c r="S54" s="34">
        <f>S$11*Loads!$B77*LAFs!J292*(1-Contrib!S137)/(24*Input!$F$60)*100</f>
        <v>0</v>
      </c>
      <c r="T54" s="17"/>
    </row>
    <row r="55" spans="1:20">
      <c r="A55" s="4" t="s">
        <v>210</v>
      </c>
      <c r="B55" s="34">
        <f>B$11*Loads!$B78*LAFs!B293*(1-Contrib!B138)/(24*Input!$F$60)*100</f>
        <v>0</v>
      </c>
      <c r="C55" s="34">
        <f>C$11*Loads!$B78*LAFs!C293*(1-Contrib!C138)/(24*Input!$F$60)*100</f>
        <v>-0.12791551877758725</v>
      </c>
      <c r="D55" s="34">
        <f>D$11*Loads!$B78*LAFs!D293*(1-Contrib!D138)/(24*Input!$F$60)*100</f>
        <v>-5.0597671891536633E-2</v>
      </c>
      <c r="E55" s="34">
        <f>E$11*Loads!$B78*LAFs!E293*(1-Contrib!E138)/(24*Input!$F$60)*100</f>
        <v>-0.12776254236289314</v>
      </c>
      <c r="F55" s="34">
        <f>F$11*Loads!$B78*LAFs!F293*(1-Contrib!F138)/(24*Input!$F$60)*100</f>
        <v>-3.4655009661234276E-2</v>
      </c>
      <c r="G55" s="34">
        <f>G$11*Loads!$B78*LAFs!G293*(1-Contrib!G138)/(24*Input!$F$60)*100</f>
        <v>0</v>
      </c>
      <c r="H55" s="34">
        <f>H$11*Loads!$B78*LAFs!H293*(1-Contrib!H138)/(24*Input!$F$60)*100</f>
        <v>0</v>
      </c>
      <c r="I55" s="34">
        <f>I$11*Loads!$B78*LAFs!I293*(1-Contrib!I138)/(24*Input!$F$60)*100</f>
        <v>0</v>
      </c>
      <c r="J55" s="34">
        <f>J$11*Loads!$B78*LAFs!J293*(1-Contrib!J138)/(24*Input!$F$60)*100</f>
        <v>0</v>
      </c>
      <c r="K55" s="34">
        <f>K$11*Loads!$B78*LAFs!B293*(1-Contrib!K138)/(24*Input!$F$60)*100</f>
        <v>-7.177189727538702E-2</v>
      </c>
      <c r="L55" s="34">
        <f>L$11*Loads!$B78*LAFs!C293*(1-Contrib!L138)/(24*Input!$F$60)*100</f>
        <v>-5.038093487549581E-2</v>
      </c>
      <c r="M55" s="34">
        <f>M$11*Loads!$B78*LAFs!D293*(1-Contrib!M138)/(24*Input!$F$60)*100</f>
        <v>-1.9928449939303719E-2</v>
      </c>
      <c r="N55" s="34">
        <f>N$11*Loads!$B78*LAFs!E293*(1-Contrib!N138)/(24*Input!$F$60)*100</f>
        <v>-5.0320683430949864E-2</v>
      </c>
      <c r="O55" s="34">
        <f>O$11*Loads!$B78*LAFs!F293*(1-Contrib!O138)/(24*Input!$F$60)*100</f>
        <v>-3.1742458044426838E-2</v>
      </c>
      <c r="P55" s="34">
        <f>P$11*Loads!$B78*LAFs!G293*(1-Contrib!P138)/(24*Input!$F$60)*100</f>
        <v>0</v>
      </c>
      <c r="Q55" s="34">
        <f>Q$11*Loads!$B78*LAFs!H293*(1-Contrib!Q138)/(24*Input!$F$60)*100</f>
        <v>0</v>
      </c>
      <c r="R55" s="34">
        <f>R$11*Loads!$B78*LAFs!I293*(1-Contrib!R138)/(24*Input!$F$60)*100</f>
        <v>0</v>
      </c>
      <c r="S55" s="34">
        <f>S$11*Loads!$B78*LAFs!J293*(1-Contrib!S138)/(24*Input!$F$60)*100</f>
        <v>0</v>
      </c>
      <c r="T55" s="17"/>
    </row>
    <row r="57" spans="1:20" ht="21" customHeight="1">
      <c r="A57" s="1" t="s">
        <v>1007</v>
      </c>
    </row>
    <row r="58" spans="1:20">
      <c r="A58" s="2" t="s">
        <v>379</v>
      </c>
    </row>
    <row r="59" spans="1:20">
      <c r="A59" s="29" t="s">
        <v>1008</v>
      </c>
    </row>
    <row r="60" spans="1:20">
      <c r="A60" s="29" t="s">
        <v>1009</v>
      </c>
    </row>
    <row r="61" spans="1:20">
      <c r="A61" s="29" t="s">
        <v>828</v>
      </c>
    </row>
    <row r="62" spans="1:20">
      <c r="A62" s="29" t="s">
        <v>1005</v>
      </c>
    </row>
    <row r="63" spans="1:20">
      <c r="A63" s="29" t="s">
        <v>773</v>
      </c>
    </row>
    <row r="64" spans="1:20">
      <c r="A64" s="2" t="s">
        <v>1010</v>
      </c>
    </row>
    <row r="66" spans="1:20" ht="30">
      <c r="B66" s="15" t="s">
        <v>148</v>
      </c>
      <c r="C66" s="15" t="s">
        <v>333</v>
      </c>
      <c r="D66" s="15" t="s">
        <v>334</v>
      </c>
      <c r="E66" s="15" t="s">
        <v>335</v>
      </c>
      <c r="F66" s="15" t="s">
        <v>336</v>
      </c>
      <c r="G66" s="15" t="s">
        <v>337</v>
      </c>
      <c r="H66" s="15" t="s">
        <v>338</v>
      </c>
      <c r="I66" s="15" t="s">
        <v>339</v>
      </c>
      <c r="J66" s="15" t="s">
        <v>340</v>
      </c>
      <c r="K66" s="15" t="s">
        <v>321</v>
      </c>
      <c r="L66" s="15" t="s">
        <v>909</v>
      </c>
      <c r="M66" s="15" t="s">
        <v>910</v>
      </c>
      <c r="N66" s="15" t="s">
        <v>911</v>
      </c>
      <c r="O66" s="15" t="s">
        <v>912</v>
      </c>
      <c r="P66" s="15" t="s">
        <v>913</v>
      </c>
      <c r="Q66" s="15" t="s">
        <v>914</v>
      </c>
      <c r="R66" s="15" t="s">
        <v>915</v>
      </c>
      <c r="S66" s="15" t="s">
        <v>916</v>
      </c>
    </row>
    <row r="67" spans="1:20">
      <c r="A67" s="4" t="s">
        <v>180</v>
      </c>
      <c r="B67" s="34">
        <f>Multi!B882*B$11*LAFs!B$261*(1-Contrib!B$106)*100/(24*Input!$F$60)</f>
        <v>0</v>
      </c>
      <c r="C67" s="34">
        <f>Multi!C882*C$11*LAFs!C$261*(1-Contrib!C$106)*100/(24*Input!$F$60)</f>
        <v>0.25586168986668695</v>
      </c>
      <c r="D67" s="34">
        <f>Multi!D882*D$11*LAFs!D$261*(1-Contrib!D$106)*100/(24*Input!$F$60)</f>
        <v>0.1012074684698622</v>
      </c>
      <c r="E67" s="34">
        <f>Multi!E882*E$11*LAFs!E$261*(1-Contrib!E$106)*100/(24*Input!$F$60)</f>
        <v>0.25008683800099535</v>
      </c>
      <c r="F67" s="34">
        <f>Multi!F882*F$11*LAFs!F$261*(1-Contrib!F$106)*100/(24*Input!$F$60)</f>
        <v>0.15775562694022249</v>
      </c>
      <c r="G67" s="34">
        <f>Multi!G882*G$11*LAFs!G$261*(1-Contrib!G$106)*100/(24*Input!$F$60)</f>
        <v>0</v>
      </c>
      <c r="H67" s="34">
        <f>Multi!H882*H$11*LAFs!H$261*(1-Contrib!H$106)*100/(24*Input!$F$60)</f>
        <v>0.20048160411637819</v>
      </c>
      <c r="I67" s="34">
        <f>Multi!I882*I$11*LAFs!I$261*(1-Contrib!I$106)*100/(24*Input!$F$60)</f>
        <v>0.18202133865079548</v>
      </c>
      <c r="J67" s="34">
        <f>Multi!J882*J$11*LAFs!J$261*(1-Contrib!J$106)*100/(24*Input!$F$60)</f>
        <v>4.3245283016362041E-3</v>
      </c>
      <c r="K67" s="34">
        <f>Multi!B882*K$11*LAFs!B$261*(1-Contrib!K$106)*100/(24*Input!$F$60)</f>
        <v>0.15125305119069615</v>
      </c>
      <c r="L67" s="34">
        <f>Multi!C882*L$11*LAFs!C$261*(1-Contrib!L$106)*100/(24*Input!$F$60)</f>
        <v>0.10077394250123216</v>
      </c>
      <c r="M67" s="34">
        <f>Multi!D882*M$11*LAFs!D$261*(1-Contrib!M$106)*100/(24*Input!$F$60)</f>
        <v>3.9861675319940407E-2</v>
      </c>
      <c r="N67" s="34">
        <f>Multi!E882*N$11*LAFs!E$261*(1-Contrib!N$106)*100/(24*Input!$F$60)</f>
        <v>9.8499453537411241E-2</v>
      </c>
      <c r="O67" s="34">
        <f>Multi!F882*O$11*LAFs!F$261*(1-Contrib!O$106)*100/(24*Input!$F$60)</f>
        <v>6.2133789887822033E-2</v>
      </c>
      <c r="P67" s="34">
        <f>Multi!G882*P$11*LAFs!G$261*(1-Contrib!P$106)*100/(24*Input!$F$60)</f>
        <v>0</v>
      </c>
      <c r="Q67" s="34">
        <f>Multi!H882*Q$11*LAFs!H$261*(1-Contrib!Q$106)*100/(24*Input!$F$60)</f>
        <v>0.1128026946137821</v>
      </c>
      <c r="R67" s="34">
        <f>Multi!I882*R$11*LAFs!I$261*(1-Contrib!R$106)*100/(24*Input!$F$60)</f>
        <v>0.10241586786735069</v>
      </c>
      <c r="S67" s="34">
        <f>Multi!J882*S$11*LAFs!J$261*(1-Contrib!S$106)*100/(24*Input!$F$60)</f>
        <v>5.6775435541119204E-2</v>
      </c>
      <c r="T67" s="17"/>
    </row>
    <row r="68" spans="1:20">
      <c r="A68" s="4" t="s">
        <v>181</v>
      </c>
      <c r="B68" s="34">
        <f>Multi!B883*B$11*LAFs!B$262*(1-Contrib!B$107)*100/(24*Input!$F$60)</f>
        <v>0</v>
      </c>
      <c r="C68" s="34">
        <f>Multi!C883*C$11*LAFs!C$262*(1-Contrib!C$107)*100/(24*Input!$F$60)</f>
        <v>0.31311052461642763</v>
      </c>
      <c r="D68" s="34">
        <f>Multi!D883*D$11*LAFs!D$262*(1-Contrib!D$107)*100/(24*Input!$F$60)</f>
        <v>0.12385255316733929</v>
      </c>
      <c r="E68" s="34">
        <f>Multi!E883*E$11*LAFs!E$262*(1-Contrib!E$107)*100/(24*Input!$F$60)</f>
        <v>0.30525017922688308</v>
      </c>
      <c r="F68" s="34">
        <f>Multi!F883*F$11*LAFs!F$262*(1-Contrib!F$107)*100/(24*Input!$F$60)</f>
        <v>0.19255284997189889</v>
      </c>
      <c r="G68" s="34">
        <f>Multi!G883*G$11*LAFs!G$262*(1-Contrib!G$107)*100/(24*Input!$F$60)</f>
        <v>0</v>
      </c>
      <c r="H68" s="34">
        <f>Multi!H883*H$11*LAFs!H$262*(1-Contrib!H$107)*100/(24*Input!$F$60)</f>
        <v>0.24470318421145343</v>
      </c>
      <c r="I68" s="34">
        <f>Multi!I883*I$11*LAFs!I$262*(1-Contrib!I$107)*100/(24*Input!$F$60)</f>
        <v>0.22217101343834572</v>
      </c>
      <c r="J68" s="34">
        <f>Multi!J883*J$11*LAFs!J$262*(1-Contrib!J$107)*100/(24*Input!$F$60)</f>
        <v>5.2784186872758421E-3</v>
      </c>
      <c r="K68" s="34">
        <f>Multi!B883*K$11*LAFs!B$262*(1-Contrib!K$107)*100/(24*Input!$F$60)</f>
        <v>0.1868196198240295</v>
      </c>
      <c r="L68" s="34">
        <f>Multi!C883*L$11*LAFs!C$262*(1-Contrib!L$107)*100/(24*Input!$F$60)</f>
        <v>0.12332202613320874</v>
      </c>
      <c r="M68" s="34">
        <f>Multi!D883*M$11*LAFs!D$262*(1-Contrib!M$107)*100/(24*Input!$F$60)</f>
        <v>4.8780691153956474E-2</v>
      </c>
      <c r="N68" s="34">
        <f>Multi!E883*N$11*LAFs!E$262*(1-Contrib!N$107)*100/(24*Input!$F$60)</f>
        <v>0.12022614259261885</v>
      </c>
      <c r="O68" s="34">
        <f>Multi!F883*O$11*LAFs!F$262*(1-Contrib!O$107)*100/(24*Input!$F$60)</f>
        <v>7.5839059148037596E-2</v>
      </c>
      <c r="P68" s="34">
        <f>Multi!G883*P$11*LAFs!G$262*(1-Contrib!P$107)*100/(24*Input!$F$60)</f>
        <v>0</v>
      </c>
      <c r="Q68" s="34">
        <f>Multi!H883*Q$11*LAFs!H$262*(1-Contrib!Q$107)*100/(24*Input!$F$60)</f>
        <v>0.13768434605900901</v>
      </c>
      <c r="R68" s="34">
        <f>Multi!I883*R$11*LAFs!I$262*(1-Contrib!R$107)*100/(24*Input!$F$60)</f>
        <v>0.12500642685586341</v>
      </c>
      <c r="S68" s="34">
        <f>Multi!J883*S$11*LAFs!J$262*(1-Contrib!S$107)*100/(24*Input!$F$60)</f>
        <v>6.9298776429577699E-2</v>
      </c>
      <c r="T68" s="17"/>
    </row>
    <row r="69" spans="1:20">
      <c r="A69" s="4" t="s">
        <v>226</v>
      </c>
      <c r="B69" s="34">
        <f>Multi!B884*B$11*LAFs!B$263*(1-Contrib!B$108)*100/(24*Input!$F$60)</f>
        <v>0</v>
      </c>
      <c r="C69" s="34">
        <f>Multi!C884*C$11*LAFs!C$263*(1-Contrib!C$108)*100/(24*Input!$F$60)</f>
        <v>3.3131530565176905E-2</v>
      </c>
      <c r="D69" s="34">
        <f>Multi!D884*D$11*LAFs!D$263*(1-Contrib!D$108)*100/(24*Input!$F$60)</f>
        <v>1.3105355228367846E-2</v>
      </c>
      <c r="E69" s="34">
        <f>Multi!E884*E$11*LAFs!E$263*(1-Contrib!E$108)*100/(24*Input!$F$60)</f>
        <v>3.7226451863997527E-2</v>
      </c>
      <c r="F69" s="34">
        <f>Multi!F884*F$11*LAFs!F$263*(1-Contrib!F$108)*100/(24*Input!$F$60)</f>
        <v>2.3482572291715614E-2</v>
      </c>
      <c r="G69" s="34">
        <f>Multi!G884*G$11*LAFs!G$263*(1-Contrib!G$108)*100/(24*Input!$F$60)</f>
        <v>0</v>
      </c>
      <c r="H69" s="34">
        <f>Multi!H884*H$11*LAFs!H$263*(1-Contrib!H$108)*100/(24*Input!$F$60)</f>
        <v>2.9842509285617255E-2</v>
      </c>
      <c r="I69" s="34">
        <f>Multi!I884*I$11*LAFs!I$263*(1-Contrib!I$108)*100/(24*Input!$F$60)</f>
        <v>2.7094623034408807E-2</v>
      </c>
      <c r="J69" s="34">
        <f>Multi!J884*J$11*LAFs!J$263*(1-Contrib!J$108)*100/(24*Input!$F$60)</f>
        <v>6.4372377987647017E-4</v>
      </c>
      <c r="K69" s="34">
        <f>Multi!B884*K$11*LAFs!B$263*(1-Contrib!K$108)*100/(24*Input!$F$60)</f>
        <v>9.059305673483552E-3</v>
      </c>
      <c r="L69" s="34">
        <f>Multi!C884*L$11*LAFs!C$263*(1-Contrib!L$108)*100/(24*Input!$F$60)</f>
        <v>1.3049217950106499E-2</v>
      </c>
      <c r="M69" s="34">
        <f>Multi!D884*M$11*LAFs!D$263*(1-Contrib!M$108)*100/(24*Input!$F$60)</f>
        <v>5.1616883908250748E-3</v>
      </c>
      <c r="N69" s="34">
        <f>Multi!E884*N$11*LAFs!E$263*(1-Contrib!N$108)*100/(24*Input!$F$60)</f>
        <v>1.466204777128618E-2</v>
      </c>
      <c r="O69" s="34">
        <f>Multi!F884*O$11*LAFs!F$263*(1-Contrib!O$108)*100/(24*Input!$F$60)</f>
        <v>9.2488695401776334E-3</v>
      </c>
      <c r="P69" s="34">
        <f>Multi!G884*P$11*LAFs!G$263*(1-Contrib!P$108)*100/(24*Input!$F$60)</f>
        <v>0</v>
      </c>
      <c r="Q69" s="34">
        <f>Multi!H884*Q$11*LAFs!H$263*(1-Contrib!Q$108)*100/(24*Input!$F$60)</f>
        <v>1.6791143887198337E-2</v>
      </c>
      <c r="R69" s="34">
        <f>Multi!I884*R$11*LAFs!I$263*(1-Contrib!R$108)*100/(24*Input!$F$60)</f>
        <v>1.5245022112112464E-2</v>
      </c>
      <c r="S69" s="34">
        <f>Multi!J884*S$11*LAFs!J$263*(1-Contrib!S$108)*100/(24*Input!$F$60)</f>
        <v>8.4512565120302609E-3</v>
      </c>
      <c r="T69" s="17"/>
    </row>
    <row r="70" spans="1:20">
      <c r="A70" s="4" t="s">
        <v>182</v>
      </c>
      <c r="B70" s="34">
        <f>Multi!B885*B$11*LAFs!B$264*(1-Contrib!B$109)*100/(24*Input!$F$60)</f>
        <v>0</v>
      </c>
      <c r="C70" s="34">
        <f>Multi!C885*C$11*LAFs!C$264*(1-Contrib!C$109)*100/(24*Input!$F$60)</f>
        <v>0.23072053245775298</v>
      </c>
      <c r="D70" s="34">
        <f>Multi!D885*D$11*LAFs!D$264*(1-Contrib!D$109)*100/(24*Input!$F$60)</f>
        <v>9.1262748347493414E-2</v>
      </c>
      <c r="E70" s="34">
        <f>Multi!E885*E$11*LAFs!E$264*(1-Contrib!E$109)*100/(24*Input!$F$60)</f>
        <v>0.23598399340128612</v>
      </c>
      <c r="F70" s="34">
        <f>Multi!F885*F$11*LAFs!F$264*(1-Contrib!F$109)*100/(24*Input!$F$60)</f>
        <v>0.14885950466025349</v>
      </c>
      <c r="G70" s="34">
        <f>Multi!G885*G$11*LAFs!G$264*(1-Contrib!G$109)*100/(24*Input!$F$60)</f>
        <v>0</v>
      </c>
      <c r="H70" s="34">
        <f>Multi!H885*H$11*LAFs!H$264*(1-Contrib!H$109)*100/(24*Input!$F$60)</f>
        <v>0.18917608747842368</v>
      </c>
      <c r="I70" s="34">
        <f>Multi!I885*I$11*LAFs!I$264*(1-Contrib!I$109)*100/(24*Input!$F$60)</f>
        <v>0.17175682943734785</v>
      </c>
      <c r="J70" s="34">
        <f>Multi!J885*J$11*LAFs!J$264*(1-Contrib!J$109)*100/(24*Input!$F$60)</f>
        <v>4.080660407217958E-3</v>
      </c>
      <c r="K70" s="34">
        <f>Multi!B885*K$11*LAFs!B$264*(1-Contrib!K$109)*100/(24*Input!$F$60)</f>
        <v>0.12848986583244953</v>
      </c>
      <c r="L70" s="34">
        <f>Multi!C885*L$11*LAFs!C$264*(1-Contrib!L$109)*100/(24*Input!$F$60)</f>
        <v>9.0871820958681487E-2</v>
      </c>
      <c r="M70" s="34">
        <f>Multi!D885*M$11*LAFs!D$264*(1-Contrib!M$109)*100/(24*Input!$F$60)</f>
        <v>3.5944837850741311E-2</v>
      </c>
      <c r="N70" s="34">
        <f>Multi!E885*N$11*LAFs!E$264*(1-Contrib!N$109)*100/(24*Input!$F$60)</f>
        <v>9.29448929795747E-2</v>
      </c>
      <c r="O70" s="34">
        <f>Multi!F885*O$11*LAFs!F$264*(1-Contrib!O$109)*100/(24*Input!$F$60)</f>
        <v>5.8629954219447326E-2</v>
      </c>
      <c r="P70" s="34">
        <f>Multi!G885*P$11*LAFs!G$264*(1-Contrib!P$109)*100/(24*Input!$F$60)</f>
        <v>0</v>
      </c>
      <c r="Q70" s="34">
        <f>Multi!H885*Q$11*LAFs!H$264*(1-Contrib!Q$109)*100/(24*Input!$F$60)</f>
        <v>0.10644154868030324</v>
      </c>
      <c r="R70" s="34">
        <f>Multi!I885*R$11*LAFs!I$264*(1-Contrib!R$109)*100/(24*Input!$F$60)</f>
        <v>9.6640453692727668E-2</v>
      </c>
      <c r="S70" s="34">
        <f>Multi!J885*S$11*LAFs!J$264*(1-Contrib!S$109)*100/(24*Input!$F$60)</f>
        <v>5.3573767069010243E-2</v>
      </c>
      <c r="T70" s="17"/>
    </row>
    <row r="71" spans="1:20">
      <c r="A71" s="4" t="s">
        <v>183</v>
      </c>
      <c r="B71" s="34">
        <f>Multi!B886*B$11*LAFs!B$265*(1-Contrib!B$110)*100/(24*Input!$F$60)</f>
        <v>0</v>
      </c>
      <c r="C71" s="34">
        <f>Multi!C886*C$11*LAFs!C$265*(1-Contrib!C$110)*100/(24*Input!$F$60)</f>
        <v>0.24627164599365056</v>
      </c>
      <c r="D71" s="34">
        <f>Multi!D886*D$11*LAFs!D$265*(1-Contrib!D$110)*100/(24*Input!$F$60)</f>
        <v>9.7414075002435999E-2</v>
      </c>
      <c r="E71" s="34">
        <f>Multi!E886*E$11*LAFs!E$265*(1-Contrib!E$110)*100/(24*Input!$F$60)</f>
        <v>0.24919024899593398</v>
      </c>
      <c r="F71" s="34">
        <f>Multi!F886*F$11*LAFs!F$265*(1-Contrib!F$110)*100/(24*Input!$F$60)</f>
        <v>0.1571900555501736</v>
      </c>
      <c r="G71" s="34">
        <f>Multi!G886*G$11*LAFs!G$265*(1-Contrib!G$110)*100/(24*Input!$F$60)</f>
        <v>0</v>
      </c>
      <c r="H71" s="34">
        <f>Multi!H886*H$11*LAFs!H$265*(1-Contrib!H$110)*100/(24*Input!$F$60)</f>
        <v>0.19976285536732538</v>
      </c>
      <c r="I71" s="34">
        <f>Multi!I886*I$11*LAFs!I$265*(1-Contrib!I$110)*100/(24*Input!$F$60)</f>
        <v>0.18136877199744689</v>
      </c>
      <c r="J71" s="34">
        <f>Multi!J886*J$11*LAFs!J$265*(1-Contrib!J$110)*100/(24*Input!$F$60)</f>
        <v>4.3090243888420886E-3</v>
      </c>
      <c r="K71" s="34">
        <f>Multi!B886*K$11*LAFs!B$265*(1-Contrib!K$110)*100/(24*Input!$F$60)</f>
        <v>0.14021867807435892</v>
      </c>
      <c r="L71" s="34">
        <f>Multi!C886*L$11*LAFs!C$265*(1-Contrib!L$110)*100/(24*Input!$F$60)</f>
        <v>9.6996798176307228E-2</v>
      </c>
      <c r="M71" s="34">
        <f>Multi!D886*M$11*LAFs!D$265*(1-Contrib!M$110)*100/(24*Input!$F$60)</f>
        <v>3.8367605553692327E-2</v>
      </c>
      <c r="N71" s="34">
        <f>Multi!E886*N$11*LAFs!E$265*(1-Contrib!N$110)*100/(24*Input!$F$60)</f>
        <v>9.814632209014236E-2</v>
      </c>
      <c r="O71" s="34">
        <f>Multi!F886*O$11*LAFs!F$265*(1-Contrib!O$110)*100/(24*Input!$F$60)</f>
        <v>6.1911033371319597E-2</v>
      </c>
      <c r="P71" s="34">
        <f>Multi!G886*P$11*LAFs!G$265*(1-Contrib!P$110)*100/(24*Input!$F$60)</f>
        <v>0</v>
      </c>
      <c r="Q71" s="34">
        <f>Multi!H886*Q$11*LAFs!H$265*(1-Contrib!Q$110)*100/(24*Input!$F$60)</f>
        <v>0.1123982844635302</v>
      </c>
      <c r="R71" s="34">
        <f>Multi!I886*R$11*LAFs!I$265*(1-Contrib!R$110)*100/(24*Input!$F$60)</f>
        <v>0.10204869564106459</v>
      </c>
      <c r="S71" s="34">
        <f>Multi!J886*S$11*LAFs!J$265*(1-Contrib!S$110)*100/(24*Input!$F$60)</f>
        <v>5.6571889318252688E-2</v>
      </c>
      <c r="T71" s="17"/>
    </row>
    <row r="72" spans="1:20">
      <c r="A72" s="4" t="s">
        <v>227</v>
      </c>
      <c r="B72" s="34">
        <f>Multi!B887*B$11*LAFs!B$266*(1-Contrib!B$111)*100/(24*Input!$F$60)</f>
        <v>0</v>
      </c>
      <c r="C72" s="34">
        <f>Multi!C887*C$11*LAFs!C$266*(1-Contrib!C$111)*100/(24*Input!$F$60)</f>
        <v>2.5096230601312428E-2</v>
      </c>
      <c r="D72" s="34">
        <f>Multi!D887*D$11*LAFs!D$266*(1-Contrib!D$111)*100/(24*Input!$F$60)</f>
        <v>9.9269490818188165E-3</v>
      </c>
      <c r="E72" s="34">
        <f>Multi!E887*E$11*LAFs!E$266*(1-Contrib!E$111)*100/(24*Input!$F$60)</f>
        <v>2.783814464584624E-2</v>
      </c>
      <c r="F72" s="34">
        <f>Multi!F887*F$11*LAFs!F$266*(1-Contrib!F$111)*100/(24*Input!$F$60)</f>
        <v>1.7560396207019074E-2</v>
      </c>
      <c r="G72" s="34">
        <f>Multi!G887*G$11*LAFs!G$266*(1-Contrib!G$111)*100/(24*Input!$F$60)</f>
        <v>0</v>
      </c>
      <c r="H72" s="34">
        <f>Multi!H887*H$11*LAFs!H$266*(1-Contrib!H$111)*100/(24*Input!$F$60)</f>
        <v>2.2316391933432368E-2</v>
      </c>
      <c r="I72" s="34">
        <f>Multi!I887*I$11*LAFs!I$266*(1-Contrib!I$111)*100/(24*Input!$F$60)</f>
        <v>2.026150754071768E-2</v>
      </c>
      <c r="J72" s="34">
        <f>Multi!J887*J$11*LAFs!J$266*(1-Contrib!J$111)*100/(24*Input!$F$60)</f>
        <v>4.8138016917757701E-4</v>
      </c>
      <c r="K72" s="34">
        <f>Multi!B887*K$11*LAFs!B$266*(1-Contrib!K$111)*100/(24*Input!$F$60)</f>
        <v>4.971144151430875E-3</v>
      </c>
      <c r="L72" s="34">
        <f>Multi!C887*L$11*LAFs!C$266*(1-Contrib!L$111)*100/(24*Input!$F$60)</f>
        <v>9.8844266249161587E-3</v>
      </c>
      <c r="M72" s="34">
        <f>Multi!D887*M$11*LAFs!D$266*(1-Contrib!M$111)*100/(24*Input!$F$60)</f>
        <v>3.9098381492950396E-3</v>
      </c>
      <c r="N72" s="34">
        <f>Multi!E887*N$11*LAFs!E$266*(1-Contrib!N$111)*100/(24*Input!$F$60)</f>
        <v>1.0964359648148906E-2</v>
      </c>
      <c r="O72" s="34">
        <f>Multi!F887*O$11*LAFs!F$266*(1-Contrib!O$111)*100/(24*Input!$F$60)</f>
        <v>6.9163553112896094E-3</v>
      </c>
      <c r="P72" s="34">
        <f>Multi!G887*P$11*LAFs!G$266*(1-Contrib!P$111)*100/(24*Input!$F$60)</f>
        <v>0</v>
      </c>
      <c r="Q72" s="34">
        <f>Multi!H887*Q$11*LAFs!H$266*(1-Contrib!Q$111)*100/(24*Input!$F$60)</f>
        <v>1.2556509387699923E-2</v>
      </c>
      <c r="R72" s="34">
        <f>Multi!I887*R$11*LAFs!I$266*(1-Contrib!R$111)*100/(24*Input!$F$60)</f>
        <v>1.1400311053994125E-2</v>
      </c>
      <c r="S72" s="34">
        <f>Multi!J887*S$11*LAFs!J$266*(1-Contrib!S$111)*100/(24*Input!$F$60)</f>
        <v>6.3198959191859017E-3</v>
      </c>
      <c r="T72" s="17"/>
    </row>
    <row r="73" spans="1:20">
      <c r="A73" s="4" t="s">
        <v>184</v>
      </c>
      <c r="B73" s="34">
        <f>Multi!B888*B$11*LAFs!B$267*(1-Contrib!B$112)*100/(24*Input!$F$60)</f>
        <v>0</v>
      </c>
      <c r="C73" s="34">
        <f>Multi!C888*C$11*LAFs!C$267*(1-Contrib!C$112)*100/(24*Input!$F$60)</f>
        <v>0.2247452178076712</v>
      </c>
      <c r="D73" s="34">
        <f>Multi!D888*D$11*LAFs!D$267*(1-Contrib!D$112)*100/(24*Input!$F$60)</f>
        <v>8.8899180478615697E-2</v>
      </c>
      <c r="E73" s="34">
        <f>Multi!E888*E$11*LAFs!E$267*(1-Contrib!E$112)*100/(24*Input!$F$60)</f>
        <v>0.22645599938654956</v>
      </c>
      <c r="F73" s="34">
        <f>Multi!F888*F$11*LAFs!F$267*(1-Contrib!F$112)*100/(24*Input!$F$60)</f>
        <v>0.14284921366976375</v>
      </c>
      <c r="G73" s="34">
        <f>Multi!G888*G$11*LAFs!G$267*(1-Contrib!G$112)*100/(24*Input!$F$60)</f>
        <v>0</v>
      </c>
      <c r="H73" s="34">
        <f>Multi!H888*H$11*LAFs!H$267*(1-Contrib!H$112)*100/(24*Input!$F$60)</f>
        <v>0.18153799049037653</v>
      </c>
      <c r="I73" s="34">
        <f>Multi!I888*I$11*LAFs!I$267*(1-Contrib!I$112)*100/(24*Input!$F$60)</f>
        <v>0.16482204534762215</v>
      </c>
      <c r="J73" s="34">
        <f>Multi!J888*J$11*LAFs!J$267*(1-Contrib!J$112)*100/(24*Input!$F$60)</f>
        <v>3.9159013175197451E-3</v>
      </c>
      <c r="K73" s="34">
        <f>Multi!B888*K$11*LAFs!B$267*(1-Contrib!K$112)*100/(24*Input!$F$60)</f>
        <v>0.12930386717820264</v>
      </c>
      <c r="L73" s="34">
        <f>Multi!C888*L$11*LAFs!C$267*(1-Contrib!L$112)*100/(24*Input!$F$60)</f>
        <v>8.8518377520987263E-2</v>
      </c>
      <c r="M73" s="34">
        <f>Multi!D888*M$11*LAFs!D$267*(1-Contrib!M$112)*100/(24*Input!$F$60)</f>
        <v>3.5013920632770354E-2</v>
      </c>
      <c r="N73" s="34">
        <f>Multi!E888*N$11*LAFs!E$267*(1-Contrib!N$112)*100/(24*Input!$F$60)</f>
        <v>8.9192187674245776E-2</v>
      </c>
      <c r="O73" s="34">
        <f>Multi!F888*O$11*LAFs!F$267*(1-Contrib!O$112)*100/(24*Input!$F$60)</f>
        <v>5.6262734965142905E-2</v>
      </c>
      <c r="P73" s="34">
        <f>Multi!G888*P$11*LAFs!G$267*(1-Contrib!P$112)*100/(24*Input!$F$60)</f>
        <v>0</v>
      </c>
      <c r="Q73" s="34">
        <f>Multi!H888*Q$11*LAFs!H$267*(1-Contrib!Q$112)*100/(24*Input!$F$60)</f>
        <v>0.10214390787794325</v>
      </c>
      <c r="R73" s="34">
        <f>Multi!I888*R$11*LAFs!I$267*(1-Contrib!R$112)*100/(24*Input!$F$60)</f>
        <v>9.2738537926771697E-2</v>
      </c>
      <c r="S73" s="34">
        <f>Multi!J888*S$11*LAFs!J$267*(1-Contrib!S$112)*100/(24*Input!$F$60)</f>
        <v>5.1410694376565348E-2</v>
      </c>
      <c r="T73" s="17"/>
    </row>
    <row r="74" spans="1:20">
      <c r="A74" s="4" t="s">
        <v>185</v>
      </c>
      <c r="B74" s="34">
        <f>Multi!B889*B$11*LAFs!B$268*(1-Contrib!B$113)*100/(24*Input!$F$60)</f>
        <v>0</v>
      </c>
      <c r="C74" s="34">
        <f>Multi!C889*C$11*LAFs!C$268*(1-Contrib!C$113)*100/(24*Input!$F$60)</f>
        <v>0.55674173509484981</v>
      </c>
      <c r="D74" s="34">
        <f>Multi!D889*D$11*LAFs!D$268*(1-Contrib!D$113)*100/(24*Input!$F$60)</f>
        <v>0.22022218969094942</v>
      </c>
      <c r="E74" s="34">
        <f>Multi!E889*E$11*LAFs!E$268*(1-Contrib!E$113)*100/(24*Input!$F$60)</f>
        <v>0.56150192773499308</v>
      </c>
      <c r="F74" s="34">
        <f>Multi!F889*F$11*LAFs!F$268*(1-Contrib!F$113)*100/(24*Input!$F$60)</f>
        <v>0.35419732340182086</v>
      </c>
      <c r="G74" s="34">
        <f>Multi!G889*G$11*LAFs!G$268*(1-Contrib!G$113)*100/(24*Input!$F$60)</f>
        <v>0</v>
      </c>
      <c r="H74" s="34">
        <f>Multi!H889*H$11*LAFs!H$268*(1-Contrib!H$113)*100/(24*Input!$F$60)</f>
        <v>0.45012687627448045</v>
      </c>
      <c r="I74" s="34">
        <f>Multi!I889*I$11*LAFs!I$268*(1-Contrib!I$113)*100/(24*Input!$F$60)</f>
        <v>1.7514830338524075E-2</v>
      </c>
      <c r="J74" s="34">
        <f>Multi!J889*J$11*LAFs!J$268*(1-Contrib!J$113)*100/(24*Input!$F$60)</f>
        <v>0</v>
      </c>
      <c r="K74" s="34">
        <f>Multi!B889*K$11*LAFs!B$268*(1-Contrib!K$113)*100/(24*Input!$F$60)</f>
        <v>0.31976075137493104</v>
      </c>
      <c r="L74" s="34">
        <f>Multi!C889*L$11*LAFs!C$268*(1-Contrib!L$113)*100/(24*Input!$F$60)</f>
        <v>0.21927885972189645</v>
      </c>
      <c r="M74" s="34">
        <f>Multi!D889*M$11*LAFs!D$268*(1-Contrib!M$113)*100/(24*Input!$F$60)</f>
        <v>8.6736933117944892E-2</v>
      </c>
      <c r="N74" s="34">
        <f>Multi!E889*N$11*LAFs!E$268*(1-Contrib!N$113)*100/(24*Input!$F$60)</f>
        <v>0.22115371398265937</v>
      </c>
      <c r="O74" s="34">
        <f>Multi!F889*O$11*LAFs!F$268*(1-Contrib!O$113)*100/(24*Input!$F$60)</f>
        <v>0.13950451402546116</v>
      </c>
      <c r="P74" s="34">
        <f>Multi!G889*P$11*LAFs!G$268*(1-Contrib!P$113)*100/(24*Input!$F$60)</f>
        <v>0</v>
      </c>
      <c r="Q74" s="34">
        <f>Multi!H889*Q$11*LAFs!H$268*(1-Contrib!Q$113)*100/(24*Input!$F$60)</f>
        <v>0.25326774885725206</v>
      </c>
      <c r="R74" s="34">
        <f>Multi!I889*R$11*LAFs!I$268*(1-Contrib!R$113)*100/(24*Input!$F$60)</f>
        <v>0.22994695641655824</v>
      </c>
      <c r="S74" s="34">
        <f>Multi!J889*S$11*LAFs!J$268*(1-Contrib!S$113)*100/(24*Input!$F$60)</f>
        <v>0</v>
      </c>
      <c r="T74" s="17"/>
    </row>
    <row r="75" spans="1:20">
      <c r="A75" s="4" t="s">
        <v>205</v>
      </c>
      <c r="B75" s="34">
        <f>Multi!B890*B$11*LAFs!B$269*(1-Contrib!B$114)*100/(24*Input!$F$60)</f>
        <v>0</v>
      </c>
      <c r="C75" s="34">
        <f>Multi!C890*C$11*LAFs!C$269*(1-Contrib!C$114)*100/(24*Input!$F$60)</f>
        <v>0.66859403440475773</v>
      </c>
      <c r="D75" s="34">
        <f>Multi!D890*D$11*LAFs!D$269*(1-Contrib!D$114)*100/(24*Input!$F$60)</f>
        <v>0.2644659686700821</v>
      </c>
      <c r="E75" s="34">
        <f>Multi!E890*E$11*LAFs!E$269*(1-Contrib!E$114)*100/(24*Input!$F$60)</f>
        <v>0.67600991090468587</v>
      </c>
      <c r="F75" s="34">
        <f>Multi!F890*F$11*LAFs!F$269*(1-Contrib!F$114)*100/(24*Input!$F$60)</f>
        <v>0.18336461970950968</v>
      </c>
      <c r="G75" s="34">
        <f>Multi!G890*G$11*LAFs!G$269*(1-Contrib!G$114)*100/(24*Input!$F$60)</f>
        <v>0</v>
      </c>
      <c r="H75" s="34">
        <f>Multi!H890*H$11*LAFs!H$269*(1-Contrib!H$114)*100/(24*Input!$F$60)</f>
        <v>6.9675681556992233E-2</v>
      </c>
      <c r="I75" s="34">
        <f>Multi!I890*I$11*LAFs!I$269*(1-Contrib!I$114)*100/(24*Input!$F$60)</f>
        <v>0</v>
      </c>
      <c r="J75" s="34">
        <f>Multi!J890*J$11*LAFs!J$269*(1-Contrib!J$114)*100/(24*Input!$F$60)</f>
        <v>0</v>
      </c>
      <c r="K75" s="34">
        <f>Multi!B890*K$11*LAFs!B$269*(1-Contrib!K$114)*100/(24*Input!$F$60)</f>
        <v>0.38273126665218404</v>
      </c>
      <c r="L75" s="34">
        <f>Multi!C890*L$11*LAFs!C$269*(1-Contrib!L$114)*100/(24*Input!$F$60)</f>
        <v>0.26333311882242955</v>
      </c>
      <c r="M75" s="34">
        <f>Multi!D890*M$11*LAFs!D$269*(1-Contrib!M$114)*100/(24*Input!$F$60)</f>
        <v>0.10416283240440484</v>
      </c>
      <c r="N75" s="34">
        <f>Multi!E890*N$11*LAFs!E$269*(1-Contrib!N$114)*100/(24*Input!$F$60)</f>
        <v>0.26625394339913494</v>
      </c>
      <c r="O75" s="34">
        <f>Multi!F890*O$11*LAFs!F$269*(1-Contrib!O$114)*100/(24*Input!$F$60)</f>
        <v>0.16795389194400503</v>
      </c>
      <c r="P75" s="34">
        <f>Multi!G890*P$11*LAFs!G$269*(1-Contrib!P$114)*100/(24*Input!$F$60)</f>
        <v>0</v>
      </c>
      <c r="Q75" s="34">
        <f>Multi!H890*Q$11*LAFs!H$269*(1-Contrib!Q$114)*100/(24*Input!$F$60)</f>
        <v>0.30491704459619684</v>
      </c>
      <c r="R75" s="34">
        <f>Multi!I890*R$11*LAFs!I$269*(1-Contrib!R$114)*100/(24*Input!$F$60)</f>
        <v>0</v>
      </c>
      <c r="S75" s="34">
        <f>Multi!J890*S$11*LAFs!J$269*(1-Contrib!S$114)*100/(24*Input!$F$60)</f>
        <v>0</v>
      </c>
      <c r="T75" s="17"/>
    </row>
    <row r="76" spans="1:20">
      <c r="A76" s="4" t="s">
        <v>186</v>
      </c>
      <c r="B76" s="34">
        <f>Multi!B891*B$11*LAFs!B$270*(1-Contrib!B$115)*100/(24*Input!$F$60)</f>
        <v>0</v>
      </c>
      <c r="C76" s="34">
        <f>Multi!C891*C$11*LAFs!C$270*(1-Contrib!C$115)*100/(24*Input!$F$60)</f>
        <v>1.4840222842680741</v>
      </c>
      <c r="D76" s="34">
        <f>Multi!D891*D$11*LAFs!D$270*(1-Contrib!D$115)*100/(24*Input!$F$60)</f>
        <v>0.58701300152395042</v>
      </c>
      <c r="E76" s="34">
        <f>Multi!E891*E$11*LAFs!E$270*(1-Contrib!E$115)*100/(24*Input!$F$60)</f>
        <v>1.2500483733058054</v>
      </c>
      <c r="F76" s="34">
        <f>Multi!F891*F$11*LAFs!F$270*(1-Contrib!F$115)*100/(24*Input!$F$60)</f>
        <v>0.78853476021668023</v>
      </c>
      <c r="G76" s="34">
        <f>Multi!G891*G$11*LAFs!G$270*(1-Contrib!G$115)*100/(24*Input!$F$60)</f>
        <v>0</v>
      </c>
      <c r="H76" s="34">
        <f>Multi!H891*H$11*LAFs!H$270*(1-Contrib!H$115)*100/(24*Input!$F$60)</f>
        <v>1.0020987314111254</v>
      </c>
      <c r="I76" s="34">
        <f>Multi!I891*I$11*LAFs!I$270*(1-Contrib!I$115)*100/(24*Input!$F$60)</f>
        <v>0.90982588330564795</v>
      </c>
      <c r="J76" s="34">
        <f>Multi!J891*J$11*LAFs!J$270*(1-Contrib!J$115)*100/(24*Input!$F$60)</f>
        <v>2.1615969924629698E-2</v>
      </c>
      <c r="K76" s="34">
        <f>Multi!B891*K$11*LAFs!B$270*(1-Contrib!K$115)*100/(24*Input!$F$60)</f>
        <v>1.0807680549169909</v>
      </c>
      <c r="L76" s="34">
        <f>Multi!C891*L$11*LAFs!C$270*(1-Contrib!L$115)*100/(24*Input!$F$60)</f>
        <v>0.58449850942241266</v>
      </c>
      <c r="M76" s="34">
        <f>Multi!D891*M$11*LAFs!D$270*(1-Contrib!M$115)*100/(24*Input!$F$60)</f>
        <v>0.23120153116268585</v>
      </c>
      <c r="N76" s="34">
        <f>Multi!E891*N$11*LAFs!E$270*(1-Contrib!N$115)*100/(24*Input!$F$60)</f>
        <v>0.49234530953388939</v>
      </c>
      <c r="O76" s="34">
        <f>Multi!F891*O$11*LAFs!F$270*(1-Contrib!O$115)*100/(24*Input!$F$60)</f>
        <v>0.31057309371990027</v>
      </c>
      <c r="P76" s="34">
        <f>Multi!G891*P$11*LAFs!G$270*(1-Contrib!P$115)*100/(24*Input!$F$60)</f>
        <v>0</v>
      </c>
      <c r="Q76" s="34">
        <f>Multi!H891*Q$11*LAFs!H$270*(1-Contrib!Q$115)*100/(24*Input!$F$60)</f>
        <v>0.56383944886339321</v>
      </c>
      <c r="R76" s="34">
        <f>Multi!I891*R$11*LAFs!I$270*(1-Contrib!R$115)*100/(24*Input!$F$60)</f>
        <v>0.51192133921008087</v>
      </c>
      <c r="S76" s="34">
        <f>Multi!J891*S$11*LAFs!J$270*(1-Contrib!S$115)*100/(24*Input!$F$60)</f>
        <v>0.28378958848534935</v>
      </c>
      <c r="T76" s="17"/>
    </row>
    <row r="77" spans="1:20">
      <c r="A77" s="4" t="s">
        <v>187</v>
      </c>
      <c r="B77" s="34">
        <f>Multi!B892*B$11*LAFs!B$271*(1-Contrib!B$116)*100/(24*Input!$F$60)</f>
        <v>0</v>
      </c>
      <c r="C77" s="34">
        <f>Multi!C892*C$11*LAFs!C$271*(1-Contrib!C$116)*100/(24*Input!$F$60)</f>
        <v>1.355954787643759</v>
      </c>
      <c r="D77" s="34">
        <f>Multi!D892*D$11*LAFs!D$271*(1-Contrib!D$116)*100/(24*Input!$F$60)</f>
        <v>0.53635521397719843</v>
      </c>
      <c r="E77" s="34">
        <f>Multi!E892*E$11*LAFs!E$271*(1-Contrib!E$116)*100/(24*Input!$F$60)</f>
        <v>1.1421445844223768</v>
      </c>
      <c r="F77" s="34">
        <f>Multi!F892*F$11*LAFs!F$271*(1-Contrib!F$116)*100/(24*Input!$F$60)</f>
        <v>0.72046868364665728</v>
      </c>
      <c r="G77" s="34">
        <f>Multi!G892*G$11*LAFs!G$271*(1-Contrib!G$116)*100/(24*Input!$F$60)</f>
        <v>0</v>
      </c>
      <c r="H77" s="34">
        <f>Multi!H892*H$11*LAFs!H$271*(1-Contrib!H$116)*100/(24*Input!$F$60)</f>
        <v>0.91559787891324751</v>
      </c>
      <c r="I77" s="34">
        <f>Multi!I892*I$11*LAFs!I$271*(1-Contrib!I$116)*100/(24*Input!$F$60)</f>
        <v>0.83128999451178687</v>
      </c>
      <c r="J77" s="34">
        <f>Multi!J892*J$11*LAFs!J$271*(1-Contrib!J$116)*100/(24*Input!$F$60)</f>
        <v>1.9750086087599025E-2</v>
      </c>
      <c r="K77" s="34">
        <f>Multi!B892*K$11*LAFs!B$271*(1-Contrib!K$116)*100/(24*Input!$F$60)</f>
        <v>0.98827450012597851</v>
      </c>
      <c r="L77" s="34">
        <f>Multi!C892*L$11*LAFs!C$271*(1-Contrib!L$116)*100/(24*Input!$F$60)</f>
        <v>0.53405771639935429</v>
      </c>
      <c r="M77" s="34">
        <f>Multi!D892*M$11*LAFs!D$271*(1-Contrib!M$116)*100/(24*Input!$F$60)</f>
        <v>0.21124940401095832</v>
      </c>
      <c r="N77" s="34">
        <f>Multi!E892*N$11*LAFs!E$271*(1-Contrib!N$116)*100/(24*Input!$F$60)</f>
        <v>0.44984621472110436</v>
      </c>
      <c r="O77" s="34">
        <f>Multi!F892*O$11*LAFs!F$271*(1-Contrib!O$116)*100/(24*Input!$F$60)</f>
        <v>0.2837645203452544</v>
      </c>
      <c r="P77" s="34">
        <f>Multi!G892*P$11*LAFs!G$271*(1-Contrib!P$116)*100/(24*Input!$F$60)</f>
        <v>0</v>
      </c>
      <c r="Q77" s="34">
        <f>Multi!H892*Q$11*LAFs!H$271*(1-Contrib!Q$116)*100/(24*Input!$F$60)</f>
        <v>0.51516900206027516</v>
      </c>
      <c r="R77" s="34">
        <f>Multi!I892*R$11*LAFs!I$271*(1-Contrib!R$116)*100/(24*Input!$F$60)</f>
        <v>0.46773244757145821</v>
      </c>
      <c r="S77" s="34">
        <f>Multi!J892*S$11*LAFs!J$271*(1-Contrib!S$116)*100/(24*Input!$F$60)</f>
        <v>0.25929295899711829</v>
      </c>
      <c r="T77" s="17"/>
    </row>
    <row r="78" spans="1:20">
      <c r="A78" s="4" t="s">
        <v>188</v>
      </c>
      <c r="B78" s="34">
        <f>Multi!B893*B$11*LAFs!B$272*(1-Contrib!B$117)*100/(24*Input!$F$60)</f>
        <v>0</v>
      </c>
      <c r="C78" s="34">
        <f>Multi!C893*C$11*LAFs!C$272*(1-Contrib!C$117)*100/(24*Input!$F$60)</f>
        <v>1.2161938441468794</v>
      </c>
      <c r="D78" s="34">
        <f>Multi!D893*D$11*LAFs!D$272*(1-Contrib!D$117)*100/(24*Input!$F$60)</f>
        <v>0.48107202058607901</v>
      </c>
      <c r="E78" s="34">
        <f>Multi!E893*E$11*LAFs!E$272*(1-Contrib!E$117)*100/(24*Input!$F$60)</f>
        <v>1.0244445260131592</v>
      </c>
      <c r="F78" s="34">
        <f>Multi!F893*F$11*LAFs!F$272*(1-Contrib!F$117)*100/(24*Input!$F$60)</f>
        <v>0.64622308698245789</v>
      </c>
      <c r="G78" s="34">
        <f>Multi!G893*G$11*LAFs!G$272*(1-Contrib!G$117)*100/(24*Input!$F$60)</f>
        <v>0</v>
      </c>
      <c r="H78" s="34">
        <f>Multi!H893*H$11*LAFs!H$272*(1-Contrib!H$117)*100/(24*Input!$F$60)</f>
        <v>0.8212438669105151</v>
      </c>
      <c r="I78" s="34">
        <f>Multi!I893*I$11*LAFs!I$272*(1-Contrib!I$117)*100/(24*Input!$F$60)</f>
        <v>0.74562406198143405</v>
      </c>
      <c r="J78" s="34">
        <f>Multi!J893*J$11*LAFs!J$272*(1-Contrib!J$117)*100/(24*Input!$F$60)</f>
        <v>1.7714804112092308E-2</v>
      </c>
      <c r="K78" s="34">
        <f>Multi!B893*K$11*LAFs!B$272*(1-Contrib!K$117)*100/(24*Input!$F$60)</f>
        <v>0.88615546928667133</v>
      </c>
      <c r="L78" s="34">
        <f>Multi!C893*L$11*LAFs!C$272*(1-Contrib!L$117)*100/(24*Input!$F$60)</f>
        <v>0.47901133063050028</v>
      </c>
      <c r="M78" s="34">
        <f>Multi!D893*M$11*LAFs!D$272*(1-Contrib!M$117)*100/(24*Input!$F$60)</f>
        <v>0.18947550986141251</v>
      </c>
      <c r="N78" s="34">
        <f>Multi!E893*N$11*LAFs!E$272*(1-Contrib!N$117)*100/(24*Input!$F$60)</f>
        <v>0.40348875134039197</v>
      </c>
      <c r="O78" s="34">
        <f>Multi!F893*O$11*LAFs!F$272*(1-Contrib!O$117)*100/(24*Input!$F$60)</f>
        <v>0.25452207497132562</v>
      </c>
      <c r="P78" s="34">
        <f>Multi!G893*P$11*LAFs!G$272*(1-Contrib!P$117)*100/(24*Input!$F$60)</f>
        <v>0</v>
      </c>
      <c r="Q78" s="34">
        <f>Multi!H893*Q$11*LAFs!H$272*(1-Contrib!Q$117)*100/(24*Input!$F$60)</f>
        <v>0.46207990768455903</v>
      </c>
      <c r="R78" s="34">
        <f>Multi!I893*R$11*LAFs!I$272*(1-Contrib!R$117)*100/(24*Input!$F$60)</f>
        <v>0.41953177565137145</v>
      </c>
      <c r="S78" s="34">
        <f>Multi!J893*S$11*LAFs!J$272*(1-Contrib!S$117)*100/(24*Input!$F$60)</f>
        <v>0.23257235213586519</v>
      </c>
      <c r="T78" s="17"/>
    </row>
    <row r="79" spans="1:20">
      <c r="A79" s="4" t="s">
        <v>189</v>
      </c>
      <c r="B79" s="34">
        <f>Multi!B894*B$11*LAFs!B$273*(1-Contrib!B$118)*100/(24*Input!$F$60)</f>
        <v>0</v>
      </c>
      <c r="C79" s="34">
        <f>Multi!C894*C$11*LAFs!C$273*(1-Contrib!C$118)*100/(24*Input!$F$60)</f>
        <v>1.1344799504521121</v>
      </c>
      <c r="D79" s="34">
        <f>Multi!D894*D$11*LAFs!D$273*(1-Contrib!D$118)*100/(24*Input!$F$60)</f>
        <v>0.44874965015238188</v>
      </c>
      <c r="E79" s="34">
        <f>Multi!E894*E$11*LAFs!E$273*(1-Contrib!E$118)*100/(24*Input!$F$60)</f>
        <v>0.95561392676477563</v>
      </c>
      <c r="F79" s="34">
        <f>Multi!F894*F$11*LAFs!F$273*(1-Contrib!F$118)*100/(24*Input!$F$60)</f>
        <v>0.60280451116337863</v>
      </c>
      <c r="G79" s="34">
        <f>Multi!G894*G$11*LAFs!G$273*(1-Contrib!G$118)*100/(24*Input!$F$60)</f>
        <v>0</v>
      </c>
      <c r="H79" s="34">
        <f>Multi!H894*H$11*LAFs!H$273*(1-Contrib!H$118)*100/(24*Input!$F$60)</f>
        <v>0.76606595726957416</v>
      </c>
      <c r="I79" s="34">
        <f>Multi!I894*I$11*LAFs!I$273*(1-Contrib!I$118)*100/(24*Input!$F$60)</f>
        <v>2.9808296231380399E-2</v>
      </c>
      <c r="J79" s="34">
        <f>Multi!J894*J$11*LAFs!J$273*(1-Contrib!J$118)*100/(24*Input!$F$60)</f>
        <v>0</v>
      </c>
      <c r="K79" s="34">
        <f>Multi!B894*K$11*LAFs!B$273*(1-Contrib!K$118)*100/(24*Input!$F$60)</f>
        <v>0.82661626493794205</v>
      </c>
      <c r="L79" s="34">
        <f>Multi!C894*L$11*LAFs!C$273*(1-Contrib!L$118)*100/(24*Input!$F$60)</f>
        <v>0.446827414276947</v>
      </c>
      <c r="M79" s="34">
        <f>Multi!D894*M$11*LAFs!D$273*(1-Contrib!M$118)*100/(24*Input!$F$60)</f>
        <v>0.17674498853449533</v>
      </c>
      <c r="N79" s="34">
        <f>Multi!E894*N$11*LAFs!E$273*(1-Contrib!N$118)*100/(24*Input!$F$60)</f>
        <v>0.37637906229473594</v>
      </c>
      <c r="O79" s="34">
        <f>Multi!F894*O$11*LAFs!F$273*(1-Contrib!O$118)*100/(24*Input!$F$60)</f>
        <v>0.23742119103142414</v>
      </c>
      <c r="P79" s="34">
        <f>Multi!G894*P$11*LAFs!G$273*(1-Contrib!P$118)*100/(24*Input!$F$60)</f>
        <v>0</v>
      </c>
      <c r="Q79" s="34">
        <f>Multi!H894*Q$11*LAFs!H$273*(1-Contrib!Q$118)*100/(24*Input!$F$60)</f>
        <v>0.43103358341911269</v>
      </c>
      <c r="R79" s="34">
        <f>Multi!I894*R$11*LAFs!I$273*(1-Contrib!R$118)*100/(24*Input!$F$60)</f>
        <v>0.39134418443625524</v>
      </c>
      <c r="S79" s="34">
        <f>Multi!J894*S$11*LAFs!J$273*(1-Contrib!S$118)*100/(24*Input!$F$60)</f>
        <v>0</v>
      </c>
      <c r="T79" s="17"/>
    </row>
    <row r="80" spans="1:20">
      <c r="A80" s="4" t="s">
        <v>206</v>
      </c>
      <c r="B80" s="34">
        <f>Multi!B895*B$11*LAFs!B$274*(1-Contrib!B$119)*100/(24*Input!$F$60)</f>
        <v>0</v>
      </c>
      <c r="C80" s="34">
        <f>Multi!C895*C$11*LAFs!C$274*(1-Contrib!C$119)*100/(24*Input!$F$60)</f>
        <v>1.0156326887359912</v>
      </c>
      <c r="D80" s="34">
        <f>Multi!D895*D$11*LAFs!D$274*(1-Contrib!D$119)*100/(24*Input!$F$60)</f>
        <v>0.4017389761467075</v>
      </c>
      <c r="E80" s="34">
        <f>Multi!E895*E$11*LAFs!E$274*(1-Contrib!E$119)*100/(24*Input!$F$60)</f>
        <v>0.8555045344317308</v>
      </c>
      <c r="F80" s="34">
        <f>Multi!F895*F$11*LAFs!F$274*(1-Contrib!F$119)*100/(24*Input!$F$60)</f>
        <v>0.23205172155819664</v>
      </c>
      <c r="G80" s="34">
        <f>Multi!G895*G$11*LAFs!G$274*(1-Contrib!G$119)*100/(24*Input!$F$60)</f>
        <v>0</v>
      </c>
      <c r="H80" s="34">
        <f>Multi!H895*H$11*LAFs!H$274*(1-Contrib!H$119)*100/(24*Input!$F$60)</f>
        <v>8.8176017170897084E-2</v>
      </c>
      <c r="I80" s="34">
        <f>Multi!I895*I$11*LAFs!I$274*(1-Contrib!I$119)*100/(24*Input!$F$60)</f>
        <v>0</v>
      </c>
      <c r="J80" s="34">
        <f>Multi!J895*J$11*LAFs!J$274*(1-Contrib!J$119)*100/(24*Input!$F$60)</f>
        <v>0</v>
      </c>
      <c r="K80" s="34">
        <f>Multi!B895*K$11*LAFs!B$274*(1-Contrib!K$119)*100/(24*Input!$F$60)</f>
        <v>0.7400205701099013</v>
      </c>
      <c r="L80" s="34">
        <f>Multi!C895*L$11*LAFs!C$274*(1-Contrib!L$119)*100/(24*Input!$F$60)</f>
        <v>0.40001811224798922</v>
      </c>
      <c r="M80" s="34">
        <f>Multi!D895*M$11*LAFs!D$274*(1-Contrib!M$119)*100/(24*Input!$F$60)</f>
        <v>0.15822931719010463</v>
      </c>
      <c r="N80" s="34">
        <f>Multi!E895*N$11*LAFs!E$274*(1-Contrib!N$119)*100/(24*Input!$F$60)</f>
        <v>0.33694987634642154</v>
      </c>
      <c r="O80" s="34">
        <f>Multi!F895*O$11*LAFs!F$274*(1-Contrib!O$119)*100/(24*Input!$F$60)</f>
        <v>0.21254912659677294</v>
      </c>
      <c r="P80" s="34">
        <f>Multi!G895*P$11*LAFs!G$274*(1-Contrib!P$119)*100/(24*Input!$F$60)</f>
        <v>0</v>
      </c>
      <c r="Q80" s="34">
        <f>Multi!H895*Q$11*LAFs!H$274*(1-Contrib!Q$119)*100/(24*Input!$F$60)</f>
        <v>0.38587883116753363</v>
      </c>
      <c r="R80" s="34">
        <f>Multi!I895*R$11*LAFs!I$274*(1-Contrib!R$119)*100/(24*Input!$F$60)</f>
        <v>0</v>
      </c>
      <c r="S80" s="34">
        <f>Multi!J895*S$11*LAFs!J$274*(1-Contrib!S$119)*100/(24*Input!$F$60)</f>
        <v>0</v>
      </c>
      <c r="T80" s="17"/>
    </row>
    <row r="81" spans="1:20">
      <c r="A81" s="4" t="s">
        <v>228</v>
      </c>
      <c r="B81" s="34">
        <f>Multi!B896*B$11*LAFs!B$275*(1-Contrib!B$120)*100/(24*Input!$F$60)</f>
        <v>0</v>
      </c>
      <c r="C81" s="34">
        <f>Multi!C896*C$11*LAFs!C$275*(1-Contrib!C$120)*100/(24*Input!$F$60)</f>
        <v>0.16693718005860772</v>
      </c>
      <c r="D81" s="34">
        <f>Multi!D896*D$11*LAFs!D$275*(1-Contrib!D$120)*100/(24*Input!$F$60)</f>
        <v>6.6032900025135843E-2</v>
      </c>
      <c r="E81" s="34">
        <f>Multi!E896*E$11*LAFs!E$275*(1-Contrib!E$120)*100/(24*Input!$F$60)</f>
        <v>0.16684374061807727</v>
      </c>
      <c r="F81" s="34">
        <f>Multi!F896*F$11*LAFs!F$275*(1-Contrib!F$120)*100/(24*Input!$F$60)</f>
        <v>0.10524559833953313</v>
      </c>
      <c r="G81" s="34">
        <f>Multi!G896*G$11*LAFs!G$275*(1-Contrib!G$120)*100/(24*Input!$F$60)</f>
        <v>0</v>
      </c>
      <c r="H81" s="34">
        <f>Multi!H896*H$11*LAFs!H$275*(1-Contrib!H$120)*100/(24*Input!$F$60)</f>
        <v>0.13374994471222804</v>
      </c>
      <c r="I81" s="34">
        <f>Multi!I896*I$11*LAFs!I$275*(1-Contrib!I$120)*100/(24*Input!$F$60)</f>
        <v>0.12143430360252569</v>
      </c>
      <c r="J81" s="34">
        <f>Multi!J896*J$11*LAFs!J$275*(1-Contrib!J$120)*100/(24*Input!$F$60)</f>
        <v>2.8850797747734867E-3</v>
      </c>
      <c r="K81" s="34">
        <f>Multi!B896*K$11*LAFs!B$275*(1-Contrib!K$120)*100/(24*Input!$F$60)</f>
        <v>9.3543905099219601E-2</v>
      </c>
      <c r="L81" s="34">
        <f>Multi!C896*L$11*LAFs!C$275*(1-Contrib!L$120)*100/(24*Input!$F$60)</f>
        <v>6.5750045633284598E-2</v>
      </c>
      <c r="M81" s="34">
        <f>Multi!D896*M$11*LAFs!D$275*(1-Contrib!M$120)*100/(24*Input!$F$60)</f>
        <v>2.600778441582962E-2</v>
      </c>
      <c r="N81" s="34">
        <f>Multi!E896*N$11*LAFs!E$275*(1-Contrib!N$120)*100/(24*Input!$F$60)</f>
        <v>6.5713243481261466E-2</v>
      </c>
      <c r="O81" s="34">
        <f>Multi!F896*O$11*LAFs!F$275*(1-Contrib!O$120)*100/(24*Input!$F$60)</f>
        <v>4.1452137211717768E-2</v>
      </c>
      <c r="P81" s="34">
        <f>Multi!G896*P$11*LAFs!G$275*(1-Contrib!P$120)*100/(24*Input!$F$60)</f>
        <v>0</v>
      </c>
      <c r="Q81" s="34">
        <f>Multi!H896*Q$11*LAFs!H$275*(1-Contrib!Q$120)*100/(24*Input!$F$60)</f>
        <v>7.5255553917184331E-2</v>
      </c>
      <c r="R81" s="34">
        <f>Multi!I896*R$11*LAFs!I$275*(1-Contrib!R$120)*100/(24*Input!$F$60)</f>
        <v>6.8326052783183766E-2</v>
      </c>
      <c r="S81" s="34">
        <f>Multi!J896*S$11*LAFs!J$275*(1-Contrib!S$120)*100/(24*Input!$F$60)</f>
        <v>3.7877347391081652E-2</v>
      </c>
      <c r="T81" s="17"/>
    </row>
    <row r="82" spans="1:20">
      <c r="A82" s="4" t="s">
        <v>229</v>
      </c>
      <c r="B82" s="34">
        <f>Multi!B897*B$11*LAFs!B$276*(1-Contrib!B$121)*100/(24*Input!$F$60)</f>
        <v>0</v>
      </c>
      <c r="C82" s="34">
        <f>Multi!C897*C$11*LAFs!C$276*(1-Contrib!C$121)*100/(24*Input!$F$60)</f>
        <v>0.20953062465748024</v>
      </c>
      <c r="D82" s="34">
        <f>Multi!D897*D$11*LAFs!D$276*(1-Contrib!D$121)*100/(24*Input!$F$60)</f>
        <v>8.2880966273386134E-2</v>
      </c>
      <c r="E82" s="34">
        <f>Multi!E897*E$11*LAFs!E$276*(1-Contrib!E$121)*100/(24*Input!$F$60)</f>
        <v>0.18384697154540899</v>
      </c>
      <c r="F82" s="34">
        <f>Multi!F897*F$11*LAFs!F$276*(1-Contrib!F$121)*100/(24*Input!$F$60)</f>
        <v>0.11597129416739563</v>
      </c>
      <c r="G82" s="34">
        <f>Multi!G897*G$11*LAFs!G$276*(1-Contrib!G$121)*100/(24*Input!$F$60)</f>
        <v>0</v>
      </c>
      <c r="H82" s="34">
        <f>Multi!H897*H$11*LAFs!H$276*(1-Contrib!H$121)*100/(24*Input!$F$60)</f>
        <v>0.14738055014000795</v>
      </c>
      <c r="I82" s="34">
        <f>Multi!I897*I$11*LAFs!I$276*(1-Contrib!I$121)*100/(24*Input!$F$60)</f>
        <v>0.13380980836527218</v>
      </c>
      <c r="J82" s="34">
        <f>Multi!J897*J$11*LAFs!J$276*(1-Contrib!J$121)*100/(24*Input!$F$60)</f>
        <v>3.1791014592101917E-3</v>
      </c>
      <c r="K82" s="34">
        <f>Multi!B897*K$11*LAFs!B$276*(1-Contrib!K$121)*100/(24*Input!$F$60)</f>
        <v>0.14004887506924621</v>
      </c>
      <c r="L82" s="34">
        <f>Multi!C897*L$11*LAFs!C$276*(1-Contrib!L$121)*100/(24*Input!$F$60)</f>
        <v>8.2525942560927962E-2</v>
      </c>
      <c r="M82" s="34">
        <f>Multi!D897*M$11*LAFs!D$276*(1-Contrib!M$121)*100/(24*Input!$F$60)</f>
        <v>3.2643580733139818E-2</v>
      </c>
      <c r="N82" s="34">
        <f>Multi!E897*N$11*LAFs!E$276*(1-Contrib!N$121)*100/(24*Input!$F$60)</f>
        <v>7.2410153115129994E-2</v>
      </c>
      <c r="O82" s="34">
        <f>Multi!F897*O$11*LAFs!F$276*(1-Contrib!O$121)*100/(24*Input!$F$60)</f>
        <v>4.5676570557741138E-2</v>
      </c>
      <c r="P82" s="34">
        <f>Multi!G897*P$11*LAFs!G$276*(1-Contrib!P$121)*100/(24*Input!$F$60)</f>
        <v>0</v>
      </c>
      <c r="Q82" s="34">
        <f>Multi!H897*Q$11*LAFs!H$276*(1-Contrib!Q$121)*100/(24*Input!$F$60)</f>
        <v>8.2924931006656669E-2</v>
      </c>
      <c r="R82" s="34">
        <f>Multi!I897*R$11*LAFs!I$276*(1-Contrib!R$121)*100/(24*Input!$F$60)</f>
        <v>7.5289236715177524E-2</v>
      </c>
      <c r="S82" s="34">
        <f>Multi!J897*S$11*LAFs!J$276*(1-Contrib!S$121)*100/(24*Input!$F$60)</f>
        <v>4.1737469935802074E-2</v>
      </c>
      <c r="T82" s="17"/>
    </row>
    <row r="83" spans="1:20">
      <c r="A83" s="4" t="s">
        <v>230</v>
      </c>
      <c r="B83" s="34">
        <f>Multi!B898*B$11*LAFs!B$277*(1-Contrib!B$122)*100/(24*Input!$F$60)</f>
        <v>0</v>
      </c>
      <c r="C83" s="34">
        <f>Multi!C898*C$11*LAFs!C$277*(1-Contrib!C$122)*100/(24*Input!$F$60)</f>
        <v>0.38347770164805284</v>
      </c>
      <c r="D83" s="34">
        <f>Multi!D898*D$11*LAFs!D$277*(1-Contrib!D$122)*100/(24*Input!$F$60)</f>
        <v>0.15168666875710213</v>
      </c>
      <c r="E83" s="34">
        <f>Multi!E898*E$11*LAFs!E$277*(1-Contrib!E$122)*100/(24*Input!$F$60)</f>
        <v>0.33359990983556237</v>
      </c>
      <c r="F83" s="34">
        <f>Multi!F898*F$11*LAFs!F$277*(1-Contrib!F$122)*100/(24*Input!$F$60)</f>
        <v>0.21043595634209822</v>
      </c>
      <c r="G83" s="34">
        <f>Multi!G898*G$11*LAFs!G$277*(1-Contrib!G$122)*100/(24*Input!$F$60)</f>
        <v>0</v>
      </c>
      <c r="H83" s="34">
        <f>Multi!H898*H$11*LAFs!H$277*(1-Contrib!H$122)*100/(24*Input!$F$60)</f>
        <v>0.26742968798960348</v>
      </c>
      <c r="I83" s="34">
        <f>Multi!I898*I$11*LAFs!I$277*(1-Contrib!I$122)*100/(24*Input!$F$60)</f>
        <v>0.24280486989008224</v>
      </c>
      <c r="J83" s="34">
        <f>Multi!J898*J$11*LAFs!J$277*(1-Contrib!J$122)*100/(24*Input!$F$60)</f>
        <v>5.7686452555389331E-3</v>
      </c>
      <c r="K83" s="34">
        <f>Multi!B898*K$11*LAFs!B$277*(1-Contrib!K$122)*100/(24*Input!$F$60)</f>
        <v>0.26735668120973083</v>
      </c>
      <c r="L83" s="34">
        <f>Multi!C898*L$11*LAFs!C$277*(1-Contrib!L$122)*100/(24*Input!$F$60)</f>
        <v>0.15103691324997004</v>
      </c>
      <c r="M83" s="34">
        <f>Multi!D898*M$11*LAFs!D$277*(1-Contrib!M$122)*100/(24*Input!$F$60)</f>
        <v>5.9743463914024193E-2</v>
      </c>
      <c r="N83" s="34">
        <f>Multi!E898*N$11*LAFs!E$277*(1-Contrib!N$122)*100/(24*Input!$F$60)</f>
        <v>0.13139199600261164</v>
      </c>
      <c r="O83" s="34">
        <f>Multi!F898*O$11*LAFs!F$277*(1-Contrib!O$122)*100/(24*Input!$F$60)</f>
        <v>8.2882517408759904E-2</v>
      </c>
      <c r="P83" s="34">
        <f>Multi!G898*P$11*LAFs!G$277*(1-Contrib!P$122)*100/(24*Input!$F$60)</f>
        <v>0</v>
      </c>
      <c r="Q83" s="34">
        <f>Multi!H898*Q$11*LAFs!H$277*(1-Contrib!Q$122)*100/(24*Input!$F$60)</f>
        <v>0.1504716083947466</v>
      </c>
      <c r="R83" s="34">
        <f>Multi!I898*R$11*LAFs!I$277*(1-Contrib!R$122)*100/(24*Input!$F$60)</f>
        <v>0.13661624321925767</v>
      </c>
      <c r="S83" s="34">
        <f>Multi!J898*S$11*LAFs!J$277*(1-Contrib!S$122)*100/(24*Input!$F$60)</f>
        <v>7.5734814070130205E-2</v>
      </c>
      <c r="T83" s="17"/>
    </row>
    <row r="84" spans="1:20">
      <c r="A84" s="4" t="s">
        <v>231</v>
      </c>
      <c r="B84" s="34">
        <f>Multi!B899*B$11*LAFs!B$278*(1-Contrib!B$123)*100/(24*Input!$F$60)</f>
        <v>0</v>
      </c>
      <c r="C84" s="34">
        <f>Multi!C899*C$11*LAFs!C$278*(1-Contrib!C$123)*100/(24*Input!$F$60)</f>
        <v>0.14634127890877346</v>
      </c>
      <c r="D84" s="34">
        <f>Multi!D899*D$11*LAFs!D$278*(1-Contrib!D$123)*100/(24*Input!$F$60)</f>
        <v>5.7886080478542823E-2</v>
      </c>
      <c r="E84" s="34">
        <f>Multi!E899*E$11*LAFs!E$278*(1-Contrib!E$123)*100/(24*Input!$F$60)</f>
        <v>0.16487933023452356</v>
      </c>
      <c r="F84" s="34">
        <f>Multi!F899*F$11*LAFs!F$278*(1-Contrib!F$123)*100/(24*Input!$F$60)</f>
        <v>0.10400644159660943</v>
      </c>
      <c r="G84" s="34">
        <f>Multi!G899*G$11*LAFs!G$278*(1-Contrib!G$123)*100/(24*Input!$F$60)</f>
        <v>0</v>
      </c>
      <c r="H84" s="34">
        <f>Multi!H899*H$11*LAFs!H$278*(1-Contrib!H$123)*100/(24*Input!$F$60)</f>
        <v>0.13217517913085766</v>
      </c>
      <c r="I84" s="34">
        <f>Multi!I899*I$11*LAFs!I$278*(1-Contrib!I$123)*100/(24*Input!$F$60)</f>
        <v>0.12000454180245629</v>
      </c>
      <c r="J84" s="34">
        <f>Multi!J899*J$11*LAFs!J$278*(1-Contrib!J$123)*100/(24*Input!$F$60)</f>
        <v>2.8511109807033558E-3</v>
      </c>
      <c r="K84" s="34">
        <f>Multi!B899*K$11*LAFs!B$278*(1-Contrib!K$123)*100/(24*Input!$F$60)</f>
        <v>6.6178217961452748E-2</v>
      </c>
      <c r="L84" s="34">
        <f>Multi!C899*L$11*LAFs!C$278*(1-Contrib!L$123)*100/(24*Input!$F$60)</f>
        <v>5.7638123292289019E-2</v>
      </c>
      <c r="M84" s="34">
        <f>Multi!D899*M$11*LAFs!D$278*(1-Contrib!M$123)*100/(24*Input!$F$60)</f>
        <v>2.2799069875626108E-2</v>
      </c>
      <c r="N84" s="34">
        <f>Multi!E899*N$11*LAFs!E$278*(1-Contrib!N$123)*100/(24*Input!$F$60)</f>
        <v>6.4939538831908866E-2</v>
      </c>
      <c r="O84" s="34">
        <f>Multi!F899*O$11*LAFs!F$278*(1-Contrib!O$123)*100/(24*Input!$F$60)</f>
        <v>4.0964081690680332E-2</v>
      </c>
      <c r="P84" s="34">
        <f>Multi!G899*P$11*LAFs!G$278*(1-Contrib!P$123)*100/(24*Input!$F$60)</f>
        <v>0</v>
      </c>
      <c r="Q84" s="34">
        <f>Multi!H899*Q$11*LAFs!H$278*(1-Contrib!Q$123)*100/(24*Input!$F$60)</f>
        <v>7.4369498551922472E-2</v>
      </c>
      <c r="R84" s="34">
        <f>Multi!I899*R$11*LAFs!I$278*(1-Contrib!R$123)*100/(24*Input!$F$60)</f>
        <v>6.7521585039549498E-2</v>
      </c>
      <c r="S84" s="34">
        <f>Multi!J899*S$11*LAFs!J$278*(1-Contrib!S$123)*100/(24*Input!$F$60)</f>
        <v>3.7431381277873745E-2</v>
      </c>
      <c r="T84" s="17"/>
    </row>
    <row r="85" spans="1:20">
      <c r="A85" s="4" t="s">
        <v>232</v>
      </c>
      <c r="B85" s="34">
        <f>Multi!B900*B$11*LAFs!B$279*(1-Contrib!B$124)*100/(24*Input!$F$60)</f>
        <v>0</v>
      </c>
      <c r="C85" s="34">
        <f>Multi!C900*C$11*LAFs!C$279*(1-Contrib!C$124)*100/(24*Input!$F$60)</f>
        <v>3.6221091385780197</v>
      </c>
      <c r="D85" s="34">
        <f>Multi!D900*D$11*LAFs!D$279*(1-Contrib!D$124)*100/(24*Input!$F$60)</f>
        <v>1.4327447638919226</v>
      </c>
      <c r="E85" s="34">
        <f>Multi!E900*E$11*LAFs!E$279*(1-Contrib!E$124)*100/(24*Input!$F$60)</f>
        <v>3.0065997898099379</v>
      </c>
      <c r="F85" s="34">
        <f>Multi!F900*F$11*LAFs!F$279*(1-Contrib!F$124)*100/(24*Input!$F$60)</f>
        <v>1.8965733606417152</v>
      </c>
      <c r="G85" s="34">
        <f>Multi!G900*G$11*LAFs!G$279*(1-Contrib!G$124)*100/(24*Input!$F$60)</f>
        <v>0</v>
      </c>
      <c r="H85" s="34">
        <f>Multi!H900*H$11*LAFs!H$279*(1-Contrib!H$124)*100/(24*Input!$F$60)</f>
        <v>2.4102345953714805</v>
      </c>
      <c r="I85" s="34">
        <f>Multi!I900*I$11*LAFs!I$279*(1-Contrib!I$124)*100/(24*Input!$F$60)</f>
        <v>2.1883011633192275</v>
      </c>
      <c r="J85" s="34">
        <f>Multi!J900*J$11*LAFs!J$279*(1-Contrib!J$124)*100/(24*Input!$F$60)</f>
        <v>5.1990444545805287E-2</v>
      </c>
      <c r="K85" s="34">
        <f>Multi!B900*K$11*LAFs!B$279*(1-Contrib!K$124)*100/(24*Input!$F$60)</f>
        <v>2.7274260841190494</v>
      </c>
      <c r="L85" s="34">
        <f>Multi!C900*L$11*LAFs!C$279*(1-Contrib!L$124)*100/(24*Input!$F$60)</f>
        <v>1.4266075482204246</v>
      </c>
      <c r="M85" s="34">
        <f>Multi!D900*M$11*LAFs!D$279*(1-Contrib!M$124)*100/(24*Input!$F$60)</f>
        <v>0.56430229367520757</v>
      </c>
      <c r="N85" s="34">
        <f>Multi!E900*N$11*LAFs!E$279*(1-Contrib!N$124)*100/(24*Input!$F$60)</f>
        <v>1.1841824170722481</v>
      </c>
      <c r="O85" s="34">
        <f>Multi!F900*O$11*LAFs!F$279*(1-Contrib!O$124)*100/(24*Input!$F$60)</f>
        <v>0.74698629128205907</v>
      </c>
      <c r="P85" s="34">
        <f>Multi!G900*P$11*LAFs!G$279*(1-Contrib!P$124)*100/(24*Input!$F$60)</f>
        <v>0</v>
      </c>
      <c r="Q85" s="34">
        <f>Multi!H900*Q$11*LAFs!H$279*(1-Contrib!Q$124)*100/(24*Input!$F$60)</f>
        <v>1.3561391740034001</v>
      </c>
      <c r="R85" s="34">
        <f>Multi!I900*R$11*LAFs!I$279*(1-Contrib!R$124)*100/(24*Input!$F$60)</f>
        <v>1.231266424352782</v>
      </c>
      <c r="S85" s="34">
        <f>Multi!J900*S$11*LAFs!J$279*(1-Contrib!S$124)*100/(24*Input!$F$60)</f>
        <v>0.68256695925603772</v>
      </c>
      <c r="T85" s="17"/>
    </row>
    <row r="86" spans="1:20">
      <c r="A86" s="4" t="s">
        <v>194</v>
      </c>
      <c r="B86" s="34">
        <f>Multi!B901*B$11*LAFs!B$284*(1-Contrib!B$129)*100/(24*Input!$F$60)</f>
        <v>0</v>
      </c>
      <c r="C86" s="34">
        <f>Multi!C901*C$11*LAFs!C$284*(1-Contrib!C$129)*100/(24*Input!$F$60)</f>
        <v>-1.0180394934055255</v>
      </c>
      <c r="D86" s="34">
        <f>Multi!D901*D$11*LAFs!D$284*(1-Contrib!D$129)*100/(24*Input!$F$60)</f>
        <v>-0.40269100068712194</v>
      </c>
      <c r="E86" s="34">
        <f>Multi!E901*E$11*LAFs!E$284*(1-Contrib!E$129)*100/(24*Input!$F$60)</f>
        <v>-0.85753187397201336</v>
      </c>
      <c r="F86" s="34">
        <f>Multi!F901*F$11*LAFs!F$284*(1-Contrib!F$129)*100/(24*Input!$F$60)</f>
        <v>-0.54093401908316519</v>
      </c>
      <c r="G86" s="34">
        <f>Multi!G901*G$11*LAFs!G$284*(1-Contrib!G$129)*100/(24*Input!$F$60)</f>
        <v>0</v>
      </c>
      <c r="H86" s="34">
        <f>Multi!H901*H$11*LAFs!H$284*(1-Contrib!H$129)*100/(24*Input!$F$60)</f>
        <v>-0.68743867949639526</v>
      </c>
      <c r="I86" s="34">
        <f>Multi!I901*I$11*LAFs!I$284*(1-Contrib!I$129)*100/(24*Input!$F$60)</f>
        <v>-0.62413960240278588</v>
      </c>
      <c r="J86" s="34">
        <f>Multi!J901*J$11*LAFs!J$284*(1-Contrib!J$129)*100/(24*Input!$F$60)</f>
        <v>0</v>
      </c>
      <c r="K86" s="34">
        <f>Multi!B901*K$11*LAFs!B$284*(1-Contrib!K$129)*100/(24*Input!$F$60)</f>
        <v>-0.74177424049038965</v>
      </c>
      <c r="L86" s="34">
        <f>Multi!C901*L$11*LAFs!C$284*(1-Contrib!L$129)*100/(24*Input!$F$60)</f>
        <v>-0.40096605875575175</v>
      </c>
      <c r="M86" s="34">
        <f>Multi!D901*M$11*LAFs!D$284*(1-Contrib!M$129)*100/(24*Input!$F$60)</f>
        <v>-0.15860428253308143</v>
      </c>
      <c r="N86" s="34">
        <f>Multi!E901*N$11*LAFs!E$284*(1-Contrib!N$129)*100/(24*Input!$F$60)</f>
        <v>-0.33774836633673366</v>
      </c>
      <c r="O86" s="34">
        <f>Multi!F901*O$11*LAFs!F$284*(1-Contrib!O$129)*100/(24*Input!$F$60)</f>
        <v>-0.2130528167950819</v>
      </c>
      <c r="P86" s="34">
        <f>Multi!G901*P$11*LAFs!G$284*(1-Contrib!P$129)*100/(24*Input!$F$60)</f>
        <v>0</v>
      </c>
      <c r="Q86" s="34">
        <f>Multi!H901*Q$11*LAFs!H$284*(1-Contrib!Q$129)*100/(24*Input!$F$60)</f>
        <v>-0.38679327098719352</v>
      </c>
      <c r="R86" s="34">
        <f>Multi!I901*R$11*LAFs!I$284*(1-Contrib!R$129)*100/(24*Input!$F$60)</f>
        <v>-0.35117750217790283</v>
      </c>
      <c r="S86" s="34">
        <f>Multi!J901*S$11*LAFs!J$284*(1-Contrib!S$129)*100/(24*Input!$F$60)</f>
        <v>0</v>
      </c>
      <c r="T86" s="17"/>
    </row>
    <row r="87" spans="1:20">
      <c r="A87" s="4" t="s">
        <v>195</v>
      </c>
      <c r="B87" s="34">
        <f>Multi!B902*B$11*LAFs!B$285*(1-Contrib!B$130)*100/(24*Input!$F$60)</f>
        <v>0</v>
      </c>
      <c r="C87" s="34">
        <f>Multi!C902*C$11*LAFs!C$285*(1-Contrib!C$130)*100/(24*Input!$F$60)</f>
        <v>-1.0180394934055255</v>
      </c>
      <c r="D87" s="34">
        <f>Multi!D902*D$11*LAFs!D$285*(1-Contrib!D$130)*100/(24*Input!$F$60)</f>
        <v>-0.40269100068712194</v>
      </c>
      <c r="E87" s="34">
        <f>Multi!E902*E$11*LAFs!E$285*(1-Contrib!E$130)*100/(24*Input!$F$60)</f>
        <v>-0.85753187397201336</v>
      </c>
      <c r="F87" s="34">
        <f>Multi!F902*F$11*LAFs!F$285*(1-Contrib!F$130)*100/(24*Input!$F$60)</f>
        <v>-0.54093401908316519</v>
      </c>
      <c r="G87" s="34">
        <f>Multi!G902*G$11*LAFs!G$285*(1-Contrib!G$130)*100/(24*Input!$F$60)</f>
        <v>0</v>
      </c>
      <c r="H87" s="34">
        <f>Multi!H902*H$11*LAFs!H$285*(1-Contrib!H$130)*100/(24*Input!$F$60)</f>
        <v>-0.68743867949639526</v>
      </c>
      <c r="I87" s="34">
        <f>Multi!I902*I$11*LAFs!I$285*(1-Contrib!I$130)*100/(24*Input!$F$60)</f>
        <v>-0.62413960240278588</v>
      </c>
      <c r="J87" s="34">
        <f>Multi!J902*J$11*LAFs!J$285*(1-Contrib!J$130)*100/(24*Input!$F$60)</f>
        <v>0</v>
      </c>
      <c r="K87" s="34">
        <f>Multi!B902*K$11*LAFs!B$285*(1-Contrib!K$130)*100/(24*Input!$F$60)</f>
        <v>-0.74177424049038965</v>
      </c>
      <c r="L87" s="34">
        <f>Multi!C902*L$11*LAFs!C$285*(1-Contrib!L$130)*100/(24*Input!$F$60)</f>
        <v>-0.40096605875575175</v>
      </c>
      <c r="M87" s="34">
        <f>Multi!D902*M$11*LAFs!D$285*(1-Contrib!M$130)*100/(24*Input!$F$60)</f>
        <v>-0.15860428253308143</v>
      </c>
      <c r="N87" s="34">
        <f>Multi!E902*N$11*LAFs!E$285*(1-Contrib!N$130)*100/(24*Input!$F$60)</f>
        <v>-0.33774836633673366</v>
      </c>
      <c r="O87" s="34">
        <f>Multi!F902*O$11*LAFs!F$285*(1-Contrib!O$130)*100/(24*Input!$F$60)</f>
        <v>-0.2130528167950819</v>
      </c>
      <c r="P87" s="34">
        <f>Multi!G902*P$11*LAFs!G$285*(1-Contrib!P$130)*100/(24*Input!$F$60)</f>
        <v>0</v>
      </c>
      <c r="Q87" s="34">
        <f>Multi!H902*Q$11*LAFs!H$285*(1-Contrib!Q$130)*100/(24*Input!$F$60)</f>
        <v>-0.38679327098719352</v>
      </c>
      <c r="R87" s="34">
        <f>Multi!I902*R$11*LAFs!I$285*(1-Contrib!R$130)*100/(24*Input!$F$60)</f>
        <v>-0.35117750217790283</v>
      </c>
      <c r="S87" s="34">
        <f>Multi!J902*S$11*LAFs!J$285*(1-Contrib!S$130)*100/(24*Input!$F$60)</f>
        <v>0</v>
      </c>
      <c r="T87" s="17"/>
    </row>
    <row r="88" spans="1:20">
      <c r="A88" s="4" t="s">
        <v>198</v>
      </c>
      <c r="B88" s="34">
        <f>Multi!B903*B$11*LAFs!B$288*(1-Contrib!B$133)*100/(24*Input!$F$60)</f>
        <v>0</v>
      </c>
      <c r="C88" s="34">
        <f>Multi!C903*C$11*LAFs!C$288*(1-Contrib!C$133)*100/(24*Input!$F$60)</f>
        <v>-0.96806846006541392</v>
      </c>
      <c r="D88" s="34">
        <f>Multi!D903*D$11*LAFs!D$288*(1-Contrib!D$133)*100/(24*Input!$F$60)</f>
        <v>-0.38292468950622244</v>
      </c>
      <c r="E88" s="34">
        <f>Multi!E903*E$11*LAFs!E$288*(1-Contrib!E$133)*100/(24*Input!$F$60)</f>
        <v>-0.81543944618110642</v>
      </c>
      <c r="F88" s="34">
        <f>Multi!F903*F$11*LAFs!F$288*(1-Contrib!F$133)*100/(24*Input!$F$60)</f>
        <v>-0.51438197264734209</v>
      </c>
      <c r="G88" s="34">
        <f>Multi!G903*G$11*LAFs!G$288*(1-Contrib!G$133)*100/(24*Input!$F$60)</f>
        <v>0</v>
      </c>
      <c r="H88" s="34">
        <f>Multi!H903*H$11*LAFs!H$288*(1-Contrib!H$133)*100/(24*Input!$F$60)</f>
        <v>-0.65369537052369231</v>
      </c>
      <c r="I88" s="34">
        <f>Multi!I903*I$11*LAFs!I$288*(1-Contrib!I$133)*100/(24*Input!$F$60)</f>
        <v>0</v>
      </c>
      <c r="J88" s="34">
        <f>Multi!J903*J$11*LAFs!J$288*(1-Contrib!J$133)*100/(24*Input!$F$60)</f>
        <v>0</v>
      </c>
      <c r="K88" s="34">
        <f>Multi!B903*K$11*LAFs!B$288*(1-Contrib!K$133)*100/(24*Input!$F$60)</f>
        <v>-0.7053638403610345</v>
      </c>
      <c r="L88" s="34">
        <f>Multi!C903*L$11*LAFs!C$288*(1-Contrib!L$133)*100/(24*Input!$F$60)</f>
        <v>-0.38128441730654777</v>
      </c>
      <c r="M88" s="34">
        <f>Multi!D903*M$11*LAFs!D$288*(1-Contrib!M$133)*100/(24*Input!$F$60)</f>
        <v>-0.15081910333160228</v>
      </c>
      <c r="N88" s="34">
        <f>Multi!E903*N$11*LAFs!E$288*(1-Contrib!N$133)*100/(24*Input!$F$60)</f>
        <v>-0.32116980039296822</v>
      </c>
      <c r="O88" s="34">
        <f>Multi!F903*O$11*LAFs!F$288*(1-Contrib!O$133)*100/(24*Input!$F$60)</f>
        <v>-0.20259500108141315</v>
      </c>
      <c r="P88" s="34">
        <f>Multi!G903*P$11*LAFs!G$288*(1-Contrib!P$133)*100/(24*Input!$F$60)</f>
        <v>0</v>
      </c>
      <c r="Q88" s="34">
        <f>Multi!H903*Q$11*LAFs!H$288*(1-Contrib!Q$133)*100/(24*Input!$F$60)</f>
        <v>-0.36780730868864392</v>
      </c>
      <c r="R88" s="34">
        <f>Multi!I903*R$11*LAFs!I$288*(1-Contrib!R$133)*100/(24*Input!$F$60)</f>
        <v>0</v>
      </c>
      <c r="S88" s="34">
        <f>Multi!J903*S$11*LAFs!J$288*(1-Contrib!S$133)*100/(24*Input!$F$60)</f>
        <v>0</v>
      </c>
      <c r="T88" s="17"/>
    </row>
    <row r="89" spans="1:20">
      <c r="A89" s="4" t="s">
        <v>199</v>
      </c>
      <c r="B89" s="34">
        <f>Multi!B904*B$11*LAFs!B$289*(1-Contrib!B$134)*100/(24*Input!$F$60)</f>
        <v>0</v>
      </c>
      <c r="C89" s="34">
        <f>Multi!C904*C$11*LAFs!C$289*(1-Contrib!C$134)*100/(24*Input!$F$60)</f>
        <v>-0.96806846006541392</v>
      </c>
      <c r="D89" s="34">
        <f>Multi!D904*D$11*LAFs!D$289*(1-Contrib!D$134)*100/(24*Input!$F$60)</f>
        <v>-0.38292468950622244</v>
      </c>
      <c r="E89" s="34">
        <f>Multi!E904*E$11*LAFs!E$289*(1-Contrib!E$134)*100/(24*Input!$F$60)</f>
        <v>-0.81543944618110642</v>
      </c>
      <c r="F89" s="34">
        <f>Multi!F904*F$11*LAFs!F$289*(1-Contrib!F$134)*100/(24*Input!$F$60)</f>
        <v>-0.51438197264734209</v>
      </c>
      <c r="G89" s="34">
        <f>Multi!G904*G$11*LAFs!G$289*(1-Contrib!G$134)*100/(24*Input!$F$60)</f>
        <v>0</v>
      </c>
      <c r="H89" s="34">
        <f>Multi!H904*H$11*LAFs!H$289*(1-Contrib!H$134)*100/(24*Input!$F$60)</f>
        <v>-0.65369537052369231</v>
      </c>
      <c r="I89" s="34">
        <f>Multi!I904*I$11*LAFs!I$289*(1-Contrib!I$134)*100/(24*Input!$F$60)</f>
        <v>0</v>
      </c>
      <c r="J89" s="34">
        <f>Multi!J904*J$11*LAFs!J$289*(1-Contrib!J$134)*100/(24*Input!$F$60)</f>
        <v>0</v>
      </c>
      <c r="K89" s="34">
        <f>Multi!B904*K$11*LAFs!B$289*(1-Contrib!K$134)*100/(24*Input!$F$60)</f>
        <v>-0.7053638403610345</v>
      </c>
      <c r="L89" s="34">
        <f>Multi!C904*L$11*LAFs!C$289*(1-Contrib!L$134)*100/(24*Input!$F$60)</f>
        <v>-0.38128441730654777</v>
      </c>
      <c r="M89" s="34">
        <f>Multi!D904*M$11*LAFs!D$289*(1-Contrib!M$134)*100/(24*Input!$F$60)</f>
        <v>-0.15081910333160228</v>
      </c>
      <c r="N89" s="34">
        <f>Multi!E904*N$11*LAFs!E$289*(1-Contrib!N$134)*100/(24*Input!$F$60)</f>
        <v>-0.32116980039296822</v>
      </c>
      <c r="O89" s="34">
        <f>Multi!F904*O$11*LAFs!F$289*(1-Contrib!O$134)*100/(24*Input!$F$60)</f>
        <v>-0.20259500108141315</v>
      </c>
      <c r="P89" s="34">
        <f>Multi!G904*P$11*LAFs!G$289*(1-Contrib!P$134)*100/(24*Input!$F$60)</f>
        <v>0</v>
      </c>
      <c r="Q89" s="34">
        <f>Multi!H904*Q$11*LAFs!H$289*(1-Contrib!Q$134)*100/(24*Input!$F$60)</f>
        <v>-0.36780730868864392</v>
      </c>
      <c r="R89" s="34">
        <f>Multi!I904*R$11*LAFs!I$289*(1-Contrib!R$134)*100/(24*Input!$F$60)</f>
        <v>0</v>
      </c>
      <c r="S89" s="34">
        <f>Multi!J904*S$11*LAFs!J$289*(1-Contrib!S$134)*100/(24*Input!$F$60)</f>
        <v>0</v>
      </c>
      <c r="T89" s="17"/>
    </row>
    <row r="90" spans="1:20">
      <c r="A90" s="4" t="s">
        <v>209</v>
      </c>
      <c r="B90" s="34">
        <f>Multi!B905*B$11*LAFs!B$292*(1-Contrib!B$137)*100/(24*Input!$F$60)</f>
        <v>0</v>
      </c>
      <c r="C90" s="34">
        <f>Multi!C905*C$11*LAFs!C$292*(1-Contrib!C$137)*100/(24*Input!$F$60)</f>
        <v>-0.95533321400891247</v>
      </c>
      <c r="D90" s="34">
        <f>Multi!D905*D$11*LAFs!D$292*(1-Contrib!D$137)*100/(24*Input!$F$60)</f>
        <v>-0.37788719438770396</v>
      </c>
      <c r="E90" s="34">
        <f>Multi!E905*E$11*LAFs!E$292*(1-Contrib!E$137)*100/(24*Input!$F$60)</f>
        <v>-0.80471208296281493</v>
      </c>
      <c r="F90" s="34">
        <f>Multi!F905*F$11*LAFs!F$292*(1-Contrib!F$137)*100/(24*Input!$F$60)</f>
        <v>-0.21827449966029949</v>
      </c>
      <c r="G90" s="34">
        <f>Multi!G905*G$11*LAFs!G$292*(1-Contrib!G$137)*100/(24*Input!$F$60)</f>
        <v>0</v>
      </c>
      <c r="H90" s="34">
        <f>Multi!H905*H$11*LAFs!H$292*(1-Contrib!H$137)*100/(24*Input!$F$60)</f>
        <v>0</v>
      </c>
      <c r="I90" s="34">
        <f>Multi!I905*I$11*LAFs!I$292*(1-Contrib!I$137)*100/(24*Input!$F$60)</f>
        <v>0</v>
      </c>
      <c r="J90" s="34">
        <f>Multi!J905*J$11*LAFs!J$292*(1-Contrib!J$137)*100/(24*Input!$F$60)</f>
        <v>0</v>
      </c>
      <c r="K90" s="34">
        <f>Multi!B905*K$11*LAFs!B$292*(1-Contrib!K$137)*100/(24*Input!$F$60)</f>
        <v>-0.696084556470565</v>
      </c>
      <c r="L90" s="34">
        <f>Multi!C905*L$11*LAFs!C$292*(1-Contrib!L$137)*100/(24*Input!$F$60)</f>
        <v>-0.3762685004863876</v>
      </c>
      <c r="M90" s="34">
        <f>Multi!D905*M$11*LAFs!D$292*(1-Contrib!M$137)*100/(24*Input!$F$60)</f>
        <v>-0.14883503043781221</v>
      </c>
      <c r="N90" s="34">
        <f>Multi!E905*N$11*LAFs!E$292*(1-Contrib!N$137)*100/(24*Input!$F$60)</f>
        <v>-0.3169447103268736</v>
      </c>
      <c r="O90" s="34">
        <f>Multi!F905*O$11*LAFs!F$292*(1-Contrib!O$137)*100/(24*Input!$F$60)</f>
        <v>-0.1999297999153565</v>
      </c>
      <c r="P90" s="34">
        <f>Multi!G905*P$11*LAFs!G$292*(1-Contrib!P$137)*100/(24*Input!$F$60)</f>
        <v>0</v>
      </c>
      <c r="Q90" s="34">
        <f>Multi!H905*Q$11*LAFs!H$292*(1-Contrib!Q$137)*100/(24*Input!$F$60)</f>
        <v>0</v>
      </c>
      <c r="R90" s="34">
        <f>Multi!I905*R$11*LAFs!I$292*(1-Contrib!R$137)*100/(24*Input!$F$60)</f>
        <v>0</v>
      </c>
      <c r="S90" s="34">
        <f>Multi!J905*S$11*LAFs!J$292*(1-Contrib!S$137)*100/(24*Input!$F$60)</f>
        <v>0</v>
      </c>
      <c r="T90" s="17"/>
    </row>
    <row r="91" spans="1:20">
      <c r="A91" s="4" t="s">
        <v>210</v>
      </c>
      <c r="B91" s="34">
        <f>Multi!B906*B$11*LAFs!B$293*(1-Contrib!B$138)*100/(24*Input!$F$60)</f>
        <v>0</v>
      </c>
      <c r="C91" s="34">
        <f>Multi!C906*C$11*LAFs!C$293*(1-Contrib!C$138)*100/(24*Input!$F$60)</f>
        <v>-0.95533321400891247</v>
      </c>
      <c r="D91" s="34">
        <f>Multi!D906*D$11*LAFs!D$293*(1-Contrib!D$138)*100/(24*Input!$F$60)</f>
        <v>-0.37788719438770396</v>
      </c>
      <c r="E91" s="34">
        <f>Multi!E906*E$11*LAFs!E$293*(1-Contrib!E$138)*100/(24*Input!$F$60)</f>
        <v>-0.80471208296281493</v>
      </c>
      <c r="F91" s="34">
        <f>Multi!F906*F$11*LAFs!F$293*(1-Contrib!F$138)*100/(24*Input!$F$60)</f>
        <v>-0.21827449966029949</v>
      </c>
      <c r="G91" s="34">
        <f>Multi!G906*G$11*LAFs!G$293*(1-Contrib!G$138)*100/(24*Input!$F$60)</f>
        <v>0</v>
      </c>
      <c r="H91" s="34">
        <f>Multi!H906*H$11*LAFs!H$293*(1-Contrib!H$138)*100/(24*Input!$F$60)</f>
        <v>0</v>
      </c>
      <c r="I91" s="34">
        <f>Multi!I906*I$11*LAFs!I$293*(1-Contrib!I$138)*100/(24*Input!$F$60)</f>
        <v>0</v>
      </c>
      <c r="J91" s="34">
        <f>Multi!J906*J$11*LAFs!J$293*(1-Contrib!J$138)*100/(24*Input!$F$60)</f>
        <v>0</v>
      </c>
      <c r="K91" s="34">
        <f>Multi!B906*K$11*LAFs!B$293*(1-Contrib!K$138)*100/(24*Input!$F$60)</f>
        <v>-0.696084556470565</v>
      </c>
      <c r="L91" s="34">
        <f>Multi!C906*L$11*LAFs!C$293*(1-Contrib!L$138)*100/(24*Input!$F$60)</f>
        <v>-0.3762685004863876</v>
      </c>
      <c r="M91" s="34">
        <f>Multi!D906*M$11*LAFs!D$293*(1-Contrib!M$138)*100/(24*Input!$F$60)</f>
        <v>-0.14883503043781221</v>
      </c>
      <c r="N91" s="34">
        <f>Multi!E906*N$11*LAFs!E$293*(1-Contrib!N$138)*100/(24*Input!$F$60)</f>
        <v>-0.3169447103268736</v>
      </c>
      <c r="O91" s="34">
        <f>Multi!F906*O$11*LAFs!F$293*(1-Contrib!O$138)*100/(24*Input!$F$60)</f>
        <v>-0.1999297999153565</v>
      </c>
      <c r="P91" s="34">
        <f>Multi!G906*P$11*LAFs!G$293*(1-Contrib!P$138)*100/(24*Input!$F$60)</f>
        <v>0</v>
      </c>
      <c r="Q91" s="34">
        <f>Multi!H906*Q$11*LAFs!H$293*(1-Contrib!Q$138)*100/(24*Input!$F$60)</f>
        <v>0</v>
      </c>
      <c r="R91" s="34">
        <f>Multi!I906*R$11*LAFs!I$293*(1-Contrib!R$138)*100/(24*Input!$F$60)</f>
        <v>0</v>
      </c>
      <c r="S91" s="34">
        <f>Multi!J906*S$11*LAFs!J$293*(1-Contrib!S$138)*100/(24*Input!$F$60)</f>
        <v>0</v>
      </c>
      <c r="T91" s="17"/>
    </row>
    <row r="93" spans="1:20" ht="21" customHeight="1">
      <c r="A93" s="1" t="s">
        <v>1011</v>
      </c>
    </row>
    <row r="94" spans="1:20">
      <c r="A94" s="2" t="s">
        <v>379</v>
      </c>
    </row>
    <row r="95" spans="1:20">
      <c r="A95" s="29" t="s">
        <v>1012</v>
      </c>
    </row>
    <row r="96" spans="1:20">
      <c r="A96" s="29" t="s">
        <v>1009</v>
      </c>
    </row>
    <row r="97" spans="1:20">
      <c r="A97" s="29" t="s">
        <v>828</v>
      </c>
    </row>
    <row r="98" spans="1:20">
      <c r="A98" s="29" t="s">
        <v>1005</v>
      </c>
    </row>
    <row r="99" spans="1:20">
      <c r="A99" s="29" t="s">
        <v>773</v>
      </c>
    </row>
    <row r="100" spans="1:20">
      <c r="A100" s="2" t="s">
        <v>1010</v>
      </c>
    </row>
    <row r="102" spans="1:20" ht="30">
      <c r="B102" s="15" t="s">
        <v>148</v>
      </c>
      <c r="C102" s="15" t="s">
        <v>333</v>
      </c>
      <c r="D102" s="15" t="s">
        <v>334</v>
      </c>
      <c r="E102" s="15" t="s">
        <v>335</v>
      </c>
      <c r="F102" s="15" t="s">
        <v>336</v>
      </c>
      <c r="G102" s="15" t="s">
        <v>337</v>
      </c>
      <c r="H102" s="15" t="s">
        <v>338</v>
      </c>
      <c r="I102" s="15" t="s">
        <v>339</v>
      </c>
      <c r="J102" s="15" t="s">
        <v>340</v>
      </c>
      <c r="K102" s="15" t="s">
        <v>321</v>
      </c>
      <c r="L102" s="15" t="s">
        <v>909</v>
      </c>
      <c r="M102" s="15" t="s">
        <v>910</v>
      </c>
      <c r="N102" s="15" t="s">
        <v>911</v>
      </c>
      <c r="O102" s="15" t="s">
        <v>912</v>
      </c>
      <c r="P102" s="15" t="s">
        <v>913</v>
      </c>
      <c r="Q102" s="15" t="s">
        <v>914</v>
      </c>
      <c r="R102" s="15" t="s">
        <v>915</v>
      </c>
      <c r="S102" s="15" t="s">
        <v>916</v>
      </c>
    </row>
    <row r="103" spans="1:20">
      <c r="A103" s="4" t="s">
        <v>181</v>
      </c>
      <c r="B103" s="34">
        <f>Multi!B915*B$11*LAFs!B$262*(1-Contrib!B$107)*100/(24*Input!$F$60)</f>
        <v>0</v>
      </c>
      <c r="C103" s="34">
        <f>Multi!C915*C$11*LAFs!C$262*(1-Contrib!C$107)*100/(24*Input!$F$60)</f>
        <v>2.9279909276869003E-2</v>
      </c>
      <c r="D103" s="34">
        <f>Multi!D915*D$11*LAFs!D$262*(1-Contrib!D$107)*100/(24*Input!$F$60)</f>
        <v>1.1581825698419935E-2</v>
      </c>
      <c r="E103" s="34">
        <f>Multi!E915*E$11*LAFs!E$262*(1-Contrib!E$107)*100/(24*Input!$F$60)</f>
        <v>3.0106224424885433E-2</v>
      </c>
      <c r="F103" s="34">
        <f>Multi!F915*F$11*LAFs!F$262*(1-Contrib!F$107)*100/(24*Input!$F$60)</f>
        <v>1.8991108636160766E-2</v>
      </c>
      <c r="G103" s="34">
        <f>Multi!G915*G$11*LAFs!G$262*(1-Contrib!G$107)*100/(24*Input!$F$60)</f>
        <v>0</v>
      </c>
      <c r="H103" s="34">
        <f>Multi!H915*H$11*LAFs!H$262*(1-Contrib!H$107)*100/(24*Input!$F$60)</f>
        <v>2.413459346694885E-2</v>
      </c>
      <c r="I103" s="34">
        <f>Multi!I915*I$11*LAFs!I$262*(1-Contrib!I$107)*100/(24*Input!$F$60)</f>
        <v>2.1912289808378928E-2</v>
      </c>
      <c r="J103" s="34">
        <f>Multi!J915*J$11*LAFs!J$262*(1-Contrib!J$107)*100/(24*Input!$F$60)</f>
        <v>5.2060004685376541E-4</v>
      </c>
      <c r="K103" s="34">
        <f>Multi!B915*K$11*LAFs!B$262*(1-Contrib!K$107)*100/(24*Input!$F$60)</f>
        <v>3.5252266933299622E-3</v>
      </c>
      <c r="L103" s="34">
        <f>Multi!C915*L$11*LAFs!C$262*(1-Contrib!L$107)*100/(24*Input!$F$60)</f>
        <v>1.153221451576391E-2</v>
      </c>
      <c r="M103" s="34">
        <f>Multi!D915*M$11*LAFs!D$262*(1-Contrib!M$107)*100/(24*Input!$F$60)</f>
        <v>4.5616295178851837E-3</v>
      </c>
      <c r="N103" s="34">
        <f>Multi!E915*N$11*LAFs!E$262*(1-Contrib!N$107)*100/(24*Input!$F$60)</f>
        <v>1.1857667831019863E-2</v>
      </c>
      <c r="O103" s="34">
        <f>Multi!F915*O$11*LAFs!F$262*(1-Contrib!O$107)*100/(24*Input!$F$60)</f>
        <v>7.4798571475560918E-3</v>
      </c>
      <c r="P103" s="34">
        <f>Multi!G915*P$11*LAFs!G$262*(1-Contrib!P$107)*100/(24*Input!$F$60)</f>
        <v>0</v>
      </c>
      <c r="Q103" s="34">
        <f>Multi!H915*Q$11*LAFs!H$262*(1-Contrib!Q$107)*100/(24*Input!$F$60)</f>
        <v>1.3579536080026827E-2</v>
      </c>
      <c r="R103" s="34">
        <f>Multi!I915*R$11*LAFs!I$262*(1-Contrib!R$107)*100/(24*Input!$F$60)</f>
        <v>1.2329137859992458E-2</v>
      </c>
      <c r="S103" s="34">
        <f>Multi!J915*S$11*LAFs!J$262*(1-Contrib!S$107)*100/(24*Input!$F$60)</f>
        <v>6.834801934737361E-3</v>
      </c>
      <c r="T103" s="17"/>
    </row>
    <row r="104" spans="1:20">
      <c r="A104" s="4" t="s">
        <v>183</v>
      </c>
      <c r="B104" s="34">
        <f>Multi!B916*B$11*LAFs!B$265*(1-Contrib!B$110)*100/(24*Input!$F$60)</f>
        <v>0</v>
      </c>
      <c r="C104" s="34">
        <f>Multi!C916*C$11*LAFs!C$265*(1-Contrib!C$110)*100/(24*Input!$F$60)</f>
        <v>2.3388365215339754E-2</v>
      </c>
      <c r="D104" s="34">
        <f>Multi!D916*D$11*LAFs!D$265*(1-Contrib!D$110)*100/(24*Input!$F$60)</f>
        <v>9.2513937366959908E-3</v>
      </c>
      <c r="E104" s="34">
        <f>Multi!E916*E$11*LAFs!E$265*(1-Contrib!E$110)*100/(24*Input!$F$60)</f>
        <v>2.4047098743325494E-2</v>
      </c>
      <c r="F104" s="34">
        <f>Multi!F916*F$11*LAFs!F$265*(1-Contrib!F$110)*100/(24*Input!$F$60)</f>
        <v>1.5168991573765474E-2</v>
      </c>
      <c r="G104" s="34">
        <f>Multi!G916*G$11*LAFs!G$265*(1-Contrib!G$110)*100/(24*Input!$F$60)</f>
        <v>0</v>
      </c>
      <c r="H104" s="34">
        <f>Multi!H916*H$11*LAFs!H$265*(1-Contrib!H$110)*100/(24*Input!$F$60)</f>
        <v>1.9277307710162863E-2</v>
      </c>
      <c r="I104" s="34">
        <f>Multi!I916*I$11*LAFs!I$265*(1-Contrib!I$110)*100/(24*Input!$F$60)</f>
        <v>1.7502260970289646E-2</v>
      </c>
      <c r="J104" s="34">
        <f>Multi!J916*J$11*LAFs!J$265*(1-Contrib!J$110)*100/(24*Input!$F$60)</f>
        <v>4.1582499870440051E-4</v>
      </c>
      <c r="K104" s="34">
        <f>Multi!B916*K$11*LAFs!B$265*(1-Contrib!K$110)*100/(24*Input!$F$60)</f>
        <v>2.8160097223410971E-3</v>
      </c>
      <c r="L104" s="34">
        <f>Multi!C916*L$11*LAFs!C$265*(1-Contrib!L$110)*100/(24*Input!$F$60)</f>
        <v>9.2117650463284084E-3</v>
      </c>
      <c r="M104" s="34">
        <f>Multi!D916*M$11*LAFs!D$265*(1-Contrib!M$110)*100/(24*Input!$F$60)</f>
        <v>3.6437632416319249E-3</v>
      </c>
      <c r="N104" s="34">
        <f>Multi!E916*N$11*LAFs!E$265*(1-Contrib!N$110)*100/(24*Input!$F$60)</f>
        <v>9.4712144961755368E-3</v>
      </c>
      <c r="O104" s="34">
        <f>Multi!F916*O$11*LAFs!F$265*(1-Contrib!O$110)*100/(24*Input!$F$60)</f>
        <v>5.9744742773050275E-3</v>
      </c>
      <c r="P104" s="34">
        <f>Multi!G916*P$11*LAFs!G$265*(1-Contrib!P$110)*100/(24*Input!$F$60)</f>
        <v>0</v>
      </c>
      <c r="Q104" s="34">
        <f>Multi!H916*Q$11*LAFs!H$265*(1-Contrib!Q$110)*100/(24*Input!$F$60)</f>
        <v>1.0846542575263452E-2</v>
      </c>
      <c r="R104" s="34">
        <f>Multi!I916*R$11*LAFs!I$265*(1-Contrib!R$110)*100/(24*Input!$F$60)</f>
        <v>9.8477972978320318E-3</v>
      </c>
      <c r="S104" s="34">
        <f>Multi!J916*S$11*LAFs!J$265*(1-Contrib!S$110)*100/(24*Input!$F$60)</f>
        <v>5.4592417400517968E-3</v>
      </c>
      <c r="T104" s="17"/>
    </row>
    <row r="105" spans="1:20">
      <c r="A105" s="4" t="s">
        <v>184</v>
      </c>
      <c r="B105" s="34">
        <f>Multi!B917*B$11*LAFs!B$267*(1-Contrib!B$112)*100/(24*Input!$F$60)</f>
        <v>0</v>
      </c>
      <c r="C105" s="34">
        <f>Multi!C917*C$11*LAFs!C$267*(1-Contrib!C$112)*100/(24*Input!$F$60)</f>
        <v>1.999297357647532E-2</v>
      </c>
      <c r="D105" s="34">
        <f>Multi!D917*D$11*LAFs!D$267*(1-Contrib!D$112)*100/(24*Input!$F$60)</f>
        <v>7.9083283000053566E-3</v>
      </c>
      <c r="E105" s="34">
        <f>Multi!E917*E$11*LAFs!E$267*(1-Contrib!E$112)*100/(24*Input!$F$60)</f>
        <v>2.0557195726823289E-2</v>
      </c>
      <c r="F105" s="34">
        <f>Multi!F917*F$11*LAFs!F$267*(1-Contrib!F$112)*100/(24*Input!$F$60)</f>
        <v>1.296754889597574E-2</v>
      </c>
      <c r="G105" s="34">
        <f>Multi!G917*G$11*LAFs!G$267*(1-Contrib!G$112)*100/(24*Input!$F$60)</f>
        <v>0</v>
      </c>
      <c r="H105" s="34">
        <f>Multi!H917*H$11*LAFs!H$267*(1-Contrib!H$112)*100/(24*Input!$F$60)</f>
        <v>1.64796340678732E-2</v>
      </c>
      <c r="I105" s="34">
        <f>Multi!I917*I$11*LAFs!I$267*(1-Contrib!I$112)*100/(24*Input!$F$60)</f>
        <v>1.4962195991649493E-2</v>
      </c>
      <c r="J105" s="34">
        <f>Multi!J917*J$11*LAFs!J$267*(1-Contrib!J$112)*100/(24*Input!$F$60)</f>
        <v>3.5547722316585226E-4</v>
      </c>
      <c r="K105" s="34">
        <f>Multi!B917*K$11*LAFs!B$267*(1-Contrib!K$112)*100/(24*Input!$F$60)</f>
        <v>2.407103994648282E-3</v>
      </c>
      <c r="L105" s="34">
        <f>Multi!C917*L$11*LAFs!C$267*(1-Contrib!L$112)*100/(24*Input!$F$60)</f>
        <v>7.874452680564038E-3</v>
      </c>
      <c r="M105" s="34">
        <f>Multi!D917*M$11*LAFs!D$267*(1-Contrib!M$112)*100/(24*Input!$F$60)</f>
        <v>3.1147821379623039E-3</v>
      </c>
      <c r="N105" s="34">
        <f>Multi!E917*N$11*LAFs!E$267*(1-Contrib!N$112)*100/(24*Input!$F$60)</f>
        <v>8.0966777841608804E-3</v>
      </c>
      <c r="O105" s="34">
        <f>Multi!F917*O$11*LAFs!F$267*(1-Contrib!O$112)*100/(24*Input!$F$60)</f>
        <v>5.107411850151778E-3</v>
      </c>
      <c r="P105" s="34">
        <f>Multi!G917*P$11*LAFs!G$267*(1-Contrib!P$112)*100/(24*Input!$F$60)</f>
        <v>0</v>
      </c>
      <c r="Q105" s="34">
        <f>Multi!H917*Q$11*LAFs!H$267*(1-Contrib!Q$112)*100/(24*Input!$F$60)</f>
        <v>9.2724074974284143E-3</v>
      </c>
      <c r="R105" s="34">
        <f>Multi!I917*R$11*LAFs!I$267*(1-Contrib!R$112)*100/(24*Input!$F$60)</f>
        <v>8.4186079447860478E-3</v>
      </c>
      <c r="S105" s="34">
        <f>Multi!J917*S$11*LAFs!J$267*(1-Contrib!S$112)*100/(24*Input!$F$60)</f>
        <v>4.666953887792296E-3</v>
      </c>
      <c r="T105" s="17"/>
    </row>
    <row r="106" spans="1:20">
      <c r="A106" s="4" t="s">
        <v>185</v>
      </c>
      <c r="B106" s="34">
        <f>Multi!B918*B$11*LAFs!B$268*(1-Contrib!B$113)*100/(24*Input!$F$60)</f>
        <v>0</v>
      </c>
      <c r="C106" s="34">
        <f>Multi!C918*C$11*LAFs!C$268*(1-Contrib!C$113)*100/(24*Input!$F$60)</f>
        <v>4.9893197482333805E-2</v>
      </c>
      <c r="D106" s="34">
        <f>Multi!D918*D$11*LAFs!D$268*(1-Contrib!D$113)*100/(24*Input!$F$60)</f>
        <v>1.9735522788444457E-2</v>
      </c>
      <c r="E106" s="34">
        <f>Multi!E918*E$11*LAFs!E$268*(1-Contrib!E$113)*100/(24*Input!$F$60)</f>
        <v>5.1301234514120921E-2</v>
      </c>
      <c r="F106" s="34">
        <f>Multi!F918*F$11*LAFs!F$268*(1-Contrib!F$113)*100/(24*Input!$F$60)</f>
        <v>3.2360992998561225E-2</v>
      </c>
      <c r="G106" s="34">
        <f>Multi!G918*G$11*LAFs!G$268*(1-Contrib!G$113)*100/(24*Input!$F$60)</f>
        <v>0</v>
      </c>
      <c r="H106" s="34">
        <f>Multi!H918*H$11*LAFs!H$268*(1-Contrib!H$113)*100/(24*Input!$F$60)</f>
        <v>4.112553011886428E-2</v>
      </c>
      <c r="I106" s="34">
        <f>Multi!I918*I$11*LAFs!I$268*(1-Contrib!I$113)*100/(24*Input!$F$60)</f>
        <v>1.6002303363341895E-3</v>
      </c>
      <c r="J106" s="34">
        <f>Multi!J918*J$11*LAFs!J$268*(1-Contrib!J$113)*100/(24*Input!$F$60)</f>
        <v>0</v>
      </c>
      <c r="K106" s="34">
        <f>Multi!B918*K$11*LAFs!B$268*(1-Contrib!K$113)*100/(24*Input!$F$60)</f>
        <v>6.007016140251115E-3</v>
      </c>
      <c r="L106" s="34">
        <f>Multi!C918*L$11*LAFs!C$268*(1-Contrib!L$113)*100/(24*Input!$F$60)</f>
        <v>1.9650984939976992E-2</v>
      </c>
      <c r="M106" s="34">
        <f>Multi!D918*M$11*LAFs!D$268*(1-Contrib!M$113)*100/(24*Input!$F$60)</f>
        <v>7.7730528542616457E-3</v>
      </c>
      <c r="N106" s="34">
        <f>Multi!E918*N$11*LAFs!E$268*(1-Contrib!N$113)*100/(24*Input!$F$60)</f>
        <v>2.0205555821435833E-2</v>
      </c>
      <c r="O106" s="34">
        <f>Multi!F918*O$11*LAFs!F$268*(1-Contrib!O$113)*100/(24*Input!$F$60)</f>
        <v>1.2745733249158784E-2</v>
      </c>
      <c r="P106" s="34">
        <f>Multi!G918*P$11*LAFs!G$268*(1-Contrib!P$113)*100/(24*Input!$F$60)</f>
        <v>0</v>
      </c>
      <c r="Q106" s="34">
        <f>Multi!H918*Q$11*LAFs!H$268*(1-Contrib!Q$113)*100/(24*Input!$F$60)</f>
        <v>2.3139632363152866E-2</v>
      </c>
      <c r="R106" s="34">
        <f>Multi!I918*R$11*LAFs!I$268*(1-Contrib!R$113)*100/(24*Input!$F$60)</f>
        <v>2.1008944322808653E-2</v>
      </c>
      <c r="S106" s="34">
        <f>Multi!J918*S$11*LAFs!J$268*(1-Contrib!S$113)*100/(24*Input!$F$60)</f>
        <v>0</v>
      </c>
      <c r="T106" s="17"/>
    </row>
    <row r="107" spans="1:20">
      <c r="A107" s="4" t="s">
        <v>205</v>
      </c>
      <c r="B107" s="34">
        <f>Multi!B919*B$11*LAFs!B$269*(1-Contrib!B$114)*100/(24*Input!$F$60)</f>
        <v>0</v>
      </c>
      <c r="C107" s="34">
        <f>Multi!C919*C$11*LAFs!C$269*(1-Contrib!C$114)*100/(24*Input!$F$60)</f>
        <v>6.0019037823785988E-2</v>
      </c>
      <c r="D107" s="34">
        <f>Multi!D919*D$11*LAFs!D$269*(1-Contrib!D$114)*100/(24*Input!$F$60)</f>
        <v>2.3740853432599681E-2</v>
      </c>
      <c r="E107" s="34">
        <f>Multi!E919*E$11*LAFs!E$269*(1-Contrib!E$114)*100/(24*Input!$F$60)</f>
        <v>6.1712836420238837E-2</v>
      </c>
      <c r="F107" s="34">
        <f>Multi!F919*F$11*LAFs!F$269*(1-Contrib!F$114)*100/(24*Input!$F$60)</f>
        <v>1.6739326744852661E-2</v>
      </c>
      <c r="G107" s="34">
        <f>Multi!G919*G$11*LAFs!G$269*(1-Contrib!G$114)*100/(24*Input!$F$60)</f>
        <v>0</v>
      </c>
      <c r="H107" s="34">
        <f>Multi!H919*H$11*LAFs!H$269*(1-Contrib!H$114)*100/(24*Input!$F$60)</f>
        <v>6.3606818021956137E-3</v>
      </c>
      <c r="I107" s="34">
        <f>Multi!I919*I$11*LAFs!I$269*(1-Contrib!I$114)*100/(24*Input!$F$60)</f>
        <v>0</v>
      </c>
      <c r="J107" s="34">
        <f>Multi!J919*J$11*LAFs!J$269*(1-Contrib!J$114)*100/(24*Input!$F$60)</f>
        <v>0</v>
      </c>
      <c r="K107" s="34">
        <f>Multi!B919*K$11*LAFs!B$269*(1-Contrib!K$114)*100/(24*Input!$F$60)</f>
        <v>7.226141981729735E-3</v>
      </c>
      <c r="L107" s="34">
        <f>Multi!C919*L$11*LAFs!C$269*(1-Contrib!L$114)*100/(24*Input!$F$60)</f>
        <v>2.3639158600824127E-2</v>
      </c>
      <c r="M107" s="34">
        <f>Multi!D919*M$11*LAFs!D$269*(1-Contrib!M$114)*100/(24*Input!$F$60)</f>
        <v>9.3505964100899074E-3</v>
      </c>
      <c r="N107" s="34">
        <f>Multi!E919*N$11*LAFs!E$269*(1-Contrib!N$114)*100/(24*Input!$F$60)</f>
        <v>2.4306279819544061E-2</v>
      </c>
      <c r="O107" s="34">
        <f>Multi!F919*O$11*LAFs!F$269*(1-Contrib!O$114)*100/(24*Input!$F$60)</f>
        <v>1.53324838770659E-2</v>
      </c>
      <c r="P107" s="34">
        <f>Multi!G919*P$11*LAFs!G$269*(1-Contrib!P$114)*100/(24*Input!$F$60)</f>
        <v>0</v>
      </c>
      <c r="Q107" s="34">
        <f>Multi!H919*Q$11*LAFs!H$269*(1-Contrib!Q$114)*100/(24*Input!$F$60)</f>
        <v>2.7835828131166133E-2</v>
      </c>
      <c r="R107" s="34">
        <f>Multi!I919*R$11*LAFs!I$269*(1-Contrib!R$114)*100/(24*Input!$F$60)</f>
        <v>0</v>
      </c>
      <c r="S107" s="34">
        <f>Multi!J919*S$11*LAFs!J$269*(1-Contrib!S$114)*100/(24*Input!$F$60)</f>
        <v>0</v>
      </c>
      <c r="T107" s="17"/>
    </row>
    <row r="108" spans="1:20">
      <c r="A108" s="4" t="s">
        <v>186</v>
      </c>
      <c r="B108" s="34">
        <f>Multi!B920*B$11*LAFs!B$270*(1-Contrib!B$115)*100/(24*Input!$F$60)</f>
        <v>0</v>
      </c>
      <c r="C108" s="34">
        <f>Multi!C920*C$11*LAFs!C$270*(1-Contrib!C$115)*100/(24*Input!$F$60)</f>
        <v>0.17183059859999517</v>
      </c>
      <c r="D108" s="34">
        <f>Multi!D920*D$11*LAFs!D$270*(1-Contrib!D$115)*100/(24*Input!$F$60)</f>
        <v>6.7968518065473785E-2</v>
      </c>
      <c r="E108" s="34">
        <f>Multi!E920*E$11*LAFs!E$270*(1-Contrib!E$115)*100/(24*Input!$F$60)</f>
        <v>0.24185485407508911</v>
      </c>
      <c r="F108" s="34">
        <f>Multi!F920*F$11*LAFs!F$270*(1-Contrib!F$115)*100/(24*Input!$F$60)</f>
        <v>0.15256286351623133</v>
      </c>
      <c r="G108" s="34">
        <f>Multi!G920*G$11*LAFs!G$270*(1-Contrib!G$115)*100/(24*Input!$F$60)</f>
        <v>0</v>
      </c>
      <c r="H108" s="34">
        <f>Multi!H920*H$11*LAFs!H$270*(1-Contrib!H$115)*100/(24*Input!$F$60)</f>
        <v>0.19388245097534265</v>
      </c>
      <c r="I108" s="34">
        <f>Multi!I920*I$11*LAFs!I$270*(1-Contrib!I$115)*100/(24*Input!$F$60)</f>
        <v>0.17602983287655191</v>
      </c>
      <c r="J108" s="34">
        <f>Multi!J920*J$11*LAFs!J$270*(1-Contrib!J$115)*100/(24*Input!$F$60)</f>
        <v>4.1821799567542794E-3</v>
      </c>
      <c r="K108" s="34">
        <f>Multi!B920*K$11*LAFs!B$270*(1-Contrib!K$115)*100/(24*Input!$F$60)</f>
        <v>4.4189034742197437E-2</v>
      </c>
      <c r="L108" s="34">
        <f>Multi!C920*L$11*LAFs!C$270*(1-Contrib!L$115)*100/(24*Input!$F$60)</f>
        <v>6.767737238150226E-2</v>
      </c>
      <c r="M108" s="34">
        <f>Multi!D920*M$11*LAFs!D$270*(1-Contrib!M$115)*100/(24*Input!$F$60)</f>
        <v>2.6770148883925628E-2</v>
      </c>
      <c r="N108" s="34">
        <f>Multi!E920*N$11*LAFs!E$270*(1-Contrib!N$115)*100/(24*Input!$F$60)</f>
        <v>9.5257196069118213E-2</v>
      </c>
      <c r="O108" s="34">
        <f>Multi!F920*O$11*LAFs!F$270*(1-Contrib!O$115)*100/(24*Input!$F$60)</f>
        <v>6.008856286307894E-2</v>
      </c>
      <c r="P108" s="34">
        <f>Multi!G920*P$11*LAFs!G$270*(1-Contrib!P$115)*100/(24*Input!$F$60)</f>
        <v>0</v>
      </c>
      <c r="Q108" s="34">
        <f>Multi!H920*Q$11*LAFs!H$270*(1-Contrib!Q$115)*100/(24*Input!$F$60)</f>
        <v>0.10908962448069552</v>
      </c>
      <c r="R108" s="34">
        <f>Multi!I920*R$11*LAFs!I$270*(1-Contrib!R$115)*100/(24*Input!$F$60)</f>
        <v>9.9044695738578312E-2</v>
      </c>
      <c r="S108" s="34">
        <f>Multi!J920*S$11*LAFs!J$270*(1-Contrib!S$115)*100/(24*Input!$F$60)</f>
        <v>5.4906586798431849E-2</v>
      </c>
      <c r="T108" s="17"/>
    </row>
    <row r="109" spans="1:20">
      <c r="A109" s="4" t="s">
        <v>187</v>
      </c>
      <c r="B109" s="34">
        <f>Multi!B921*B$11*LAFs!B$271*(1-Contrib!B$116)*100/(24*Input!$F$60)</f>
        <v>0</v>
      </c>
      <c r="C109" s="34">
        <f>Multi!C921*C$11*LAFs!C$271*(1-Contrib!C$116)*100/(24*Input!$F$60)</f>
        <v>0.15700203784356931</v>
      </c>
      <c r="D109" s="34">
        <f>Multi!D921*D$11*LAFs!D$271*(1-Contrib!D$116)*100/(24*Input!$F$60)</f>
        <v>6.2103001051217549E-2</v>
      </c>
      <c r="E109" s="34">
        <f>Multi!E921*E$11*LAFs!E$271*(1-Contrib!E$116)*100/(24*Input!$F$60)</f>
        <v>0.22097801788871321</v>
      </c>
      <c r="F109" s="34">
        <f>Multi!F921*F$11*LAFs!F$271*(1-Contrib!F$116)*100/(24*Input!$F$60)</f>
        <v>0.13939368433257138</v>
      </c>
      <c r="G109" s="34">
        <f>Multi!G921*G$11*LAFs!G$271*(1-Contrib!G$116)*100/(24*Input!$F$60)</f>
        <v>0</v>
      </c>
      <c r="H109" s="34">
        <f>Multi!H921*H$11*LAFs!H$271*(1-Contrib!H$116)*100/(24*Input!$F$60)</f>
        <v>0.17714657778435597</v>
      </c>
      <c r="I109" s="34">
        <f>Multi!I921*I$11*LAFs!I$271*(1-Contrib!I$116)*100/(24*Input!$F$60)</f>
        <v>0.16083499215717595</v>
      </c>
      <c r="J109" s="34">
        <f>Multi!J921*J$11*LAFs!J$271*(1-Contrib!J$116)*100/(24*Input!$F$60)</f>
        <v>3.8211754766374726E-3</v>
      </c>
      <c r="K109" s="34">
        <f>Multi!B921*K$11*LAFs!B$271*(1-Contrib!K$116)*100/(24*Input!$F$60)</f>
        <v>4.0407278899679225E-2</v>
      </c>
      <c r="L109" s="34">
        <f>Multi!C921*L$11*LAFs!C$271*(1-Contrib!L$116)*100/(24*Input!$F$60)</f>
        <v>6.1836980528299508E-2</v>
      </c>
      <c r="M109" s="34">
        <f>Multi!D921*M$11*LAFs!D$271*(1-Contrib!M$116)*100/(24*Input!$F$60)</f>
        <v>2.4459950453505516E-2</v>
      </c>
      <c r="N109" s="34">
        <f>Multi!E921*N$11*LAFs!E$271*(1-Contrib!N$116)*100/(24*Input!$F$60)</f>
        <v>8.7034624372082758E-2</v>
      </c>
      <c r="O109" s="34">
        <f>Multi!F921*O$11*LAFs!F$271*(1-Contrib!O$116)*100/(24*Input!$F$60)</f>
        <v>5.4901736705032206E-2</v>
      </c>
      <c r="P109" s="34">
        <f>Multi!G921*P$11*LAFs!G$271*(1-Contrib!P$116)*100/(24*Input!$F$60)</f>
        <v>0</v>
      </c>
      <c r="Q109" s="34">
        <f>Multi!H921*Q$11*LAFs!H$271*(1-Contrib!Q$116)*100/(24*Input!$F$60)</f>
        <v>9.9673041842210791E-2</v>
      </c>
      <c r="R109" s="34">
        <f>Multi!I921*R$11*LAFs!I$271*(1-Contrib!R$116)*100/(24*Input!$F$60)</f>
        <v>9.0495188241731625E-2</v>
      </c>
      <c r="S109" s="34">
        <f>Multi!J921*S$11*LAFs!J$271*(1-Contrib!S$116)*100/(24*Input!$F$60)</f>
        <v>5.0167067211250013E-2</v>
      </c>
      <c r="T109" s="17"/>
    </row>
    <row r="110" spans="1:20">
      <c r="A110" s="4" t="s">
        <v>188</v>
      </c>
      <c r="B110" s="34">
        <f>Multi!B922*B$11*LAFs!B$272*(1-Contrib!B$117)*100/(24*Input!$F$60)</f>
        <v>0</v>
      </c>
      <c r="C110" s="34">
        <f>Multi!C922*C$11*LAFs!C$272*(1-Contrib!C$117)*100/(24*Input!$F$60)</f>
        <v>0.14081952708443113</v>
      </c>
      <c r="D110" s="34">
        <f>Multi!D922*D$11*LAFs!D$272*(1-Contrib!D$117)*100/(24*Input!$F$60)</f>
        <v>5.5701921826453449E-2</v>
      </c>
      <c r="E110" s="34">
        <f>Multi!E922*E$11*LAFs!E$272*(1-Contrib!E$117)*100/(24*Input!$F$60)</f>
        <v>0.19820583478038253</v>
      </c>
      <c r="F110" s="34">
        <f>Multi!F922*F$11*LAFs!F$272*(1-Contrib!F$117)*100/(24*Input!$F$60)</f>
        <v>0.1250289138721685</v>
      </c>
      <c r="G110" s="34">
        <f>Multi!G922*G$11*LAFs!G$272*(1-Contrib!G$117)*100/(24*Input!$F$60)</f>
        <v>0</v>
      </c>
      <c r="H110" s="34">
        <f>Multi!H922*H$11*LAFs!H$272*(1-Contrib!H$117)*100/(24*Input!$F$60)</f>
        <v>0.15889130359526868</v>
      </c>
      <c r="I110" s="34">
        <f>Multi!I922*I$11*LAFs!I$272*(1-Contrib!I$117)*100/(24*Input!$F$60)</f>
        <v>0.14426065627244264</v>
      </c>
      <c r="J110" s="34">
        <f>Multi!J922*J$11*LAFs!J$272*(1-Contrib!J$117)*100/(24*Input!$F$60)</f>
        <v>3.4273964552016226E-3</v>
      </c>
      <c r="K110" s="34">
        <f>Multi!B922*K$11*LAFs!B$272*(1-Contrib!K$117)*100/(24*Input!$F$60)</f>
        <v>3.6231969145594872E-2</v>
      </c>
      <c r="L110" s="34">
        <f>Multi!C922*L$11*LAFs!C$272*(1-Contrib!L$117)*100/(24*Input!$F$60)</f>
        <v>5.5463320565306791E-2</v>
      </c>
      <c r="M110" s="34">
        <f>Multi!D922*M$11*LAFs!D$272*(1-Contrib!M$117)*100/(24*Input!$F$60)</f>
        <v>2.1938814952218437E-2</v>
      </c>
      <c r="N110" s="34">
        <f>Multi!E922*N$11*LAFs!E$272*(1-Contrib!N$117)*100/(24*Input!$F$60)</f>
        <v>7.8065549430139949E-2</v>
      </c>
      <c r="O110" s="34">
        <f>Multi!F922*O$11*LAFs!F$272*(1-Contrib!O$117)*100/(24*Input!$F$60)</f>
        <v>4.924401376427353E-2</v>
      </c>
      <c r="P110" s="34">
        <f>Multi!G922*P$11*LAFs!G$272*(1-Contrib!P$117)*100/(24*Input!$F$60)</f>
        <v>0</v>
      </c>
      <c r="Q110" s="34">
        <f>Multi!H922*Q$11*LAFs!H$272*(1-Contrib!Q$117)*100/(24*Input!$F$60)</f>
        <v>8.9401555196248525E-2</v>
      </c>
      <c r="R110" s="34">
        <f>Multi!I922*R$11*LAFs!I$272*(1-Contrib!R$117)*100/(24*Input!$F$60)</f>
        <v>8.1169495954540441E-2</v>
      </c>
      <c r="S110" s="34">
        <f>Multi!J922*S$11*LAFs!J$272*(1-Contrib!S$117)*100/(24*Input!$F$60)</f>
        <v>4.4997260497181966E-2</v>
      </c>
      <c r="T110" s="17"/>
    </row>
    <row r="111" spans="1:20">
      <c r="A111" s="4" t="s">
        <v>189</v>
      </c>
      <c r="B111" s="34">
        <f>Multi!B923*B$11*LAFs!B$273*(1-Contrib!B$118)*100/(24*Input!$F$60)</f>
        <v>0</v>
      </c>
      <c r="C111" s="34">
        <f>Multi!C923*C$11*LAFs!C$273*(1-Contrib!C$118)*100/(24*Input!$F$60)</f>
        <v>0.13135811439787354</v>
      </c>
      <c r="D111" s="34">
        <f>Multi!D923*D$11*LAFs!D$273*(1-Contrib!D$118)*100/(24*Input!$F$60)</f>
        <v>5.1959409117129686E-2</v>
      </c>
      <c r="E111" s="34">
        <f>Multi!E923*E$11*LAFs!E$273*(1-Contrib!E$118)*100/(24*Input!$F$60)</f>
        <v>0.18488873850426404</v>
      </c>
      <c r="F111" s="34">
        <f>Multi!F923*F$11*LAFs!F$273*(1-Contrib!F$118)*100/(24*Input!$F$60)</f>
        <v>0.11662844430385794</v>
      </c>
      <c r="G111" s="34">
        <f>Multi!G923*G$11*LAFs!G$273*(1-Contrib!G$118)*100/(24*Input!$F$60)</f>
        <v>0</v>
      </c>
      <c r="H111" s="34">
        <f>Multi!H923*H$11*LAFs!H$273*(1-Contrib!H$118)*100/(24*Input!$F$60)</f>
        <v>0.1482156804999106</v>
      </c>
      <c r="I111" s="34">
        <f>Multi!I923*I$11*LAFs!I$273*(1-Contrib!I$118)*100/(24*Input!$F$60)</f>
        <v>5.7672017253238657E-3</v>
      </c>
      <c r="J111" s="34">
        <f>Multi!J923*J$11*LAFs!J$273*(1-Contrib!J$118)*100/(24*Input!$F$60)</f>
        <v>0</v>
      </c>
      <c r="K111" s="34">
        <f>Multi!B923*K$11*LAFs!B$273*(1-Contrib!K$118)*100/(24*Input!$F$60)</f>
        <v>3.3797607806435141E-2</v>
      </c>
      <c r="L111" s="34">
        <f>Multi!C923*L$11*LAFs!C$273*(1-Contrib!L$118)*100/(24*Input!$F$60)</f>
        <v>5.1736839048857924E-2</v>
      </c>
      <c r="M111" s="34">
        <f>Multi!D923*M$11*LAFs!D$273*(1-Contrib!M$118)*100/(24*Input!$F$60)</f>
        <v>2.046478513252941E-2</v>
      </c>
      <c r="N111" s="34">
        <f>Multi!E923*N$11*LAFs!E$273*(1-Contrib!N$118)*100/(24*Input!$F$60)</f>
        <v>7.2820464497291362E-2</v>
      </c>
      <c r="O111" s="34">
        <f>Multi!F923*O$11*LAFs!F$273*(1-Contrib!O$118)*100/(24*Input!$F$60)</f>
        <v>4.5935396371410371E-2</v>
      </c>
      <c r="P111" s="34">
        <f>Multi!G923*P$11*LAFs!G$273*(1-Contrib!P$118)*100/(24*Input!$F$60)</f>
        <v>0</v>
      </c>
      <c r="Q111" s="34">
        <f>Multi!H923*Q$11*LAFs!H$273*(1-Contrib!Q$118)*100/(24*Input!$F$60)</f>
        <v>8.3394824268764225E-2</v>
      </c>
      <c r="R111" s="34">
        <f>Multi!I923*R$11*LAFs!I$273*(1-Contrib!R$118)*100/(24*Input!$F$60)</f>
        <v>7.5715862394719446E-2</v>
      </c>
      <c r="S111" s="34">
        <f>Multi!J923*S$11*LAFs!J$273*(1-Contrib!S$118)*100/(24*Input!$F$60)</f>
        <v>0</v>
      </c>
      <c r="T111" s="17"/>
    </row>
    <row r="112" spans="1:20">
      <c r="A112" s="4" t="s">
        <v>206</v>
      </c>
      <c r="B112" s="34">
        <f>Multi!B924*B$11*LAFs!B$274*(1-Contrib!B$119)*100/(24*Input!$F$60)</f>
        <v>0</v>
      </c>
      <c r="C112" s="34">
        <f>Multi!C924*C$11*LAFs!C$274*(1-Contrib!C$119)*100/(24*Input!$F$60)</f>
        <v>0.11759713766650093</v>
      </c>
      <c r="D112" s="34">
        <f>Multi!D924*D$11*LAFs!D$274*(1-Contrib!D$119)*100/(24*Input!$F$60)</f>
        <v>4.6516180709701628E-2</v>
      </c>
      <c r="E112" s="34">
        <f>Multi!E924*E$11*LAFs!E$274*(1-Contrib!E$119)*100/(24*Input!$F$60)</f>
        <v>0.16551993407134044</v>
      </c>
      <c r="F112" s="34">
        <f>Multi!F924*F$11*LAFs!F$274*(1-Contrib!F$119)*100/(24*Input!$F$60)</f>
        <v>4.4896530769374658E-2</v>
      </c>
      <c r="G112" s="34">
        <f>Multi!G924*G$11*LAFs!G$274*(1-Contrib!G$119)*100/(24*Input!$F$60)</f>
        <v>0</v>
      </c>
      <c r="H112" s="34">
        <f>Multi!H924*H$11*LAFs!H$274*(1-Contrib!H$119)*100/(24*Input!$F$60)</f>
        <v>1.705997801460506E-2</v>
      </c>
      <c r="I112" s="34">
        <f>Multi!I924*I$11*LAFs!I$274*(1-Contrib!I$119)*100/(24*Input!$F$60)</f>
        <v>0</v>
      </c>
      <c r="J112" s="34">
        <f>Multi!J924*J$11*LAFs!J$274*(1-Contrib!J$119)*100/(24*Input!$F$60)</f>
        <v>0</v>
      </c>
      <c r="K112" s="34">
        <f>Multi!B924*K$11*LAFs!B$274*(1-Contrib!K$119)*100/(24*Input!$F$60)</f>
        <v>3.0256995970369235E-2</v>
      </c>
      <c r="L112" s="34">
        <f>Multi!C924*L$11*LAFs!C$274*(1-Contrib!L$119)*100/(24*Input!$F$60)</f>
        <v>4.6316926913474624E-2</v>
      </c>
      <c r="M112" s="34">
        <f>Multi!D924*M$11*LAFs!D$274*(1-Contrib!M$119)*100/(24*Input!$F$60)</f>
        <v>1.8320909717507192E-2</v>
      </c>
      <c r="N112" s="34">
        <f>Multi!E924*N$11*LAFs!E$274*(1-Contrib!N$119)*100/(24*Input!$F$60)</f>
        <v>6.5191847703358494E-2</v>
      </c>
      <c r="O112" s="34">
        <f>Multi!F924*O$11*LAFs!F$274*(1-Contrib!O$119)*100/(24*Input!$F$60)</f>
        <v>4.1123238983868049E-2</v>
      </c>
      <c r="P112" s="34">
        <f>Multi!G924*P$11*LAFs!G$274*(1-Contrib!P$119)*100/(24*Input!$F$60)</f>
        <v>0</v>
      </c>
      <c r="Q112" s="34">
        <f>Multi!H924*Q$11*LAFs!H$274*(1-Contrib!Q$119)*100/(24*Input!$F$60)</f>
        <v>7.46584455414981E-2</v>
      </c>
      <c r="R112" s="34">
        <f>Multi!I924*R$11*LAFs!I$274*(1-Contrib!R$119)*100/(24*Input!$F$60)</f>
        <v>0</v>
      </c>
      <c r="S112" s="34">
        <f>Multi!J924*S$11*LAFs!J$274*(1-Contrib!S$119)*100/(24*Input!$F$60)</f>
        <v>0</v>
      </c>
      <c r="T112" s="17"/>
    </row>
    <row r="113" spans="1:20">
      <c r="A113" s="4" t="s">
        <v>232</v>
      </c>
      <c r="B113" s="34">
        <f>Multi!B925*B$11*LAFs!B$279*(1-Contrib!B$124)*100/(24*Input!$F$60)</f>
        <v>0</v>
      </c>
      <c r="C113" s="34">
        <f>Multi!C925*C$11*LAFs!C$279*(1-Contrib!C$124)*100/(24*Input!$F$60)</f>
        <v>0.13598079677452737</v>
      </c>
      <c r="D113" s="34">
        <f>Multi!D925*D$11*LAFs!D$279*(1-Contrib!D$124)*100/(24*Input!$F$60)</f>
        <v>5.3787936010409959E-2</v>
      </c>
      <c r="E113" s="34">
        <f>Multi!E925*E$11*LAFs!E$279*(1-Contrib!E$124)*100/(24*Input!$F$60)</f>
        <v>0.18607697216152</v>
      </c>
      <c r="F113" s="34">
        <f>Multi!F925*F$11*LAFs!F$279*(1-Contrib!F$124)*100/(24*Input!$F$60)</f>
        <v>0.11737798613120967</v>
      </c>
      <c r="G113" s="34">
        <f>Multi!G925*G$11*LAFs!G$279*(1-Contrib!G$124)*100/(24*Input!$F$60)</f>
        <v>0</v>
      </c>
      <c r="H113" s="34">
        <f>Multi!H925*H$11*LAFs!H$279*(1-Contrib!H$124)*100/(24*Input!$F$60)</f>
        <v>0.14916822559015161</v>
      </c>
      <c r="I113" s="34">
        <f>Multi!I925*I$11*LAFs!I$279*(1-Contrib!I$124)*100/(24*Input!$F$60)</f>
        <v>0.13543287537903884</v>
      </c>
      <c r="J113" s="34">
        <f>Multi!J925*J$11*LAFs!J$279*(1-Contrib!J$124)*100/(24*Input!$F$60)</f>
        <v>3.2176628679357472E-3</v>
      </c>
      <c r="K113" s="34">
        <f>Multi!B925*K$11*LAFs!B$279*(1-Contrib!K$124)*100/(24*Input!$F$60)</f>
        <v>3.5115934547945392E-2</v>
      </c>
      <c r="L113" s="34">
        <f>Multi!C925*L$11*LAFs!C$279*(1-Contrib!L$124)*100/(24*Input!$F$60)</f>
        <v>5.3557533378943409E-2</v>
      </c>
      <c r="M113" s="34">
        <f>Multi!D925*M$11*LAFs!D$279*(1-Contrib!M$124)*100/(24*Input!$F$60)</f>
        <v>2.1184970573739439E-2</v>
      </c>
      <c r="N113" s="34">
        <f>Multi!E925*N$11*LAFs!E$279*(1-Contrib!N$124)*100/(24*Input!$F$60)</f>
        <v>7.3288463400592307E-2</v>
      </c>
      <c r="O113" s="34">
        <f>Multi!F925*O$11*LAFs!F$279*(1-Contrib!O$124)*100/(24*Input!$F$60)</f>
        <v>4.6230611669375338E-2</v>
      </c>
      <c r="P113" s="34">
        <f>Multi!G925*P$11*LAFs!G$279*(1-Contrib!P$124)*100/(24*Input!$F$60)</f>
        <v>0</v>
      </c>
      <c r="Q113" s="34">
        <f>Multi!H925*Q$11*LAFs!H$279*(1-Contrib!Q$124)*100/(24*Input!$F$60)</f>
        <v>8.3930781936271417E-2</v>
      </c>
      <c r="R113" s="34">
        <f>Multi!I925*R$11*LAFs!I$279*(1-Contrib!R$124)*100/(24*Input!$F$60)</f>
        <v>7.6202469295785474E-2</v>
      </c>
      <c r="S113" s="34">
        <f>Multi!J925*S$11*LAFs!J$279*(1-Contrib!S$124)*100/(24*Input!$F$60)</f>
        <v>4.2243731109915368E-2</v>
      </c>
      <c r="T113" s="17"/>
    </row>
    <row r="114" spans="1:20">
      <c r="A114" s="4" t="s">
        <v>194</v>
      </c>
      <c r="B114" s="34">
        <f>Multi!B926*B$11*LAFs!B$284*(1-Contrib!B$129)*100/(24*Input!$F$60)</f>
        <v>0</v>
      </c>
      <c r="C114" s="34">
        <f>Multi!C926*C$11*LAFs!C$284*(1-Contrib!C$129)*100/(24*Input!$F$60)</f>
        <v>-0.117875814537774</v>
      </c>
      <c r="D114" s="34">
        <f>Multi!D926*D$11*LAFs!D$284*(1-Contrib!D$129)*100/(24*Input!$F$60)</f>
        <v>-4.662641284596767E-2</v>
      </c>
      <c r="E114" s="34">
        <f>Multi!E926*E$11*LAFs!E$284*(1-Contrib!E$129)*100/(24*Input!$F$60)</f>
        <v>-0.16591217641903377</v>
      </c>
      <c r="F114" s="34">
        <f>Multi!F926*F$11*LAFs!F$284*(1-Contrib!F$129)*100/(24*Input!$F$60)</f>
        <v>-0.10465796447831173</v>
      </c>
      <c r="G114" s="34">
        <f>Multi!G926*G$11*LAFs!G$284*(1-Contrib!G$129)*100/(24*Input!$F$60)</f>
        <v>0</v>
      </c>
      <c r="H114" s="34">
        <f>Multi!H926*H$11*LAFs!H$284*(1-Contrib!H$129)*100/(24*Input!$F$60)</f>
        <v>-0.13300315817018343</v>
      </c>
      <c r="I114" s="34">
        <f>Multi!I926*I$11*LAFs!I$284*(1-Contrib!I$129)*100/(24*Input!$F$60)</f>
        <v>-0.12075628086488618</v>
      </c>
      <c r="J114" s="34">
        <f>Multi!J926*J$11*LAFs!J$284*(1-Contrib!J$129)*100/(24*Input!$F$60)</f>
        <v>0</v>
      </c>
      <c r="K114" s="34">
        <f>Multi!B926*K$11*LAFs!B$284*(1-Contrib!K$129)*100/(24*Input!$F$60)</f>
        <v>-3.0328697757831577E-2</v>
      </c>
      <c r="L114" s="34">
        <f>Multi!C926*L$11*LAFs!C$284*(1-Contrib!L$129)*100/(24*Input!$F$60)</f>
        <v>-4.6426686866270703E-2</v>
      </c>
      <c r="M114" s="34">
        <f>Multi!D926*M$11*LAFs!D$284*(1-Contrib!M$129)*100/(24*Input!$F$60)</f>
        <v>-1.8364325857561807E-2</v>
      </c>
      <c r="N114" s="34">
        <f>Multi!E926*N$11*LAFs!E$284*(1-Contrib!N$129)*100/(24*Input!$F$60)</f>
        <v>-6.5346336668914803E-2</v>
      </c>
      <c r="O114" s="34">
        <f>Multi!F926*O$11*LAFs!F$284*(1-Contrib!O$129)*100/(24*Input!$F$60)</f>
        <v>-4.1220691148130234E-2</v>
      </c>
      <c r="P114" s="34">
        <f>Multi!G926*P$11*LAFs!G$284*(1-Contrib!P$129)*100/(24*Input!$F$60)</f>
        <v>0</v>
      </c>
      <c r="Q114" s="34">
        <f>Multi!H926*Q$11*LAFs!H$284*(1-Contrib!Q$129)*100/(24*Input!$F$60)</f>
        <v>-7.4835368062151783E-2</v>
      </c>
      <c r="R114" s="34">
        <f>Multi!I926*R$11*LAFs!I$284*(1-Contrib!R$129)*100/(24*Input!$F$60)</f>
        <v>-6.7944557472667616E-2</v>
      </c>
      <c r="S114" s="34">
        <f>Multi!J926*S$11*LAFs!J$284*(1-Contrib!S$129)*100/(24*Input!$F$60)</f>
        <v>0</v>
      </c>
      <c r="T114" s="17"/>
    </row>
    <row r="115" spans="1:20">
      <c r="A115" s="4" t="s">
        <v>195</v>
      </c>
      <c r="B115" s="34">
        <f>Multi!B927*B$11*LAFs!B$285*(1-Contrib!B$130)*100/(24*Input!$F$60)</f>
        <v>0</v>
      </c>
      <c r="C115" s="34">
        <f>Multi!C927*C$11*LAFs!C$285*(1-Contrib!C$130)*100/(24*Input!$F$60)</f>
        <v>-0.117875814537774</v>
      </c>
      <c r="D115" s="34">
        <f>Multi!D927*D$11*LAFs!D$285*(1-Contrib!D$130)*100/(24*Input!$F$60)</f>
        <v>-4.662641284596767E-2</v>
      </c>
      <c r="E115" s="34">
        <f>Multi!E927*E$11*LAFs!E$285*(1-Contrib!E$130)*100/(24*Input!$F$60)</f>
        <v>-0.16591217641903377</v>
      </c>
      <c r="F115" s="34">
        <f>Multi!F927*F$11*LAFs!F$285*(1-Contrib!F$130)*100/(24*Input!$F$60)</f>
        <v>-0.10465796447831173</v>
      </c>
      <c r="G115" s="34">
        <f>Multi!G927*G$11*LAFs!G$285*(1-Contrib!G$130)*100/(24*Input!$F$60)</f>
        <v>0</v>
      </c>
      <c r="H115" s="34">
        <f>Multi!H927*H$11*LAFs!H$285*(1-Contrib!H$130)*100/(24*Input!$F$60)</f>
        <v>-0.13300315817018343</v>
      </c>
      <c r="I115" s="34">
        <f>Multi!I927*I$11*LAFs!I$285*(1-Contrib!I$130)*100/(24*Input!$F$60)</f>
        <v>-0.12075628086488618</v>
      </c>
      <c r="J115" s="34">
        <f>Multi!J927*J$11*LAFs!J$285*(1-Contrib!J$130)*100/(24*Input!$F$60)</f>
        <v>0</v>
      </c>
      <c r="K115" s="34">
        <f>Multi!B927*K$11*LAFs!B$285*(1-Contrib!K$130)*100/(24*Input!$F$60)</f>
        <v>-3.0328697757831577E-2</v>
      </c>
      <c r="L115" s="34">
        <f>Multi!C927*L$11*LAFs!C$285*(1-Contrib!L$130)*100/(24*Input!$F$60)</f>
        <v>-4.6426686866270703E-2</v>
      </c>
      <c r="M115" s="34">
        <f>Multi!D927*M$11*LAFs!D$285*(1-Contrib!M$130)*100/(24*Input!$F$60)</f>
        <v>-1.8364325857561807E-2</v>
      </c>
      <c r="N115" s="34">
        <f>Multi!E927*N$11*LAFs!E$285*(1-Contrib!N$130)*100/(24*Input!$F$60)</f>
        <v>-6.5346336668914803E-2</v>
      </c>
      <c r="O115" s="34">
        <f>Multi!F927*O$11*LAFs!F$285*(1-Contrib!O$130)*100/(24*Input!$F$60)</f>
        <v>-4.1220691148130234E-2</v>
      </c>
      <c r="P115" s="34">
        <f>Multi!G927*P$11*LAFs!G$285*(1-Contrib!P$130)*100/(24*Input!$F$60)</f>
        <v>0</v>
      </c>
      <c r="Q115" s="34">
        <f>Multi!H927*Q$11*LAFs!H$285*(1-Contrib!Q$130)*100/(24*Input!$F$60)</f>
        <v>-7.4835368062151783E-2</v>
      </c>
      <c r="R115" s="34">
        <f>Multi!I927*R$11*LAFs!I$285*(1-Contrib!R$130)*100/(24*Input!$F$60)</f>
        <v>-6.7944557472667616E-2</v>
      </c>
      <c r="S115" s="34">
        <f>Multi!J927*S$11*LAFs!J$285*(1-Contrib!S$130)*100/(24*Input!$F$60)</f>
        <v>0</v>
      </c>
      <c r="T115" s="17"/>
    </row>
    <row r="116" spans="1:20">
      <c r="A116" s="4" t="s">
        <v>198</v>
      </c>
      <c r="B116" s="34">
        <f>Multi!B928*B$11*LAFs!B$288*(1-Contrib!B$133)*100/(24*Input!$F$60)</f>
        <v>0</v>
      </c>
      <c r="C116" s="34">
        <f>Multi!C928*C$11*LAFs!C$288*(1-Contrib!C$133)*100/(24*Input!$F$60)</f>
        <v>-0.11208981478391816</v>
      </c>
      <c r="D116" s="34">
        <f>Multi!D928*D$11*LAFs!D$288*(1-Contrib!D$133)*100/(24*Input!$F$60)</f>
        <v>-4.4337729503181551E-2</v>
      </c>
      <c r="E116" s="34">
        <f>Multi!E928*E$11*LAFs!E$288*(1-Contrib!E$133)*100/(24*Input!$F$60)</f>
        <v>-0.15776828519175756</v>
      </c>
      <c r="F116" s="34">
        <f>Multi!F928*F$11*LAFs!F$288*(1-Contrib!F$133)*100/(24*Input!$F$60)</f>
        <v>-9.9520770227861724E-2</v>
      </c>
      <c r="G116" s="34">
        <f>Multi!G928*G$11*LAFs!G$288*(1-Contrib!G$133)*100/(24*Input!$F$60)</f>
        <v>0</v>
      </c>
      <c r="H116" s="34">
        <f>Multi!H928*H$11*LAFs!H$288*(1-Contrib!H$133)*100/(24*Input!$F$60)</f>
        <v>-0.12647462436151041</v>
      </c>
      <c r="I116" s="34">
        <f>Multi!I928*I$11*LAFs!I$288*(1-Contrib!I$133)*100/(24*Input!$F$60)</f>
        <v>0</v>
      </c>
      <c r="J116" s="34">
        <f>Multi!J928*J$11*LAFs!J$288*(1-Contrib!J$133)*100/(24*Input!$F$60)</f>
        <v>0</v>
      </c>
      <c r="K116" s="34">
        <f>Multi!B928*K$11*LAFs!B$288*(1-Contrib!K$133)*100/(24*Input!$F$60)</f>
        <v>-2.8839996802086772E-2</v>
      </c>
      <c r="L116" s="34">
        <f>Multi!C928*L$11*LAFs!C$288*(1-Contrib!L$133)*100/(24*Input!$F$60)</f>
        <v>-4.4147807184005579E-2</v>
      </c>
      <c r="M116" s="34">
        <f>Multi!D928*M$11*LAFs!D$288*(1-Contrib!M$133)*100/(24*Input!$F$60)</f>
        <v>-1.7462902734351658E-2</v>
      </c>
      <c r="N116" s="34">
        <f>Multi!E928*N$11*LAFs!E$288*(1-Contrib!N$133)*100/(24*Input!$F$60)</f>
        <v>-6.2138775479502535E-2</v>
      </c>
      <c r="O116" s="34">
        <f>Multi!F928*O$11*LAFs!F$288*(1-Contrib!O$133)*100/(24*Input!$F$60)</f>
        <v>-3.9197350653966193E-2</v>
      </c>
      <c r="P116" s="34">
        <f>Multi!G928*P$11*LAFs!G$288*(1-Contrib!P$133)*100/(24*Input!$F$60)</f>
        <v>0</v>
      </c>
      <c r="Q116" s="34">
        <f>Multi!H928*Q$11*LAFs!H$288*(1-Contrib!Q$133)*100/(24*Input!$F$60)</f>
        <v>-7.1162032502306599E-2</v>
      </c>
      <c r="R116" s="34">
        <f>Multi!I928*R$11*LAFs!I$288*(1-Contrib!R$133)*100/(24*Input!$F$60)</f>
        <v>0</v>
      </c>
      <c r="S116" s="34">
        <f>Multi!J928*S$11*LAFs!J$288*(1-Contrib!S$133)*100/(24*Input!$F$60)</f>
        <v>0</v>
      </c>
      <c r="T116" s="17"/>
    </row>
    <row r="117" spans="1:20">
      <c r="A117" s="4" t="s">
        <v>199</v>
      </c>
      <c r="B117" s="34">
        <f>Multi!B929*B$11*LAFs!B$289*(1-Contrib!B$134)*100/(24*Input!$F$60)</f>
        <v>0</v>
      </c>
      <c r="C117" s="34">
        <f>Multi!C929*C$11*LAFs!C$289*(1-Contrib!C$134)*100/(24*Input!$F$60)</f>
        <v>-0.11208981478391816</v>
      </c>
      <c r="D117" s="34">
        <f>Multi!D929*D$11*LAFs!D$289*(1-Contrib!D$134)*100/(24*Input!$F$60)</f>
        <v>-4.4337729503181551E-2</v>
      </c>
      <c r="E117" s="34">
        <f>Multi!E929*E$11*LAFs!E$289*(1-Contrib!E$134)*100/(24*Input!$F$60)</f>
        <v>-0.15776828519175756</v>
      </c>
      <c r="F117" s="34">
        <f>Multi!F929*F$11*LAFs!F$289*(1-Contrib!F$134)*100/(24*Input!$F$60)</f>
        <v>-9.9520770227861724E-2</v>
      </c>
      <c r="G117" s="34">
        <f>Multi!G929*G$11*LAFs!G$289*(1-Contrib!G$134)*100/(24*Input!$F$60)</f>
        <v>0</v>
      </c>
      <c r="H117" s="34">
        <f>Multi!H929*H$11*LAFs!H$289*(1-Contrib!H$134)*100/(24*Input!$F$60)</f>
        <v>-0.12647462436151041</v>
      </c>
      <c r="I117" s="34">
        <f>Multi!I929*I$11*LAFs!I$289*(1-Contrib!I$134)*100/(24*Input!$F$60)</f>
        <v>0</v>
      </c>
      <c r="J117" s="34">
        <f>Multi!J929*J$11*LAFs!J$289*(1-Contrib!J$134)*100/(24*Input!$F$60)</f>
        <v>0</v>
      </c>
      <c r="K117" s="34">
        <f>Multi!B929*K$11*LAFs!B$289*(1-Contrib!K$134)*100/(24*Input!$F$60)</f>
        <v>-2.8839996802086772E-2</v>
      </c>
      <c r="L117" s="34">
        <f>Multi!C929*L$11*LAFs!C$289*(1-Contrib!L$134)*100/(24*Input!$F$60)</f>
        <v>-4.4147807184005579E-2</v>
      </c>
      <c r="M117" s="34">
        <f>Multi!D929*M$11*LAFs!D$289*(1-Contrib!M$134)*100/(24*Input!$F$60)</f>
        <v>-1.7462902734351658E-2</v>
      </c>
      <c r="N117" s="34">
        <f>Multi!E929*N$11*LAFs!E$289*(1-Contrib!N$134)*100/(24*Input!$F$60)</f>
        <v>-6.2138775479502535E-2</v>
      </c>
      <c r="O117" s="34">
        <f>Multi!F929*O$11*LAFs!F$289*(1-Contrib!O$134)*100/(24*Input!$F$60)</f>
        <v>-3.9197350653966193E-2</v>
      </c>
      <c r="P117" s="34">
        <f>Multi!G929*P$11*LAFs!G$289*(1-Contrib!P$134)*100/(24*Input!$F$60)</f>
        <v>0</v>
      </c>
      <c r="Q117" s="34">
        <f>Multi!H929*Q$11*LAFs!H$289*(1-Contrib!Q$134)*100/(24*Input!$F$60)</f>
        <v>-7.1162032502306599E-2</v>
      </c>
      <c r="R117" s="34">
        <f>Multi!I929*R$11*LAFs!I$289*(1-Contrib!R$134)*100/(24*Input!$F$60)</f>
        <v>0</v>
      </c>
      <c r="S117" s="34">
        <f>Multi!J929*S$11*LAFs!J$289*(1-Contrib!S$134)*100/(24*Input!$F$60)</f>
        <v>0</v>
      </c>
      <c r="T117" s="17"/>
    </row>
    <row r="118" spans="1:20">
      <c r="A118" s="4" t="s">
        <v>209</v>
      </c>
      <c r="B118" s="34">
        <f>Multi!B930*B$11*LAFs!B$292*(1-Contrib!B$137)*100/(24*Input!$F$60)</f>
        <v>0</v>
      </c>
      <c r="C118" s="34">
        <f>Multi!C930*C$11*LAFs!C$292*(1-Contrib!C$137)*100/(24*Input!$F$60)</f>
        <v>-0.11061523790161333</v>
      </c>
      <c r="D118" s="34">
        <f>Multi!D930*D$11*LAFs!D$292*(1-Contrib!D$137)*100/(24*Input!$F$60)</f>
        <v>-4.3754452681239148E-2</v>
      </c>
      <c r="E118" s="34">
        <f>Multi!E930*E$11*LAFs!E$292*(1-Contrib!E$137)*100/(24*Input!$F$60)</f>
        <v>-0.15569279361785215</v>
      </c>
      <c r="F118" s="34">
        <f>Multi!F930*F$11*LAFs!F$292*(1-Contrib!F$137)*100/(24*Input!$F$60)</f>
        <v>-4.2230963529873218E-2</v>
      </c>
      <c r="G118" s="34">
        <f>Multi!G930*G$11*LAFs!G$292*(1-Contrib!G$137)*100/(24*Input!$F$60)</f>
        <v>0</v>
      </c>
      <c r="H118" s="34">
        <f>Multi!H930*H$11*LAFs!H$292*(1-Contrib!H$137)*100/(24*Input!$F$60)</f>
        <v>0</v>
      </c>
      <c r="I118" s="34">
        <f>Multi!I930*I$11*LAFs!I$292*(1-Contrib!I$137)*100/(24*Input!$F$60)</f>
        <v>0</v>
      </c>
      <c r="J118" s="34">
        <f>Multi!J930*J$11*LAFs!J$292*(1-Contrib!J$137)*100/(24*Input!$F$60)</f>
        <v>0</v>
      </c>
      <c r="K118" s="34">
        <f>Multi!B930*K$11*LAFs!B$292*(1-Contrib!K$137)*100/(24*Input!$F$60)</f>
        <v>-2.8460597543982162E-2</v>
      </c>
      <c r="L118" s="34">
        <f>Multi!C930*L$11*LAFs!C$292*(1-Contrib!L$137)*100/(24*Input!$F$60)</f>
        <v>-4.356702885010004E-2</v>
      </c>
      <c r="M118" s="34">
        <f>Multi!D930*M$11*LAFs!D$292*(1-Contrib!M$137)*100/(24*Input!$F$60)</f>
        <v>-1.7233172738636584E-2</v>
      </c>
      <c r="N118" s="34">
        <f>Multi!E930*N$11*LAFs!E$292*(1-Contrib!N$137)*100/(24*Input!$F$60)</f>
        <v>-6.132132028079923E-2</v>
      </c>
      <c r="O118" s="34">
        <f>Multi!F930*O$11*LAFs!F$292*(1-Contrib!O$137)*100/(24*Input!$F$60)</f>
        <v>-3.8681697137780469E-2</v>
      </c>
      <c r="P118" s="34">
        <f>Multi!G930*P$11*LAFs!G$292*(1-Contrib!P$137)*100/(24*Input!$F$60)</f>
        <v>0</v>
      </c>
      <c r="Q118" s="34">
        <f>Multi!H930*Q$11*LAFs!H$292*(1-Contrib!Q$137)*100/(24*Input!$F$60)</f>
        <v>0</v>
      </c>
      <c r="R118" s="34">
        <f>Multi!I930*R$11*LAFs!I$292*(1-Contrib!R$137)*100/(24*Input!$F$60)</f>
        <v>0</v>
      </c>
      <c r="S118" s="34">
        <f>Multi!J930*S$11*LAFs!J$292*(1-Contrib!S$137)*100/(24*Input!$F$60)</f>
        <v>0</v>
      </c>
      <c r="T118" s="17"/>
    </row>
    <row r="119" spans="1:20">
      <c r="A119" s="4" t="s">
        <v>210</v>
      </c>
      <c r="B119" s="34">
        <f>Multi!B931*B$11*LAFs!B$293*(1-Contrib!B$138)*100/(24*Input!$F$60)</f>
        <v>0</v>
      </c>
      <c r="C119" s="34">
        <f>Multi!C931*C$11*LAFs!C$293*(1-Contrib!C$138)*100/(24*Input!$F$60)</f>
        <v>-0.11061523790161333</v>
      </c>
      <c r="D119" s="34">
        <f>Multi!D931*D$11*LAFs!D$293*(1-Contrib!D$138)*100/(24*Input!$F$60)</f>
        <v>-4.3754452681239148E-2</v>
      </c>
      <c r="E119" s="34">
        <f>Multi!E931*E$11*LAFs!E$293*(1-Contrib!E$138)*100/(24*Input!$F$60)</f>
        <v>-0.15569279361785215</v>
      </c>
      <c r="F119" s="34">
        <f>Multi!F931*F$11*LAFs!F$293*(1-Contrib!F$138)*100/(24*Input!$F$60)</f>
        <v>-4.2230963529873218E-2</v>
      </c>
      <c r="G119" s="34">
        <f>Multi!G931*G$11*LAFs!G$293*(1-Contrib!G$138)*100/(24*Input!$F$60)</f>
        <v>0</v>
      </c>
      <c r="H119" s="34">
        <f>Multi!H931*H$11*LAFs!H$293*(1-Contrib!H$138)*100/(24*Input!$F$60)</f>
        <v>0</v>
      </c>
      <c r="I119" s="34">
        <f>Multi!I931*I$11*LAFs!I$293*(1-Contrib!I$138)*100/(24*Input!$F$60)</f>
        <v>0</v>
      </c>
      <c r="J119" s="34">
        <f>Multi!J931*J$11*LAFs!J$293*(1-Contrib!J$138)*100/(24*Input!$F$60)</f>
        <v>0</v>
      </c>
      <c r="K119" s="34">
        <f>Multi!B931*K$11*LAFs!B$293*(1-Contrib!K$138)*100/(24*Input!$F$60)</f>
        <v>-2.8460597543982162E-2</v>
      </c>
      <c r="L119" s="34">
        <f>Multi!C931*L$11*LAFs!C$293*(1-Contrib!L$138)*100/(24*Input!$F$60)</f>
        <v>-4.356702885010004E-2</v>
      </c>
      <c r="M119" s="34">
        <f>Multi!D931*M$11*LAFs!D$293*(1-Contrib!M$138)*100/(24*Input!$F$60)</f>
        <v>-1.7233172738636584E-2</v>
      </c>
      <c r="N119" s="34">
        <f>Multi!E931*N$11*LAFs!E$293*(1-Contrib!N$138)*100/(24*Input!$F$60)</f>
        <v>-6.132132028079923E-2</v>
      </c>
      <c r="O119" s="34">
        <f>Multi!F931*O$11*LAFs!F$293*(1-Contrib!O$138)*100/(24*Input!$F$60)</f>
        <v>-3.8681697137780469E-2</v>
      </c>
      <c r="P119" s="34">
        <f>Multi!G931*P$11*LAFs!G$293*(1-Contrib!P$138)*100/(24*Input!$F$60)</f>
        <v>0</v>
      </c>
      <c r="Q119" s="34">
        <f>Multi!H931*Q$11*LAFs!H$293*(1-Contrib!Q$138)*100/(24*Input!$F$60)</f>
        <v>0</v>
      </c>
      <c r="R119" s="34">
        <f>Multi!I931*R$11*LAFs!I$293*(1-Contrib!R$138)*100/(24*Input!$F$60)</f>
        <v>0</v>
      </c>
      <c r="S119" s="34">
        <f>Multi!J931*S$11*LAFs!J$293*(1-Contrib!S$138)*100/(24*Input!$F$60)</f>
        <v>0</v>
      </c>
      <c r="T119" s="17"/>
    </row>
    <row r="121" spans="1:20" ht="21" customHeight="1">
      <c r="A121" s="1" t="s">
        <v>1013</v>
      </c>
    </row>
    <row r="122" spans="1:20">
      <c r="A122" s="2" t="s">
        <v>379</v>
      </c>
    </row>
    <row r="123" spans="1:20">
      <c r="A123" s="29" t="s">
        <v>1014</v>
      </c>
    </row>
    <row r="124" spans="1:20">
      <c r="A124" s="29" t="s">
        <v>1009</v>
      </c>
    </row>
    <row r="125" spans="1:20">
      <c r="A125" s="29" t="s">
        <v>828</v>
      </c>
    </row>
    <row r="126" spans="1:20">
      <c r="A126" s="29" t="s">
        <v>1005</v>
      </c>
    </row>
    <row r="127" spans="1:20">
      <c r="A127" s="29" t="s">
        <v>773</v>
      </c>
    </row>
    <row r="128" spans="1:20">
      <c r="A128" s="2" t="s">
        <v>1010</v>
      </c>
    </row>
    <row r="130" spans="1:20" ht="30">
      <c r="B130" s="15" t="s">
        <v>148</v>
      </c>
      <c r="C130" s="15" t="s">
        <v>333</v>
      </c>
      <c r="D130" s="15" t="s">
        <v>334</v>
      </c>
      <c r="E130" s="15" t="s">
        <v>335</v>
      </c>
      <c r="F130" s="15" t="s">
        <v>336</v>
      </c>
      <c r="G130" s="15" t="s">
        <v>337</v>
      </c>
      <c r="H130" s="15" t="s">
        <v>338</v>
      </c>
      <c r="I130" s="15" t="s">
        <v>339</v>
      </c>
      <c r="J130" s="15" t="s">
        <v>340</v>
      </c>
      <c r="K130" s="15" t="s">
        <v>321</v>
      </c>
      <c r="L130" s="15" t="s">
        <v>909</v>
      </c>
      <c r="M130" s="15" t="s">
        <v>910</v>
      </c>
      <c r="N130" s="15" t="s">
        <v>911</v>
      </c>
      <c r="O130" s="15" t="s">
        <v>912</v>
      </c>
      <c r="P130" s="15" t="s">
        <v>913</v>
      </c>
      <c r="Q130" s="15" t="s">
        <v>914</v>
      </c>
      <c r="R130" s="15" t="s">
        <v>915</v>
      </c>
      <c r="S130" s="15" t="s">
        <v>916</v>
      </c>
    </row>
    <row r="131" spans="1:20">
      <c r="A131" s="4" t="s">
        <v>186</v>
      </c>
      <c r="B131" s="34">
        <f>Multi!B940*B$11*LAFs!B$270*(1-Contrib!B$115)*100/(24*Input!$F$60)</f>
        <v>0</v>
      </c>
      <c r="C131" s="34">
        <f>Multi!C940*C$11*LAFs!C$270*(1-Contrib!C$115)*100/(24*Input!$F$60)</f>
        <v>2.6141282338777608E-2</v>
      </c>
      <c r="D131" s="34">
        <f>Multi!D940*D$11*LAFs!D$270*(1-Contrib!D$115)*100/(24*Input!$F$60)</f>
        <v>1.0340324921023155E-2</v>
      </c>
      <c r="E131" s="34">
        <f>Multi!E940*E$11*LAFs!E$270*(1-Contrib!E$115)*100/(24*Input!$F$60)</f>
        <v>2.6879062561511749E-2</v>
      </c>
      <c r="F131" s="34">
        <f>Multi!F940*F$11*LAFs!F$270*(1-Contrib!F$115)*100/(24*Input!$F$60)</f>
        <v>1.6955403970279604E-2</v>
      </c>
      <c r="G131" s="34">
        <f>Multi!G940*G$11*LAFs!G$270*(1-Contrib!G$115)*100/(24*Input!$F$60)</f>
        <v>0</v>
      </c>
      <c r="H131" s="34">
        <f>Multi!H940*H$11*LAFs!H$270*(1-Contrib!H$115)*100/(24*Input!$F$60)</f>
        <v>2.1547545734713607E-2</v>
      </c>
      <c r="I131" s="34">
        <f>Multi!I940*I$11*LAFs!I$270*(1-Contrib!I$115)*100/(24*Input!$F$60)</f>
        <v>1.9563456390717278E-2</v>
      </c>
      <c r="J131" s="34">
        <f>Multi!J940*J$11*LAFs!J$270*(1-Contrib!J$115)*100/(24*Input!$F$60)</f>
        <v>4.6479561938499555E-4</v>
      </c>
      <c r="K131" s="34">
        <f>Multi!B940*K$11*LAFs!B$270*(1-Contrib!K$115)*100/(24*Input!$F$60)</f>
        <v>3.1457869389186731E-3</v>
      </c>
      <c r="L131" s="34">
        <f>Multi!C940*L$11*LAFs!C$270*(1-Contrib!L$115)*100/(24*Input!$F$60)</f>
        <v>1.0296031753284541E-2</v>
      </c>
      <c r="M131" s="34">
        <f>Multi!D940*M$11*LAFs!D$270*(1-Contrib!M$115)*100/(24*Input!$F$60)</f>
        <v>4.072650773072682E-3</v>
      </c>
      <c r="N131" s="34">
        <f>Multi!E940*N$11*LAFs!E$270*(1-Contrib!N$115)*100/(24*Input!$F$60)</f>
        <v>1.0586614613825696E-2</v>
      </c>
      <c r="O131" s="34">
        <f>Multi!F940*O$11*LAFs!F$270*(1-Contrib!O$115)*100/(24*Input!$F$60)</f>
        <v>6.6780724604625042E-3</v>
      </c>
      <c r="P131" s="34">
        <f>Multi!G940*P$11*LAFs!G$270*(1-Contrib!P$115)*100/(24*Input!$F$60)</f>
        <v>0</v>
      </c>
      <c r="Q131" s="34">
        <f>Multi!H940*Q$11*LAFs!H$270*(1-Contrib!Q$115)*100/(24*Input!$F$60)</f>
        <v>1.2123911477575987E-2</v>
      </c>
      <c r="R131" s="34">
        <f>Multi!I940*R$11*LAFs!I$270*(1-Contrib!R$115)*100/(24*Input!$F$60)</f>
        <v>1.1007546585426796E-2</v>
      </c>
      <c r="S131" s="34">
        <f>Multi!J940*S$11*LAFs!J$270*(1-Contrib!S$115)*100/(24*Input!$F$60)</f>
        <v>6.1021623371508545E-3</v>
      </c>
      <c r="T131" s="17"/>
    </row>
    <row r="132" spans="1:20">
      <c r="A132" s="4" t="s">
        <v>187</v>
      </c>
      <c r="B132" s="34">
        <f>Multi!B941*B$11*LAFs!B$271*(1-Contrib!B$116)*100/(24*Input!$F$60)</f>
        <v>0</v>
      </c>
      <c r="C132" s="34">
        <f>Multi!C941*C$11*LAFs!C$271*(1-Contrib!C$116)*100/(24*Input!$F$60)</f>
        <v>2.3885353554441421E-2</v>
      </c>
      <c r="D132" s="34">
        <f>Multi!D941*D$11*LAFs!D$271*(1-Contrib!D$116)*100/(24*Input!$F$60)</f>
        <v>9.4479801490101201E-3</v>
      </c>
      <c r="E132" s="34">
        <f>Multi!E941*E$11*LAFs!E$271*(1-Contrib!E$116)*100/(24*Input!$F$60)</f>
        <v>2.4558870196194123E-2</v>
      </c>
      <c r="F132" s="34">
        <f>Multi!F941*F$11*LAFs!F$271*(1-Contrib!F$116)*100/(24*Input!$F$60)</f>
        <v>1.5491818744690316E-2</v>
      </c>
      <c r="G132" s="34">
        <f>Multi!G941*G$11*LAFs!G$271*(1-Contrib!G$116)*100/(24*Input!$F$60)</f>
        <v>0</v>
      </c>
      <c r="H132" s="34">
        <f>Multi!H941*H$11*LAFs!H$271*(1-Contrib!H$116)*100/(24*Input!$F$60)</f>
        <v>1.9687568252589587E-2</v>
      </c>
      <c r="I132" s="34">
        <f>Multi!I941*I$11*LAFs!I$271*(1-Contrib!I$116)*100/(24*Input!$F$60)</f>
        <v>1.7874744886992366E-2</v>
      </c>
      <c r="J132" s="34">
        <f>Multi!J941*J$11*LAFs!J$271*(1-Contrib!J$116)*100/(24*Input!$F$60)</f>
        <v>4.2467460530341345E-4</v>
      </c>
      <c r="K132" s="34">
        <f>Multi!B941*K$11*LAFs!B$271*(1-Contrib!K$116)*100/(24*Input!$F$60)</f>
        <v>2.8765663459598321E-3</v>
      </c>
      <c r="L132" s="34">
        <f>Multi!C941*L$11*LAFs!C$271*(1-Contrib!L$116)*100/(24*Input!$F$60)</f>
        <v>9.4075093734080524E-3</v>
      </c>
      <c r="M132" s="34">
        <f>Multi!D941*M$11*LAFs!D$271*(1-Contrib!M$116)*100/(24*Input!$F$60)</f>
        <v>3.7211909637007872E-3</v>
      </c>
      <c r="N132" s="34">
        <f>Multi!E941*N$11*LAFs!E$271*(1-Contrib!N$116)*100/(24*Input!$F$60)</f>
        <v>9.6727813153114038E-3</v>
      </c>
      <c r="O132" s="34">
        <f>Multi!F941*O$11*LAFs!F$271*(1-Contrib!O$116)*100/(24*Input!$F$60)</f>
        <v>6.1016233115256851E-3</v>
      </c>
      <c r="P132" s="34">
        <f>Multi!G941*P$11*LAFs!G$271*(1-Contrib!P$116)*100/(24*Input!$F$60)</f>
        <v>0</v>
      </c>
      <c r="Q132" s="34">
        <f>Multi!H941*Q$11*LAFs!H$271*(1-Contrib!Q$116)*100/(24*Input!$F$60)</f>
        <v>1.1077379189342927E-2</v>
      </c>
      <c r="R132" s="34">
        <f>Multi!I941*R$11*LAFs!I$271*(1-Contrib!R$116)*100/(24*Input!$F$60)</f>
        <v>1.0057378569338481E-2</v>
      </c>
      <c r="S132" s="34">
        <f>Multi!J941*S$11*LAFs!J$271*(1-Contrib!S$116)*100/(24*Input!$F$60)</f>
        <v>5.5754255719014847E-3</v>
      </c>
      <c r="T132" s="17"/>
    </row>
    <row r="133" spans="1:20">
      <c r="A133" s="4" t="s">
        <v>188</v>
      </c>
      <c r="B133" s="34">
        <f>Multi!B942*B$11*LAFs!B$272*(1-Contrib!B$117)*100/(24*Input!$F$60)</f>
        <v>0</v>
      </c>
      <c r="C133" s="34">
        <f>Multi!C942*C$11*LAFs!C$272*(1-Contrib!C$117)*100/(24*Input!$F$60)</f>
        <v>2.1423442892710483E-2</v>
      </c>
      <c r="D133" s="34">
        <f>Multi!D942*D$11*LAFs!D$272*(1-Contrib!D$117)*100/(24*Input!$F$60)</f>
        <v>8.4741581368027608E-3</v>
      </c>
      <c r="E133" s="34">
        <f>Multi!E942*E$11*LAFs!E$272*(1-Contrib!E$117)*100/(24*Input!$F$60)</f>
        <v>2.2028034349331264E-2</v>
      </c>
      <c r="F133" s="34">
        <f>Multi!F942*F$11*LAFs!F$272*(1-Contrib!F$117)*100/(24*Input!$F$60)</f>
        <v>1.3895358895399683E-2</v>
      </c>
      <c r="G133" s="34">
        <f>Multi!G942*G$11*LAFs!G$272*(1-Contrib!G$117)*100/(24*Input!$F$60)</f>
        <v>0</v>
      </c>
      <c r="H133" s="34">
        <f>Multi!H942*H$11*LAFs!H$272*(1-Contrib!H$117)*100/(24*Input!$F$60)</f>
        <v>1.765872885268371E-2</v>
      </c>
      <c r="I133" s="34">
        <f>Multi!I942*I$11*LAFs!I$272*(1-Contrib!I$117)*100/(24*Input!$F$60)</f>
        <v>1.6032720202952166E-2</v>
      </c>
      <c r="J133" s="34">
        <f>Multi!J942*J$11*LAFs!J$272*(1-Contrib!J$117)*100/(24*Input!$F$60)</f>
        <v>3.8091112165094588E-4</v>
      </c>
      <c r="K133" s="34">
        <f>Multi!B942*K$11*LAFs!B$272*(1-Contrib!K$117)*100/(24*Input!$F$60)</f>
        <v>2.57932892117862E-3</v>
      </c>
      <c r="L133" s="34">
        <f>Multi!C942*L$11*LAFs!C$272*(1-Contrib!L$117)*100/(24*Input!$F$60)</f>
        <v>8.4378587641366458E-3</v>
      </c>
      <c r="M133" s="34">
        <f>Multi!D942*M$11*LAFs!D$272*(1-Contrib!M$117)*100/(24*Input!$F$60)</f>
        <v>3.3376404465610358E-3</v>
      </c>
      <c r="N133" s="34">
        <f>Multi!E942*N$11*LAFs!E$272*(1-Contrib!N$117)*100/(24*Input!$F$60)</f>
        <v>8.6759837633031255E-3</v>
      </c>
      <c r="O133" s="34">
        <f>Multi!F942*O$11*LAFs!F$272*(1-Contrib!O$117)*100/(24*Input!$F$60)</f>
        <v>5.4728400296605315E-3</v>
      </c>
      <c r="P133" s="34">
        <f>Multi!G942*P$11*LAFs!G$272*(1-Contrib!P$117)*100/(24*Input!$F$60)</f>
        <v>0</v>
      </c>
      <c r="Q133" s="34">
        <f>Multi!H942*Q$11*LAFs!H$272*(1-Contrib!Q$117)*100/(24*Input!$F$60)</f>
        <v>9.93583529429737E-3</v>
      </c>
      <c r="R133" s="34">
        <f>Multi!I942*R$11*LAFs!I$272*(1-Contrib!R$117)*100/(24*Input!$F$60)</f>
        <v>9.0209475769756214E-3</v>
      </c>
      <c r="S133" s="34">
        <f>Multi!J942*S$11*LAFs!J$272*(1-Contrib!S$117)*100/(24*Input!$F$60)</f>
        <v>5.0008679156999056E-3</v>
      </c>
      <c r="T133" s="17"/>
    </row>
    <row r="134" spans="1:20">
      <c r="A134" s="4" t="s">
        <v>189</v>
      </c>
      <c r="B134" s="34">
        <f>Multi!B943*B$11*LAFs!B$273*(1-Contrib!B$118)*100/(24*Input!$F$60)</f>
        <v>0</v>
      </c>
      <c r="C134" s="34">
        <f>Multi!C943*C$11*LAFs!C$273*(1-Contrib!C$118)*100/(24*Input!$F$60)</f>
        <v>1.9984040001850733E-2</v>
      </c>
      <c r="D134" s="34">
        <f>Multi!D943*D$11*LAFs!D$273*(1-Contrib!D$118)*100/(24*Input!$F$60)</f>
        <v>7.9047945764822627E-3</v>
      </c>
      <c r="E134" s="34">
        <f>Multi!E943*E$11*LAFs!E$273*(1-Contrib!E$118)*100/(24*Input!$F$60)</f>
        <v>2.0548010037591252E-2</v>
      </c>
      <c r="F134" s="34">
        <f>Multi!F943*F$11*LAFs!F$273*(1-Contrib!F$118)*100/(24*Input!$F$60)</f>
        <v>1.2961754532004967E-2</v>
      </c>
      <c r="G134" s="34">
        <f>Multi!G943*G$11*LAFs!G$273*(1-Contrib!G$118)*100/(24*Input!$F$60)</f>
        <v>0</v>
      </c>
      <c r="H134" s="34">
        <f>Multi!H943*H$11*LAFs!H$273*(1-Contrib!H$118)*100/(24*Input!$F$60)</f>
        <v>1.6472270378816739E-2</v>
      </c>
      <c r="I134" s="34">
        <f>Multi!I943*I$11*LAFs!I$273*(1-Contrib!I$118)*100/(24*Input!$F$60)</f>
        <v>6.4095044349083156E-4</v>
      </c>
      <c r="J134" s="34">
        <f>Multi!J943*J$11*LAFs!J$273*(1-Contrib!J$118)*100/(24*Input!$F$60)</f>
        <v>0</v>
      </c>
      <c r="K134" s="34">
        <f>Multi!B943*K$11*LAFs!B$273*(1-Contrib!K$118)*100/(24*Input!$F$60)</f>
        <v>2.4060284146159732E-3</v>
      </c>
      <c r="L134" s="34">
        <f>Multi!C943*L$11*LAFs!C$273*(1-Contrib!L$118)*100/(24*Input!$F$60)</f>
        <v>7.8709340938775459E-3</v>
      </c>
      <c r="M134" s="34">
        <f>Multi!D943*M$11*LAFs!D$273*(1-Contrib!M$118)*100/(24*Input!$F$60)</f>
        <v>3.11339034206149E-3</v>
      </c>
      <c r="N134" s="34">
        <f>Multi!E943*N$11*LAFs!E$273*(1-Contrib!N$118)*100/(24*Input!$F$60)</f>
        <v>8.0930598993615363E-3</v>
      </c>
      <c r="O134" s="34">
        <f>Multi!F943*O$11*LAFs!F$273*(1-Contrib!O$118)*100/(24*Input!$F$60)</f>
        <v>5.1051296761306245E-3</v>
      </c>
      <c r="P134" s="34">
        <f>Multi!G943*P$11*LAFs!G$273*(1-Contrib!P$118)*100/(24*Input!$F$60)</f>
        <v>0</v>
      </c>
      <c r="Q134" s="34">
        <f>Multi!H943*Q$11*LAFs!H$273*(1-Contrib!Q$118)*100/(24*Input!$F$60)</f>
        <v>9.2682642546030765E-3</v>
      </c>
      <c r="R134" s="34">
        <f>Multi!I943*R$11*LAFs!I$273*(1-Contrib!R$118)*100/(24*Input!$F$60)</f>
        <v>8.4148462100934966E-3</v>
      </c>
      <c r="S134" s="34">
        <f>Multi!J943*S$11*LAFs!J$273*(1-Contrib!S$118)*100/(24*Input!$F$60)</f>
        <v>0</v>
      </c>
      <c r="T134" s="17"/>
    </row>
    <row r="135" spans="1:20">
      <c r="A135" s="4" t="s">
        <v>206</v>
      </c>
      <c r="B135" s="34">
        <f>Multi!B944*B$11*LAFs!B$274*(1-Contrib!B$119)*100/(24*Input!$F$60)</f>
        <v>0</v>
      </c>
      <c r="C135" s="34">
        <f>Multi!C944*C$11*LAFs!C$274*(1-Contrib!C$119)*100/(24*Input!$F$60)</f>
        <v>1.7890527083179154E-2</v>
      </c>
      <c r="D135" s="34">
        <f>Multi!D944*D$11*LAFs!D$274*(1-Contrib!D$119)*100/(24*Input!$F$60)</f>
        <v>7.0766942742521797E-3</v>
      </c>
      <c r="E135" s="34">
        <f>Multi!E944*E$11*LAFs!E$274*(1-Contrib!E$119)*100/(24*Input!$F$60)</f>
        <v>1.8395416044449397E-2</v>
      </c>
      <c r="F135" s="34">
        <f>Multi!F944*F$11*LAFs!F$274*(1-Contrib!F$119)*100/(24*Input!$F$60)</f>
        <v>4.9896730994292504E-3</v>
      </c>
      <c r="G135" s="34">
        <f>Multi!G944*G$11*LAFs!G$274*(1-Contrib!G$119)*100/(24*Input!$F$60)</f>
        <v>0</v>
      </c>
      <c r="H135" s="34">
        <f>Multi!H944*H$11*LAFs!H$274*(1-Contrib!H$119)*100/(24*Input!$F$60)</f>
        <v>1.8959975730328559E-3</v>
      </c>
      <c r="I135" s="34">
        <f>Multi!I944*I$11*LAFs!I$274*(1-Contrib!I$119)*100/(24*Input!$F$60)</f>
        <v>0</v>
      </c>
      <c r="J135" s="34">
        <f>Multi!J944*J$11*LAFs!J$274*(1-Contrib!J$119)*100/(24*Input!$F$60)</f>
        <v>0</v>
      </c>
      <c r="K135" s="34">
        <f>Multi!B944*K$11*LAFs!B$274*(1-Contrib!K$119)*100/(24*Input!$F$60)</f>
        <v>2.1539746973384382E-3</v>
      </c>
      <c r="L135" s="34">
        <f>Multi!C944*L$11*LAFs!C$274*(1-Contrib!L$119)*100/(24*Input!$F$60)</f>
        <v>7.0463809901998523E-3</v>
      </c>
      <c r="M135" s="34">
        <f>Multi!D944*M$11*LAFs!D$274*(1-Contrib!M$119)*100/(24*Input!$F$60)</f>
        <v>2.7872339241715428E-3</v>
      </c>
      <c r="N135" s="34">
        <f>Multi!E944*N$11*LAFs!E$274*(1-Contrib!N$119)*100/(24*Input!$F$60)</f>
        <v>7.2452370642727745E-3</v>
      </c>
      <c r="O135" s="34">
        <f>Multi!F944*O$11*LAFs!F$274*(1-Contrib!O$119)*100/(24*Input!$F$60)</f>
        <v>4.570320151756008E-3</v>
      </c>
      <c r="P135" s="34">
        <f>Multi!G944*P$11*LAFs!G$274*(1-Contrib!P$119)*100/(24*Input!$F$60)</f>
        <v>0</v>
      </c>
      <c r="Q135" s="34">
        <f>Multi!H944*Q$11*LAFs!H$274*(1-Contrib!Q$119)*100/(24*Input!$F$60)</f>
        <v>8.2973278999482342E-3</v>
      </c>
      <c r="R135" s="34">
        <f>Multi!I944*R$11*LAFs!I$274*(1-Contrib!R$119)*100/(24*Input!$F$60)</f>
        <v>0</v>
      </c>
      <c r="S135" s="34">
        <f>Multi!J944*S$11*LAFs!J$274*(1-Contrib!S$119)*100/(24*Input!$F$60)</f>
        <v>0</v>
      </c>
      <c r="T135" s="17"/>
    </row>
    <row r="136" spans="1:20">
      <c r="A136" s="4" t="s">
        <v>232</v>
      </c>
      <c r="B136" s="34">
        <f>Multi!B945*B$11*LAFs!B$279*(1-Contrib!B$124)*100/(24*Input!$F$60)</f>
        <v>0</v>
      </c>
      <c r="C136" s="34">
        <f>Multi!C945*C$11*LAFs!C$279*(1-Contrib!C$124)*100/(24*Input!$F$60)</f>
        <v>2.2044682214783652E-2</v>
      </c>
      <c r="D136" s="34">
        <f>Multi!D945*D$11*LAFs!D$279*(1-Contrib!D$124)*100/(24*Input!$F$60)</f>
        <v>8.7198926941478589E-3</v>
      </c>
      <c r="E136" s="34">
        <f>Multi!E945*E$11*LAFs!E$279*(1-Contrib!E$124)*100/(24*Input!$F$60)</f>
        <v>2.2666805680079387E-2</v>
      </c>
      <c r="F136" s="34">
        <f>Multi!F945*F$11*LAFs!F$279*(1-Contrib!F$124)*100/(24*Input!$F$60)</f>
        <v>1.4298298020701466E-2</v>
      </c>
      <c r="G136" s="34">
        <f>Multi!G945*G$11*LAFs!G$279*(1-Contrib!G$124)*100/(24*Input!$F$60)</f>
        <v>0</v>
      </c>
      <c r="H136" s="34">
        <f>Multi!H945*H$11*LAFs!H$279*(1-Contrib!H$124)*100/(24*Input!$F$60)</f>
        <v>1.817079858844256E-2</v>
      </c>
      <c r="I136" s="34">
        <f>Multi!I945*I$11*LAFs!I$279*(1-Contrib!I$124)*100/(24*Input!$F$60)</f>
        <v>1.6497638763416589E-2</v>
      </c>
      <c r="J136" s="34">
        <f>Multi!J945*J$11*LAFs!J$279*(1-Contrib!J$124)*100/(24*Input!$F$60)</f>
        <v>3.919568236965811E-4</v>
      </c>
      <c r="K136" s="34">
        <f>Multi!B945*K$11*LAFs!B$279*(1-Contrib!K$124)*100/(24*Input!$F$60)</f>
        <v>2.6541245811676105E-3</v>
      </c>
      <c r="L136" s="34">
        <f>Multi!C945*L$11*LAFs!C$279*(1-Contrib!L$124)*100/(24*Input!$F$60)</f>
        <v>8.6825407083336269E-3</v>
      </c>
      <c r="M136" s="34">
        <f>Multi!D945*M$11*LAFs!D$279*(1-Contrib!M$124)*100/(24*Input!$F$60)</f>
        <v>3.4344257064620517E-3</v>
      </c>
      <c r="N136" s="34">
        <f>Multi!E945*N$11*LAFs!E$279*(1-Contrib!N$124)*100/(24*Input!$F$60)</f>
        <v>8.9275708820694636E-3</v>
      </c>
      <c r="O136" s="34">
        <f>Multi!F945*O$11*LAFs!F$279*(1-Contrib!O$124)*100/(24*Input!$F$60)</f>
        <v>5.6315420388038922E-3</v>
      </c>
      <c r="P136" s="34">
        <f>Multi!G945*P$11*LAFs!G$279*(1-Contrib!P$124)*100/(24*Input!$F$60)</f>
        <v>0</v>
      </c>
      <c r="Q136" s="34">
        <f>Multi!H945*Q$11*LAFs!H$279*(1-Contrib!Q$124)*100/(24*Input!$F$60)</f>
        <v>1.022395572449023E-2</v>
      </c>
      <c r="R136" s="34">
        <f>Multi!I945*R$11*LAFs!I$279*(1-Contrib!R$124)*100/(24*Input!$F$60)</f>
        <v>9.2825379938495031E-3</v>
      </c>
      <c r="S136" s="34">
        <f>Multi!J945*S$11*LAFs!J$279*(1-Contrib!S$124)*100/(24*Input!$F$60)</f>
        <v>5.1458836262598525E-3</v>
      </c>
      <c r="T136" s="17"/>
    </row>
    <row r="137" spans="1:20">
      <c r="A137" s="4" t="s">
        <v>194</v>
      </c>
      <c r="B137" s="34">
        <f>Multi!B946*B$11*LAFs!B$284*(1-Contrib!B$129)*100/(24*Input!$F$60)</f>
        <v>0</v>
      </c>
      <c r="C137" s="34">
        <f>Multi!C946*C$11*LAFs!C$284*(1-Contrib!C$129)*100/(24*Input!$F$60)</f>
        <v>-1.7932923320127581E-2</v>
      </c>
      <c r="D137" s="34">
        <f>Multi!D946*D$11*LAFs!D$284*(1-Contrib!D$129)*100/(24*Input!$F$60)</f>
        <v>-7.0934643339529285E-3</v>
      </c>
      <c r="E137" s="34">
        <f>Multi!E946*E$11*LAFs!E$284*(1-Contrib!E$129)*100/(24*Input!$F$60)</f>
        <v>-1.843900874654025E-2</v>
      </c>
      <c r="F137" s="34">
        <f>Multi!F946*F$11*LAFs!F$284*(1-Contrib!F$129)*100/(24*Input!$F$60)</f>
        <v>-1.1631389353465799E-2</v>
      </c>
      <c r="G137" s="34">
        <f>Multi!G946*G$11*LAFs!G$284*(1-Contrib!G$129)*100/(24*Input!$F$60)</f>
        <v>0</v>
      </c>
      <c r="H137" s="34">
        <f>Multi!H946*H$11*LAFs!H$284*(1-Contrib!H$129)*100/(24*Input!$F$60)</f>
        <v>-1.4781593791063906E-2</v>
      </c>
      <c r="I137" s="34">
        <f>Multi!I946*I$11*LAFs!I$284*(1-Contrib!I$129)*100/(24*Input!$F$60)</f>
        <v>-1.342051058051134E-2</v>
      </c>
      <c r="J137" s="34">
        <f>Multi!J946*J$11*LAFs!J$284*(1-Contrib!J$129)*100/(24*Input!$F$60)</f>
        <v>0</v>
      </c>
      <c r="K137" s="34">
        <f>Multi!B946*K$11*LAFs!B$284*(1-Contrib!K$129)*100/(24*Input!$F$60)</f>
        <v>-2.1590790981883797E-3</v>
      </c>
      <c r="L137" s="34">
        <f>Multi!C946*L$11*LAFs!C$284*(1-Contrib!L$129)*100/(24*Input!$F$60)</f>
        <v>-7.063079214723952E-3</v>
      </c>
      <c r="M137" s="34">
        <f>Multi!D946*M$11*LAFs!D$284*(1-Contrib!M$129)*100/(24*Input!$F$60)</f>
        <v>-2.7938389967515991E-3</v>
      </c>
      <c r="N137" s="34">
        <f>Multi!E946*N$11*LAFs!E$284*(1-Contrib!N$129)*100/(24*Input!$F$60)</f>
        <v>-7.2624065297612044E-3</v>
      </c>
      <c r="O137" s="34">
        <f>Multi!F946*O$11*LAFs!F$284*(1-Contrib!O$129)*100/(24*Input!$F$60)</f>
        <v>-4.5811507089096992E-3</v>
      </c>
      <c r="P137" s="34">
        <f>Multi!G946*P$11*LAFs!G$284*(1-Contrib!P$129)*100/(24*Input!$F$60)</f>
        <v>0</v>
      </c>
      <c r="Q137" s="34">
        <f>Multi!H946*Q$11*LAFs!H$284*(1-Contrib!Q$129)*100/(24*Input!$F$60)</f>
        <v>-8.3169905671267638E-3</v>
      </c>
      <c r="R137" s="34">
        <f>Multi!I946*R$11*LAFs!I$284*(1-Contrib!R$129)*100/(24*Input!$F$60)</f>
        <v>-7.5511654211209396E-3</v>
      </c>
      <c r="S137" s="34">
        <f>Multi!J946*S$11*LAFs!J$284*(1-Contrib!S$129)*100/(24*Input!$F$60)</f>
        <v>0</v>
      </c>
      <c r="T137" s="17"/>
    </row>
    <row r="138" spans="1:20">
      <c r="A138" s="4" t="s">
        <v>195</v>
      </c>
      <c r="B138" s="34">
        <f>Multi!B947*B$11*LAFs!B$285*(1-Contrib!B$130)*100/(24*Input!$F$60)</f>
        <v>0</v>
      </c>
      <c r="C138" s="34">
        <f>Multi!C947*C$11*LAFs!C$285*(1-Contrib!C$130)*100/(24*Input!$F$60)</f>
        <v>-1.7932923320127581E-2</v>
      </c>
      <c r="D138" s="34">
        <f>Multi!D947*D$11*LAFs!D$285*(1-Contrib!D$130)*100/(24*Input!$F$60)</f>
        <v>-7.0934643339529285E-3</v>
      </c>
      <c r="E138" s="34">
        <f>Multi!E947*E$11*LAFs!E$285*(1-Contrib!E$130)*100/(24*Input!$F$60)</f>
        <v>-1.843900874654025E-2</v>
      </c>
      <c r="F138" s="34">
        <f>Multi!F947*F$11*LAFs!F$285*(1-Contrib!F$130)*100/(24*Input!$F$60)</f>
        <v>-1.1631389353465799E-2</v>
      </c>
      <c r="G138" s="34">
        <f>Multi!G947*G$11*LAFs!G$285*(1-Contrib!G$130)*100/(24*Input!$F$60)</f>
        <v>0</v>
      </c>
      <c r="H138" s="34">
        <f>Multi!H947*H$11*LAFs!H$285*(1-Contrib!H$130)*100/(24*Input!$F$60)</f>
        <v>-1.4781593791063906E-2</v>
      </c>
      <c r="I138" s="34">
        <f>Multi!I947*I$11*LAFs!I$285*(1-Contrib!I$130)*100/(24*Input!$F$60)</f>
        <v>-1.342051058051134E-2</v>
      </c>
      <c r="J138" s="34">
        <f>Multi!J947*J$11*LAFs!J$285*(1-Contrib!J$130)*100/(24*Input!$F$60)</f>
        <v>0</v>
      </c>
      <c r="K138" s="34">
        <f>Multi!B947*K$11*LAFs!B$285*(1-Contrib!K$130)*100/(24*Input!$F$60)</f>
        <v>-2.1590790981883797E-3</v>
      </c>
      <c r="L138" s="34">
        <f>Multi!C947*L$11*LAFs!C$285*(1-Contrib!L$130)*100/(24*Input!$F$60)</f>
        <v>-7.063079214723952E-3</v>
      </c>
      <c r="M138" s="34">
        <f>Multi!D947*M$11*LAFs!D$285*(1-Contrib!M$130)*100/(24*Input!$F$60)</f>
        <v>-2.7938389967515991E-3</v>
      </c>
      <c r="N138" s="34">
        <f>Multi!E947*N$11*LAFs!E$285*(1-Contrib!N$130)*100/(24*Input!$F$60)</f>
        <v>-7.2624065297612044E-3</v>
      </c>
      <c r="O138" s="34">
        <f>Multi!F947*O$11*LAFs!F$285*(1-Contrib!O$130)*100/(24*Input!$F$60)</f>
        <v>-4.5811507089096992E-3</v>
      </c>
      <c r="P138" s="34">
        <f>Multi!G947*P$11*LAFs!G$285*(1-Contrib!P$130)*100/(24*Input!$F$60)</f>
        <v>0</v>
      </c>
      <c r="Q138" s="34">
        <f>Multi!H947*Q$11*LAFs!H$285*(1-Contrib!Q$130)*100/(24*Input!$F$60)</f>
        <v>-8.3169905671267638E-3</v>
      </c>
      <c r="R138" s="34">
        <f>Multi!I947*R$11*LAFs!I$285*(1-Contrib!R$130)*100/(24*Input!$F$60)</f>
        <v>-7.5511654211209396E-3</v>
      </c>
      <c r="S138" s="34">
        <f>Multi!J947*S$11*LAFs!J$285*(1-Contrib!S$130)*100/(24*Input!$F$60)</f>
        <v>0</v>
      </c>
      <c r="T138" s="17"/>
    </row>
    <row r="139" spans="1:20">
      <c r="A139" s="4" t="s">
        <v>198</v>
      </c>
      <c r="B139" s="34">
        <f>Multi!B948*B$11*LAFs!B$288*(1-Contrib!B$133)*100/(24*Input!$F$60)</f>
        <v>0</v>
      </c>
      <c r="C139" s="34">
        <f>Multi!C948*C$11*LAFs!C$288*(1-Contrib!C$133)*100/(24*Input!$F$60)</f>
        <v>-1.7052675829808666E-2</v>
      </c>
      <c r="D139" s="34">
        <f>Multi!D948*D$11*LAFs!D$288*(1-Contrib!D$133)*100/(24*Input!$F$60)</f>
        <v>-6.7452777016808402E-3</v>
      </c>
      <c r="E139" s="34">
        <f>Multi!E948*E$11*LAFs!E$288*(1-Contrib!E$133)*100/(24*Input!$F$60)</f>
        <v>-1.7533919772290671E-2</v>
      </c>
      <c r="F139" s="34">
        <f>Multi!F948*F$11*LAFs!F$288*(1-Contrib!F$133)*100/(24*Input!$F$60)</f>
        <v>-1.1060456153979079E-2</v>
      </c>
      <c r="G139" s="34">
        <f>Multi!G948*G$11*LAFs!G$288*(1-Contrib!G$133)*100/(24*Input!$F$60)</f>
        <v>0</v>
      </c>
      <c r="H139" s="34">
        <f>Multi!H948*H$11*LAFs!H$288*(1-Contrib!H$133)*100/(24*Input!$F$60)</f>
        <v>-1.4056031059030479E-2</v>
      </c>
      <c r="I139" s="34">
        <f>Multi!I948*I$11*LAFs!I$288*(1-Contrib!I$133)*100/(24*Input!$F$60)</f>
        <v>0</v>
      </c>
      <c r="J139" s="34">
        <f>Multi!J948*J$11*LAFs!J$288*(1-Contrib!J$133)*100/(24*Input!$F$60)</f>
        <v>0</v>
      </c>
      <c r="K139" s="34">
        <f>Multi!B948*K$11*LAFs!B$288*(1-Contrib!K$133)*100/(24*Input!$F$60)</f>
        <v>-2.0530995028009815E-3</v>
      </c>
      <c r="L139" s="34">
        <f>Multi!C948*L$11*LAFs!C$288*(1-Contrib!L$133)*100/(24*Input!$F$60)</f>
        <v>-6.7163840528868214E-3</v>
      </c>
      <c r="M139" s="34">
        <f>Multi!D948*M$11*LAFs!D$288*(1-Contrib!M$133)*100/(24*Input!$F$60)</f>
        <v>-2.6567018595796874E-3</v>
      </c>
      <c r="N139" s="34">
        <f>Multi!E948*N$11*LAFs!E$288*(1-Contrib!N$133)*100/(24*Input!$F$60)</f>
        <v>-6.9059272760790694E-3</v>
      </c>
      <c r="O139" s="34">
        <f>Multi!F948*O$11*LAFs!F$288*(1-Contrib!O$133)*100/(24*Input!$F$60)</f>
        <v>-4.3562823847494965E-3</v>
      </c>
      <c r="P139" s="34">
        <f>Multi!G948*P$11*LAFs!G$288*(1-Contrib!P$133)*100/(24*Input!$F$60)</f>
        <v>0</v>
      </c>
      <c r="Q139" s="34">
        <f>Multi!H948*Q$11*LAFs!H$288*(1-Contrib!Q$133)*100/(24*Input!$F$60)</f>
        <v>-7.9087464708893999E-3</v>
      </c>
      <c r="R139" s="34">
        <f>Multi!I948*R$11*LAFs!I$288*(1-Contrib!R$133)*100/(24*Input!$F$60)</f>
        <v>0</v>
      </c>
      <c r="S139" s="34">
        <f>Multi!J948*S$11*LAFs!J$288*(1-Contrib!S$133)*100/(24*Input!$F$60)</f>
        <v>0</v>
      </c>
      <c r="T139" s="17"/>
    </row>
    <row r="140" spans="1:20">
      <c r="A140" s="4" t="s">
        <v>199</v>
      </c>
      <c r="B140" s="34">
        <f>Multi!B949*B$11*LAFs!B$289*(1-Contrib!B$134)*100/(24*Input!$F$60)</f>
        <v>0</v>
      </c>
      <c r="C140" s="34">
        <f>Multi!C949*C$11*LAFs!C$289*(1-Contrib!C$134)*100/(24*Input!$F$60)</f>
        <v>-1.7052675829808666E-2</v>
      </c>
      <c r="D140" s="34">
        <f>Multi!D949*D$11*LAFs!D$289*(1-Contrib!D$134)*100/(24*Input!$F$60)</f>
        <v>-6.7452777016808402E-3</v>
      </c>
      <c r="E140" s="34">
        <f>Multi!E949*E$11*LAFs!E$289*(1-Contrib!E$134)*100/(24*Input!$F$60)</f>
        <v>-1.7533919772290671E-2</v>
      </c>
      <c r="F140" s="34">
        <f>Multi!F949*F$11*LAFs!F$289*(1-Contrib!F$134)*100/(24*Input!$F$60)</f>
        <v>-1.1060456153979079E-2</v>
      </c>
      <c r="G140" s="34">
        <f>Multi!G949*G$11*LAFs!G$289*(1-Contrib!G$134)*100/(24*Input!$F$60)</f>
        <v>0</v>
      </c>
      <c r="H140" s="34">
        <f>Multi!H949*H$11*LAFs!H$289*(1-Contrib!H$134)*100/(24*Input!$F$60)</f>
        <v>-1.4056031059030479E-2</v>
      </c>
      <c r="I140" s="34">
        <f>Multi!I949*I$11*LAFs!I$289*(1-Contrib!I$134)*100/(24*Input!$F$60)</f>
        <v>0</v>
      </c>
      <c r="J140" s="34">
        <f>Multi!J949*J$11*LAFs!J$289*(1-Contrib!J$134)*100/(24*Input!$F$60)</f>
        <v>0</v>
      </c>
      <c r="K140" s="34">
        <f>Multi!B949*K$11*LAFs!B$289*(1-Contrib!K$134)*100/(24*Input!$F$60)</f>
        <v>-2.0530995028009815E-3</v>
      </c>
      <c r="L140" s="34">
        <f>Multi!C949*L$11*LAFs!C$289*(1-Contrib!L$134)*100/(24*Input!$F$60)</f>
        <v>-6.7163840528868214E-3</v>
      </c>
      <c r="M140" s="34">
        <f>Multi!D949*M$11*LAFs!D$289*(1-Contrib!M$134)*100/(24*Input!$F$60)</f>
        <v>-2.6567018595796874E-3</v>
      </c>
      <c r="N140" s="34">
        <f>Multi!E949*N$11*LAFs!E$289*(1-Contrib!N$134)*100/(24*Input!$F$60)</f>
        <v>-6.9059272760790694E-3</v>
      </c>
      <c r="O140" s="34">
        <f>Multi!F949*O$11*LAFs!F$289*(1-Contrib!O$134)*100/(24*Input!$F$60)</f>
        <v>-4.3562823847494965E-3</v>
      </c>
      <c r="P140" s="34">
        <f>Multi!G949*P$11*LAFs!G$289*(1-Contrib!P$134)*100/(24*Input!$F$60)</f>
        <v>0</v>
      </c>
      <c r="Q140" s="34">
        <f>Multi!H949*Q$11*LAFs!H$289*(1-Contrib!Q$134)*100/(24*Input!$F$60)</f>
        <v>-7.9087464708893999E-3</v>
      </c>
      <c r="R140" s="34">
        <f>Multi!I949*R$11*LAFs!I$289*(1-Contrib!R$134)*100/(24*Input!$F$60)</f>
        <v>0</v>
      </c>
      <c r="S140" s="34">
        <f>Multi!J949*S$11*LAFs!J$289*(1-Contrib!S$134)*100/(24*Input!$F$60)</f>
        <v>0</v>
      </c>
      <c r="T140" s="17"/>
    </row>
    <row r="141" spans="1:20">
      <c r="A141" s="4" t="s">
        <v>209</v>
      </c>
      <c r="B141" s="34">
        <f>Multi!B950*B$11*LAFs!B$292*(1-Contrib!B$137)*100/(24*Input!$F$60)</f>
        <v>0</v>
      </c>
      <c r="C141" s="34">
        <f>Multi!C950*C$11*LAFs!C$292*(1-Contrib!C$137)*100/(24*Input!$F$60)</f>
        <v>-1.6828342498465862E-2</v>
      </c>
      <c r="D141" s="34">
        <f>Multi!D950*D$11*LAFs!D$292*(1-Contrib!D$137)*100/(24*Input!$F$60)</f>
        <v>-6.6565414451101703E-3</v>
      </c>
      <c r="E141" s="34">
        <f>Multi!E950*E$11*LAFs!E$292*(1-Contrib!E$137)*100/(24*Input!$F$60)</f>
        <v>-1.7303255525032795E-2</v>
      </c>
      <c r="F141" s="34">
        <f>Multi!F950*F$11*LAFs!F$292*(1-Contrib!F$137)*100/(24*Input!$F$60)</f>
        <v>-4.6934295162004815E-3</v>
      </c>
      <c r="G141" s="34">
        <f>Multi!G950*G$11*LAFs!G$292*(1-Contrib!G$137)*100/(24*Input!$F$60)</f>
        <v>0</v>
      </c>
      <c r="H141" s="34">
        <f>Multi!H950*H$11*LAFs!H$292*(1-Contrib!H$137)*100/(24*Input!$F$60)</f>
        <v>0</v>
      </c>
      <c r="I141" s="34">
        <f>Multi!I950*I$11*LAFs!I$292*(1-Contrib!I$137)*100/(24*Input!$F$60)</f>
        <v>0</v>
      </c>
      <c r="J141" s="34">
        <f>Multi!J950*J$11*LAFs!J$292*(1-Contrib!J$137)*100/(24*Input!$F$60)</f>
        <v>0</v>
      </c>
      <c r="K141" s="34">
        <f>Multi!B950*K$11*LAFs!B$292*(1-Contrib!K$137)*100/(24*Input!$F$60)</f>
        <v>-2.0260903310065771E-3</v>
      </c>
      <c r="L141" s="34">
        <f>Multi!C950*L$11*LAFs!C$292*(1-Contrib!L$137)*100/(24*Input!$F$60)</f>
        <v>-6.6280279013831381E-3</v>
      </c>
      <c r="M141" s="34">
        <f>Multi!D950*M$11*LAFs!D$292*(1-Contrib!M$137)*100/(24*Input!$F$60)</f>
        <v>-2.6217521083211591E-3</v>
      </c>
      <c r="N141" s="34">
        <f>Multi!E950*N$11*LAFs!E$292*(1-Contrib!N$137)*100/(24*Input!$F$60)</f>
        <v>-6.8150776236658214E-3</v>
      </c>
      <c r="O141" s="34">
        <f>Multi!F950*O$11*LAFs!F$292*(1-Contrib!O$137)*100/(24*Input!$F$60)</f>
        <v>-4.2989741153966867E-3</v>
      </c>
      <c r="P141" s="34">
        <f>Multi!G950*P$11*LAFs!G$292*(1-Contrib!P$137)*100/(24*Input!$F$60)</f>
        <v>0</v>
      </c>
      <c r="Q141" s="34">
        <f>Multi!H950*Q$11*LAFs!H$292*(1-Contrib!Q$137)*100/(24*Input!$F$60)</f>
        <v>0</v>
      </c>
      <c r="R141" s="34">
        <f>Multi!I950*R$11*LAFs!I$292*(1-Contrib!R$137)*100/(24*Input!$F$60)</f>
        <v>0</v>
      </c>
      <c r="S141" s="34">
        <f>Multi!J950*S$11*LAFs!J$292*(1-Contrib!S$137)*100/(24*Input!$F$60)</f>
        <v>0</v>
      </c>
      <c r="T141" s="17"/>
    </row>
    <row r="142" spans="1:20">
      <c r="A142" s="4" t="s">
        <v>210</v>
      </c>
      <c r="B142" s="34">
        <f>Multi!B951*B$11*LAFs!B$293*(1-Contrib!B$138)*100/(24*Input!$F$60)</f>
        <v>0</v>
      </c>
      <c r="C142" s="34">
        <f>Multi!C951*C$11*LAFs!C$293*(1-Contrib!C$138)*100/(24*Input!$F$60)</f>
        <v>-1.6828342498465862E-2</v>
      </c>
      <c r="D142" s="34">
        <f>Multi!D951*D$11*LAFs!D$293*(1-Contrib!D$138)*100/(24*Input!$F$60)</f>
        <v>-6.6565414451101703E-3</v>
      </c>
      <c r="E142" s="34">
        <f>Multi!E951*E$11*LAFs!E$293*(1-Contrib!E$138)*100/(24*Input!$F$60)</f>
        <v>-1.7303255525032795E-2</v>
      </c>
      <c r="F142" s="34">
        <f>Multi!F951*F$11*LAFs!F$293*(1-Contrib!F$138)*100/(24*Input!$F$60)</f>
        <v>-4.6934295162004815E-3</v>
      </c>
      <c r="G142" s="34">
        <f>Multi!G951*G$11*LAFs!G$293*(1-Contrib!G$138)*100/(24*Input!$F$60)</f>
        <v>0</v>
      </c>
      <c r="H142" s="34">
        <f>Multi!H951*H$11*LAFs!H$293*(1-Contrib!H$138)*100/(24*Input!$F$60)</f>
        <v>0</v>
      </c>
      <c r="I142" s="34">
        <f>Multi!I951*I$11*LAFs!I$293*(1-Contrib!I$138)*100/(24*Input!$F$60)</f>
        <v>0</v>
      </c>
      <c r="J142" s="34">
        <f>Multi!J951*J$11*LAFs!J$293*(1-Contrib!J$138)*100/(24*Input!$F$60)</f>
        <v>0</v>
      </c>
      <c r="K142" s="34">
        <f>Multi!B951*K$11*LAFs!B$293*(1-Contrib!K$138)*100/(24*Input!$F$60)</f>
        <v>-2.0260903310065771E-3</v>
      </c>
      <c r="L142" s="34">
        <f>Multi!C951*L$11*LAFs!C$293*(1-Contrib!L$138)*100/(24*Input!$F$60)</f>
        <v>-6.6280279013831381E-3</v>
      </c>
      <c r="M142" s="34">
        <f>Multi!D951*M$11*LAFs!D$293*(1-Contrib!M$138)*100/(24*Input!$F$60)</f>
        <v>-2.6217521083211591E-3</v>
      </c>
      <c r="N142" s="34">
        <f>Multi!E951*N$11*LAFs!E$293*(1-Contrib!N$138)*100/(24*Input!$F$60)</f>
        <v>-6.8150776236658214E-3</v>
      </c>
      <c r="O142" s="34">
        <f>Multi!F951*O$11*LAFs!F$293*(1-Contrib!O$138)*100/(24*Input!$F$60)</f>
        <v>-4.2989741153966867E-3</v>
      </c>
      <c r="P142" s="34">
        <f>Multi!G951*P$11*LAFs!G$293*(1-Contrib!P$138)*100/(24*Input!$F$60)</f>
        <v>0</v>
      </c>
      <c r="Q142" s="34">
        <f>Multi!H951*Q$11*LAFs!H$293*(1-Contrib!Q$138)*100/(24*Input!$F$60)</f>
        <v>0</v>
      </c>
      <c r="R142" s="34">
        <f>Multi!I951*R$11*LAFs!I$293*(1-Contrib!R$138)*100/(24*Input!$F$60)</f>
        <v>0</v>
      </c>
      <c r="S142" s="34">
        <f>Multi!J951*S$11*LAFs!J$293*(1-Contrib!S$138)*100/(24*Input!$F$60)</f>
        <v>0</v>
      </c>
      <c r="T142" s="17"/>
    </row>
  </sheetData>
  <sheetProtection sheet="1" objects="1" scenarios="1"/>
  <hyperlinks>
    <hyperlink ref="A6" location="'DRM'!B129" display="x1 = 2109. Network model annuity by simultaneous maximum load for each network level (£/kW/year)"/>
    <hyperlink ref="A7" location="'Otex'!B107" display="x2 = 2710. Unit operating expenditure based on simultaneous maximum load (£/kW/year)"/>
    <hyperlink ref="A15" location="'Yard'!B10" display="x1 = 2901. Unit cost at each level, £/kW/year (relative to system simultaneous maximum load)"/>
    <hyperlink ref="A16" location="'Loads'!B45" display="x2 = 2302. Load coefficient"/>
    <hyperlink ref="A17" location="'LAFs'!B260" display="x3 = 2012. Loss adjustment factors between end user meter reading and each network level, scaled by network use"/>
    <hyperlink ref="A18" location="'Contrib'!B105" display="x4 = 2804. Proportion of annual charge covered by contributions (for all charging levels)"/>
    <hyperlink ref="A19" location="'Input'!F59" display="x5 = 1010. Days in the charging year (in Financial and general assumptions)"/>
    <hyperlink ref="A59" location="'Multi'!B881" display="x1 = 2460. Unit rate 1 pseudo load coefficient by network level (combined)"/>
    <hyperlink ref="A60" location="'Yard'!B10" display="x2 = 2901. Unit cost at each level, £/kW/year (relative to system simultaneous maximum load)"/>
    <hyperlink ref="A61" location="'LAFs'!B260" display="x3 = 2012. Loss adjustment factors between end user meter reading and each network level, scaled by network use"/>
    <hyperlink ref="A62" location="'Contrib'!B105" display="x4 = 2804. Proportion of annual charge covered by contributions (for all charging levels)"/>
    <hyperlink ref="A63" location="'Input'!F59" display="x5 = 1010. Days in the charging year (in Financial and general assumptions)"/>
    <hyperlink ref="A95" location="'Multi'!B914" display="x1 = 2461. Unit rate 2 pseudo load coefficient by network level (combined)"/>
    <hyperlink ref="A96" location="'Yard'!B10" display="x2 = 2901. Unit cost at each level, £/kW/year (relative to system simultaneous maximum load)"/>
    <hyperlink ref="A97" location="'LAFs'!B260" display="x3 = 2012. Loss adjustment factors between end user meter reading and each network level, scaled by network use"/>
    <hyperlink ref="A98" location="'Contrib'!B105" display="x4 = 2804. Proportion of annual charge covered by contributions (for all charging levels)"/>
    <hyperlink ref="A99" location="'Input'!F59" display="x5 = 1010. Days in the charging year (in Financial and general assumptions)"/>
    <hyperlink ref="A123" location="'Multi'!B939" display="x1 = 2462. Unit rate 3 pseudo load coefficient by network level (combined)"/>
    <hyperlink ref="A124" location="'Yard'!B10" display="x2 = 2901. Unit cost at each level, £/kW/year (relative to system simultaneous maximum load)"/>
    <hyperlink ref="A125" location="'LAFs'!B260" display="x3 = 2012. Loss adjustment factors between end user meter reading and each network level, scaled by network use"/>
    <hyperlink ref="A126" location="'Contrib'!B105" display="x4 = 2804. Proportion of annual charge covered by contributions (for all charging levels)"/>
    <hyperlink ref="A127" location="'Input'!F59" display="x5 = 1010. Days in the charging year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6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50.7109375" customWidth="1"/>
    <col min="2" max="251" width="16.7109375" customWidth="1"/>
  </cols>
  <sheetData>
    <row r="1" spans="1:20" ht="21" customHeight="1">
      <c r="A1" s="1" t="str">
        <f>"Allocation to standing charges for "&amp;Input!B7&amp;" in "&amp;Input!C7&amp;" ("&amp;Input!D7&amp;")"</f>
        <v>Allocation to standing charges for Electricity North West in 2019/20 (Version 1)</v>
      </c>
    </row>
    <row r="2" spans="1:20">
      <c r="A2" s="2" t="s">
        <v>1015</v>
      </c>
    </row>
    <row r="4" spans="1:20" ht="21" customHeight="1">
      <c r="A4" s="1" t="s">
        <v>1016</v>
      </c>
    </row>
    <row r="5" spans="1:20">
      <c r="A5" s="2" t="s">
        <v>379</v>
      </c>
    </row>
    <row r="6" spans="1:20">
      <c r="A6" s="29" t="s">
        <v>1004</v>
      </c>
    </row>
    <row r="7" spans="1:20">
      <c r="A7" s="29" t="s">
        <v>1017</v>
      </c>
    </row>
    <row r="8" spans="1:20">
      <c r="A8" s="2" t="s">
        <v>1018</v>
      </c>
    </row>
    <row r="10" spans="1:20" ht="30">
      <c r="B10" s="15" t="s">
        <v>148</v>
      </c>
      <c r="C10" s="15" t="s">
        <v>333</v>
      </c>
      <c r="D10" s="15" t="s">
        <v>334</v>
      </c>
      <c r="E10" s="15" t="s">
        <v>335</v>
      </c>
      <c r="F10" s="15" t="s">
        <v>336</v>
      </c>
      <c r="G10" s="15" t="s">
        <v>337</v>
      </c>
      <c r="H10" s="15" t="s">
        <v>338</v>
      </c>
      <c r="I10" s="15" t="s">
        <v>339</v>
      </c>
      <c r="J10" s="15" t="s">
        <v>340</v>
      </c>
      <c r="K10" s="15" t="s">
        <v>321</v>
      </c>
      <c r="L10" s="15" t="s">
        <v>909</v>
      </c>
      <c r="M10" s="15" t="s">
        <v>910</v>
      </c>
      <c r="N10" s="15" t="s">
        <v>911</v>
      </c>
      <c r="O10" s="15" t="s">
        <v>912</v>
      </c>
      <c r="P10" s="15" t="s">
        <v>913</v>
      </c>
      <c r="Q10" s="15" t="s">
        <v>914</v>
      </c>
      <c r="R10" s="15" t="s">
        <v>915</v>
      </c>
      <c r="S10" s="15" t="s">
        <v>916</v>
      </c>
    </row>
    <row r="11" spans="1:20">
      <c r="A11" s="4" t="s">
        <v>1019</v>
      </c>
      <c r="B11" s="34">
        <f>Yard!B11/(1+AMD!B203)</f>
        <v>0</v>
      </c>
      <c r="C11" s="34">
        <f>Yard!C11/(1+AMD!C203)</f>
        <v>9.6108426261744473</v>
      </c>
      <c r="D11" s="34">
        <f>Yard!D11/(1+AMD!D203)</f>
        <v>3.820360966789099</v>
      </c>
      <c r="E11" s="34">
        <f>Yard!E11/(1+AMD!E203)</f>
        <v>8.8944882205471441</v>
      </c>
      <c r="F11" s="34">
        <f>Yard!F11/(1+AMD!F203)</f>
        <v>5.6411151176954686</v>
      </c>
      <c r="G11" s="34">
        <f>Yard!G11/(1+AMD!G203)</f>
        <v>0</v>
      </c>
      <c r="H11" s="34">
        <f>Yard!H11/(1+AMD!H203)</f>
        <v>8.3653887657639423</v>
      </c>
      <c r="I11" s="34">
        <f>Yard!I11/(1+AMD!I203)</f>
        <v>7.6963551131163239</v>
      </c>
      <c r="J11" s="34">
        <f>Yard!J11/(1+AMD!J203)</f>
        <v>4.0991836142011291</v>
      </c>
      <c r="K11" s="34">
        <f>Yard!K11/(1+AMD!B203)</f>
        <v>5.7036720799726233</v>
      </c>
      <c r="L11" s="34">
        <f>Yard!L11/(1+AMD!C203)</f>
        <v>3.7853361427540384</v>
      </c>
      <c r="M11" s="34">
        <f>Yard!M11/(1+AMD!D203)</f>
        <v>1.5046912126694363</v>
      </c>
      <c r="N11" s="34">
        <f>Yard!N11/(1+AMD!E203)</f>
        <v>3.5031920760873798</v>
      </c>
      <c r="O11" s="34">
        <f>Yard!O11/(1+AMD!F203)</f>
        <v>2.2218152737507193</v>
      </c>
      <c r="P11" s="34">
        <f>Yard!P11/(1+AMD!G203)</f>
        <v>0</v>
      </c>
      <c r="Q11" s="34">
        <f>Yard!Q11/(1+AMD!H203)</f>
        <v>3.2948004326899771</v>
      </c>
      <c r="R11" s="34">
        <f>Yard!R11/(1+AMD!I203)</f>
        <v>3.0312941653842724</v>
      </c>
      <c r="S11" s="34">
        <f>Yard!S11/(1+AMD!J203)</f>
        <v>1.6145085810022308</v>
      </c>
      <c r="T11" s="17"/>
    </row>
    <row r="13" spans="1:20" ht="21" customHeight="1">
      <c r="A13" s="1" t="s">
        <v>1020</v>
      </c>
    </row>
    <row r="14" spans="1:20">
      <c r="A14" s="2" t="s">
        <v>1021</v>
      </c>
    </row>
    <row r="15" spans="1:20">
      <c r="A15" s="2" t="s">
        <v>379</v>
      </c>
    </row>
    <row r="16" spans="1:20">
      <c r="A16" s="29" t="s">
        <v>1022</v>
      </c>
    </row>
    <row r="17" spans="1:20">
      <c r="A17" s="29" t="s">
        <v>1023</v>
      </c>
    </row>
    <row r="18" spans="1:20">
      <c r="A18" s="29" t="s">
        <v>1024</v>
      </c>
    </row>
    <row r="19" spans="1:20">
      <c r="A19" s="29" t="s">
        <v>1025</v>
      </c>
    </row>
    <row r="20" spans="1:20">
      <c r="A20" s="29" t="s">
        <v>773</v>
      </c>
    </row>
    <row r="21" spans="1:20">
      <c r="A21" s="29" t="s">
        <v>1026</v>
      </c>
    </row>
    <row r="22" spans="1:20">
      <c r="A22" s="2" t="s">
        <v>1027</v>
      </c>
    </row>
    <row r="24" spans="1:20" ht="30">
      <c r="B24" s="15" t="s">
        <v>148</v>
      </c>
      <c r="C24" s="15" t="s">
        <v>333</v>
      </c>
      <c r="D24" s="15" t="s">
        <v>334</v>
      </c>
      <c r="E24" s="15" t="s">
        <v>335</v>
      </c>
      <c r="F24" s="15" t="s">
        <v>336</v>
      </c>
      <c r="G24" s="15" t="s">
        <v>337</v>
      </c>
      <c r="H24" s="15" t="s">
        <v>338</v>
      </c>
      <c r="I24" s="15" t="s">
        <v>339</v>
      </c>
      <c r="J24" s="15" t="s">
        <v>340</v>
      </c>
      <c r="K24" s="15" t="s">
        <v>321</v>
      </c>
      <c r="L24" s="15" t="s">
        <v>909</v>
      </c>
      <c r="M24" s="15" t="s">
        <v>910</v>
      </c>
      <c r="N24" s="15" t="s">
        <v>911</v>
      </c>
      <c r="O24" s="15" t="s">
        <v>912</v>
      </c>
      <c r="P24" s="15" t="s">
        <v>913</v>
      </c>
      <c r="Q24" s="15" t="s">
        <v>914</v>
      </c>
      <c r="R24" s="15" t="s">
        <v>915</v>
      </c>
      <c r="S24" s="15" t="s">
        <v>916</v>
      </c>
    </row>
    <row r="25" spans="1:20">
      <c r="A25" s="4" t="s">
        <v>180</v>
      </c>
      <c r="B25" s="34">
        <f>100*AMD!B41*LAFs!B$261*B$11*Input!$E$60/Input!$F$60*(1-Contrib!B$106)</f>
        <v>0</v>
      </c>
      <c r="C25" s="34">
        <f>100*AMD!C41*LAFs!C$261*C$11*Input!$E$60/Input!$F$60*(1-Contrib!C$106)</f>
        <v>0</v>
      </c>
      <c r="D25" s="34">
        <f>100*AMD!D41*LAFs!D$261*D$11*Input!$E$60/Input!$F$60*(1-Contrib!D$106)</f>
        <v>0</v>
      </c>
      <c r="E25" s="34">
        <f>100*AMD!E41*LAFs!E$261*E$11*Input!$E$60/Input!$F$60*(1-Contrib!E$106)</f>
        <v>0</v>
      </c>
      <c r="F25" s="34">
        <f>100*AMD!F41*LAFs!F$261*F$11*Input!$E$60/Input!$F$60*(1-Contrib!F$106)</f>
        <v>0</v>
      </c>
      <c r="G25" s="34">
        <f>100*AMD!G41*LAFs!G$261*G$11*Input!$E$60/Input!$F$60*(1-Contrib!G$106)</f>
        <v>0</v>
      </c>
      <c r="H25" s="34">
        <f>100*AMD!H41*LAFs!H$261*H$11*Input!$E$60/Input!$F$60*(1-Contrib!H$106)</f>
        <v>0</v>
      </c>
      <c r="I25" s="34">
        <f>100*AMD!I41*LAFs!I$261*I$11*Input!$E$60/Input!$F$60*(1-Contrib!I$106)</f>
        <v>0</v>
      </c>
      <c r="J25" s="34">
        <f>100*AMD!J41*LAFs!J$261*J$11*Input!$E$60/Input!$F$60*(1-Contrib!J$106)</f>
        <v>3.1919872405664552E-2</v>
      </c>
      <c r="K25" s="34">
        <f>100*AMD!B41*LAFs!B$261*K$11*Input!$E$60/Input!$F$60*(1-Contrib!K$106)</f>
        <v>0</v>
      </c>
      <c r="L25" s="34">
        <f>100*AMD!C41*LAFs!C$261*L$11*Input!$E$60/Input!$F$60*(1-Contrib!L$106)</f>
        <v>0</v>
      </c>
      <c r="M25" s="34">
        <f>100*AMD!D41*LAFs!D$261*M$11*Input!$E$60/Input!$F$60*(1-Contrib!M$106)</f>
        <v>0</v>
      </c>
      <c r="N25" s="34">
        <f>100*AMD!E41*LAFs!E$261*N$11*Input!$E$60/Input!$F$60*(1-Contrib!N$106)</f>
        <v>0</v>
      </c>
      <c r="O25" s="34">
        <f>100*AMD!F41*LAFs!F$261*O$11*Input!$E$60/Input!$F$60*(1-Contrib!O$106)</f>
        <v>0</v>
      </c>
      <c r="P25" s="34">
        <f>100*AMD!G41*LAFs!G$261*P$11*Input!$E$60/Input!$F$60*(1-Contrib!P$106)</f>
        <v>0</v>
      </c>
      <c r="Q25" s="34">
        <f>100*AMD!H41*LAFs!H$261*Q$11*Input!$E$60/Input!$F$60*(1-Contrib!Q$106)</f>
        <v>0</v>
      </c>
      <c r="R25" s="34">
        <f>100*AMD!I41*LAFs!I$261*R$11*Input!$E$60/Input!$F$60*(1-Contrib!R$106)</f>
        <v>0</v>
      </c>
      <c r="S25" s="34">
        <f>100*AMD!J41*LAFs!J$261*S$11*Input!$E$60/Input!$F$60*(1-Contrib!S$106)</f>
        <v>0.41906643495959539</v>
      </c>
      <c r="T25" s="17"/>
    </row>
    <row r="26" spans="1:20">
      <c r="A26" s="4" t="s">
        <v>181</v>
      </c>
      <c r="B26" s="34">
        <f>100*AMD!B42*LAFs!B$262*B$11*Input!$E$60/Input!$F$60*(1-Contrib!B$107)</f>
        <v>0</v>
      </c>
      <c r="C26" s="34">
        <f>100*AMD!C42*LAFs!C$262*C$11*Input!$E$60/Input!$F$60*(1-Contrib!C$107)</f>
        <v>0</v>
      </c>
      <c r="D26" s="34">
        <f>100*AMD!D42*LAFs!D$262*D$11*Input!$E$60/Input!$F$60*(1-Contrib!D$107)</f>
        <v>0</v>
      </c>
      <c r="E26" s="34">
        <f>100*AMD!E42*LAFs!E$262*E$11*Input!$E$60/Input!$F$60*(1-Contrib!E$107)</f>
        <v>0</v>
      </c>
      <c r="F26" s="34">
        <f>100*AMD!F42*LAFs!F$262*F$11*Input!$E$60/Input!$F$60*(1-Contrib!F$107)</f>
        <v>0</v>
      </c>
      <c r="G26" s="34">
        <f>100*AMD!G42*LAFs!G$262*G$11*Input!$E$60/Input!$F$60*(1-Contrib!G$107)</f>
        <v>0</v>
      </c>
      <c r="H26" s="34">
        <f>100*AMD!H42*LAFs!H$262*H$11*Input!$E$60/Input!$F$60*(1-Contrib!H$107)</f>
        <v>0</v>
      </c>
      <c r="I26" s="34">
        <f>100*AMD!I42*LAFs!I$262*I$11*Input!$E$60/Input!$F$60*(1-Contrib!I$107)</f>
        <v>0</v>
      </c>
      <c r="J26" s="34">
        <f>100*AMD!J42*LAFs!J$262*J$11*Input!$E$60/Input!$F$60*(1-Contrib!J$107)</f>
        <v>3.1919872405664552E-2</v>
      </c>
      <c r="K26" s="34">
        <f>100*AMD!B42*LAFs!B$262*K$11*Input!$E$60/Input!$F$60*(1-Contrib!K$107)</f>
        <v>0</v>
      </c>
      <c r="L26" s="34">
        <f>100*AMD!C42*LAFs!C$262*L$11*Input!$E$60/Input!$F$60*(1-Contrib!L$107)</f>
        <v>0</v>
      </c>
      <c r="M26" s="34">
        <f>100*AMD!D42*LAFs!D$262*M$11*Input!$E$60/Input!$F$60*(1-Contrib!M$107)</f>
        <v>0</v>
      </c>
      <c r="N26" s="34">
        <f>100*AMD!E42*LAFs!E$262*N$11*Input!$E$60/Input!$F$60*(1-Contrib!N$107)</f>
        <v>0</v>
      </c>
      <c r="O26" s="34">
        <f>100*AMD!F42*LAFs!F$262*O$11*Input!$E$60/Input!$F$60*(1-Contrib!O$107)</f>
        <v>0</v>
      </c>
      <c r="P26" s="34">
        <f>100*AMD!G42*LAFs!G$262*P$11*Input!$E$60/Input!$F$60*(1-Contrib!P$107)</f>
        <v>0</v>
      </c>
      <c r="Q26" s="34">
        <f>100*AMD!H42*LAFs!H$262*Q$11*Input!$E$60/Input!$F$60*(1-Contrib!Q$107)</f>
        <v>0</v>
      </c>
      <c r="R26" s="34">
        <f>100*AMD!I42*LAFs!I$262*R$11*Input!$E$60/Input!$F$60*(1-Contrib!R$107)</f>
        <v>0</v>
      </c>
      <c r="S26" s="34">
        <f>100*AMD!J42*LAFs!J$262*S$11*Input!$E$60/Input!$F$60*(1-Contrib!S$107)</f>
        <v>0.41906643495959539</v>
      </c>
      <c r="T26" s="17"/>
    </row>
    <row r="27" spans="1:20">
      <c r="A27" s="4" t="s">
        <v>226</v>
      </c>
      <c r="B27" s="34">
        <f>100*AMD!B43*LAFs!B$263*B$11*Input!$E$60/Input!$F$60*(1-Contrib!B$108)</f>
        <v>0</v>
      </c>
      <c r="C27" s="34">
        <f>100*AMD!C43*LAFs!C$263*C$11*Input!$E$60/Input!$F$60*(1-Contrib!C$108)</f>
        <v>0</v>
      </c>
      <c r="D27" s="34">
        <f>100*AMD!D43*LAFs!D$263*D$11*Input!$E$60/Input!$F$60*(1-Contrib!D$108)</f>
        <v>0</v>
      </c>
      <c r="E27" s="34">
        <f>100*AMD!E43*LAFs!E$263*E$11*Input!$E$60/Input!$F$60*(1-Contrib!E$108)</f>
        <v>0</v>
      </c>
      <c r="F27" s="34">
        <f>100*AMD!F43*LAFs!F$263*F$11*Input!$E$60/Input!$F$60*(1-Contrib!F$108)</f>
        <v>0</v>
      </c>
      <c r="G27" s="34">
        <f>100*AMD!G43*LAFs!G$263*G$11*Input!$E$60/Input!$F$60*(1-Contrib!G$108)</f>
        <v>0</v>
      </c>
      <c r="H27" s="34">
        <f>100*AMD!H43*LAFs!H$263*H$11*Input!$E$60/Input!$F$60*(1-Contrib!H$108)</f>
        <v>0</v>
      </c>
      <c r="I27" s="34">
        <f>100*AMD!I43*LAFs!I$263*I$11*Input!$E$60/Input!$F$60*(1-Contrib!I$108)</f>
        <v>0</v>
      </c>
      <c r="J27" s="34">
        <f>100*AMD!J43*LAFs!J$263*J$11*Input!$E$60/Input!$F$60*(1-Contrib!J$108)</f>
        <v>3.1919872405664552E-2</v>
      </c>
      <c r="K27" s="34">
        <f>100*AMD!B43*LAFs!B$263*K$11*Input!$E$60/Input!$F$60*(1-Contrib!K$108)</f>
        <v>0</v>
      </c>
      <c r="L27" s="34">
        <f>100*AMD!C43*LAFs!C$263*L$11*Input!$E$60/Input!$F$60*(1-Contrib!L$108)</f>
        <v>0</v>
      </c>
      <c r="M27" s="34">
        <f>100*AMD!D43*LAFs!D$263*M$11*Input!$E$60/Input!$F$60*(1-Contrib!M$108)</f>
        <v>0</v>
      </c>
      <c r="N27" s="34">
        <f>100*AMD!E43*LAFs!E$263*N$11*Input!$E$60/Input!$F$60*(1-Contrib!N$108)</f>
        <v>0</v>
      </c>
      <c r="O27" s="34">
        <f>100*AMD!F43*LAFs!F$263*O$11*Input!$E$60/Input!$F$60*(1-Contrib!O$108)</f>
        <v>0</v>
      </c>
      <c r="P27" s="34">
        <f>100*AMD!G43*LAFs!G$263*P$11*Input!$E$60/Input!$F$60*(1-Contrib!P$108)</f>
        <v>0</v>
      </c>
      <c r="Q27" s="34">
        <f>100*AMD!H43*LAFs!H$263*Q$11*Input!$E$60/Input!$F$60*(1-Contrib!Q$108)</f>
        <v>0</v>
      </c>
      <c r="R27" s="34">
        <f>100*AMD!I43*LAFs!I$263*R$11*Input!$E$60/Input!$F$60*(1-Contrib!R$108)</f>
        <v>0</v>
      </c>
      <c r="S27" s="34">
        <f>100*AMD!J43*LAFs!J$263*S$11*Input!$E$60/Input!$F$60*(1-Contrib!S$108)</f>
        <v>0.41906643495959539</v>
      </c>
      <c r="T27" s="17"/>
    </row>
    <row r="28" spans="1:20">
      <c r="A28" s="4" t="s">
        <v>182</v>
      </c>
      <c r="B28" s="34">
        <f>100*AMD!B44*LAFs!B$264*B$11*Input!$E$60/Input!$F$60*(1-Contrib!B$109)</f>
        <v>0</v>
      </c>
      <c r="C28" s="34">
        <f>100*AMD!C44*LAFs!C$264*C$11*Input!$E$60/Input!$F$60*(1-Contrib!C$109)</f>
        <v>0</v>
      </c>
      <c r="D28" s="34">
        <f>100*AMD!D44*LAFs!D$264*D$11*Input!$E$60/Input!$F$60*(1-Contrib!D$109)</f>
        <v>0</v>
      </c>
      <c r="E28" s="34">
        <f>100*AMD!E44*LAFs!E$264*E$11*Input!$E$60/Input!$F$60*(1-Contrib!E$109)</f>
        <v>0</v>
      </c>
      <c r="F28" s="34">
        <f>100*AMD!F44*LAFs!F$264*F$11*Input!$E$60/Input!$F$60*(1-Contrib!F$109)</f>
        <v>0</v>
      </c>
      <c r="G28" s="34">
        <f>100*AMD!G44*LAFs!G$264*G$11*Input!$E$60/Input!$F$60*(1-Contrib!G$109)</f>
        <v>0</v>
      </c>
      <c r="H28" s="34">
        <f>100*AMD!H44*LAFs!H$264*H$11*Input!$E$60/Input!$F$60*(1-Contrib!H$109)</f>
        <v>0</v>
      </c>
      <c r="I28" s="34">
        <f>100*AMD!I44*LAFs!I$264*I$11*Input!$E$60/Input!$F$60*(1-Contrib!I$109)</f>
        <v>0</v>
      </c>
      <c r="J28" s="34">
        <f>100*AMD!J44*LAFs!J$264*J$11*Input!$E$60/Input!$F$60*(1-Contrib!J$109)</f>
        <v>3.1919872405664552E-2</v>
      </c>
      <c r="K28" s="34">
        <f>100*AMD!B44*LAFs!B$264*K$11*Input!$E$60/Input!$F$60*(1-Contrib!K$109)</f>
        <v>0</v>
      </c>
      <c r="L28" s="34">
        <f>100*AMD!C44*LAFs!C$264*L$11*Input!$E$60/Input!$F$60*(1-Contrib!L$109)</f>
        <v>0</v>
      </c>
      <c r="M28" s="34">
        <f>100*AMD!D44*LAFs!D$264*M$11*Input!$E$60/Input!$F$60*(1-Contrib!M$109)</f>
        <v>0</v>
      </c>
      <c r="N28" s="34">
        <f>100*AMD!E44*LAFs!E$264*N$11*Input!$E$60/Input!$F$60*(1-Contrib!N$109)</f>
        <v>0</v>
      </c>
      <c r="O28" s="34">
        <f>100*AMD!F44*LAFs!F$264*O$11*Input!$E$60/Input!$F$60*(1-Contrib!O$109)</f>
        <v>0</v>
      </c>
      <c r="P28" s="34">
        <f>100*AMD!G44*LAFs!G$264*P$11*Input!$E$60/Input!$F$60*(1-Contrib!P$109)</f>
        <v>0</v>
      </c>
      <c r="Q28" s="34">
        <f>100*AMD!H44*LAFs!H$264*Q$11*Input!$E$60/Input!$F$60*(1-Contrib!Q$109)</f>
        <v>0</v>
      </c>
      <c r="R28" s="34">
        <f>100*AMD!I44*LAFs!I$264*R$11*Input!$E$60/Input!$F$60*(1-Contrib!R$109)</f>
        <v>0</v>
      </c>
      <c r="S28" s="34">
        <f>100*AMD!J44*LAFs!J$264*S$11*Input!$E$60/Input!$F$60*(1-Contrib!S$109)</f>
        <v>0.41906643495959539</v>
      </c>
      <c r="T28" s="17"/>
    </row>
    <row r="29" spans="1:20">
      <c r="A29" s="4" t="s">
        <v>183</v>
      </c>
      <c r="B29" s="34">
        <f>100*AMD!B45*LAFs!B$265*B$11*Input!$E$60/Input!$F$60*(1-Contrib!B$110)</f>
        <v>0</v>
      </c>
      <c r="C29" s="34">
        <f>100*AMD!C45*LAFs!C$265*C$11*Input!$E$60/Input!$F$60*(1-Contrib!C$110)</f>
        <v>0</v>
      </c>
      <c r="D29" s="34">
        <f>100*AMD!D45*LAFs!D$265*D$11*Input!$E$60/Input!$F$60*(1-Contrib!D$110)</f>
        <v>0</v>
      </c>
      <c r="E29" s="34">
        <f>100*AMD!E45*LAFs!E$265*E$11*Input!$E$60/Input!$F$60*(1-Contrib!E$110)</f>
        <v>0</v>
      </c>
      <c r="F29" s="34">
        <f>100*AMD!F45*LAFs!F$265*F$11*Input!$E$60/Input!$F$60*(1-Contrib!F$110)</f>
        <v>0</v>
      </c>
      <c r="G29" s="34">
        <f>100*AMD!G45*LAFs!G$265*G$11*Input!$E$60/Input!$F$60*(1-Contrib!G$110)</f>
        <v>0</v>
      </c>
      <c r="H29" s="34">
        <f>100*AMD!H45*LAFs!H$265*H$11*Input!$E$60/Input!$F$60*(1-Contrib!H$110)</f>
        <v>0</v>
      </c>
      <c r="I29" s="34">
        <f>100*AMD!I45*LAFs!I$265*I$11*Input!$E$60/Input!$F$60*(1-Contrib!I$110)</f>
        <v>0</v>
      </c>
      <c r="J29" s="34">
        <f>100*AMD!J45*LAFs!J$265*J$11*Input!$E$60/Input!$F$60*(1-Contrib!J$110)</f>
        <v>3.1919872405664552E-2</v>
      </c>
      <c r="K29" s="34">
        <f>100*AMD!B45*LAFs!B$265*K$11*Input!$E$60/Input!$F$60*(1-Contrib!K$110)</f>
        <v>0</v>
      </c>
      <c r="L29" s="34">
        <f>100*AMD!C45*LAFs!C$265*L$11*Input!$E$60/Input!$F$60*(1-Contrib!L$110)</f>
        <v>0</v>
      </c>
      <c r="M29" s="34">
        <f>100*AMD!D45*LAFs!D$265*M$11*Input!$E$60/Input!$F$60*(1-Contrib!M$110)</f>
        <v>0</v>
      </c>
      <c r="N29" s="34">
        <f>100*AMD!E45*LAFs!E$265*N$11*Input!$E$60/Input!$F$60*(1-Contrib!N$110)</f>
        <v>0</v>
      </c>
      <c r="O29" s="34">
        <f>100*AMD!F45*LAFs!F$265*O$11*Input!$E$60/Input!$F$60*(1-Contrib!O$110)</f>
        <v>0</v>
      </c>
      <c r="P29" s="34">
        <f>100*AMD!G45*LAFs!G$265*P$11*Input!$E$60/Input!$F$60*(1-Contrib!P$110)</f>
        <v>0</v>
      </c>
      <c r="Q29" s="34">
        <f>100*AMD!H45*LAFs!H$265*Q$11*Input!$E$60/Input!$F$60*(1-Contrib!Q$110)</f>
        <v>0</v>
      </c>
      <c r="R29" s="34">
        <f>100*AMD!I45*LAFs!I$265*R$11*Input!$E$60/Input!$F$60*(1-Contrib!R$110)</f>
        <v>0</v>
      </c>
      <c r="S29" s="34">
        <f>100*AMD!J45*LAFs!J$265*S$11*Input!$E$60/Input!$F$60*(1-Contrib!S$110)</f>
        <v>0.41906643495959539</v>
      </c>
      <c r="T29" s="17"/>
    </row>
    <row r="30" spans="1:20">
      <c r="A30" s="4" t="s">
        <v>227</v>
      </c>
      <c r="B30" s="34">
        <f>100*AMD!B46*LAFs!B$266*B$11*Input!$E$60/Input!$F$60*(1-Contrib!B$111)</f>
        <v>0</v>
      </c>
      <c r="C30" s="34">
        <f>100*AMD!C46*LAFs!C$266*C$11*Input!$E$60/Input!$F$60*(1-Contrib!C$111)</f>
        <v>0</v>
      </c>
      <c r="D30" s="34">
        <f>100*AMD!D46*LAFs!D$266*D$11*Input!$E$60/Input!$F$60*(1-Contrib!D$111)</f>
        <v>0</v>
      </c>
      <c r="E30" s="34">
        <f>100*AMD!E46*LAFs!E$266*E$11*Input!$E$60/Input!$F$60*(1-Contrib!E$111)</f>
        <v>0</v>
      </c>
      <c r="F30" s="34">
        <f>100*AMD!F46*LAFs!F$266*F$11*Input!$E$60/Input!$F$60*(1-Contrib!F$111)</f>
        <v>0</v>
      </c>
      <c r="G30" s="34">
        <f>100*AMD!G46*LAFs!G$266*G$11*Input!$E$60/Input!$F$60*(1-Contrib!G$111)</f>
        <v>0</v>
      </c>
      <c r="H30" s="34">
        <f>100*AMD!H46*LAFs!H$266*H$11*Input!$E$60/Input!$F$60*(1-Contrib!H$111)</f>
        <v>0</v>
      </c>
      <c r="I30" s="34">
        <f>100*AMD!I46*LAFs!I$266*I$11*Input!$E$60/Input!$F$60*(1-Contrib!I$111)</f>
        <v>0</v>
      </c>
      <c r="J30" s="34">
        <f>100*AMD!J46*LAFs!J$266*J$11*Input!$E$60/Input!$F$60*(1-Contrib!J$111)</f>
        <v>3.1919872405664552E-2</v>
      </c>
      <c r="K30" s="34">
        <f>100*AMD!B46*LAFs!B$266*K$11*Input!$E$60/Input!$F$60*(1-Contrib!K$111)</f>
        <v>0</v>
      </c>
      <c r="L30" s="34">
        <f>100*AMD!C46*LAFs!C$266*L$11*Input!$E$60/Input!$F$60*(1-Contrib!L$111)</f>
        <v>0</v>
      </c>
      <c r="M30" s="34">
        <f>100*AMD!D46*LAFs!D$266*M$11*Input!$E$60/Input!$F$60*(1-Contrib!M$111)</f>
        <v>0</v>
      </c>
      <c r="N30" s="34">
        <f>100*AMD!E46*LAFs!E$266*N$11*Input!$E$60/Input!$F$60*(1-Contrib!N$111)</f>
        <v>0</v>
      </c>
      <c r="O30" s="34">
        <f>100*AMD!F46*LAFs!F$266*O$11*Input!$E$60/Input!$F$60*(1-Contrib!O$111)</f>
        <v>0</v>
      </c>
      <c r="P30" s="34">
        <f>100*AMD!G46*LAFs!G$266*P$11*Input!$E$60/Input!$F$60*(1-Contrib!P$111)</f>
        <v>0</v>
      </c>
      <c r="Q30" s="34">
        <f>100*AMD!H46*LAFs!H$266*Q$11*Input!$E$60/Input!$F$60*(1-Contrib!Q$111)</f>
        <v>0</v>
      </c>
      <c r="R30" s="34">
        <f>100*AMD!I46*LAFs!I$266*R$11*Input!$E$60/Input!$F$60*(1-Contrib!R$111)</f>
        <v>0</v>
      </c>
      <c r="S30" s="34">
        <f>100*AMD!J46*LAFs!J$266*S$11*Input!$E$60/Input!$F$60*(1-Contrib!S$111)</f>
        <v>0.41906643495959539</v>
      </c>
      <c r="T30" s="17"/>
    </row>
    <row r="31" spans="1:20">
      <c r="A31" s="4" t="s">
        <v>184</v>
      </c>
      <c r="B31" s="34">
        <f>100*AMD!B47*LAFs!B$267*B$11*Input!$E$60/Input!$F$60*(1-Contrib!B$112)</f>
        <v>0</v>
      </c>
      <c r="C31" s="34">
        <f>100*AMD!C47*LAFs!C$267*C$11*Input!$E$60/Input!$F$60*(1-Contrib!C$112)</f>
        <v>0</v>
      </c>
      <c r="D31" s="34">
        <f>100*AMD!D47*LAFs!D$267*D$11*Input!$E$60/Input!$F$60*(1-Contrib!D$112)</f>
        <v>0</v>
      </c>
      <c r="E31" s="34">
        <f>100*AMD!E47*LAFs!E$267*E$11*Input!$E$60/Input!$F$60*(1-Contrib!E$112)</f>
        <v>0</v>
      </c>
      <c r="F31" s="34">
        <f>100*AMD!F47*LAFs!F$267*F$11*Input!$E$60/Input!$F$60*(1-Contrib!F$112)</f>
        <v>0</v>
      </c>
      <c r="G31" s="34">
        <f>100*AMD!G47*LAFs!G$267*G$11*Input!$E$60/Input!$F$60*(1-Contrib!G$112)</f>
        <v>0</v>
      </c>
      <c r="H31" s="34">
        <f>100*AMD!H47*LAFs!H$267*H$11*Input!$E$60/Input!$F$60*(1-Contrib!H$112)</f>
        <v>0</v>
      </c>
      <c r="I31" s="34">
        <f>100*AMD!I47*LAFs!I$267*I$11*Input!$E$60/Input!$F$60*(1-Contrib!I$112)</f>
        <v>0</v>
      </c>
      <c r="J31" s="34">
        <f>100*AMD!J47*LAFs!J$267*J$11*Input!$E$60/Input!$F$60*(1-Contrib!J$112)</f>
        <v>3.1919872405664552E-2</v>
      </c>
      <c r="K31" s="34">
        <f>100*AMD!B47*LAFs!B$267*K$11*Input!$E$60/Input!$F$60*(1-Contrib!K$112)</f>
        <v>0</v>
      </c>
      <c r="L31" s="34">
        <f>100*AMD!C47*LAFs!C$267*L$11*Input!$E$60/Input!$F$60*(1-Contrib!L$112)</f>
        <v>0</v>
      </c>
      <c r="M31" s="34">
        <f>100*AMD!D47*LAFs!D$267*M$11*Input!$E$60/Input!$F$60*(1-Contrib!M$112)</f>
        <v>0</v>
      </c>
      <c r="N31" s="34">
        <f>100*AMD!E47*LAFs!E$267*N$11*Input!$E$60/Input!$F$60*(1-Contrib!N$112)</f>
        <v>0</v>
      </c>
      <c r="O31" s="34">
        <f>100*AMD!F47*LAFs!F$267*O$11*Input!$E$60/Input!$F$60*(1-Contrib!O$112)</f>
        <v>0</v>
      </c>
      <c r="P31" s="34">
        <f>100*AMD!G47*LAFs!G$267*P$11*Input!$E$60/Input!$F$60*(1-Contrib!P$112)</f>
        <v>0</v>
      </c>
      <c r="Q31" s="34">
        <f>100*AMD!H47*LAFs!H$267*Q$11*Input!$E$60/Input!$F$60*(1-Contrib!Q$112)</f>
        <v>0</v>
      </c>
      <c r="R31" s="34">
        <f>100*AMD!I47*LAFs!I$267*R$11*Input!$E$60/Input!$F$60*(1-Contrib!R$112)</f>
        <v>0</v>
      </c>
      <c r="S31" s="34">
        <f>100*AMD!J47*LAFs!J$267*S$11*Input!$E$60/Input!$F$60*(1-Contrib!S$112)</f>
        <v>0.41906643495959539</v>
      </c>
      <c r="T31" s="17"/>
    </row>
    <row r="32" spans="1:20">
      <c r="A32" s="4" t="s">
        <v>185</v>
      </c>
      <c r="B32" s="34">
        <f>100*AMD!B48*LAFs!B$268*B$11*Input!$E$60/Input!$F$60*(1-Contrib!B$113)</f>
        <v>0</v>
      </c>
      <c r="C32" s="34">
        <f>100*AMD!C48*LAFs!C$268*C$11*Input!$E$60/Input!$F$60*(1-Contrib!C$113)</f>
        <v>0</v>
      </c>
      <c r="D32" s="34">
        <f>100*AMD!D48*LAFs!D$268*D$11*Input!$E$60/Input!$F$60*(1-Contrib!D$113)</f>
        <v>0</v>
      </c>
      <c r="E32" s="34">
        <f>100*AMD!E48*LAFs!E$268*E$11*Input!$E$60/Input!$F$60*(1-Contrib!E$113)</f>
        <v>0</v>
      </c>
      <c r="F32" s="34">
        <f>100*AMD!F48*LAFs!F$268*F$11*Input!$E$60/Input!$F$60*(1-Contrib!F$113)</f>
        <v>0</v>
      </c>
      <c r="G32" s="34">
        <f>100*AMD!G48*LAFs!G$268*G$11*Input!$E$60/Input!$F$60*(1-Contrib!G$113)</f>
        <v>0</v>
      </c>
      <c r="H32" s="34">
        <f>100*AMD!H48*LAFs!H$268*H$11*Input!$E$60/Input!$F$60*(1-Contrib!H$113)</f>
        <v>0</v>
      </c>
      <c r="I32" s="34">
        <f>100*AMD!I48*LAFs!I$268*I$11*Input!$E$60/Input!$F$60*(1-Contrib!I$113)</f>
        <v>5.9930634077545196E-2</v>
      </c>
      <c r="J32" s="34">
        <f>100*AMD!J48*LAFs!J$268*J$11*Input!$E$60/Input!$F$60*(1-Contrib!J$113)</f>
        <v>0</v>
      </c>
      <c r="K32" s="34">
        <f>100*AMD!B48*LAFs!B$268*K$11*Input!$E$60/Input!$F$60*(1-Contrib!K$113)</f>
        <v>0</v>
      </c>
      <c r="L32" s="34">
        <f>100*AMD!C48*LAFs!C$268*L$11*Input!$E$60/Input!$F$60*(1-Contrib!L$113)</f>
        <v>0</v>
      </c>
      <c r="M32" s="34">
        <f>100*AMD!D48*LAFs!D$268*M$11*Input!$E$60/Input!$F$60*(1-Contrib!M$113)</f>
        <v>0</v>
      </c>
      <c r="N32" s="34">
        <f>100*AMD!E48*LAFs!E$268*N$11*Input!$E$60/Input!$F$60*(1-Contrib!N$113)</f>
        <v>0</v>
      </c>
      <c r="O32" s="34">
        <f>100*AMD!F48*LAFs!F$268*O$11*Input!$E$60/Input!$F$60*(1-Contrib!O$113)</f>
        <v>0</v>
      </c>
      <c r="P32" s="34">
        <f>100*AMD!G48*LAFs!G$268*P$11*Input!$E$60/Input!$F$60*(1-Contrib!P$113)</f>
        <v>0</v>
      </c>
      <c r="Q32" s="34">
        <f>100*AMD!H48*LAFs!H$268*Q$11*Input!$E$60/Input!$F$60*(1-Contrib!Q$113)</f>
        <v>0</v>
      </c>
      <c r="R32" s="34">
        <f>100*AMD!I48*LAFs!I$268*R$11*Input!$E$60/Input!$F$60*(1-Contrib!R$113)</f>
        <v>0.78681132708061718</v>
      </c>
      <c r="S32" s="34">
        <f>100*AMD!J48*LAFs!J$268*S$11*Input!$E$60/Input!$F$60*(1-Contrib!S$113)</f>
        <v>0</v>
      </c>
      <c r="T32" s="17"/>
    </row>
    <row r="33" spans="1:20">
      <c r="A33" s="4" t="s">
        <v>205</v>
      </c>
      <c r="B33" s="34">
        <f>100*AMD!B49*LAFs!B$269*B$11*Input!$E$60/Input!$F$60*(1-Contrib!B$114)</f>
        <v>0</v>
      </c>
      <c r="C33" s="34">
        <f>100*AMD!C49*LAFs!C$269*C$11*Input!$E$60/Input!$F$60*(1-Contrib!C$114)</f>
        <v>0</v>
      </c>
      <c r="D33" s="34">
        <f>100*AMD!D49*LAFs!D$269*D$11*Input!$E$60/Input!$F$60*(1-Contrib!D$114)</f>
        <v>0</v>
      </c>
      <c r="E33" s="34">
        <f>100*AMD!E49*LAFs!E$269*E$11*Input!$E$60/Input!$F$60*(1-Contrib!E$114)</f>
        <v>0.46983433569050798</v>
      </c>
      <c r="F33" s="34">
        <f>100*AMD!F49*LAFs!F$269*F$11*Input!$E$60/Input!$F$60*(1-Contrib!F$114)</f>
        <v>0.63720215414494819</v>
      </c>
      <c r="G33" s="34">
        <f>100*AMD!G49*LAFs!G$269*G$11*Input!$E$60/Input!$F$60*(1-Contrib!G$114)</f>
        <v>0</v>
      </c>
      <c r="H33" s="34">
        <f>100*AMD!H49*LAFs!H$269*H$11*Input!$E$60/Input!$F$60*(1-Contrib!H$114)</f>
        <v>0.19542096706907566</v>
      </c>
      <c r="I33" s="34">
        <f>100*AMD!I49*LAFs!I$269*I$11*Input!$E$60/Input!$F$60*(1-Contrib!I$114)</f>
        <v>0</v>
      </c>
      <c r="J33" s="34">
        <f>100*AMD!J49*LAFs!J$269*J$11*Input!$E$60/Input!$F$60*(1-Contrib!J$114)</f>
        <v>0</v>
      </c>
      <c r="K33" s="34">
        <f>100*AMD!B49*LAFs!B$269*K$11*Input!$E$60/Input!$F$60*(1-Contrib!K$114)</f>
        <v>0</v>
      </c>
      <c r="L33" s="34">
        <f>100*AMD!C49*LAFs!C$269*L$11*Input!$E$60/Input!$F$60*(1-Contrib!L$114)</f>
        <v>0</v>
      </c>
      <c r="M33" s="34">
        <f>100*AMD!D49*LAFs!D$269*M$11*Input!$E$60/Input!$F$60*(1-Contrib!M$114)</f>
        <v>0</v>
      </c>
      <c r="N33" s="34">
        <f>100*AMD!E49*LAFs!E$269*N$11*Input!$E$60/Input!$F$60*(1-Contrib!N$114)</f>
        <v>0.18504942398625349</v>
      </c>
      <c r="O33" s="34">
        <f>100*AMD!F49*LAFs!F$269*O$11*Input!$E$60/Input!$F$60*(1-Contrib!O$114)</f>
        <v>0.58364902625867676</v>
      </c>
      <c r="P33" s="34">
        <f>100*AMD!G49*LAFs!G$269*P$11*Input!$E$60/Input!$F$60*(1-Contrib!P$114)</f>
        <v>0</v>
      </c>
      <c r="Q33" s="34">
        <f>100*AMD!H49*LAFs!H$269*Q$11*Input!$E$60/Input!$F$60*(1-Contrib!Q$114)</f>
        <v>0.85520776258346398</v>
      </c>
      <c r="R33" s="34">
        <f>100*AMD!I49*LAFs!I$269*R$11*Input!$E$60/Input!$F$60*(1-Contrib!R$114)</f>
        <v>0</v>
      </c>
      <c r="S33" s="34">
        <f>100*AMD!J49*LAFs!J$269*S$11*Input!$E$60/Input!$F$60*(1-Contrib!S$114)</f>
        <v>0</v>
      </c>
      <c r="T33" s="17"/>
    </row>
    <row r="34" spans="1:20">
      <c r="A34" s="4" t="s">
        <v>186</v>
      </c>
      <c r="B34" s="34">
        <f>100*AMD!B50*LAFs!B$270*B$11*Input!$E$60/Input!$F$60*(1-Contrib!B$115)</f>
        <v>0</v>
      </c>
      <c r="C34" s="34">
        <f>100*AMD!C50*LAFs!C$270*C$11*Input!$E$60/Input!$F$60*(1-Contrib!C$115)</f>
        <v>0</v>
      </c>
      <c r="D34" s="34">
        <f>100*AMD!D50*LAFs!D$270*D$11*Input!$E$60/Input!$F$60*(1-Contrib!D$115)</f>
        <v>0</v>
      </c>
      <c r="E34" s="34">
        <f>100*AMD!E50*LAFs!E$270*E$11*Input!$E$60/Input!$F$60*(1-Contrib!E$115)</f>
        <v>0</v>
      </c>
      <c r="F34" s="34">
        <f>100*AMD!F50*LAFs!F$270*F$11*Input!$E$60/Input!$F$60*(1-Contrib!F$115)</f>
        <v>0</v>
      </c>
      <c r="G34" s="34">
        <f>100*AMD!G50*LAFs!G$270*G$11*Input!$E$60/Input!$F$60*(1-Contrib!G$115)</f>
        <v>0</v>
      </c>
      <c r="H34" s="34">
        <f>100*AMD!H50*LAFs!H$270*H$11*Input!$E$60/Input!$F$60*(1-Contrib!H$115)</f>
        <v>0</v>
      </c>
      <c r="I34" s="34">
        <f>100*AMD!I50*LAFs!I$270*I$11*Input!$E$60/Input!$F$60*(1-Contrib!I$115)</f>
        <v>0</v>
      </c>
      <c r="J34" s="34">
        <f>100*AMD!J50*LAFs!J$270*J$11*Input!$E$60/Input!$F$60*(1-Contrib!J$115)</f>
        <v>3.1919872405664552E-2</v>
      </c>
      <c r="K34" s="34">
        <f>100*AMD!B50*LAFs!B$270*K$11*Input!$E$60/Input!$F$60*(1-Contrib!K$115)</f>
        <v>0</v>
      </c>
      <c r="L34" s="34">
        <f>100*AMD!C50*LAFs!C$270*L$11*Input!$E$60/Input!$F$60*(1-Contrib!L$115)</f>
        <v>0</v>
      </c>
      <c r="M34" s="34">
        <f>100*AMD!D50*LAFs!D$270*M$11*Input!$E$60/Input!$F$60*(1-Contrib!M$115)</f>
        <v>0</v>
      </c>
      <c r="N34" s="34">
        <f>100*AMD!E50*LAFs!E$270*N$11*Input!$E$60/Input!$F$60*(1-Contrib!N$115)</f>
        <v>0</v>
      </c>
      <c r="O34" s="34">
        <f>100*AMD!F50*LAFs!F$270*O$11*Input!$E$60/Input!$F$60*(1-Contrib!O$115)</f>
        <v>0</v>
      </c>
      <c r="P34" s="34">
        <f>100*AMD!G50*LAFs!G$270*P$11*Input!$E$60/Input!$F$60*(1-Contrib!P$115)</f>
        <v>0</v>
      </c>
      <c r="Q34" s="34">
        <f>100*AMD!H50*LAFs!H$270*Q$11*Input!$E$60/Input!$F$60*(1-Contrib!Q$115)</f>
        <v>0</v>
      </c>
      <c r="R34" s="34">
        <f>100*AMD!I50*LAFs!I$270*R$11*Input!$E$60/Input!$F$60*(1-Contrib!R$115)</f>
        <v>0</v>
      </c>
      <c r="S34" s="34">
        <f>100*AMD!J50*LAFs!J$270*S$11*Input!$E$60/Input!$F$60*(1-Contrib!S$115)</f>
        <v>0.41906643495959539</v>
      </c>
      <c r="T34" s="17"/>
    </row>
    <row r="35" spans="1:20">
      <c r="A35" s="4" t="s">
        <v>187</v>
      </c>
      <c r="B35" s="34">
        <f>100*AMD!B51*LAFs!B$271*B$11*Input!$E$60/Input!$F$60*(1-Contrib!B$116)</f>
        <v>0</v>
      </c>
      <c r="C35" s="34">
        <f>100*AMD!C51*LAFs!C$271*C$11*Input!$E$60/Input!$F$60*(1-Contrib!C$116)</f>
        <v>0</v>
      </c>
      <c r="D35" s="34">
        <f>100*AMD!D51*LAFs!D$271*D$11*Input!$E$60/Input!$F$60*(1-Contrib!D$116)</f>
        <v>0</v>
      </c>
      <c r="E35" s="34">
        <f>100*AMD!E51*LAFs!E$271*E$11*Input!$E$60/Input!$F$60*(1-Contrib!E$116)</f>
        <v>0</v>
      </c>
      <c r="F35" s="34">
        <f>100*AMD!F51*LAFs!F$271*F$11*Input!$E$60/Input!$F$60*(1-Contrib!F$116)</f>
        <v>0</v>
      </c>
      <c r="G35" s="34">
        <f>100*AMD!G51*LAFs!G$271*G$11*Input!$E$60/Input!$F$60*(1-Contrib!G$116)</f>
        <v>0</v>
      </c>
      <c r="H35" s="34">
        <f>100*AMD!H51*LAFs!H$271*H$11*Input!$E$60/Input!$F$60*(1-Contrib!H$116)</f>
        <v>0</v>
      </c>
      <c r="I35" s="34">
        <f>100*AMD!I51*LAFs!I$271*I$11*Input!$E$60/Input!$F$60*(1-Contrib!I$116)</f>
        <v>0</v>
      </c>
      <c r="J35" s="34">
        <f>100*AMD!J51*LAFs!J$271*J$11*Input!$E$60/Input!$F$60*(1-Contrib!J$116)</f>
        <v>3.1919872405664552E-2</v>
      </c>
      <c r="K35" s="34">
        <f>100*AMD!B51*LAFs!B$271*K$11*Input!$E$60/Input!$F$60*(1-Contrib!K$116)</f>
        <v>0</v>
      </c>
      <c r="L35" s="34">
        <f>100*AMD!C51*LAFs!C$271*L$11*Input!$E$60/Input!$F$60*(1-Contrib!L$116)</f>
        <v>0</v>
      </c>
      <c r="M35" s="34">
        <f>100*AMD!D51*LAFs!D$271*M$11*Input!$E$60/Input!$F$60*(1-Contrib!M$116)</f>
        <v>0</v>
      </c>
      <c r="N35" s="34">
        <f>100*AMD!E51*LAFs!E$271*N$11*Input!$E$60/Input!$F$60*(1-Contrib!N$116)</f>
        <v>0</v>
      </c>
      <c r="O35" s="34">
        <f>100*AMD!F51*LAFs!F$271*O$11*Input!$E$60/Input!$F$60*(1-Contrib!O$116)</f>
        <v>0</v>
      </c>
      <c r="P35" s="34">
        <f>100*AMD!G51*LAFs!G$271*P$11*Input!$E$60/Input!$F$60*(1-Contrib!P$116)</f>
        <v>0</v>
      </c>
      <c r="Q35" s="34">
        <f>100*AMD!H51*LAFs!H$271*Q$11*Input!$E$60/Input!$F$60*(1-Contrib!Q$116)</f>
        <v>0</v>
      </c>
      <c r="R35" s="34">
        <f>100*AMD!I51*LAFs!I$271*R$11*Input!$E$60/Input!$F$60*(1-Contrib!R$116)</f>
        <v>0</v>
      </c>
      <c r="S35" s="34">
        <f>100*AMD!J51*LAFs!J$271*S$11*Input!$E$60/Input!$F$60*(1-Contrib!S$116)</f>
        <v>0.41906643495959539</v>
      </c>
      <c r="T35" s="17"/>
    </row>
    <row r="36" spans="1:20">
      <c r="A36" s="4" t="s">
        <v>188</v>
      </c>
      <c r="B36" s="34">
        <f>100*AMD!B52*LAFs!B$272*B$11*Input!$E$60/Input!$F$60*(1-Contrib!B$117)</f>
        <v>0</v>
      </c>
      <c r="C36" s="34">
        <f>100*AMD!C52*LAFs!C$272*C$11*Input!$E$60/Input!$F$60*(1-Contrib!C$117)</f>
        <v>0</v>
      </c>
      <c r="D36" s="34">
        <f>100*AMD!D52*LAFs!D$272*D$11*Input!$E$60/Input!$F$60*(1-Contrib!D$117)</f>
        <v>0</v>
      </c>
      <c r="E36" s="34">
        <f>100*AMD!E52*LAFs!E$272*E$11*Input!$E$60/Input!$F$60*(1-Contrib!E$117)</f>
        <v>0</v>
      </c>
      <c r="F36" s="34">
        <f>100*AMD!F52*LAFs!F$272*F$11*Input!$E$60/Input!$F$60*(1-Contrib!F$117)</f>
        <v>0</v>
      </c>
      <c r="G36" s="34">
        <f>100*AMD!G52*LAFs!G$272*G$11*Input!$E$60/Input!$F$60*(1-Contrib!G$117)</f>
        <v>0</v>
      </c>
      <c r="H36" s="34">
        <f>100*AMD!H52*LAFs!H$272*H$11*Input!$E$60/Input!$F$60*(1-Contrib!H$117)</f>
        <v>0.3239413840786855</v>
      </c>
      <c r="I36" s="34">
        <f>100*AMD!I52*LAFs!I$272*I$11*Input!$E$60/Input!$F$60*(1-Contrib!I$117)</f>
        <v>1.470564958672355</v>
      </c>
      <c r="J36" s="34">
        <f>100*AMD!J52*LAFs!J$272*J$11*Input!$E$60/Input!$F$60*(1-Contrib!J$117)</f>
        <v>3.1919872405664552E-2</v>
      </c>
      <c r="K36" s="34">
        <f>100*AMD!B52*LAFs!B$272*K$11*Input!$E$60/Input!$F$60*(1-Contrib!K$117)</f>
        <v>0</v>
      </c>
      <c r="L36" s="34">
        <f>100*AMD!C52*LAFs!C$272*L$11*Input!$E$60/Input!$F$60*(1-Contrib!L$117)</f>
        <v>0</v>
      </c>
      <c r="M36" s="34">
        <f>100*AMD!D52*LAFs!D$272*M$11*Input!$E$60/Input!$F$60*(1-Contrib!M$117)</f>
        <v>0</v>
      </c>
      <c r="N36" s="34">
        <f>100*AMD!E52*LAFs!E$272*N$11*Input!$E$60/Input!$F$60*(1-Contrib!N$117)</f>
        <v>0</v>
      </c>
      <c r="O36" s="34">
        <f>100*AMD!F52*LAFs!F$272*O$11*Input!$E$60/Input!$F$60*(1-Contrib!O$117)</f>
        <v>0</v>
      </c>
      <c r="P36" s="34">
        <f>100*AMD!G52*LAFs!G$272*P$11*Input!$E$60/Input!$F$60*(1-Contrib!P$117)</f>
        <v>0</v>
      </c>
      <c r="Q36" s="34">
        <f>100*AMD!H52*LAFs!H$272*Q$11*Input!$E$60/Input!$F$60*(1-Contrib!Q$117)</f>
        <v>0.18226839904863187</v>
      </c>
      <c r="R36" s="34">
        <f>100*AMD!I52*LAFs!I$272*R$11*Input!$E$60/Input!$F$60*(1-Contrib!R$117)</f>
        <v>0.8274259908981596</v>
      </c>
      <c r="S36" s="34">
        <f>100*AMD!J52*LAFs!J$272*S$11*Input!$E$60/Input!$F$60*(1-Contrib!S$117)</f>
        <v>0.41906643495959539</v>
      </c>
      <c r="T36" s="17"/>
    </row>
    <row r="37" spans="1:20">
      <c r="A37" s="4" t="s">
        <v>189</v>
      </c>
      <c r="B37" s="34">
        <f>100*AMD!B53*LAFs!B$273*B$11*Input!$E$60/Input!$F$60*(1-Contrib!B$118)</f>
        <v>0</v>
      </c>
      <c r="C37" s="34">
        <f>100*AMD!C53*LAFs!C$273*C$11*Input!$E$60/Input!$F$60*(1-Contrib!C$118)</f>
        <v>0</v>
      </c>
      <c r="D37" s="34">
        <f>100*AMD!D53*LAFs!D$273*D$11*Input!$E$60/Input!$F$60*(1-Contrib!D$118)</f>
        <v>0</v>
      </c>
      <c r="E37" s="34">
        <f>100*AMD!E53*LAFs!E$273*E$11*Input!$E$60/Input!$F$60*(1-Contrib!E$118)</f>
        <v>0</v>
      </c>
      <c r="F37" s="34">
        <f>100*AMD!F53*LAFs!F$273*F$11*Input!$E$60/Input!$F$60*(1-Contrib!F$118)</f>
        <v>0</v>
      </c>
      <c r="G37" s="34">
        <f>100*AMD!G53*LAFs!G$273*G$11*Input!$E$60/Input!$F$60*(1-Contrib!G$118)</f>
        <v>0</v>
      </c>
      <c r="H37" s="34">
        <f>100*AMD!H53*LAFs!H$273*H$11*Input!$E$60/Input!$F$60*(1-Contrib!H$118)</f>
        <v>1.5402027075957141</v>
      </c>
      <c r="I37" s="34">
        <f>100*AMD!I53*LAFs!I$273*I$11*Input!$E$60/Input!$F$60*(1-Contrib!I$118)</f>
        <v>5.9930634077545196E-2</v>
      </c>
      <c r="J37" s="34">
        <f>100*AMD!J53*LAFs!J$273*J$11*Input!$E$60/Input!$F$60*(1-Contrib!J$118)</f>
        <v>0</v>
      </c>
      <c r="K37" s="34">
        <f>100*AMD!B53*LAFs!B$273*K$11*Input!$E$60/Input!$F$60*(1-Contrib!K$118)</f>
        <v>0</v>
      </c>
      <c r="L37" s="34">
        <f>100*AMD!C53*LAFs!C$273*L$11*Input!$E$60/Input!$F$60*(1-Contrib!L$118)</f>
        <v>0</v>
      </c>
      <c r="M37" s="34">
        <f>100*AMD!D53*LAFs!D$273*M$11*Input!$E$60/Input!$F$60*(1-Contrib!M$118)</f>
        <v>0</v>
      </c>
      <c r="N37" s="34">
        <f>100*AMD!E53*LAFs!E$273*N$11*Input!$E$60/Input!$F$60*(1-Contrib!N$118)</f>
        <v>0</v>
      </c>
      <c r="O37" s="34">
        <f>100*AMD!F53*LAFs!F$273*O$11*Input!$E$60/Input!$F$60*(1-Contrib!O$118)</f>
        <v>0</v>
      </c>
      <c r="P37" s="34">
        <f>100*AMD!G53*LAFs!G$273*P$11*Input!$E$60/Input!$F$60*(1-Contrib!P$118)</f>
        <v>0</v>
      </c>
      <c r="Q37" s="34">
        <f>100*AMD!H53*LAFs!H$273*Q$11*Input!$E$60/Input!$F$60*(1-Contrib!Q$118)</f>
        <v>0.86660826779590916</v>
      </c>
      <c r="R37" s="34">
        <f>100*AMD!I53*LAFs!I$273*R$11*Input!$E$60/Input!$F$60*(1-Contrib!R$118)</f>
        <v>0.78681132708061718</v>
      </c>
      <c r="S37" s="34">
        <f>100*AMD!J53*LAFs!J$273*S$11*Input!$E$60/Input!$F$60*(1-Contrib!S$118)</f>
        <v>0</v>
      </c>
      <c r="T37" s="17"/>
    </row>
    <row r="38" spans="1:20">
      <c r="A38" s="4" t="s">
        <v>206</v>
      </c>
      <c r="B38" s="34">
        <f>100*AMD!B54*LAFs!B$274*B$11*Input!$E$60/Input!$F$60*(1-Contrib!B$119)</f>
        <v>0</v>
      </c>
      <c r="C38" s="34">
        <f>100*AMD!C54*LAFs!C$274*C$11*Input!$E$60/Input!$F$60*(1-Contrib!C$119)</f>
        <v>0</v>
      </c>
      <c r="D38" s="34">
        <f>100*AMD!D54*LAFs!D$274*D$11*Input!$E$60/Input!$F$60*(1-Contrib!D$119)</f>
        <v>0</v>
      </c>
      <c r="E38" s="34">
        <f>100*AMD!E54*LAFs!E$274*E$11*Input!$E$60/Input!$F$60*(1-Contrib!E$119)</f>
        <v>0.46983433569050798</v>
      </c>
      <c r="F38" s="34">
        <f>100*AMD!F54*LAFs!F$274*F$11*Input!$E$60/Input!$F$60*(1-Contrib!F$119)</f>
        <v>0.63720215414494819</v>
      </c>
      <c r="G38" s="34">
        <f>100*AMD!G54*LAFs!G$274*G$11*Input!$E$60/Input!$F$60*(1-Contrib!G$119)</f>
        <v>0</v>
      </c>
      <c r="H38" s="34">
        <f>100*AMD!H54*LAFs!H$274*H$11*Input!$E$60/Input!$F$60*(1-Contrib!H$119)</f>
        <v>0.19542096706907566</v>
      </c>
      <c r="I38" s="34">
        <f>100*AMD!I54*LAFs!I$274*I$11*Input!$E$60/Input!$F$60*(1-Contrib!I$119)</f>
        <v>0</v>
      </c>
      <c r="J38" s="34">
        <f>100*AMD!J54*LAFs!J$274*J$11*Input!$E$60/Input!$F$60*(1-Contrib!J$119)</f>
        <v>0</v>
      </c>
      <c r="K38" s="34">
        <f>100*AMD!B54*LAFs!B$274*K$11*Input!$E$60/Input!$F$60*(1-Contrib!K$119)</f>
        <v>0</v>
      </c>
      <c r="L38" s="34">
        <f>100*AMD!C54*LAFs!C$274*L$11*Input!$E$60/Input!$F$60*(1-Contrib!L$119)</f>
        <v>0</v>
      </c>
      <c r="M38" s="34">
        <f>100*AMD!D54*LAFs!D$274*M$11*Input!$E$60/Input!$F$60*(1-Contrib!M$119)</f>
        <v>0</v>
      </c>
      <c r="N38" s="34">
        <f>100*AMD!E54*LAFs!E$274*N$11*Input!$E$60/Input!$F$60*(1-Contrib!N$119)</f>
        <v>0.18504942398625349</v>
      </c>
      <c r="O38" s="34">
        <f>100*AMD!F54*LAFs!F$274*O$11*Input!$E$60/Input!$F$60*(1-Contrib!O$119)</f>
        <v>0.58364902625867676</v>
      </c>
      <c r="P38" s="34">
        <f>100*AMD!G54*LAFs!G$274*P$11*Input!$E$60/Input!$F$60*(1-Contrib!P$119)</f>
        <v>0</v>
      </c>
      <c r="Q38" s="34">
        <f>100*AMD!H54*LAFs!H$274*Q$11*Input!$E$60/Input!$F$60*(1-Contrib!Q$119)</f>
        <v>0.85520776258346398</v>
      </c>
      <c r="R38" s="34">
        <f>100*AMD!I54*LAFs!I$274*R$11*Input!$E$60/Input!$F$60*(1-Contrib!R$119)</f>
        <v>0</v>
      </c>
      <c r="S38" s="34">
        <f>100*AMD!J54*LAFs!J$274*S$11*Input!$E$60/Input!$F$60*(1-Contrib!S$119)</f>
        <v>0</v>
      </c>
      <c r="T38" s="17"/>
    </row>
    <row r="39" spans="1:20">
      <c r="A39" s="4" t="s">
        <v>228</v>
      </c>
      <c r="B39" s="34">
        <f>100*AMD!B55*LAFs!B$275*B$11*Input!$E$60/Input!$F$60*(1-Contrib!B$120)</f>
        <v>0</v>
      </c>
      <c r="C39" s="34">
        <f>100*AMD!C55*LAFs!C$275*C$11*Input!$E$60/Input!$F$60*(1-Contrib!C$120)</f>
        <v>0</v>
      </c>
      <c r="D39" s="34">
        <f>100*AMD!D55*LAFs!D$275*D$11*Input!$E$60/Input!$F$60*(1-Contrib!D$120)</f>
        <v>0</v>
      </c>
      <c r="E39" s="34">
        <f>100*AMD!E55*LAFs!E$275*E$11*Input!$E$60/Input!$F$60*(1-Contrib!E$120)</f>
        <v>0</v>
      </c>
      <c r="F39" s="34">
        <f>100*AMD!F55*LAFs!F$275*F$11*Input!$E$60/Input!$F$60*(1-Contrib!F$120)</f>
        <v>0</v>
      </c>
      <c r="G39" s="34">
        <f>100*AMD!G55*LAFs!G$275*G$11*Input!$E$60/Input!$F$60*(1-Contrib!G$120)</f>
        <v>0</v>
      </c>
      <c r="H39" s="34">
        <f>100*AMD!H55*LAFs!H$275*H$11*Input!$E$60/Input!$F$60*(1-Contrib!H$120)</f>
        <v>0</v>
      </c>
      <c r="I39" s="34">
        <f>100*AMD!I55*LAFs!I$275*I$11*Input!$E$60/Input!$F$60*(1-Contrib!I$120)</f>
        <v>0</v>
      </c>
      <c r="J39" s="34">
        <f>100*AMD!J55*LAFs!J$275*J$11*Input!$E$60/Input!$F$60*(1-Contrib!J$120)</f>
        <v>0</v>
      </c>
      <c r="K39" s="34">
        <f>100*AMD!B55*LAFs!B$275*K$11*Input!$E$60/Input!$F$60*(1-Contrib!K$120)</f>
        <v>0</v>
      </c>
      <c r="L39" s="34">
        <f>100*AMD!C55*LAFs!C$275*L$11*Input!$E$60/Input!$F$60*(1-Contrib!L$120)</f>
        <v>0</v>
      </c>
      <c r="M39" s="34">
        <f>100*AMD!D55*LAFs!D$275*M$11*Input!$E$60/Input!$F$60*(1-Contrib!M$120)</f>
        <v>0</v>
      </c>
      <c r="N39" s="34">
        <f>100*AMD!E55*LAFs!E$275*N$11*Input!$E$60/Input!$F$60*(1-Contrib!N$120)</f>
        <v>0</v>
      </c>
      <c r="O39" s="34">
        <f>100*AMD!F55*LAFs!F$275*O$11*Input!$E$60/Input!$F$60*(1-Contrib!O$120)</f>
        <v>0</v>
      </c>
      <c r="P39" s="34">
        <f>100*AMD!G55*LAFs!G$275*P$11*Input!$E$60/Input!$F$60*(1-Contrib!P$120)</f>
        <v>0</v>
      </c>
      <c r="Q39" s="34">
        <f>100*AMD!H55*LAFs!H$275*Q$11*Input!$E$60/Input!$F$60*(1-Contrib!Q$120)</f>
        <v>0</v>
      </c>
      <c r="R39" s="34">
        <f>100*AMD!I55*LAFs!I$275*R$11*Input!$E$60/Input!$F$60*(1-Contrib!R$120)</f>
        <v>0</v>
      </c>
      <c r="S39" s="34">
        <f>100*AMD!J55*LAFs!J$275*S$11*Input!$E$60/Input!$F$60*(1-Contrib!S$120)</f>
        <v>0</v>
      </c>
      <c r="T39" s="17"/>
    </row>
    <row r="40" spans="1:20">
      <c r="A40" s="4" t="s">
        <v>229</v>
      </c>
      <c r="B40" s="34">
        <f>100*AMD!B56*LAFs!B$276*B$11*Input!$E$60/Input!$F$60*(1-Contrib!B$121)</f>
        <v>0</v>
      </c>
      <c r="C40" s="34">
        <f>100*AMD!C56*LAFs!C$276*C$11*Input!$E$60/Input!$F$60*(1-Contrib!C$121)</f>
        <v>0</v>
      </c>
      <c r="D40" s="34">
        <f>100*AMD!D56*LAFs!D$276*D$11*Input!$E$60/Input!$F$60*(1-Contrib!D$121)</f>
        <v>0</v>
      </c>
      <c r="E40" s="34">
        <f>100*AMD!E56*LAFs!E$276*E$11*Input!$E$60/Input!$F$60*(1-Contrib!E$121)</f>
        <v>0</v>
      </c>
      <c r="F40" s="34">
        <f>100*AMD!F56*LAFs!F$276*F$11*Input!$E$60/Input!$F$60*(1-Contrib!F$121)</f>
        <v>0</v>
      </c>
      <c r="G40" s="34">
        <f>100*AMD!G56*LAFs!G$276*G$11*Input!$E$60/Input!$F$60*(1-Contrib!G$121)</f>
        <v>0</v>
      </c>
      <c r="H40" s="34">
        <f>100*AMD!H56*LAFs!H$276*H$11*Input!$E$60/Input!$F$60*(1-Contrib!H$121)</f>
        <v>0</v>
      </c>
      <c r="I40" s="34">
        <f>100*AMD!I56*LAFs!I$276*I$11*Input!$E$60/Input!$F$60*(1-Contrib!I$121)</f>
        <v>0</v>
      </c>
      <c r="J40" s="34">
        <f>100*AMD!J56*LAFs!J$276*J$11*Input!$E$60/Input!$F$60*(1-Contrib!J$121)</f>
        <v>0</v>
      </c>
      <c r="K40" s="34">
        <f>100*AMD!B56*LAFs!B$276*K$11*Input!$E$60/Input!$F$60*(1-Contrib!K$121)</f>
        <v>0</v>
      </c>
      <c r="L40" s="34">
        <f>100*AMD!C56*LAFs!C$276*L$11*Input!$E$60/Input!$F$60*(1-Contrib!L$121)</f>
        <v>0</v>
      </c>
      <c r="M40" s="34">
        <f>100*AMD!D56*LAFs!D$276*M$11*Input!$E$60/Input!$F$60*(1-Contrib!M$121)</f>
        <v>0</v>
      </c>
      <c r="N40" s="34">
        <f>100*AMD!E56*LAFs!E$276*N$11*Input!$E$60/Input!$F$60*(1-Contrib!N$121)</f>
        <v>0</v>
      </c>
      <c r="O40" s="34">
        <f>100*AMD!F56*LAFs!F$276*O$11*Input!$E$60/Input!$F$60*(1-Contrib!O$121)</f>
        <v>0</v>
      </c>
      <c r="P40" s="34">
        <f>100*AMD!G56*LAFs!G$276*P$11*Input!$E$60/Input!$F$60*(1-Contrib!P$121)</f>
        <v>0</v>
      </c>
      <c r="Q40" s="34">
        <f>100*AMD!H56*LAFs!H$276*Q$11*Input!$E$60/Input!$F$60*(1-Contrib!Q$121)</f>
        <v>0</v>
      </c>
      <c r="R40" s="34">
        <f>100*AMD!I56*LAFs!I$276*R$11*Input!$E$60/Input!$F$60*(1-Contrib!R$121)</f>
        <v>0</v>
      </c>
      <c r="S40" s="34">
        <f>100*AMD!J56*LAFs!J$276*S$11*Input!$E$60/Input!$F$60*(1-Contrib!S$121)</f>
        <v>0</v>
      </c>
      <c r="T40" s="17"/>
    </row>
    <row r="41" spans="1:20">
      <c r="A41" s="4" t="s">
        <v>230</v>
      </c>
      <c r="B41" s="34">
        <f>100*AMD!B57*LAFs!B$277*B$11*Input!$E$60/Input!$F$60*(1-Contrib!B$122)</f>
        <v>0</v>
      </c>
      <c r="C41" s="34">
        <f>100*AMD!C57*LAFs!C$277*C$11*Input!$E$60/Input!$F$60*(1-Contrib!C$122)</f>
        <v>0</v>
      </c>
      <c r="D41" s="34">
        <f>100*AMD!D57*LAFs!D$277*D$11*Input!$E$60/Input!$F$60*(1-Contrib!D$122)</f>
        <v>0</v>
      </c>
      <c r="E41" s="34">
        <f>100*AMD!E57*LAFs!E$277*E$11*Input!$E$60/Input!$F$60*(1-Contrib!E$122)</f>
        <v>0</v>
      </c>
      <c r="F41" s="34">
        <f>100*AMD!F57*LAFs!F$277*F$11*Input!$E$60/Input!$F$60*(1-Contrib!F$122)</f>
        <v>0</v>
      </c>
      <c r="G41" s="34">
        <f>100*AMD!G57*LAFs!G$277*G$11*Input!$E$60/Input!$F$60*(1-Contrib!G$122)</f>
        <v>0</v>
      </c>
      <c r="H41" s="34">
        <f>100*AMD!H57*LAFs!H$277*H$11*Input!$E$60/Input!$F$60*(1-Contrib!H$122)</f>
        <v>0</v>
      </c>
      <c r="I41" s="34">
        <f>100*AMD!I57*LAFs!I$277*I$11*Input!$E$60/Input!$F$60*(1-Contrib!I$122)</f>
        <v>0</v>
      </c>
      <c r="J41" s="34">
        <f>100*AMD!J57*LAFs!J$277*J$11*Input!$E$60/Input!$F$60*(1-Contrib!J$122)</f>
        <v>0</v>
      </c>
      <c r="K41" s="34">
        <f>100*AMD!B57*LAFs!B$277*K$11*Input!$E$60/Input!$F$60*(1-Contrib!K$122)</f>
        <v>0</v>
      </c>
      <c r="L41" s="34">
        <f>100*AMD!C57*LAFs!C$277*L$11*Input!$E$60/Input!$F$60*(1-Contrib!L$122)</f>
        <v>0</v>
      </c>
      <c r="M41" s="34">
        <f>100*AMD!D57*LAFs!D$277*M$11*Input!$E$60/Input!$F$60*(1-Contrib!M$122)</f>
        <v>0</v>
      </c>
      <c r="N41" s="34">
        <f>100*AMD!E57*LAFs!E$277*N$11*Input!$E$60/Input!$F$60*(1-Contrib!N$122)</f>
        <v>0</v>
      </c>
      <c r="O41" s="34">
        <f>100*AMD!F57*LAFs!F$277*O$11*Input!$E$60/Input!$F$60*(1-Contrib!O$122)</f>
        <v>0</v>
      </c>
      <c r="P41" s="34">
        <f>100*AMD!G57*LAFs!G$277*P$11*Input!$E$60/Input!$F$60*(1-Contrib!P$122)</f>
        <v>0</v>
      </c>
      <c r="Q41" s="34">
        <f>100*AMD!H57*LAFs!H$277*Q$11*Input!$E$60/Input!$F$60*(1-Contrib!Q$122)</f>
        <v>0</v>
      </c>
      <c r="R41" s="34">
        <f>100*AMD!I57*LAFs!I$277*R$11*Input!$E$60/Input!$F$60*(1-Contrib!R$122)</f>
        <v>0</v>
      </c>
      <c r="S41" s="34">
        <f>100*AMD!J57*LAFs!J$277*S$11*Input!$E$60/Input!$F$60*(1-Contrib!S$122)</f>
        <v>0</v>
      </c>
      <c r="T41" s="17"/>
    </row>
    <row r="42" spans="1:20">
      <c r="A42" s="4" t="s">
        <v>231</v>
      </c>
      <c r="B42" s="34">
        <f>100*AMD!B58*LAFs!B$278*B$11*Input!$E$60/Input!$F$60*(1-Contrib!B$123)</f>
        <v>0</v>
      </c>
      <c r="C42" s="34">
        <f>100*AMD!C58*LAFs!C$278*C$11*Input!$E$60/Input!$F$60*(1-Contrib!C$123)</f>
        <v>0</v>
      </c>
      <c r="D42" s="34">
        <f>100*AMD!D58*LAFs!D$278*D$11*Input!$E$60/Input!$F$60*(1-Contrib!D$123)</f>
        <v>0</v>
      </c>
      <c r="E42" s="34">
        <f>100*AMD!E58*LAFs!E$278*E$11*Input!$E$60/Input!$F$60*(1-Contrib!E$123)</f>
        <v>0</v>
      </c>
      <c r="F42" s="34">
        <f>100*AMD!F58*LAFs!F$278*F$11*Input!$E$60/Input!$F$60*(1-Contrib!F$123)</f>
        <v>0</v>
      </c>
      <c r="G42" s="34">
        <f>100*AMD!G58*LAFs!G$278*G$11*Input!$E$60/Input!$F$60*(1-Contrib!G$123)</f>
        <v>0</v>
      </c>
      <c r="H42" s="34">
        <f>100*AMD!H58*LAFs!H$278*H$11*Input!$E$60/Input!$F$60*(1-Contrib!H$123)</f>
        <v>0</v>
      </c>
      <c r="I42" s="34">
        <f>100*AMD!I58*LAFs!I$278*I$11*Input!$E$60/Input!$F$60*(1-Contrib!I$123)</f>
        <v>0</v>
      </c>
      <c r="J42" s="34">
        <f>100*AMD!J58*LAFs!J$278*J$11*Input!$E$60/Input!$F$60*(1-Contrib!J$123)</f>
        <v>0</v>
      </c>
      <c r="K42" s="34">
        <f>100*AMD!B58*LAFs!B$278*K$11*Input!$E$60/Input!$F$60*(1-Contrib!K$123)</f>
        <v>0</v>
      </c>
      <c r="L42" s="34">
        <f>100*AMD!C58*LAFs!C$278*L$11*Input!$E$60/Input!$F$60*(1-Contrib!L$123)</f>
        <v>0</v>
      </c>
      <c r="M42" s="34">
        <f>100*AMD!D58*LAFs!D$278*M$11*Input!$E$60/Input!$F$60*(1-Contrib!M$123)</f>
        <v>0</v>
      </c>
      <c r="N42" s="34">
        <f>100*AMD!E58*LAFs!E$278*N$11*Input!$E$60/Input!$F$60*(1-Contrib!N$123)</f>
        <v>0</v>
      </c>
      <c r="O42" s="34">
        <f>100*AMD!F58*LAFs!F$278*O$11*Input!$E$60/Input!$F$60*(1-Contrib!O$123)</f>
        <v>0</v>
      </c>
      <c r="P42" s="34">
        <f>100*AMD!G58*LAFs!G$278*P$11*Input!$E$60/Input!$F$60*(1-Contrib!P$123)</f>
        <v>0</v>
      </c>
      <c r="Q42" s="34">
        <f>100*AMD!H58*LAFs!H$278*Q$11*Input!$E$60/Input!$F$60*(1-Contrib!Q$123)</f>
        <v>0</v>
      </c>
      <c r="R42" s="34">
        <f>100*AMD!I58*LAFs!I$278*R$11*Input!$E$60/Input!$F$60*(1-Contrib!R$123)</f>
        <v>0</v>
      </c>
      <c r="S42" s="34">
        <f>100*AMD!J58*LAFs!J$278*S$11*Input!$E$60/Input!$F$60*(1-Contrib!S$123)</f>
        <v>0</v>
      </c>
      <c r="T42" s="17"/>
    </row>
    <row r="43" spans="1:20">
      <c r="A43" s="4" t="s">
        <v>232</v>
      </c>
      <c r="B43" s="34">
        <f>100*AMD!B59*LAFs!B$279*B$11*Input!$E$60/Input!$F$60*(1-Contrib!B$124)</f>
        <v>0</v>
      </c>
      <c r="C43" s="34">
        <f>100*AMD!C59*LAFs!C$279*C$11*Input!$E$60/Input!$F$60*(1-Contrib!C$124)</f>
        <v>0</v>
      </c>
      <c r="D43" s="34">
        <f>100*AMD!D59*LAFs!D$279*D$11*Input!$E$60/Input!$F$60*(1-Contrib!D$124)</f>
        <v>0</v>
      </c>
      <c r="E43" s="34">
        <f>100*AMD!E59*LAFs!E$279*E$11*Input!$E$60/Input!$F$60*(1-Contrib!E$124)</f>
        <v>0</v>
      </c>
      <c r="F43" s="34">
        <f>100*AMD!F59*LAFs!F$279*F$11*Input!$E$60/Input!$F$60*(1-Contrib!F$124)</f>
        <v>0</v>
      </c>
      <c r="G43" s="34">
        <f>100*AMD!G59*LAFs!G$279*G$11*Input!$E$60/Input!$F$60*(1-Contrib!G$124)</f>
        <v>0</v>
      </c>
      <c r="H43" s="34">
        <f>100*AMD!H59*LAFs!H$279*H$11*Input!$E$60/Input!$F$60*(1-Contrib!H$124)</f>
        <v>0</v>
      </c>
      <c r="I43" s="34">
        <f>100*AMD!I59*LAFs!I$279*I$11*Input!$E$60/Input!$F$60*(1-Contrib!I$124)</f>
        <v>0</v>
      </c>
      <c r="J43" s="34">
        <f>100*AMD!J59*LAFs!J$279*J$11*Input!$E$60/Input!$F$60*(1-Contrib!J$124)</f>
        <v>0</v>
      </c>
      <c r="K43" s="34">
        <f>100*AMD!B59*LAFs!B$279*K$11*Input!$E$60/Input!$F$60*(1-Contrib!K$124)</f>
        <v>0</v>
      </c>
      <c r="L43" s="34">
        <f>100*AMD!C59*LAFs!C$279*L$11*Input!$E$60/Input!$F$60*(1-Contrib!L$124)</f>
        <v>0</v>
      </c>
      <c r="M43" s="34">
        <f>100*AMD!D59*LAFs!D$279*M$11*Input!$E$60/Input!$F$60*(1-Contrib!M$124)</f>
        <v>0</v>
      </c>
      <c r="N43" s="34">
        <f>100*AMD!E59*LAFs!E$279*N$11*Input!$E$60/Input!$F$60*(1-Contrib!N$124)</f>
        <v>0</v>
      </c>
      <c r="O43" s="34">
        <f>100*AMD!F59*LAFs!F$279*O$11*Input!$E$60/Input!$F$60*(1-Contrib!O$124)</f>
        <v>0</v>
      </c>
      <c r="P43" s="34">
        <f>100*AMD!G59*LAFs!G$279*P$11*Input!$E$60/Input!$F$60*(1-Contrib!P$124)</f>
        <v>0</v>
      </c>
      <c r="Q43" s="34">
        <f>100*AMD!H59*LAFs!H$279*Q$11*Input!$E$60/Input!$F$60*(1-Contrib!Q$124)</f>
        <v>0</v>
      </c>
      <c r="R43" s="34">
        <f>100*AMD!I59*LAFs!I$279*R$11*Input!$E$60/Input!$F$60*(1-Contrib!R$124)</f>
        <v>0</v>
      </c>
      <c r="S43" s="34">
        <f>100*AMD!J59*LAFs!J$279*S$11*Input!$E$60/Input!$F$60*(1-Contrib!S$124)</f>
        <v>0</v>
      </c>
      <c r="T43" s="17"/>
    </row>
    <row r="45" spans="1:20" ht="21" customHeight="1">
      <c r="A45" s="1" t="s">
        <v>1028</v>
      </c>
    </row>
    <row r="46" spans="1:20">
      <c r="A46" s="2" t="s">
        <v>379</v>
      </c>
    </row>
    <row r="47" spans="1:20">
      <c r="A47" s="29" t="s">
        <v>1022</v>
      </c>
    </row>
    <row r="48" spans="1:20">
      <c r="A48" s="29" t="s">
        <v>1029</v>
      </c>
    </row>
    <row r="49" spans="1:20">
      <c r="A49" s="2" t="s">
        <v>1030</v>
      </c>
    </row>
    <row r="51" spans="1:20" ht="30">
      <c r="B51" s="15" t="s">
        <v>148</v>
      </c>
      <c r="C51" s="15" t="s">
        <v>333</v>
      </c>
      <c r="D51" s="15" t="s">
        <v>334</v>
      </c>
      <c r="E51" s="15" t="s">
        <v>335</v>
      </c>
      <c r="F51" s="15" t="s">
        <v>336</v>
      </c>
      <c r="G51" s="15" t="s">
        <v>337</v>
      </c>
      <c r="H51" s="15" t="s">
        <v>338</v>
      </c>
      <c r="I51" s="15" t="s">
        <v>339</v>
      </c>
      <c r="J51" s="15" t="s">
        <v>340</v>
      </c>
      <c r="K51" s="15" t="s">
        <v>321</v>
      </c>
      <c r="L51" s="15" t="s">
        <v>909</v>
      </c>
      <c r="M51" s="15" t="s">
        <v>910</v>
      </c>
      <c r="N51" s="15" t="s">
        <v>911</v>
      </c>
      <c r="O51" s="15" t="s">
        <v>912</v>
      </c>
      <c r="P51" s="15" t="s">
        <v>913</v>
      </c>
      <c r="Q51" s="15" t="s">
        <v>914</v>
      </c>
      <c r="R51" s="15" t="s">
        <v>915</v>
      </c>
      <c r="S51" s="15" t="s">
        <v>916</v>
      </c>
    </row>
    <row r="52" spans="1:20">
      <c r="A52" s="4" t="s">
        <v>180</v>
      </c>
      <c r="B52" s="34">
        <f>(1-AMD!B41)*Yard!B$23</f>
        <v>0</v>
      </c>
      <c r="C52" s="34">
        <f>(1-AMD!C41)*Yard!C$23</f>
        <v>0.27727509656592647</v>
      </c>
      <c r="D52" s="34">
        <f>(1-AMD!D41)*Yard!D$23</f>
        <v>0.10967765673632293</v>
      </c>
      <c r="E52" s="34">
        <f>(1-AMD!E41)*Yard!E$23</f>
        <v>0.27694349840987809</v>
      </c>
      <c r="F52" s="34">
        <f>(1-AMD!F41)*Yard!F$23</f>
        <v>0.17469689955652504</v>
      </c>
      <c r="G52" s="34">
        <f>(1-AMD!G41)*Yard!G$23</f>
        <v>0</v>
      </c>
      <c r="H52" s="34">
        <f>(1-AMD!H41)*Yard!H$23</f>
        <v>0.22201119121108256</v>
      </c>
      <c r="I52" s="34">
        <f>(1-AMD!I41)*Yard!I$23</f>
        <v>0.20156849002585189</v>
      </c>
      <c r="J52" s="34">
        <f>(1-AMD!J41)*Yard!J$23</f>
        <v>0</v>
      </c>
      <c r="K52" s="34">
        <f>(1-AMD!B41)*Yard!K$23</f>
        <v>0.15557580454608275</v>
      </c>
      <c r="L52" s="34">
        <f>(1-AMD!C41)*Yard!L$23</f>
        <v>0.10920784840011453</v>
      </c>
      <c r="M52" s="34">
        <f>(1-AMD!D41)*Yard!M$23</f>
        <v>4.3197752189375861E-2</v>
      </c>
      <c r="N52" s="34">
        <f>(1-AMD!E41)*Yard!N$23</f>
        <v>0.10907724481687177</v>
      </c>
      <c r="O52" s="34">
        <f>(1-AMD!F41)*Yard!O$23</f>
        <v>6.8806296558994673E-2</v>
      </c>
      <c r="P52" s="34">
        <f>(1-AMD!G41)*Yard!P$23</f>
        <v>0</v>
      </c>
      <c r="Q52" s="34">
        <f>(1-AMD!H41)*Yard!Q$23</f>
        <v>0.12491650150847844</v>
      </c>
      <c r="R52" s="34">
        <f>(1-AMD!I41)*Yard!R$23</f>
        <v>0.11341424029582491</v>
      </c>
      <c r="S52" s="34">
        <f>(1-AMD!J41)*Yard!S$23</f>
        <v>0</v>
      </c>
      <c r="T52" s="17"/>
    </row>
    <row r="53" spans="1:20">
      <c r="A53" s="4" t="s">
        <v>181</v>
      </c>
      <c r="B53" s="34">
        <f>(1-AMD!B42)*Yard!B$24</f>
        <v>0</v>
      </c>
      <c r="C53" s="34">
        <f>(1-AMD!C42)*Yard!C$24</f>
        <v>0.17266698137578951</v>
      </c>
      <c r="D53" s="34">
        <f>(1-AMD!D42)*Yard!D$24</f>
        <v>6.8299353773836544E-2</v>
      </c>
      <c r="E53" s="34">
        <f>(1-AMD!E42)*Yard!E$24</f>
        <v>0.17246048590128141</v>
      </c>
      <c r="F53" s="34">
        <f>(1-AMD!F42)*Yard!F$24</f>
        <v>0.10878866034390731</v>
      </c>
      <c r="G53" s="34">
        <f>(1-AMD!G42)*Yard!G$24</f>
        <v>0</v>
      </c>
      <c r="H53" s="34">
        <f>(1-AMD!H42)*Yard!H$24</f>
        <v>0.13825259712404903</v>
      </c>
      <c r="I53" s="34">
        <f>(1-AMD!I42)*Yard!I$24</f>
        <v>0.12552235359140712</v>
      </c>
      <c r="J53" s="34">
        <f>(1-AMD!J42)*Yard!J$24</f>
        <v>0</v>
      </c>
      <c r="K53" s="34">
        <f>(1-AMD!B42)*Yard!K$24</f>
        <v>9.6881418052972831E-2</v>
      </c>
      <c r="L53" s="34">
        <f>(1-AMD!C42)*Yard!L$24</f>
        <v>6.8006790942760229E-2</v>
      </c>
      <c r="M53" s="34">
        <f>(1-AMD!D42)*Yard!M$24</f>
        <v>2.6900452168756091E-2</v>
      </c>
      <c r="N53" s="34">
        <f>(1-AMD!E42)*Yard!N$24</f>
        <v>6.7925460427489703E-2</v>
      </c>
      <c r="O53" s="34">
        <f>(1-AMD!F42)*Yard!O$24</f>
        <v>4.2847611176159803E-2</v>
      </c>
      <c r="P53" s="34">
        <f>(1-AMD!G42)*Yard!P$24</f>
        <v>0</v>
      </c>
      <c r="Q53" s="34">
        <f>(1-AMD!H42)*Yard!Q$24</f>
        <v>7.7789009927780775E-2</v>
      </c>
      <c r="R53" s="34">
        <f>(1-AMD!I42)*Yard!R$24</f>
        <v>7.062622918337845E-2</v>
      </c>
      <c r="S53" s="34">
        <f>(1-AMD!J42)*Yard!S$24</f>
        <v>0</v>
      </c>
      <c r="T53" s="17"/>
    </row>
    <row r="54" spans="1:20">
      <c r="A54" s="4" t="s">
        <v>226</v>
      </c>
      <c r="B54" s="34">
        <f>(1-AMD!B43)*Yard!B$25</f>
        <v>0</v>
      </c>
      <c r="C54" s="34">
        <f>(1-AMD!C43)*Yard!C$25</f>
        <v>0</v>
      </c>
      <c r="D54" s="34">
        <f>(1-AMD!D43)*Yard!D$25</f>
        <v>0</v>
      </c>
      <c r="E54" s="34">
        <f>(1-AMD!E43)*Yard!E$25</f>
        <v>0</v>
      </c>
      <c r="F54" s="34">
        <f>(1-AMD!F43)*Yard!F$25</f>
        <v>0</v>
      </c>
      <c r="G54" s="34">
        <f>(1-AMD!G43)*Yard!G$25</f>
        <v>0</v>
      </c>
      <c r="H54" s="34">
        <f>(1-AMD!H43)*Yard!H$25</f>
        <v>0</v>
      </c>
      <c r="I54" s="34">
        <f>(1-AMD!I43)*Yard!I$25</f>
        <v>0</v>
      </c>
      <c r="J54" s="34">
        <f>(1-AMD!J43)*Yard!J$25</f>
        <v>0</v>
      </c>
      <c r="K54" s="34">
        <f>(1-AMD!B43)*Yard!K$25</f>
        <v>0</v>
      </c>
      <c r="L54" s="34">
        <f>(1-AMD!C43)*Yard!L$25</f>
        <v>0</v>
      </c>
      <c r="M54" s="34">
        <f>(1-AMD!D43)*Yard!M$25</f>
        <v>0</v>
      </c>
      <c r="N54" s="34">
        <f>(1-AMD!E43)*Yard!N$25</f>
        <v>0</v>
      </c>
      <c r="O54" s="34">
        <f>(1-AMD!F43)*Yard!O$25</f>
        <v>0</v>
      </c>
      <c r="P54" s="34">
        <f>(1-AMD!G43)*Yard!P$25</f>
        <v>0</v>
      </c>
      <c r="Q54" s="34">
        <f>(1-AMD!H43)*Yard!Q$25</f>
        <v>0</v>
      </c>
      <c r="R54" s="34">
        <f>(1-AMD!I43)*Yard!R$25</f>
        <v>0</v>
      </c>
      <c r="S54" s="34">
        <f>(1-AMD!J43)*Yard!S$25</f>
        <v>0</v>
      </c>
      <c r="T54" s="17"/>
    </row>
    <row r="55" spans="1:20">
      <c r="A55" s="4" t="s">
        <v>182</v>
      </c>
      <c r="B55" s="34">
        <f>(1-AMD!B44)*Yard!B$26</f>
        <v>0</v>
      </c>
      <c r="C55" s="34">
        <f>(1-AMD!C44)*Yard!C$26</f>
        <v>0.2228996167119556</v>
      </c>
      <c r="D55" s="34">
        <f>(1-AMD!D44)*Yard!D$26</f>
        <v>8.8169143032212904E-2</v>
      </c>
      <c r="E55" s="34">
        <f>(1-AMD!E44)*Yard!E$26</f>
        <v>0.22263304714692436</v>
      </c>
      <c r="F55" s="34">
        <f>(1-AMD!F44)*Yard!F$26</f>
        <v>0.1404376824106808</v>
      </c>
      <c r="G55" s="34">
        <f>(1-AMD!G44)*Yard!G$26</f>
        <v>0</v>
      </c>
      <c r="H55" s="34">
        <f>(1-AMD!H44)*Yard!H$26</f>
        <v>0.17847332861697829</v>
      </c>
      <c r="I55" s="34">
        <f>(1-AMD!I44)*Yard!I$26</f>
        <v>0.16203957630680091</v>
      </c>
      <c r="J55" s="34">
        <f>(1-AMD!J44)*Yard!J$26</f>
        <v>0</v>
      </c>
      <c r="K55" s="34">
        <f>(1-AMD!B44)*Yard!K$26</f>
        <v>0.12506636056560089</v>
      </c>
      <c r="L55" s="34">
        <f>(1-AMD!C44)*Yard!L$26</f>
        <v>8.7791467217233854E-2</v>
      </c>
      <c r="M55" s="34">
        <f>(1-AMD!D44)*Yard!M$26</f>
        <v>3.4726387349902278E-2</v>
      </c>
      <c r="N55" s="34">
        <f>(1-AMD!E44)*Yard!N$26</f>
        <v>8.768647586025094E-2</v>
      </c>
      <c r="O55" s="34">
        <f>(1-AMD!F44)*Yard!O$26</f>
        <v>5.5312926838067031E-2</v>
      </c>
      <c r="P55" s="34">
        <f>(1-AMD!G44)*Yard!P$26</f>
        <v>0</v>
      </c>
      <c r="Q55" s="34">
        <f>(1-AMD!H44)*Yard!Q$26</f>
        <v>0.10041954958121514</v>
      </c>
      <c r="R55" s="34">
        <f>(1-AMD!I44)*Yard!R$26</f>
        <v>9.1172957848402722E-2</v>
      </c>
      <c r="S55" s="34">
        <f>(1-AMD!J44)*Yard!S$26</f>
        <v>0</v>
      </c>
      <c r="T55" s="17"/>
    </row>
    <row r="56" spans="1:20">
      <c r="A56" s="4" t="s">
        <v>183</v>
      </c>
      <c r="B56" s="34">
        <f>(1-AMD!B45)*Yard!B$27</f>
        <v>0</v>
      </c>
      <c r="C56" s="34">
        <f>(1-AMD!C45)*Yard!C$27</f>
        <v>0.18043942018739501</v>
      </c>
      <c r="D56" s="34">
        <f>(1-AMD!D45)*Yard!D$27</f>
        <v>7.1373783776895461E-2</v>
      </c>
      <c r="E56" s="34">
        <f>(1-AMD!E45)*Yard!E$27</f>
        <v>0.18022362951685295</v>
      </c>
      <c r="F56" s="34">
        <f>(1-AMD!F45)*Yard!F$27</f>
        <v>0.1136856777075184</v>
      </c>
      <c r="G56" s="34">
        <f>(1-AMD!G45)*Yard!G$27</f>
        <v>0</v>
      </c>
      <c r="H56" s="34">
        <f>(1-AMD!H45)*Yard!H$27</f>
        <v>0.14447590538559538</v>
      </c>
      <c r="I56" s="34">
        <f>(1-AMD!I45)*Yard!I$27</f>
        <v>0.13117262213148551</v>
      </c>
      <c r="J56" s="34">
        <f>(1-AMD!J45)*Yard!J$27</f>
        <v>0</v>
      </c>
      <c r="K56" s="34">
        <f>(1-AMD!B45)*Yard!K$27</f>
        <v>0.10124244230786193</v>
      </c>
      <c r="L56" s="34">
        <f>(1-AMD!C45)*Yard!L$27</f>
        <v>7.1068051510151886E-2</v>
      </c>
      <c r="M56" s="34">
        <f>(1-AMD!D45)*Yard!M$27</f>
        <v>2.8111350261838149E-2</v>
      </c>
      <c r="N56" s="34">
        <f>(1-AMD!E45)*Yard!N$27</f>
        <v>7.0983059979622842E-2</v>
      </c>
      <c r="O56" s="34">
        <f>(1-AMD!F45)*Yard!O$27</f>
        <v>4.4776355360117974E-2</v>
      </c>
      <c r="P56" s="34">
        <f>(1-AMD!G45)*Yard!P$27</f>
        <v>0</v>
      </c>
      <c r="Q56" s="34">
        <f>(1-AMD!H45)*Yard!Q$27</f>
        <v>8.1290607714813293E-2</v>
      </c>
      <c r="R56" s="34">
        <f>(1-AMD!I45)*Yard!R$27</f>
        <v>7.380540125465905E-2</v>
      </c>
      <c r="S56" s="34">
        <f>(1-AMD!J45)*Yard!S$27</f>
        <v>0</v>
      </c>
      <c r="T56" s="17"/>
    </row>
    <row r="57" spans="1:20">
      <c r="A57" s="4" t="s">
        <v>227</v>
      </c>
      <c r="B57" s="34">
        <f>(1-AMD!B46)*Yard!B$28</f>
        <v>0</v>
      </c>
      <c r="C57" s="34">
        <f>(1-AMD!C46)*Yard!C$28</f>
        <v>0</v>
      </c>
      <c r="D57" s="34">
        <f>(1-AMD!D46)*Yard!D$28</f>
        <v>0</v>
      </c>
      <c r="E57" s="34">
        <f>(1-AMD!E46)*Yard!E$28</f>
        <v>0</v>
      </c>
      <c r="F57" s="34">
        <f>(1-AMD!F46)*Yard!F$28</f>
        <v>0</v>
      </c>
      <c r="G57" s="34">
        <f>(1-AMD!G46)*Yard!G$28</f>
        <v>0</v>
      </c>
      <c r="H57" s="34">
        <f>(1-AMD!H46)*Yard!H$28</f>
        <v>0</v>
      </c>
      <c r="I57" s="34">
        <f>(1-AMD!I46)*Yard!I$28</f>
        <v>0</v>
      </c>
      <c r="J57" s="34">
        <f>(1-AMD!J46)*Yard!J$28</f>
        <v>0</v>
      </c>
      <c r="K57" s="34">
        <f>(1-AMD!B46)*Yard!K$28</f>
        <v>0</v>
      </c>
      <c r="L57" s="34">
        <f>(1-AMD!C46)*Yard!L$28</f>
        <v>0</v>
      </c>
      <c r="M57" s="34">
        <f>(1-AMD!D46)*Yard!M$28</f>
        <v>0</v>
      </c>
      <c r="N57" s="34">
        <f>(1-AMD!E46)*Yard!N$28</f>
        <v>0</v>
      </c>
      <c r="O57" s="34">
        <f>(1-AMD!F46)*Yard!O$28</f>
        <v>0</v>
      </c>
      <c r="P57" s="34">
        <f>(1-AMD!G46)*Yard!P$28</f>
        <v>0</v>
      </c>
      <c r="Q57" s="34">
        <f>(1-AMD!H46)*Yard!Q$28</f>
        <v>0</v>
      </c>
      <c r="R57" s="34">
        <f>(1-AMD!I46)*Yard!R$28</f>
        <v>0</v>
      </c>
      <c r="S57" s="34">
        <f>(1-AMD!J46)*Yard!S$28</f>
        <v>0</v>
      </c>
      <c r="T57" s="17"/>
    </row>
    <row r="58" spans="1:20">
      <c r="A58" s="4" t="s">
        <v>184</v>
      </c>
      <c r="B58" s="34">
        <f>(1-AMD!B47)*Yard!B$29</f>
        <v>0</v>
      </c>
      <c r="C58" s="34">
        <f>(1-AMD!C47)*Yard!C$29</f>
        <v>0.19229154307573706</v>
      </c>
      <c r="D58" s="34">
        <f>(1-AMD!D47)*Yard!D$29</f>
        <v>7.6061954773295123E-2</v>
      </c>
      <c r="E58" s="34">
        <f>(1-AMD!E47)*Yard!E$29</f>
        <v>0.19206157824334738</v>
      </c>
      <c r="F58" s="34">
        <f>(1-AMD!F47)*Yard!F$29</f>
        <v>0.12115309597695531</v>
      </c>
      <c r="G58" s="34">
        <f>(1-AMD!G47)*Yard!G$29</f>
        <v>0</v>
      </c>
      <c r="H58" s="34">
        <f>(1-AMD!H47)*Yard!H$29</f>
        <v>0.15396577286165025</v>
      </c>
      <c r="I58" s="34">
        <f>(1-AMD!I47)*Yard!I$29</f>
        <v>0.13978866642753687</v>
      </c>
      <c r="J58" s="34">
        <f>(1-AMD!J47)*Yard!J$29</f>
        <v>0</v>
      </c>
      <c r="K58" s="34">
        <f>(1-AMD!B47)*Yard!K$29</f>
        <v>0.10789252944792517</v>
      </c>
      <c r="L58" s="34">
        <f>(1-AMD!C47)*Yard!L$29</f>
        <v>7.5736140551108486E-2</v>
      </c>
      <c r="M58" s="34">
        <f>(1-AMD!D47)*Yard!M$29</f>
        <v>2.9957838005561274E-2</v>
      </c>
      <c r="N58" s="34">
        <f>(1-AMD!E47)*Yard!N$29</f>
        <v>7.5645566370938638E-2</v>
      </c>
      <c r="O58" s="34">
        <f>(1-AMD!F47)*Yard!O$29</f>
        <v>4.7717480229999727E-2</v>
      </c>
      <c r="P58" s="34">
        <f>(1-AMD!G47)*Yard!P$29</f>
        <v>0</v>
      </c>
      <c r="Q58" s="34">
        <f>(1-AMD!H47)*Yard!Q$29</f>
        <v>8.6630163069753838E-2</v>
      </c>
      <c r="R58" s="34">
        <f>(1-AMD!I47)*Yard!R$29</f>
        <v>7.8653292500292307E-2</v>
      </c>
      <c r="S58" s="34">
        <f>(1-AMD!J47)*Yard!S$29</f>
        <v>0</v>
      </c>
      <c r="T58" s="17"/>
    </row>
    <row r="59" spans="1:20">
      <c r="A59" s="4" t="s">
        <v>185</v>
      </c>
      <c r="B59" s="34">
        <f>(1-AMD!B48)*Yard!B$30</f>
        <v>0</v>
      </c>
      <c r="C59" s="34">
        <f>(1-AMD!C48)*Yard!C$30</f>
        <v>0.18238124018859941</v>
      </c>
      <c r="D59" s="34">
        <f>(1-AMD!D48)*Yard!D$30</f>
        <v>7.2141881129212798E-2</v>
      </c>
      <c r="E59" s="34">
        <f>(1-AMD!E48)*Yard!E$30</f>
        <v>0.18216312726142575</v>
      </c>
      <c r="F59" s="34">
        <f>(1-AMD!F48)*Yard!F$30</f>
        <v>0.11490911947314628</v>
      </c>
      <c r="G59" s="34">
        <f>(1-AMD!G48)*Yard!G$30</f>
        <v>0</v>
      </c>
      <c r="H59" s="34">
        <f>(1-AMD!H48)*Yard!H$30</f>
        <v>0.14603069980068772</v>
      </c>
      <c r="I59" s="34">
        <f>(1-AMD!I48)*Yard!I$30</f>
        <v>0</v>
      </c>
      <c r="J59" s="34">
        <f>(1-AMD!J48)*Yard!J$30</f>
        <v>0</v>
      </c>
      <c r="K59" s="34">
        <f>(1-AMD!B48)*Yard!K$30</f>
        <v>0.10233197473508886</v>
      </c>
      <c r="L59" s="34">
        <f>(1-AMD!C48)*Yard!L$30</f>
        <v>7.1832858688792314E-2</v>
      </c>
      <c r="M59" s="34">
        <f>(1-AMD!D48)*Yard!M$30</f>
        <v>2.8413873857528093E-2</v>
      </c>
      <c r="N59" s="34">
        <f>(1-AMD!E48)*Yard!N$30</f>
        <v>7.1746952511930778E-2</v>
      </c>
      <c r="O59" s="34">
        <f>(1-AMD!F48)*Yard!O$30</f>
        <v>4.525822136439251E-2</v>
      </c>
      <c r="P59" s="34">
        <f>(1-AMD!G48)*Yard!P$30</f>
        <v>0</v>
      </c>
      <c r="Q59" s="34">
        <f>(1-AMD!H48)*Yard!Q$30</f>
        <v>8.21654261320236E-2</v>
      </c>
      <c r="R59" s="34">
        <f>(1-AMD!I48)*Yard!R$30</f>
        <v>0</v>
      </c>
      <c r="S59" s="34">
        <f>(1-AMD!J48)*Yard!S$30</f>
        <v>0</v>
      </c>
      <c r="T59" s="17"/>
    </row>
    <row r="60" spans="1:20">
      <c r="A60" s="4" t="s">
        <v>205</v>
      </c>
      <c r="B60" s="34">
        <f>(1-AMD!B49)*Yard!B$31</f>
        <v>0</v>
      </c>
      <c r="C60" s="34">
        <f>(1-AMD!C49)*Yard!C$31</f>
        <v>0.19140020646865027</v>
      </c>
      <c r="D60" s="34">
        <f>(1-AMD!D49)*Yard!D$31</f>
        <v>7.5709381781204094E-2</v>
      </c>
      <c r="E60" s="34">
        <f>(1-AMD!E49)*Yard!E$31</f>
        <v>0.15293704608108641</v>
      </c>
      <c r="F60" s="34">
        <f>(1-AMD!F49)*Yard!F$31</f>
        <v>0</v>
      </c>
      <c r="G60" s="34">
        <f>(1-AMD!G49)*Yard!G$31</f>
        <v>0</v>
      </c>
      <c r="H60" s="34">
        <f>(1-AMD!H49)*Yard!H$31</f>
        <v>0</v>
      </c>
      <c r="I60" s="34">
        <f>(1-AMD!I49)*Yard!I$31</f>
        <v>0</v>
      </c>
      <c r="J60" s="34">
        <f>(1-AMD!J49)*Yard!J$31</f>
        <v>0</v>
      </c>
      <c r="K60" s="34">
        <f>(1-AMD!B49)*Yard!K$31</f>
        <v>0.10739241093210336</v>
      </c>
      <c r="L60" s="34">
        <f>(1-AMD!C49)*Yard!L$31</f>
        <v>7.53850778185884E-2</v>
      </c>
      <c r="M60" s="34">
        <f>(1-AMD!D49)*Yard!M$31</f>
        <v>2.9818973252299524E-2</v>
      </c>
      <c r="N60" s="34">
        <f>(1-AMD!E49)*Yard!N$31</f>
        <v>6.0235938784403122E-2</v>
      </c>
      <c r="O60" s="34">
        <f>(1-AMD!F49)*Yard!O$31</f>
        <v>0</v>
      </c>
      <c r="P60" s="34">
        <f>(1-AMD!G49)*Yard!P$31</f>
        <v>0</v>
      </c>
      <c r="Q60" s="34">
        <f>(1-AMD!H49)*Yard!Q$31</f>
        <v>0</v>
      </c>
      <c r="R60" s="34">
        <f>(1-AMD!I49)*Yard!R$31</f>
        <v>0</v>
      </c>
      <c r="S60" s="34">
        <f>(1-AMD!J49)*Yard!S$31</f>
        <v>0</v>
      </c>
      <c r="T60" s="17"/>
    </row>
    <row r="61" spans="1:20">
      <c r="A61" s="4" t="s">
        <v>186</v>
      </c>
      <c r="B61" s="34">
        <f>(1-AMD!B50)*Yard!B$32</f>
        <v>0</v>
      </c>
      <c r="C61" s="34">
        <f>(1-AMD!C50)*Yard!C$32</f>
        <v>0.27727509656592647</v>
      </c>
      <c r="D61" s="34">
        <f>(1-AMD!D50)*Yard!D$32</f>
        <v>0.10967765673632293</v>
      </c>
      <c r="E61" s="34">
        <f>(1-AMD!E50)*Yard!E$32</f>
        <v>0.27694349840987809</v>
      </c>
      <c r="F61" s="34">
        <f>(1-AMD!F50)*Yard!F$32</f>
        <v>0.17469689955652504</v>
      </c>
      <c r="G61" s="34">
        <f>(1-AMD!G50)*Yard!G$32</f>
        <v>0</v>
      </c>
      <c r="H61" s="34">
        <f>(1-AMD!H50)*Yard!H$32</f>
        <v>0.22201119121108256</v>
      </c>
      <c r="I61" s="34">
        <f>(1-AMD!I50)*Yard!I$32</f>
        <v>0.20156849002585189</v>
      </c>
      <c r="J61" s="34">
        <f>(1-AMD!J50)*Yard!J$32</f>
        <v>0</v>
      </c>
      <c r="K61" s="34">
        <f>(1-AMD!B50)*Yard!K$32</f>
        <v>0.15557580454608275</v>
      </c>
      <c r="L61" s="34">
        <f>(1-AMD!C50)*Yard!L$32</f>
        <v>0.10920784840011453</v>
      </c>
      <c r="M61" s="34">
        <f>(1-AMD!D50)*Yard!M$32</f>
        <v>4.3197752189375861E-2</v>
      </c>
      <c r="N61" s="34">
        <f>(1-AMD!E50)*Yard!N$32</f>
        <v>0.10907724481687177</v>
      </c>
      <c r="O61" s="34">
        <f>(1-AMD!F50)*Yard!O$32</f>
        <v>6.8806296558994673E-2</v>
      </c>
      <c r="P61" s="34">
        <f>(1-AMD!G50)*Yard!P$32</f>
        <v>0</v>
      </c>
      <c r="Q61" s="34">
        <f>(1-AMD!H50)*Yard!Q$32</f>
        <v>0.12491650150847844</v>
      </c>
      <c r="R61" s="34">
        <f>(1-AMD!I50)*Yard!R$32</f>
        <v>0.11341424029582491</v>
      </c>
      <c r="S61" s="34">
        <f>(1-AMD!J50)*Yard!S$32</f>
        <v>0</v>
      </c>
      <c r="T61" s="17"/>
    </row>
    <row r="62" spans="1:20">
      <c r="A62" s="4" t="s">
        <v>187</v>
      </c>
      <c r="B62" s="34">
        <f>(1-AMD!B51)*Yard!B$33</f>
        <v>0</v>
      </c>
      <c r="C62" s="34">
        <f>(1-AMD!C51)*Yard!C$33</f>
        <v>0.2228996167119556</v>
      </c>
      <c r="D62" s="34">
        <f>(1-AMD!D51)*Yard!D$33</f>
        <v>8.8169143032212904E-2</v>
      </c>
      <c r="E62" s="34">
        <f>(1-AMD!E51)*Yard!E$33</f>
        <v>0.22263304714692436</v>
      </c>
      <c r="F62" s="34">
        <f>(1-AMD!F51)*Yard!F$33</f>
        <v>0.1404376824106808</v>
      </c>
      <c r="G62" s="34">
        <f>(1-AMD!G51)*Yard!G$33</f>
        <v>0</v>
      </c>
      <c r="H62" s="34">
        <f>(1-AMD!H51)*Yard!H$33</f>
        <v>0.17847332861697829</v>
      </c>
      <c r="I62" s="34">
        <f>(1-AMD!I51)*Yard!I$33</f>
        <v>0.16203957630680091</v>
      </c>
      <c r="J62" s="34">
        <f>(1-AMD!J51)*Yard!J$33</f>
        <v>0</v>
      </c>
      <c r="K62" s="34">
        <f>(1-AMD!B51)*Yard!K$33</f>
        <v>0.12506636056560089</v>
      </c>
      <c r="L62" s="34">
        <f>(1-AMD!C51)*Yard!L$33</f>
        <v>8.7791467217233854E-2</v>
      </c>
      <c r="M62" s="34">
        <f>(1-AMD!D51)*Yard!M$33</f>
        <v>3.4726387349902278E-2</v>
      </c>
      <c r="N62" s="34">
        <f>(1-AMD!E51)*Yard!N$33</f>
        <v>8.768647586025094E-2</v>
      </c>
      <c r="O62" s="34">
        <f>(1-AMD!F51)*Yard!O$33</f>
        <v>5.5312926838067031E-2</v>
      </c>
      <c r="P62" s="34">
        <f>(1-AMD!G51)*Yard!P$33</f>
        <v>0</v>
      </c>
      <c r="Q62" s="34">
        <f>(1-AMD!H51)*Yard!Q$33</f>
        <v>0.10041954958121514</v>
      </c>
      <c r="R62" s="34">
        <f>(1-AMD!I51)*Yard!R$33</f>
        <v>9.1172957848402722E-2</v>
      </c>
      <c r="S62" s="34">
        <f>(1-AMD!J51)*Yard!S$33</f>
        <v>0</v>
      </c>
      <c r="T62" s="17"/>
    </row>
    <row r="63" spans="1:20">
      <c r="A63" s="4" t="s">
        <v>188</v>
      </c>
      <c r="B63" s="34">
        <f>(1-AMD!B52)*Yard!B$34</f>
        <v>0</v>
      </c>
      <c r="C63" s="34">
        <f>(1-AMD!C52)*Yard!C$34</f>
        <v>0.198140749502101</v>
      </c>
      <c r="D63" s="34">
        <f>(1-AMD!D52)*Yard!D$34</f>
        <v>7.8375639855569043E-2</v>
      </c>
      <c r="E63" s="34">
        <f>(1-AMD!E52)*Yard!E$34</f>
        <v>0.19790378950105264</v>
      </c>
      <c r="F63" s="34">
        <f>(1-AMD!F52)*Yard!F$34</f>
        <v>0.12483838268393847</v>
      </c>
      <c r="G63" s="34">
        <f>(1-AMD!G52)*Yard!G$34</f>
        <v>0</v>
      </c>
      <c r="H63" s="34">
        <f>(1-AMD!H52)*Yard!H$34</f>
        <v>0.12691933569002356</v>
      </c>
      <c r="I63" s="34">
        <f>(1-AMD!I52)*Yard!I$34</f>
        <v>0</v>
      </c>
      <c r="J63" s="34">
        <f>(1-AMD!J52)*Yard!J$34</f>
        <v>0</v>
      </c>
      <c r="K63" s="34">
        <f>(1-AMD!B52)*Yard!K$34</f>
        <v>0.11117445056889146</v>
      </c>
      <c r="L63" s="34">
        <f>(1-AMD!C52)*Yard!L$34</f>
        <v>7.8039914876977118E-2</v>
      </c>
      <c r="M63" s="34">
        <f>(1-AMD!D52)*Yard!M$34</f>
        <v>3.086910833903133E-2</v>
      </c>
      <c r="N63" s="34">
        <f>(1-AMD!E52)*Yard!N$34</f>
        <v>7.7946585572644042E-2</v>
      </c>
      <c r="O63" s="34">
        <f>(1-AMD!F52)*Yard!O$34</f>
        <v>4.9168970958852413E-2</v>
      </c>
      <c r="P63" s="34">
        <f>(1-AMD!G52)*Yard!P$34</f>
        <v>0</v>
      </c>
      <c r="Q63" s="34">
        <f>(1-AMD!H52)*Yard!Q$34</f>
        <v>7.1412253146752536E-2</v>
      </c>
      <c r="R63" s="34">
        <f>(1-AMD!I52)*Yard!R$34</f>
        <v>0</v>
      </c>
      <c r="S63" s="34">
        <f>(1-AMD!J52)*Yard!S$34</f>
        <v>0</v>
      </c>
      <c r="T63" s="17"/>
    </row>
    <row r="64" spans="1:20">
      <c r="A64" s="4" t="s">
        <v>189</v>
      </c>
      <c r="B64" s="34">
        <f>(1-AMD!B53)*Yard!B$35</f>
        <v>0</v>
      </c>
      <c r="C64" s="34">
        <f>(1-AMD!C53)*Yard!C$35</f>
        <v>0.17663336593012621</v>
      </c>
      <c r="D64" s="34">
        <f>(1-AMD!D53)*Yard!D$35</f>
        <v>6.9868278531316053E-2</v>
      </c>
      <c r="E64" s="34">
        <f>(1-AMD!E53)*Yard!E$35</f>
        <v>0.1764221269866926</v>
      </c>
      <c r="F64" s="34">
        <f>(1-AMD!F53)*Yard!F$35</f>
        <v>0.11128767699802924</v>
      </c>
      <c r="G64" s="34">
        <f>(1-AMD!G53)*Yard!G$35</f>
        <v>0</v>
      </c>
      <c r="H64" s="34">
        <f>(1-AMD!H53)*Yard!H$35</f>
        <v>0</v>
      </c>
      <c r="I64" s="34">
        <f>(1-AMD!I53)*Yard!I$35</f>
        <v>0</v>
      </c>
      <c r="J64" s="34">
        <f>(1-AMD!J53)*Yard!J$35</f>
        <v>0</v>
      </c>
      <c r="K64" s="34">
        <f>(1-AMD!B53)*Yard!K$35</f>
        <v>9.9106909905009297E-2</v>
      </c>
      <c r="L64" s="34">
        <f>(1-AMD!C53)*Yard!L$35</f>
        <v>6.9568995152482938E-2</v>
      </c>
      <c r="M64" s="34">
        <f>(1-AMD!D53)*Yard!M$35</f>
        <v>2.7518390451667377E-2</v>
      </c>
      <c r="N64" s="34">
        <f>(1-AMD!E53)*Yard!N$35</f>
        <v>6.9485796369770716E-2</v>
      </c>
      <c r="O64" s="34">
        <f>(1-AMD!F53)*Yard!O$35</f>
        <v>4.383187638891331E-2</v>
      </c>
      <c r="P64" s="34">
        <f>(1-AMD!G53)*Yard!P$35</f>
        <v>0</v>
      </c>
      <c r="Q64" s="34">
        <f>(1-AMD!H53)*Yard!Q$35</f>
        <v>0</v>
      </c>
      <c r="R64" s="34">
        <f>(1-AMD!I53)*Yard!R$35</f>
        <v>0</v>
      </c>
      <c r="S64" s="34">
        <f>(1-AMD!J53)*Yard!S$35</f>
        <v>0</v>
      </c>
      <c r="T64" s="17"/>
    </row>
    <row r="65" spans="1:20">
      <c r="A65" s="4" t="s">
        <v>206</v>
      </c>
      <c r="B65" s="34">
        <f>(1-AMD!B54)*Yard!B$36</f>
        <v>0</v>
      </c>
      <c r="C65" s="34">
        <f>(1-AMD!C54)*Yard!C$36</f>
        <v>0.15117950057231316</v>
      </c>
      <c r="D65" s="34">
        <f>(1-AMD!D54)*Yard!D$36</f>
        <v>5.9799865096779453E-2</v>
      </c>
      <c r="E65" s="34">
        <f>(1-AMD!E54)*Yard!E$36</f>
        <v>0.12079896188267961</v>
      </c>
      <c r="F65" s="34">
        <f>(1-AMD!F54)*Yard!F$36</f>
        <v>0</v>
      </c>
      <c r="G65" s="34">
        <f>(1-AMD!G54)*Yard!G$36</f>
        <v>0</v>
      </c>
      <c r="H65" s="34">
        <f>(1-AMD!H54)*Yard!H$36</f>
        <v>0</v>
      </c>
      <c r="I65" s="34">
        <f>(1-AMD!I54)*Yard!I$36</f>
        <v>0</v>
      </c>
      <c r="J65" s="34">
        <f>(1-AMD!J54)*Yard!J$36</f>
        <v>0</v>
      </c>
      <c r="K65" s="34">
        <f>(1-AMD!B54)*Yard!K$36</f>
        <v>8.4825044599057167E-2</v>
      </c>
      <c r="L65" s="34">
        <f>(1-AMD!C54)*Yard!L$36</f>
        <v>5.9543710142683857E-2</v>
      </c>
      <c r="M65" s="34">
        <f>(1-AMD!D54)*Yard!M$36</f>
        <v>2.3552835010134554E-2</v>
      </c>
      <c r="N65" s="34">
        <f>(1-AMD!E54)*Yard!N$36</f>
        <v>4.757800061946145E-2</v>
      </c>
      <c r="O65" s="34">
        <f>(1-AMD!F54)*Yard!O$36</f>
        <v>0</v>
      </c>
      <c r="P65" s="34">
        <f>(1-AMD!G54)*Yard!P$36</f>
        <v>0</v>
      </c>
      <c r="Q65" s="34">
        <f>(1-AMD!H54)*Yard!Q$36</f>
        <v>0</v>
      </c>
      <c r="R65" s="34">
        <f>(1-AMD!I54)*Yard!R$36</f>
        <v>0</v>
      </c>
      <c r="S65" s="34">
        <f>(1-AMD!J54)*Yard!S$36</f>
        <v>0</v>
      </c>
      <c r="T65" s="17"/>
    </row>
    <row r="66" spans="1:20">
      <c r="A66" s="4" t="s">
        <v>228</v>
      </c>
      <c r="B66" s="34">
        <f>(1-AMD!B55)*Yard!B$37</f>
        <v>0</v>
      </c>
      <c r="C66" s="34">
        <f>(1-AMD!C55)*Yard!C$37</f>
        <v>0.13631165338487333</v>
      </c>
      <c r="D66" s="34">
        <f>(1-AMD!D55)*Yard!D$37</f>
        <v>5.391880812329676E-2</v>
      </c>
      <c r="E66" s="34">
        <f>(1-AMD!E55)*Yard!E$37</f>
        <v>0.13614863588539305</v>
      </c>
      <c r="F66" s="34">
        <f>(1-AMD!F55)*Yard!F$37</f>
        <v>8.5883022004823673E-2</v>
      </c>
      <c r="G66" s="34">
        <f>(1-AMD!G55)*Yard!G$37</f>
        <v>0</v>
      </c>
      <c r="H66" s="34">
        <f>(1-AMD!H55)*Yard!H$37</f>
        <v>0.1091432765464117</v>
      </c>
      <c r="I66" s="34">
        <f>(1-AMD!I55)*Yard!I$37</f>
        <v>9.9093407543664302E-2</v>
      </c>
      <c r="J66" s="34">
        <f>(1-AMD!J55)*Yard!J$37</f>
        <v>2.3542967467692225E-3</v>
      </c>
      <c r="K66" s="34">
        <f>(1-AMD!B55)*Yard!K$37</f>
        <v>7.6482869925955238E-2</v>
      </c>
      <c r="L66" s="34">
        <f>(1-AMD!C55)*Yard!L$37</f>
        <v>5.3687844896250031E-2</v>
      </c>
      <c r="M66" s="34">
        <f>(1-AMD!D55)*Yard!M$37</f>
        <v>2.1236515995744353E-2</v>
      </c>
      <c r="N66" s="34">
        <f>(1-AMD!E55)*Yard!N$37</f>
        <v>5.3623638659951484E-2</v>
      </c>
      <c r="O66" s="34">
        <f>(1-AMD!F55)*Yard!O$37</f>
        <v>3.3825973422811365E-2</v>
      </c>
      <c r="P66" s="34">
        <f>(1-AMD!G55)*Yard!P$37</f>
        <v>0</v>
      </c>
      <c r="Q66" s="34">
        <f>(1-AMD!H55)*Yard!Q$37</f>
        <v>6.1410400957614117E-2</v>
      </c>
      <c r="R66" s="34">
        <f>(1-AMD!I55)*Yard!R$37</f>
        <v>5.5755755939074898E-2</v>
      </c>
      <c r="S66" s="34">
        <f>(1-AMD!J55)*Yard!S$37</f>
        <v>3.0908856149765383E-2</v>
      </c>
      <c r="T66" s="17"/>
    </row>
    <row r="67" spans="1:20">
      <c r="A67" s="4" t="s">
        <v>229</v>
      </c>
      <c r="B67" s="34">
        <f>(1-AMD!B56)*Yard!B$38</f>
        <v>0</v>
      </c>
      <c r="C67" s="34">
        <f>(1-AMD!C56)*Yard!C$38</f>
        <v>0.28811625326930151</v>
      </c>
      <c r="D67" s="34">
        <f>(1-AMD!D56)*Yard!D$38</f>
        <v>0.11396593461725678</v>
      </c>
      <c r="E67" s="34">
        <f>(1-AMD!E56)*Yard!E$38</f>
        <v>0.28777168998361546</v>
      </c>
      <c r="F67" s="34">
        <f>(1-AMD!F56)*Yard!F$38</f>
        <v>0.18152735958392152</v>
      </c>
      <c r="G67" s="34">
        <f>(1-AMD!G56)*Yard!G$38</f>
        <v>0</v>
      </c>
      <c r="H67" s="34">
        <f>(1-AMD!H56)*Yard!H$38</f>
        <v>0.23069158892307121</v>
      </c>
      <c r="I67" s="34">
        <f>(1-AMD!I56)*Yard!I$38</f>
        <v>0.20944960020811229</v>
      </c>
      <c r="J67" s="34">
        <f>(1-AMD!J56)*Yard!J$38</f>
        <v>4.9761787853020564E-3</v>
      </c>
      <c r="K67" s="34">
        <f>(1-AMD!B56)*Yard!K$38</f>
        <v>0.16165865041730115</v>
      </c>
      <c r="L67" s="34">
        <f>(1-AMD!C56)*Yard!L$38</f>
        <v>0.1134777572826909</v>
      </c>
      <c r="M67" s="34">
        <f>(1-AMD!D56)*Yard!M$38</f>
        <v>4.4886737628453112E-2</v>
      </c>
      <c r="N67" s="34">
        <f>(1-AMD!E56)*Yard!N$38</f>
        <v>0.11334204724044948</v>
      </c>
      <c r="O67" s="34">
        <f>(1-AMD!F56)*Yard!O$38</f>
        <v>7.1496548415052E-2</v>
      </c>
      <c r="P67" s="34">
        <f>(1-AMD!G56)*Yard!P$38</f>
        <v>0</v>
      </c>
      <c r="Q67" s="34">
        <f>(1-AMD!H56)*Yard!Q$38</f>
        <v>0.1298006017557172</v>
      </c>
      <c r="R67" s="34">
        <f>(1-AMD!I56)*Yard!R$38</f>
        <v>0.11784861455687193</v>
      </c>
      <c r="S67" s="34">
        <f>(1-AMD!J56)*Yard!S$38</f>
        <v>6.5330759370705774E-2</v>
      </c>
      <c r="T67" s="17"/>
    </row>
    <row r="68" spans="1:20">
      <c r="A68" s="4" t="s">
        <v>230</v>
      </c>
      <c r="B68" s="34">
        <f>(1-AMD!B57)*Yard!B$39</f>
        <v>0</v>
      </c>
      <c r="C68" s="34">
        <f>(1-AMD!C57)*Yard!C$39</f>
        <v>0.52871490952013178</v>
      </c>
      <c r="D68" s="34">
        <f>(1-AMD!D57)*Yard!D$39</f>
        <v>0.20913602799498962</v>
      </c>
      <c r="E68" s="34">
        <f>(1-AMD!E57)*Yard!E$39</f>
        <v>0.52808261007729118</v>
      </c>
      <c r="F68" s="34">
        <f>(1-AMD!F57)*Yard!F$39</f>
        <v>0.33311630430003114</v>
      </c>
      <c r="G68" s="34">
        <f>(1-AMD!G57)*Yard!G$39</f>
        <v>0</v>
      </c>
      <c r="H68" s="34">
        <f>(1-AMD!H57)*Yard!H$39</f>
        <v>0.4233363483680731</v>
      </c>
      <c r="I68" s="34">
        <f>(1-AMD!I57)*Yard!I$39</f>
        <v>0.38435570769258987</v>
      </c>
      <c r="J68" s="34">
        <f>(1-AMD!J57)*Yard!J$39</f>
        <v>9.1316608708214928E-3</v>
      </c>
      <c r="K68" s="34">
        <f>(1-AMD!B57)*Yard!K$39</f>
        <v>0.29665573447756916</v>
      </c>
      <c r="L68" s="34">
        <f>(1-AMD!C57)*Yard!L$39</f>
        <v>0.20824018601333813</v>
      </c>
      <c r="M68" s="34">
        <f>(1-AMD!D57)*Yard!M$39</f>
        <v>8.2370526322577756E-2</v>
      </c>
      <c r="N68" s="34">
        <f>(1-AMD!E57)*Yard!N$39</f>
        <v>0.20799114791885212</v>
      </c>
      <c r="O68" s="34">
        <f>(1-AMD!F57)*Yard!O$39</f>
        <v>0.1312015226400059</v>
      </c>
      <c r="P68" s="34">
        <f>(1-AMD!G57)*Yard!P$39</f>
        <v>0</v>
      </c>
      <c r="Q68" s="34">
        <f>(1-AMD!H57)*Yard!Q$39</f>
        <v>0.23819382847793291</v>
      </c>
      <c r="R68" s="34">
        <f>(1-AMD!I57)*Yard!R$39</f>
        <v>0.21626103656245313</v>
      </c>
      <c r="S68" s="34">
        <f>(1-AMD!J57)*Yard!S$39</f>
        <v>0.11988683782194855</v>
      </c>
      <c r="T68" s="17"/>
    </row>
    <row r="69" spans="1:20">
      <c r="A69" s="4" t="s">
        <v>231</v>
      </c>
      <c r="B69" s="34">
        <f>(1-AMD!B58)*Yard!B$40</f>
        <v>0</v>
      </c>
      <c r="C69" s="34">
        <f>(1-AMD!C58)*Yard!C$40</f>
        <v>0</v>
      </c>
      <c r="D69" s="34">
        <f>(1-AMD!D58)*Yard!D$40</f>
        <v>0</v>
      </c>
      <c r="E69" s="34">
        <f>(1-AMD!E58)*Yard!E$40</f>
        <v>0</v>
      </c>
      <c r="F69" s="34">
        <f>(1-AMD!F58)*Yard!F$40</f>
        <v>0</v>
      </c>
      <c r="G69" s="34">
        <f>(1-AMD!G58)*Yard!G$40</f>
        <v>0</v>
      </c>
      <c r="H69" s="34">
        <f>(1-AMD!H58)*Yard!H$40</f>
        <v>0</v>
      </c>
      <c r="I69" s="34">
        <f>(1-AMD!I58)*Yard!I$40</f>
        <v>0</v>
      </c>
      <c r="J69" s="34">
        <f>(1-AMD!J58)*Yard!J$40</f>
        <v>0</v>
      </c>
      <c r="K69" s="34">
        <f>(1-AMD!B58)*Yard!K$40</f>
        <v>0</v>
      </c>
      <c r="L69" s="34">
        <f>(1-AMD!C58)*Yard!L$40</f>
        <v>0</v>
      </c>
      <c r="M69" s="34">
        <f>(1-AMD!D58)*Yard!M$40</f>
        <v>0</v>
      </c>
      <c r="N69" s="34">
        <f>(1-AMD!E58)*Yard!N$40</f>
        <v>0</v>
      </c>
      <c r="O69" s="34">
        <f>(1-AMD!F58)*Yard!O$40</f>
        <v>0</v>
      </c>
      <c r="P69" s="34">
        <f>(1-AMD!G58)*Yard!P$40</f>
        <v>0</v>
      </c>
      <c r="Q69" s="34">
        <f>(1-AMD!H58)*Yard!Q$40</f>
        <v>0</v>
      </c>
      <c r="R69" s="34">
        <f>(1-AMD!I58)*Yard!R$40</f>
        <v>0</v>
      </c>
      <c r="S69" s="34">
        <f>(1-AMD!J58)*Yard!S$40</f>
        <v>0</v>
      </c>
      <c r="T69" s="17"/>
    </row>
    <row r="70" spans="1:20">
      <c r="A70" s="4" t="s">
        <v>232</v>
      </c>
      <c r="B70" s="34">
        <f>(1-AMD!B59)*Yard!B$41</f>
        <v>0</v>
      </c>
      <c r="C70" s="34">
        <f>(1-AMD!C59)*Yard!C$41</f>
        <v>0.28132911281072881</v>
      </c>
      <c r="D70" s="34">
        <f>(1-AMD!D59)*Yard!D$41</f>
        <v>0.1112812446805983</v>
      </c>
      <c r="E70" s="34">
        <f>(1-AMD!E59)*Yard!E$41</f>
        <v>0.28099266638547771</v>
      </c>
      <c r="F70" s="34">
        <f>(1-AMD!F59)*Yard!F$41</f>
        <v>0.17725112847030117</v>
      </c>
      <c r="G70" s="34">
        <f>(1-AMD!G59)*Yard!G$41</f>
        <v>0</v>
      </c>
      <c r="H70" s="34">
        <f>(1-AMD!H59)*Yard!H$41</f>
        <v>0.22525719846829634</v>
      </c>
      <c r="I70" s="34">
        <f>(1-AMD!I59)*Yard!I$41</f>
        <v>0.20451560624049109</v>
      </c>
      <c r="J70" s="34">
        <f>(1-AMD!J59)*Yard!J$41</f>
        <v>4.8589551855239268E-3</v>
      </c>
      <c r="K70" s="34">
        <f>(1-AMD!B59)*Yard!K$41</f>
        <v>0.1578504655118145</v>
      </c>
      <c r="L70" s="34">
        <f>(1-AMD!C59)*Yard!L$41</f>
        <v>0.11080456731557874</v>
      </c>
      <c r="M70" s="34">
        <f>(1-AMD!D59)*Yard!M$41</f>
        <v>4.3829342949900721E-2</v>
      </c>
      <c r="N70" s="34">
        <f>(1-AMD!E59)*Yard!N$41</f>
        <v>0.11067205418815167</v>
      </c>
      <c r="O70" s="34">
        <f>(1-AMD!F59)*Yard!O$41</f>
        <v>6.9812307727864759E-2</v>
      </c>
      <c r="P70" s="34">
        <f>(1-AMD!G59)*Yard!P$41</f>
        <v>0</v>
      </c>
      <c r="Q70" s="34">
        <f>(1-AMD!H59)*Yard!Q$41</f>
        <v>0.12674289534128641</v>
      </c>
      <c r="R70" s="34">
        <f>(1-AMD!I59)*Yard!R$41</f>
        <v>0.11507246051915415</v>
      </c>
      <c r="S70" s="34">
        <f>(1-AMD!J59)*Yard!S$41</f>
        <v>6.3791765873869824E-2</v>
      </c>
      <c r="T70" s="17"/>
    </row>
    <row r="72" spans="1:20" ht="21" customHeight="1">
      <c r="A72" s="1" t="s">
        <v>1031</v>
      </c>
    </row>
    <row r="73" spans="1:20">
      <c r="A73" s="2" t="s">
        <v>379</v>
      </c>
    </row>
    <row r="74" spans="1:20">
      <c r="A74" s="29" t="s">
        <v>1022</v>
      </c>
    </row>
    <row r="75" spans="1:20">
      <c r="A75" s="29" t="s">
        <v>1032</v>
      </c>
    </row>
    <row r="76" spans="1:20">
      <c r="A76" s="2" t="s">
        <v>1030</v>
      </c>
    </row>
    <row r="78" spans="1:20" ht="30">
      <c r="B78" s="15" t="s">
        <v>148</v>
      </c>
      <c r="C78" s="15" t="s">
        <v>333</v>
      </c>
      <c r="D78" s="15" t="s">
        <v>334</v>
      </c>
      <c r="E78" s="15" t="s">
        <v>335</v>
      </c>
      <c r="F78" s="15" t="s">
        <v>336</v>
      </c>
      <c r="G78" s="15" t="s">
        <v>337</v>
      </c>
      <c r="H78" s="15" t="s">
        <v>338</v>
      </c>
      <c r="I78" s="15" t="s">
        <v>339</v>
      </c>
      <c r="J78" s="15" t="s">
        <v>340</v>
      </c>
      <c r="K78" s="15" t="s">
        <v>321</v>
      </c>
      <c r="L78" s="15" t="s">
        <v>909</v>
      </c>
      <c r="M78" s="15" t="s">
        <v>910</v>
      </c>
      <c r="N78" s="15" t="s">
        <v>911</v>
      </c>
      <c r="O78" s="15" t="s">
        <v>912</v>
      </c>
      <c r="P78" s="15" t="s">
        <v>913</v>
      </c>
      <c r="Q78" s="15" t="s">
        <v>914</v>
      </c>
      <c r="R78" s="15" t="s">
        <v>915</v>
      </c>
      <c r="S78" s="15" t="s">
        <v>916</v>
      </c>
    </row>
    <row r="79" spans="1:20">
      <c r="A79" s="4" t="s">
        <v>180</v>
      </c>
      <c r="B79" s="34">
        <f>(1-AMD!B$41)*Yard!B$67</f>
        <v>0</v>
      </c>
      <c r="C79" s="34">
        <f>(1-AMD!C$41)*Yard!C$67</f>
        <v>0.25586168986668695</v>
      </c>
      <c r="D79" s="34">
        <f>(1-AMD!D$41)*Yard!D$67</f>
        <v>0.1012074684698622</v>
      </c>
      <c r="E79" s="34">
        <f>(1-AMD!E$41)*Yard!E$67</f>
        <v>0.25008683800099535</v>
      </c>
      <c r="F79" s="34">
        <f>(1-AMD!F$41)*Yard!F$67</f>
        <v>0.15775562694022249</v>
      </c>
      <c r="G79" s="34">
        <f>(1-AMD!G$41)*Yard!G$67</f>
        <v>0</v>
      </c>
      <c r="H79" s="34">
        <f>(1-AMD!H$41)*Yard!H$67</f>
        <v>0.20048160411637819</v>
      </c>
      <c r="I79" s="34">
        <f>(1-AMD!I$41)*Yard!I$67</f>
        <v>0.18202133865079548</v>
      </c>
      <c r="J79" s="34">
        <f>(1-AMD!J$41)*Yard!J$67</f>
        <v>0</v>
      </c>
      <c r="K79" s="34">
        <f>(1-AMD!B$41)*Yard!K$67</f>
        <v>0.15125305119069615</v>
      </c>
      <c r="L79" s="34">
        <f>(1-AMD!C$41)*Yard!L$67</f>
        <v>0.10077394250123216</v>
      </c>
      <c r="M79" s="34">
        <f>(1-AMD!D$41)*Yard!M$67</f>
        <v>3.9861675319940407E-2</v>
      </c>
      <c r="N79" s="34">
        <f>(1-AMD!E$41)*Yard!N$67</f>
        <v>9.8499453537411241E-2</v>
      </c>
      <c r="O79" s="34">
        <f>(1-AMD!F$41)*Yard!O$67</f>
        <v>6.2133789887822033E-2</v>
      </c>
      <c r="P79" s="34">
        <f>(1-AMD!G$41)*Yard!P$67</f>
        <v>0</v>
      </c>
      <c r="Q79" s="34">
        <f>(1-AMD!H$41)*Yard!Q$67</f>
        <v>0.1128026946137821</v>
      </c>
      <c r="R79" s="34">
        <f>(1-AMD!I$41)*Yard!R$67</f>
        <v>0.10241586786735069</v>
      </c>
      <c r="S79" s="34">
        <f>(1-AMD!J$41)*Yard!S$67</f>
        <v>0</v>
      </c>
      <c r="T79" s="17"/>
    </row>
    <row r="80" spans="1:20">
      <c r="A80" s="4" t="s">
        <v>181</v>
      </c>
      <c r="B80" s="34">
        <f>(1-AMD!B$42)*Yard!B$68</f>
        <v>0</v>
      </c>
      <c r="C80" s="34">
        <f>(1-AMD!C$42)*Yard!C$68</f>
        <v>0.31311052461642763</v>
      </c>
      <c r="D80" s="34">
        <f>(1-AMD!D$42)*Yard!D$68</f>
        <v>0.12385255316733929</v>
      </c>
      <c r="E80" s="34">
        <f>(1-AMD!E$42)*Yard!E$68</f>
        <v>0.30525017922688308</v>
      </c>
      <c r="F80" s="34">
        <f>(1-AMD!F$42)*Yard!F$68</f>
        <v>0.19255284997189889</v>
      </c>
      <c r="G80" s="34">
        <f>(1-AMD!G$42)*Yard!G$68</f>
        <v>0</v>
      </c>
      <c r="H80" s="34">
        <f>(1-AMD!H$42)*Yard!H$68</f>
        <v>0.24470318421145343</v>
      </c>
      <c r="I80" s="34">
        <f>(1-AMD!I$42)*Yard!I$68</f>
        <v>0.22217101343834572</v>
      </c>
      <c r="J80" s="34">
        <f>(1-AMD!J$42)*Yard!J$68</f>
        <v>0</v>
      </c>
      <c r="K80" s="34">
        <f>(1-AMD!B$42)*Yard!K$68</f>
        <v>0.1868196198240295</v>
      </c>
      <c r="L80" s="34">
        <f>(1-AMD!C$42)*Yard!L$68</f>
        <v>0.12332202613320874</v>
      </c>
      <c r="M80" s="34">
        <f>(1-AMD!D$42)*Yard!M$68</f>
        <v>4.8780691153956474E-2</v>
      </c>
      <c r="N80" s="34">
        <f>(1-AMD!E$42)*Yard!N$68</f>
        <v>0.12022614259261885</v>
      </c>
      <c r="O80" s="34">
        <f>(1-AMD!F$42)*Yard!O$68</f>
        <v>7.5839059148037596E-2</v>
      </c>
      <c r="P80" s="34">
        <f>(1-AMD!G$42)*Yard!P$68</f>
        <v>0</v>
      </c>
      <c r="Q80" s="34">
        <f>(1-AMD!H$42)*Yard!Q$68</f>
        <v>0.13768434605900901</v>
      </c>
      <c r="R80" s="34">
        <f>(1-AMD!I$42)*Yard!R$68</f>
        <v>0.12500642685586341</v>
      </c>
      <c r="S80" s="34">
        <f>(1-AMD!J$42)*Yard!S$68</f>
        <v>0</v>
      </c>
      <c r="T80" s="17"/>
    </row>
    <row r="81" spans="1:20">
      <c r="A81" s="4" t="s">
        <v>226</v>
      </c>
      <c r="B81" s="34">
        <f>(1-AMD!B$43)*Yard!B$69</f>
        <v>0</v>
      </c>
      <c r="C81" s="34">
        <f>(1-AMD!C$43)*Yard!C$69</f>
        <v>3.3131530565176905E-2</v>
      </c>
      <c r="D81" s="34">
        <f>(1-AMD!D$43)*Yard!D$69</f>
        <v>1.3105355228367846E-2</v>
      </c>
      <c r="E81" s="34">
        <f>(1-AMD!E$43)*Yard!E$69</f>
        <v>3.7226451863997527E-2</v>
      </c>
      <c r="F81" s="34">
        <f>(1-AMD!F$43)*Yard!F$69</f>
        <v>2.3482572291715614E-2</v>
      </c>
      <c r="G81" s="34">
        <f>(1-AMD!G$43)*Yard!G$69</f>
        <v>0</v>
      </c>
      <c r="H81" s="34">
        <f>(1-AMD!H$43)*Yard!H$69</f>
        <v>2.9842509285617255E-2</v>
      </c>
      <c r="I81" s="34">
        <f>(1-AMD!I$43)*Yard!I$69</f>
        <v>2.7094623034408807E-2</v>
      </c>
      <c r="J81" s="34">
        <f>(1-AMD!J$43)*Yard!J$69</f>
        <v>0</v>
      </c>
      <c r="K81" s="34">
        <f>(1-AMD!B$43)*Yard!K$69</f>
        <v>9.059305673483552E-3</v>
      </c>
      <c r="L81" s="34">
        <f>(1-AMD!C$43)*Yard!L$69</f>
        <v>1.3049217950106499E-2</v>
      </c>
      <c r="M81" s="34">
        <f>(1-AMD!D$43)*Yard!M$69</f>
        <v>5.1616883908250748E-3</v>
      </c>
      <c r="N81" s="34">
        <f>(1-AMD!E$43)*Yard!N$69</f>
        <v>1.466204777128618E-2</v>
      </c>
      <c r="O81" s="34">
        <f>(1-AMD!F$43)*Yard!O$69</f>
        <v>9.2488695401776334E-3</v>
      </c>
      <c r="P81" s="34">
        <f>(1-AMD!G$43)*Yard!P$69</f>
        <v>0</v>
      </c>
      <c r="Q81" s="34">
        <f>(1-AMD!H$43)*Yard!Q$69</f>
        <v>1.6791143887198337E-2</v>
      </c>
      <c r="R81" s="34">
        <f>(1-AMD!I$43)*Yard!R$69</f>
        <v>1.5245022112112464E-2</v>
      </c>
      <c r="S81" s="34">
        <f>(1-AMD!J$43)*Yard!S$69</f>
        <v>0</v>
      </c>
      <c r="T81" s="17"/>
    </row>
    <row r="82" spans="1:20">
      <c r="A82" s="4" t="s">
        <v>182</v>
      </c>
      <c r="B82" s="34">
        <f>(1-AMD!B$44)*Yard!B$70</f>
        <v>0</v>
      </c>
      <c r="C82" s="34">
        <f>(1-AMD!C$44)*Yard!C$70</f>
        <v>0.23072053245775298</v>
      </c>
      <c r="D82" s="34">
        <f>(1-AMD!D$44)*Yard!D$70</f>
        <v>9.1262748347493414E-2</v>
      </c>
      <c r="E82" s="34">
        <f>(1-AMD!E$44)*Yard!E$70</f>
        <v>0.23598399340128612</v>
      </c>
      <c r="F82" s="34">
        <f>(1-AMD!F$44)*Yard!F$70</f>
        <v>0.14885950466025349</v>
      </c>
      <c r="G82" s="34">
        <f>(1-AMD!G$44)*Yard!G$70</f>
        <v>0</v>
      </c>
      <c r="H82" s="34">
        <f>(1-AMD!H$44)*Yard!H$70</f>
        <v>0.18917608747842368</v>
      </c>
      <c r="I82" s="34">
        <f>(1-AMD!I$44)*Yard!I$70</f>
        <v>0.17175682943734785</v>
      </c>
      <c r="J82" s="34">
        <f>(1-AMD!J$44)*Yard!J$70</f>
        <v>0</v>
      </c>
      <c r="K82" s="34">
        <f>(1-AMD!B$44)*Yard!K$70</f>
        <v>0.12848986583244953</v>
      </c>
      <c r="L82" s="34">
        <f>(1-AMD!C$44)*Yard!L$70</f>
        <v>9.0871820958681487E-2</v>
      </c>
      <c r="M82" s="34">
        <f>(1-AMD!D$44)*Yard!M$70</f>
        <v>3.5944837850741311E-2</v>
      </c>
      <c r="N82" s="34">
        <f>(1-AMD!E$44)*Yard!N$70</f>
        <v>9.29448929795747E-2</v>
      </c>
      <c r="O82" s="34">
        <f>(1-AMD!F$44)*Yard!O$70</f>
        <v>5.8629954219447326E-2</v>
      </c>
      <c r="P82" s="34">
        <f>(1-AMD!G$44)*Yard!P$70</f>
        <v>0</v>
      </c>
      <c r="Q82" s="34">
        <f>(1-AMD!H$44)*Yard!Q$70</f>
        <v>0.10644154868030324</v>
      </c>
      <c r="R82" s="34">
        <f>(1-AMD!I$44)*Yard!R$70</f>
        <v>9.6640453692727668E-2</v>
      </c>
      <c r="S82" s="34">
        <f>(1-AMD!J$44)*Yard!S$70</f>
        <v>0</v>
      </c>
      <c r="T82" s="17"/>
    </row>
    <row r="83" spans="1:20">
      <c r="A83" s="4" t="s">
        <v>183</v>
      </c>
      <c r="B83" s="34">
        <f>(1-AMD!B$45)*Yard!B$71</f>
        <v>0</v>
      </c>
      <c r="C83" s="34">
        <f>(1-AMD!C$45)*Yard!C$71</f>
        <v>0.24627164599365056</v>
      </c>
      <c r="D83" s="34">
        <f>(1-AMD!D$45)*Yard!D$71</f>
        <v>9.7414075002435999E-2</v>
      </c>
      <c r="E83" s="34">
        <f>(1-AMD!E$45)*Yard!E$71</f>
        <v>0.24919024899593398</v>
      </c>
      <c r="F83" s="34">
        <f>(1-AMD!F$45)*Yard!F$71</f>
        <v>0.1571900555501736</v>
      </c>
      <c r="G83" s="34">
        <f>(1-AMD!G$45)*Yard!G$71</f>
        <v>0</v>
      </c>
      <c r="H83" s="34">
        <f>(1-AMD!H$45)*Yard!H$71</f>
        <v>0.19976285536732538</v>
      </c>
      <c r="I83" s="34">
        <f>(1-AMD!I$45)*Yard!I$71</f>
        <v>0.18136877199744689</v>
      </c>
      <c r="J83" s="34">
        <f>(1-AMD!J$45)*Yard!J$71</f>
        <v>0</v>
      </c>
      <c r="K83" s="34">
        <f>(1-AMD!B$45)*Yard!K$71</f>
        <v>0.14021867807435892</v>
      </c>
      <c r="L83" s="34">
        <f>(1-AMD!C$45)*Yard!L$71</f>
        <v>9.6996798176307228E-2</v>
      </c>
      <c r="M83" s="34">
        <f>(1-AMD!D$45)*Yard!M$71</f>
        <v>3.8367605553692327E-2</v>
      </c>
      <c r="N83" s="34">
        <f>(1-AMD!E$45)*Yard!N$71</f>
        <v>9.814632209014236E-2</v>
      </c>
      <c r="O83" s="34">
        <f>(1-AMD!F$45)*Yard!O$71</f>
        <v>6.1911033371319597E-2</v>
      </c>
      <c r="P83" s="34">
        <f>(1-AMD!G$45)*Yard!P$71</f>
        <v>0</v>
      </c>
      <c r="Q83" s="34">
        <f>(1-AMD!H$45)*Yard!Q$71</f>
        <v>0.1123982844635302</v>
      </c>
      <c r="R83" s="34">
        <f>(1-AMD!I$45)*Yard!R$71</f>
        <v>0.10204869564106459</v>
      </c>
      <c r="S83" s="34">
        <f>(1-AMD!J$45)*Yard!S$71</f>
        <v>0</v>
      </c>
      <c r="T83" s="17"/>
    </row>
    <row r="84" spans="1:20">
      <c r="A84" s="4" t="s">
        <v>227</v>
      </c>
      <c r="B84" s="34">
        <f>(1-AMD!B$46)*Yard!B$72</f>
        <v>0</v>
      </c>
      <c r="C84" s="34">
        <f>(1-AMD!C$46)*Yard!C$72</f>
        <v>2.5096230601312428E-2</v>
      </c>
      <c r="D84" s="34">
        <f>(1-AMD!D$46)*Yard!D$72</f>
        <v>9.9269490818188165E-3</v>
      </c>
      <c r="E84" s="34">
        <f>(1-AMD!E$46)*Yard!E$72</f>
        <v>2.783814464584624E-2</v>
      </c>
      <c r="F84" s="34">
        <f>(1-AMD!F$46)*Yard!F$72</f>
        <v>1.7560396207019074E-2</v>
      </c>
      <c r="G84" s="34">
        <f>(1-AMD!G$46)*Yard!G$72</f>
        <v>0</v>
      </c>
      <c r="H84" s="34">
        <f>(1-AMD!H$46)*Yard!H$72</f>
        <v>2.2316391933432368E-2</v>
      </c>
      <c r="I84" s="34">
        <f>(1-AMD!I$46)*Yard!I$72</f>
        <v>2.026150754071768E-2</v>
      </c>
      <c r="J84" s="34">
        <f>(1-AMD!J$46)*Yard!J$72</f>
        <v>0</v>
      </c>
      <c r="K84" s="34">
        <f>(1-AMD!B$46)*Yard!K$72</f>
        <v>4.971144151430875E-3</v>
      </c>
      <c r="L84" s="34">
        <f>(1-AMD!C$46)*Yard!L$72</f>
        <v>9.8844266249161587E-3</v>
      </c>
      <c r="M84" s="34">
        <f>(1-AMD!D$46)*Yard!M$72</f>
        <v>3.9098381492950396E-3</v>
      </c>
      <c r="N84" s="34">
        <f>(1-AMD!E$46)*Yard!N$72</f>
        <v>1.0964359648148906E-2</v>
      </c>
      <c r="O84" s="34">
        <f>(1-AMD!F$46)*Yard!O$72</f>
        <v>6.9163553112896094E-3</v>
      </c>
      <c r="P84" s="34">
        <f>(1-AMD!G$46)*Yard!P$72</f>
        <v>0</v>
      </c>
      <c r="Q84" s="34">
        <f>(1-AMD!H$46)*Yard!Q$72</f>
        <v>1.2556509387699923E-2</v>
      </c>
      <c r="R84" s="34">
        <f>(1-AMD!I$46)*Yard!R$72</f>
        <v>1.1400311053994125E-2</v>
      </c>
      <c r="S84" s="34">
        <f>(1-AMD!J$46)*Yard!S$72</f>
        <v>0</v>
      </c>
      <c r="T84" s="17"/>
    </row>
    <row r="85" spans="1:20">
      <c r="A85" s="4" t="s">
        <v>184</v>
      </c>
      <c r="B85" s="34">
        <f>(1-AMD!B$47)*Yard!B$73</f>
        <v>0</v>
      </c>
      <c r="C85" s="34">
        <f>(1-AMD!C$47)*Yard!C$73</f>
        <v>0.2247452178076712</v>
      </c>
      <c r="D85" s="34">
        <f>(1-AMD!D$47)*Yard!D$73</f>
        <v>8.8899180478615697E-2</v>
      </c>
      <c r="E85" s="34">
        <f>(1-AMD!E$47)*Yard!E$73</f>
        <v>0.22645599938654956</v>
      </c>
      <c r="F85" s="34">
        <f>(1-AMD!F$47)*Yard!F$73</f>
        <v>0.14284921366976375</v>
      </c>
      <c r="G85" s="34">
        <f>(1-AMD!G$47)*Yard!G$73</f>
        <v>0</v>
      </c>
      <c r="H85" s="34">
        <f>(1-AMD!H$47)*Yard!H$73</f>
        <v>0.18153799049037653</v>
      </c>
      <c r="I85" s="34">
        <f>(1-AMD!I$47)*Yard!I$73</f>
        <v>0.16482204534762215</v>
      </c>
      <c r="J85" s="34">
        <f>(1-AMD!J$47)*Yard!J$73</f>
        <v>0</v>
      </c>
      <c r="K85" s="34">
        <f>(1-AMD!B$47)*Yard!K$73</f>
        <v>0.12930386717820264</v>
      </c>
      <c r="L85" s="34">
        <f>(1-AMD!C$47)*Yard!L$73</f>
        <v>8.8518377520987263E-2</v>
      </c>
      <c r="M85" s="34">
        <f>(1-AMD!D$47)*Yard!M$73</f>
        <v>3.5013920632770354E-2</v>
      </c>
      <c r="N85" s="34">
        <f>(1-AMD!E$47)*Yard!N$73</f>
        <v>8.9192187674245776E-2</v>
      </c>
      <c r="O85" s="34">
        <f>(1-AMD!F$47)*Yard!O$73</f>
        <v>5.6262734965142905E-2</v>
      </c>
      <c r="P85" s="34">
        <f>(1-AMD!G$47)*Yard!P$73</f>
        <v>0</v>
      </c>
      <c r="Q85" s="34">
        <f>(1-AMD!H$47)*Yard!Q$73</f>
        <v>0.10214390787794325</v>
      </c>
      <c r="R85" s="34">
        <f>(1-AMD!I$47)*Yard!R$73</f>
        <v>9.2738537926771697E-2</v>
      </c>
      <c r="S85" s="34">
        <f>(1-AMD!J$47)*Yard!S$73</f>
        <v>0</v>
      </c>
      <c r="T85" s="17"/>
    </row>
    <row r="86" spans="1:20">
      <c r="A86" s="4" t="s">
        <v>185</v>
      </c>
      <c r="B86" s="34">
        <f>(1-AMD!B$48)*Yard!B$74</f>
        <v>0</v>
      </c>
      <c r="C86" s="34">
        <f>(1-AMD!C$48)*Yard!C$74</f>
        <v>0.55674173509484981</v>
      </c>
      <c r="D86" s="34">
        <f>(1-AMD!D$48)*Yard!D$74</f>
        <v>0.22022218969094942</v>
      </c>
      <c r="E86" s="34">
        <f>(1-AMD!E$48)*Yard!E$74</f>
        <v>0.56150192773499308</v>
      </c>
      <c r="F86" s="34">
        <f>(1-AMD!F$48)*Yard!F$74</f>
        <v>0.35419732340182086</v>
      </c>
      <c r="G86" s="34">
        <f>(1-AMD!G$48)*Yard!G$74</f>
        <v>0</v>
      </c>
      <c r="H86" s="34">
        <f>(1-AMD!H$48)*Yard!H$74</f>
        <v>0.45012687627448045</v>
      </c>
      <c r="I86" s="34">
        <f>(1-AMD!I$48)*Yard!I$74</f>
        <v>0</v>
      </c>
      <c r="J86" s="34">
        <f>(1-AMD!J$48)*Yard!J$74</f>
        <v>0</v>
      </c>
      <c r="K86" s="34">
        <f>(1-AMD!B$48)*Yard!K$74</f>
        <v>0.31976075137493104</v>
      </c>
      <c r="L86" s="34">
        <f>(1-AMD!C$48)*Yard!L$74</f>
        <v>0.21927885972189645</v>
      </c>
      <c r="M86" s="34">
        <f>(1-AMD!D$48)*Yard!M$74</f>
        <v>8.6736933117944892E-2</v>
      </c>
      <c r="N86" s="34">
        <f>(1-AMD!E$48)*Yard!N$74</f>
        <v>0.22115371398265937</v>
      </c>
      <c r="O86" s="34">
        <f>(1-AMD!F$48)*Yard!O$74</f>
        <v>0.13950451402546116</v>
      </c>
      <c r="P86" s="34">
        <f>(1-AMD!G$48)*Yard!P$74</f>
        <v>0</v>
      </c>
      <c r="Q86" s="34">
        <f>(1-AMD!H$48)*Yard!Q$74</f>
        <v>0.25326774885725206</v>
      </c>
      <c r="R86" s="34">
        <f>(1-AMD!I$48)*Yard!R$74</f>
        <v>0</v>
      </c>
      <c r="S86" s="34">
        <f>(1-AMD!J$48)*Yard!S$74</f>
        <v>0</v>
      </c>
      <c r="T86" s="17"/>
    </row>
    <row r="87" spans="1:20">
      <c r="A87" s="4" t="s">
        <v>205</v>
      </c>
      <c r="B87" s="34">
        <f>(1-AMD!B$49)*Yard!B$75</f>
        <v>0</v>
      </c>
      <c r="C87" s="34">
        <f>(1-AMD!C$49)*Yard!C$75</f>
        <v>0.66859403440475773</v>
      </c>
      <c r="D87" s="34">
        <f>(1-AMD!D$49)*Yard!D$75</f>
        <v>0.2644659686700821</v>
      </c>
      <c r="E87" s="34">
        <f>(1-AMD!E$49)*Yard!E$75</f>
        <v>0.54080792872374872</v>
      </c>
      <c r="F87" s="34">
        <f>(1-AMD!F$49)*Yard!F$75</f>
        <v>0</v>
      </c>
      <c r="G87" s="34">
        <f>(1-AMD!G$49)*Yard!G$75</f>
        <v>0</v>
      </c>
      <c r="H87" s="34">
        <f>(1-AMD!H$49)*Yard!H$75</f>
        <v>0</v>
      </c>
      <c r="I87" s="34">
        <f>(1-AMD!I$49)*Yard!I$75</f>
        <v>0</v>
      </c>
      <c r="J87" s="34">
        <f>(1-AMD!J$49)*Yard!J$75</f>
        <v>0</v>
      </c>
      <c r="K87" s="34">
        <f>(1-AMD!B$49)*Yard!K$75</f>
        <v>0.38273126665218404</v>
      </c>
      <c r="L87" s="34">
        <f>(1-AMD!C$49)*Yard!L$75</f>
        <v>0.26333311882242955</v>
      </c>
      <c r="M87" s="34">
        <f>(1-AMD!D$49)*Yard!M$75</f>
        <v>0.10416283240440484</v>
      </c>
      <c r="N87" s="34">
        <f>(1-AMD!E$49)*Yard!N$75</f>
        <v>0.21300315471930797</v>
      </c>
      <c r="O87" s="34">
        <f>(1-AMD!F$49)*Yard!O$75</f>
        <v>0</v>
      </c>
      <c r="P87" s="34">
        <f>(1-AMD!G$49)*Yard!P$75</f>
        <v>0</v>
      </c>
      <c r="Q87" s="34">
        <f>(1-AMD!H$49)*Yard!Q$75</f>
        <v>0</v>
      </c>
      <c r="R87" s="34">
        <f>(1-AMD!I$49)*Yard!R$75</f>
        <v>0</v>
      </c>
      <c r="S87" s="34">
        <f>(1-AMD!J$49)*Yard!S$75</f>
        <v>0</v>
      </c>
      <c r="T87" s="17"/>
    </row>
    <row r="88" spans="1:20">
      <c r="A88" s="4" t="s">
        <v>186</v>
      </c>
      <c r="B88" s="34">
        <f>(1-AMD!B$50)*Yard!B$76</f>
        <v>0</v>
      </c>
      <c r="C88" s="34">
        <f>(1-AMD!C$50)*Yard!C$76</f>
        <v>1.4840222842680741</v>
      </c>
      <c r="D88" s="34">
        <f>(1-AMD!D$50)*Yard!D$76</f>
        <v>0.58701300152395042</v>
      </c>
      <c r="E88" s="34">
        <f>(1-AMD!E$50)*Yard!E$76</f>
        <v>1.2500483733058054</v>
      </c>
      <c r="F88" s="34">
        <f>(1-AMD!F$50)*Yard!F$76</f>
        <v>0.78853476021668023</v>
      </c>
      <c r="G88" s="34">
        <f>(1-AMD!G$50)*Yard!G$76</f>
        <v>0</v>
      </c>
      <c r="H88" s="34">
        <f>(1-AMD!H$50)*Yard!H$76</f>
        <v>1.0020987314111254</v>
      </c>
      <c r="I88" s="34">
        <f>(1-AMD!I$50)*Yard!I$76</f>
        <v>0.90982588330564795</v>
      </c>
      <c r="J88" s="34">
        <f>(1-AMD!J$50)*Yard!J$76</f>
        <v>0</v>
      </c>
      <c r="K88" s="34">
        <f>(1-AMD!B$50)*Yard!K$76</f>
        <v>1.0807680549169909</v>
      </c>
      <c r="L88" s="34">
        <f>(1-AMD!C$50)*Yard!L$76</f>
        <v>0.58449850942241266</v>
      </c>
      <c r="M88" s="34">
        <f>(1-AMD!D$50)*Yard!M$76</f>
        <v>0.23120153116268585</v>
      </c>
      <c r="N88" s="34">
        <f>(1-AMD!E$50)*Yard!N$76</f>
        <v>0.49234530953388939</v>
      </c>
      <c r="O88" s="34">
        <f>(1-AMD!F$50)*Yard!O$76</f>
        <v>0.31057309371990027</v>
      </c>
      <c r="P88" s="34">
        <f>(1-AMD!G$50)*Yard!P$76</f>
        <v>0</v>
      </c>
      <c r="Q88" s="34">
        <f>(1-AMD!H$50)*Yard!Q$76</f>
        <v>0.56383944886339321</v>
      </c>
      <c r="R88" s="34">
        <f>(1-AMD!I$50)*Yard!R$76</f>
        <v>0.51192133921008087</v>
      </c>
      <c r="S88" s="34">
        <f>(1-AMD!J$50)*Yard!S$76</f>
        <v>0</v>
      </c>
      <c r="T88" s="17"/>
    </row>
    <row r="89" spans="1:20">
      <c r="A89" s="4" t="s">
        <v>187</v>
      </c>
      <c r="B89" s="34">
        <f>(1-AMD!B$51)*Yard!B$77</f>
        <v>0</v>
      </c>
      <c r="C89" s="34">
        <f>(1-AMD!C$51)*Yard!C$77</f>
        <v>1.355954787643759</v>
      </c>
      <c r="D89" s="34">
        <f>(1-AMD!D$51)*Yard!D$77</f>
        <v>0.53635521397719843</v>
      </c>
      <c r="E89" s="34">
        <f>(1-AMD!E$51)*Yard!E$77</f>
        <v>1.1421445844223768</v>
      </c>
      <c r="F89" s="34">
        <f>(1-AMD!F$51)*Yard!F$77</f>
        <v>0.72046868364665728</v>
      </c>
      <c r="G89" s="34">
        <f>(1-AMD!G$51)*Yard!G$77</f>
        <v>0</v>
      </c>
      <c r="H89" s="34">
        <f>(1-AMD!H$51)*Yard!H$77</f>
        <v>0.91559787891324751</v>
      </c>
      <c r="I89" s="34">
        <f>(1-AMD!I$51)*Yard!I$77</f>
        <v>0.83128999451178687</v>
      </c>
      <c r="J89" s="34">
        <f>(1-AMD!J$51)*Yard!J$77</f>
        <v>0</v>
      </c>
      <c r="K89" s="34">
        <f>(1-AMD!B$51)*Yard!K$77</f>
        <v>0.98827450012597851</v>
      </c>
      <c r="L89" s="34">
        <f>(1-AMD!C$51)*Yard!L$77</f>
        <v>0.53405771639935429</v>
      </c>
      <c r="M89" s="34">
        <f>(1-AMD!D$51)*Yard!M$77</f>
        <v>0.21124940401095832</v>
      </c>
      <c r="N89" s="34">
        <f>(1-AMD!E$51)*Yard!N$77</f>
        <v>0.44984621472110436</v>
      </c>
      <c r="O89" s="34">
        <f>(1-AMD!F$51)*Yard!O$77</f>
        <v>0.2837645203452544</v>
      </c>
      <c r="P89" s="34">
        <f>(1-AMD!G$51)*Yard!P$77</f>
        <v>0</v>
      </c>
      <c r="Q89" s="34">
        <f>(1-AMD!H$51)*Yard!Q$77</f>
        <v>0.51516900206027516</v>
      </c>
      <c r="R89" s="34">
        <f>(1-AMD!I$51)*Yard!R$77</f>
        <v>0.46773244757145821</v>
      </c>
      <c r="S89" s="34">
        <f>(1-AMD!J$51)*Yard!S$77</f>
        <v>0</v>
      </c>
      <c r="T89" s="17"/>
    </row>
    <row r="90" spans="1:20">
      <c r="A90" s="4" t="s">
        <v>188</v>
      </c>
      <c r="B90" s="34">
        <f>(1-AMD!B$52)*Yard!B$78</f>
        <v>0</v>
      </c>
      <c r="C90" s="34">
        <f>(1-AMD!C$52)*Yard!C$78</f>
        <v>1.2161938441468794</v>
      </c>
      <c r="D90" s="34">
        <f>(1-AMD!D$52)*Yard!D$78</f>
        <v>0.48107202058607901</v>
      </c>
      <c r="E90" s="34">
        <f>(1-AMD!E$52)*Yard!E$78</f>
        <v>1.0244445260131592</v>
      </c>
      <c r="F90" s="34">
        <f>(1-AMD!F$52)*Yard!F$78</f>
        <v>0.64622308698245789</v>
      </c>
      <c r="G90" s="34">
        <f>(1-AMD!G$52)*Yard!G$78</f>
        <v>0</v>
      </c>
      <c r="H90" s="34">
        <f>(1-AMD!H$52)*Yard!H$78</f>
        <v>0.65699509352841212</v>
      </c>
      <c r="I90" s="34">
        <f>(1-AMD!I$52)*Yard!I$78</f>
        <v>0</v>
      </c>
      <c r="J90" s="34">
        <f>(1-AMD!J$52)*Yard!J$78</f>
        <v>0</v>
      </c>
      <c r="K90" s="34">
        <f>(1-AMD!B$52)*Yard!K$78</f>
        <v>0.88615546928667133</v>
      </c>
      <c r="L90" s="34">
        <f>(1-AMD!C$52)*Yard!L$78</f>
        <v>0.47901133063050028</v>
      </c>
      <c r="M90" s="34">
        <f>(1-AMD!D$52)*Yard!M$78</f>
        <v>0.18947550986141251</v>
      </c>
      <c r="N90" s="34">
        <f>(1-AMD!E$52)*Yard!N$78</f>
        <v>0.40348875134039197</v>
      </c>
      <c r="O90" s="34">
        <f>(1-AMD!F$52)*Yard!O$78</f>
        <v>0.25452207497132562</v>
      </c>
      <c r="P90" s="34">
        <f>(1-AMD!G$52)*Yard!P$78</f>
        <v>0</v>
      </c>
      <c r="Q90" s="34">
        <f>(1-AMD!H$52)*Yard!Q$78</f>
        <v>0.36966392614764726</v>
      </c>
      <c r="R90" s="34">
        <f>(1-AMD!I$52)*Yard!R$78</f>
        <v>0</v>
      </c>
      <c r="S90" s="34">
        <f>(1-AMD!J$52)*Yard!S$78</f>
        <v>0</v>
      </c>
      <c r="T90" s="17"/>
    </row>
    <row r="91" spans="1:20">
      <c r="A91" s="4" t="s">
        <v>189</v>
      </c>
      <c r="B91" s="34">
        <f>(1-AMD!B$53)*Yard!B$79</f>
        <v>0</v>
      </c>
      <c r="C91" s="34">
        <f>(1-AMD!C$53)*Yard!C$79</f>
        <v>1.1344799504521121</v>
      </c>
      <c r="D91" s="34">
        <f>(1-AMD!D$53)*Yard!D$79</f>
        <v>0.44874965015238188</v>
      </c>
      <c r="E91" s="34">
        <f>(1-AMD!E$53)*Yard!E$79</f>
        <v>0.95561392676477563</v>
      </c>
      <c r="F91" s="34">
        <f>(1-AMD!F$53)*Yard!F$79</f>
        <v>0.60280451116337863</v>
      </c>
      <c r="G91" s="34">
        <f>(1-AMD!G$53)*Yard!G$79</f>
        <v>0</v>
      </c>
      <c r="H91" s="34">
        <f>(1-AMD!H$53)*Yard!H$79</f>
        <v>0</v>
      </c>
      <c r="I91" s="34">
        <f>(1-AMD!I$53)*Yard!I$79</f>
        <v>0</v>
      </c>
      <c r="J91" s="34">
        <f>(1-AMD!J$53)*Yard!J$79</f>
        <v>0</v>
      </c>
      <c r="K91" s="34">
        <f>(1-AMD!B$53)*Yard!K$79</f>
        <v>0.82661626493794205</v>
      </c>
      <c r="L91" s="34">
        <f>(1-AMD!C$53)*Yard!L$79</f>
        <v>0.446827414276947</v>
      </c>
      <c r="M91" s="34">
        <f>(1-AMD!D$53)*Yard!M$79</f>
        <v>0.17674498853449533</v>
      </c>
      <c r="N91" s="34">
        <f>(1-AMD!E$53)*Yard!N$79</f>
        <v>0.37637906229473594</v>
      </c>
      <c r="O91" s="34">
        <f>(1-AMD!F$53)*Yard!O$79</f>
        <v>0.23742119103142414</v>
      </c>
      <c r="P91" s="34">
        <f>(1-AMD!G$53)*Yard!P$79</f>
        <v>0</v>
      </c>
      <c r="Q91" s="34">
        <f>(1-AMD!H$53)*Yard!Q$79</f>
        <v>0</v>
      </c>
      <c r="R91" s="34">
        <f>(1-AMD!I$53)*Yard!R$79</f>
        <v>0</v>
      </c>
      <c r="S91" s="34">
        <f>(1-AMD!J$53)*Yard!S$79</f>
        <v>0</v>
      </c>
      <c r="T91" s="17"/>
    </row>
    <row r="92" spans="1:20">
      <c r="A92" s="4" t="s">
        <v>206</v>
      </c>
      <c r="B92" s="34">
        <f>(1-AMD!B$54)*Yard!B$80</f>
        <v>0</v>
      </c>
      <c r="C92" s="34">
        <f>(1-AMD!C$54)*Yard!C$80</f>
        <v>1.0156326887359912</v>
      </c>
      <c r="D92" s="34">
        <f>(1-AMD!D$54)*Yard!D$80</f>
        <v>0.4017389761467075</v>
      </c>
      <c r="E92" s="34">
        <f>(1-AMD!E$54)*Yard!E$80</f>
        <v>0.68440362754538464</v>
      </c>
      <c r="F92" s="34">
        <f>(1-AMD!F$54)*Yard!F$80</f>
        <v>0</v>
      </c>
      <c r="G92" s="34">
        <f>(1-AMD!G$54)*Yard!G$80</f>
        <v>0</v>
      </c>
      <c r="H92" s="34">
        <f>(1-AMD!H$54)*Yard!H$80</f>
        <v>0</v>
      </c>
      <c r="I92" s="34">
        <f>(1-AMD!I$54)*Yard!I$80</f>
        <v>0</v>
      </c>
      <c r="J92" s="34">
        <f>(1-AMD!J$54)*Yard!J$80</f>
        <v>0</v>
      </c>
      <c r="K92" s="34">
        <f>(1-AMD!B$54)*Yard!K$80</f>
        <v>0.7400205701099013</v>
      </c>
      <c r="L92" s="34">
        <f>(1-AMD!C$54)*Yard!L$80</f>
        <v>0.40001811224798922</v>
      </c>
      <c r="M92" s="34">
        <f>(1-AMD!D$54)*Yard!M$80</f>
        <v>0.15822931719010463</v>
      </c>
      <c r="N92" s="34">
        <f>(1-AMD!E$54)*Yard!N$80</f>
        <v>0.26955990107713723</v>
      </c>
      <c r="O92" s="34">
        <f>(1-AMD!F$54)*Yard!O$80</f>
        <v>0</v>
      </c>
      <c r="P92" s="34">
        <f>(1-AMD!G$54)*Yard!P$80</f>
        <v>0</v>
      </c>
      <c r="Q92" s="34">
        <f>(1-AMD!H$54)*Yard!Q$80</f>
        <v>0</v>
      </c>
      <c r="R92" s="34">
        <f>(1-AMD!I$54)*Yard!R$80</f>
        <v>0</v>
      </c>
      <c r="S92" s="34">
        <f>(1-AMD!J$54)*Yard!S$80</f>
        <v>0</v>
      </c>
      <c r="T92" s="17"/>
    </row>
    <row r="93" spans="1:20">
      <c r="A93" s="4" t="s">
        <v>228</v>
      </c>
      <c r="B93" s="34">
        <f>(1-AMD!B$55)*Yard!B$81</f>
        <v>0</v>
      </c>
      <c r="C93" s="34">
        <f>(1-AMD!C$55)*Yard!C$81</f>
        <v>0.16693718005860772</v>
      </c>
      <c r="D93" s="34">
        <f>(1-AMD!D$55)*Yard!D$81</f>
        <v>6.6032900025135843E-2</v>
      </c>
      <c r="E93" s="34">
        <f>(1-AMD!E$55)*Yard!E$81</f>
        <v>0.16684374061807727</v>
      </c>
      <c r="F93" s="34">
        <f>(1-AMD!F$55)*Yard!F$81</f>
        <v>0.10524559833953313</v>
      </c>
      <c r="G93" s="34">
        <f>(1-AMD!G$55)*Yard!G$81</f>
        <v>0</v>
      </c>
      <c r="H93" s="34">
        <f>(1-AMD!H$55)*Yard!H$81</f>
        <v>0.13374994471222804</v>
      </c>
      <c r="I93" s="34">
        <f>(1-AMD!I$55)*Yard!I$81</f>
        <v>0.12143430360252569</v>
      </c>
      <c r="J93" s="34">
        <f>(1-AMD!J$55)*Yard!J$81</f>
        <v>2.8850797747734867E-3</v>
      </c>
      <c r="K93" s="34">
        <f>(1-AMD!B$55)*Yard!K$81</f>
        <v>9.3543905099219601E-2</v>
      </c>
      <c r="L93" s="34">
        <f>(1-AMD!C$55)*Yard!L$81</f>
        <v>6.5750045633284598E-2</v>
      </c>
      <c r="M93" s="34">
        <f>(1-AMD!D$55)*Yard!M$81</f>
        <v>2.600778441582962E-2</v>
      </c>
      <c r="N93" s="34">
        <f>(1-AMD!E$55)*Yard!N$81</f>
        <v>6.5713243481261466E-2</v>
      </c>
      <c r="O93" s="34">
        <f>(1-AMD!F$55)*Yard!O$81</f>
        <v>4.1452137211717768E-2</v>
      </c>
      <c r="P93" s="34">
        <f>(1-AMD!G$55)*Yard!P$81</f>
        <v>0</v>
      </c>
      <c r="Q93" s="34">
        <f>(1-AMD!H$55)*Yard!Q$81</f>
        <v>7.5255553917184331E-2</v>
      </c>
      <c r="R93" s="34">
        <f>(1-AMD!I$55)*Yard!R$81</f>
        <v>6.8326052783183766E-2</v>
      </c>
      <c r="S93" s="34">
        <f>(1-AMD!J$55)*Yard!S$81</f>
        <v>3.7877347391081652E-2</v>
      </c>
      <c r="T93" s="17"/>
    </row>
    <row r="94" spans="1:20">
      <c r="A94" s="4" t="s">
        <v>229</v>
      </c>
      <c r="B94" s="34">
        <f>(1-AMD!B$56)*Yard!B$82</f>
        <v>0</v>
      </c>
      <c r="C94" s="34">
        <f>(1-AMD!C$56)*Yard!C$82</f>
        <v>0.20953062465748024</v>
      </c>
      <c r="D94" s="34">
        <f>(1-AMD!D$56)*Yard!D$82</f>
        <v>8.2880966273386134E-2</v>
      </c>
      <c r="E94" s="34">
        <f>(1-AMD!E$56)*Yard!E$82</f>
        <v>0.18384697154540899</v>
      </c>
      <c r="F94" s="34">
        <f>(1-AMD!F$56)*Yard!F$82</f>
        <v>0.11597129416739563</v>
      </c>
      <c r="G94" s="34">
        <f>(1-AMD!G$56)*Yard!G$82</f>
        <v>0</v>
      </c>
      <c r="H94" s="34">
        <f>(1-AMD!H$56)*Yard!H$82</f>
        <v>0.14738055014000795</v>
      </c>
      <c r="I94" s="34">
        <f>(1-AMD!I$56)*Yard!I$82</f>
        <v>0.13380980836527218</v>
      </c>
      <c r="J94" s="34">
        <f>(1-AMD!J$56)*Yard!J$82</f>
        <v>3.1791014592101917E-3</v>
      </c>
      <c r="K94" s="34">
        <f>(1-AMD!B$56)*Yard!K$82</f>
        <v>0.14004887506924621</v>
      </c>
      <c r="L94" s="34">
        <f>(1-AMD!C$56)*Yard!L$82</f>
        <v>8.2525942560927962E-2</v>
      </c>
      <c r="M94" s="34">
        <f>(1-AMD!D$56)*Yard!M$82</f>
        <v>3.2643580733139818E-2</v>
      </c>
      <c r="N94" s="34">
        <f>(1-AMD!E$56)*Yard!N$82</f>
        <v>7.2410153115129994E-2</v>
      </c>
      <c r="O94" s="34">
        <f>(1-AMD!F$56)*Yard!O$82</f>
        <v>4.5676570557741138E-2</v>
      </c>
      <c r="P94" s="34">
        <f>(1-AMD!G$56)*Yard!P$82</f>
        <v>0</v>
      </c>
      <c r="Q94" s="34">
        <f>(1-AMD!H$56)*Yard!Q$82</f>
        <v>8.2924931006656669E-2</v>
      </c>
      <c r="R94" s="34">
        <f>(1-AMD!I$56)*Yard!R$82</f>
        <v>7.5289236715177524E-2</v>
      </c>
      <c r="S94" s="34">
        <f>(1-AMD!J$56)*Yard!S$82</f>
        <v>4.1737469935802074E-2</v>
      </c>
      <c r="T94" s="17"/>
    </row>
    <row r="95" spans="1:20">
      <c r="A95" s="4" t="s">
        <v>230</v>
      </c>
      <c r="B95" s="34">
        <f>(1-AMD!B$57)*Yard!B$83</f>
        <v>0</v>
      </c>
      <c r="C95" s="34">
        <f>(1-AMD!C$57)*Yard!C$83</f>
        <v>0.38347770164805284</v>
      </c>
      <c r="D95" s="34">
        <f>(1-AMD!D$57)*Yard!D$83</f>
        <v>0.15168666875710213</v>
      </c>
      <c r="E95" s="34">
        <f>(1-AMD!E$57)*Yard!E$83</f>
        <v>0.33359990983556237</v>
      </c>
      <c r="F95" s="34">
        <f>(1-AMD!F$57)*Yard!F$83</f>
        <v>0.21043595634209822</v>
      </c>
      <c r="G95" s="34">
        <f>(1-AMD!G$57)*Yard!G$83</f>
        <v>0</v>
      </c>
      <c r="H95" s="34">
        <f>(1-AMD!H$57)*Yard!H$83</f>
        <v>0.26742968798960348</v>
      </c>
      <c r="I95" s="34">
        <f>(1-AMD!I$57)*Yard!I$83</f>
        <v>0.24280486989008224</v>
      </c>
      <c r="J95" s="34">
        <f>(1-AMD!J$57)*Yard!J$83</f>
        <v>5.7686452555389331E-3</v>
      </c>
      <c r="K95" s="34">
        <f>(1-AMD!B$57)*Yard!K$83</f>
        <v>0.26735668120973083</v>
      </c>
      <c r="L95" s="34">
        <f>(1-AMD!C$57)*Yard!L$83</f>
        <v>0.15103691324997004</v>
      </c>
      <c r="M95" s="34">
        <f>(1-AMD!D$57)*Yard!M$83</f>
        <v>5.9743463914024193E-2</v>
      </c>
      <c r="N95" s="34">
        <f>(1-AMD!E$57)*Yard!N$83</f>
        <v>0.13139199600261164</v>
      </c>
      <c r="O95" s="34">
        <f>(1-AMD!F$57)*Yard!O$83</f>
        <v>8.2882517408759904E-2</v>
      </c>
      <c r="P95" s="34">
        <f>(1-AMD!G$57)*Yard!P$83</f>
        <v>0</v>
      </c>
      <c r="Q95" s="34">
        <f>(1-AMD!H$57)*Yard!Q$83</f>
        <v>0.1504716083947466</v>
      </c>
      <c r="R95" s="34">
        <f>(1-AMD!I$57)*Yard!R$83</f>
        <v>0.13661624321925767</v>
      </c>
      <c r="S95" s="34">
        <f>(1-AMD!J$57)*Yard!S$83</f>
        <v>7.5734814070130205E-2</v>
      </c>
      <c r="T95" s="17"/>
    </row>
    <row r="96" spans="1:20">
      <c r="A96" s="4" t="s">
        <v>231</v>
      </c>
      <c r="B96" s="34">
        <f>(1-AMD!B$58)*Yard!B$84</f>
        <v>0</v>
      </c>
      <c r="C96" s="34">
        <f>(1-AMD!C$58)*Yard!C$84</f>
        <v>0.14634127890877346</v>
      </c>
      <c r="D96" s="34">
        <f>(1-AMD!D$58)*Yard!D$84</f>
        <v>5.7886080478542823E-2</v>
      </c>
      <c r="E96" s="34">
        <f>(1-AMD!E$58)*Yard!E$84</f>
        <v>0.16487933023452356</v>
      </c>
      <c r="F96" s="34">
        <f>(1-AMD!F$58)*Yard!F$84</f>
        <v>0.10400644159660943</v>
      </c>
      <c r="G96" s="34">
        <f>(1-AMD!G$58)*Yard!G$84</f>
        <v>0</v>
      </c>
      <c r="H96" s="34">
        <f>(1-AMD!H$58)*Yard!H$84</f>
        <v>0.13217517913085766</v>
      </c>
      <c r="I96" s="34">
        <f>(1-AMD!I$58)*Yard!I$84</f>
        <v>0.12000454180245629</v>
      </c>
      <c r="J96" s="34">
        <f>(1-AMD!J$58)*Yard!J$84</f>
        <v>2.8511109807033558E-3</v>
      </c>
      <c r="K96" s="34">
        <f>(1-AMD!B$58)*Yard!K$84</f>
        <v>6.6178217961452748E-2</v>
      </c>
      <c r="L96" s="34">
        <f>(1-AMD!C$58)*Yard!L$84</f>
        <v>5.7638123292289019E-2</v>
      </c>
      <c r="M96" s="34">
        <f>(1-AMD!D$58)*Yard!M$84</f>
        <v>2.2799069875626108E-2</v>
      </c>
      <c r="N96" s="34">
        <f>(1-AMD!E$58)*Yard!N$84</f>
        <v>6.4939538831908866E-2</v>
      </c>
      <c r="O96" s="34">
        <f>(1-AMD!F$58)*Yard!O$84</f>
        <v>4.0964081690680332E-2</v>
      </c>
      <c r="P96" s="34">
        <f>(1-AMD!G$58)*Yard!P$84</f>
        <v>0</v>
      </c>
      <c r="Q96" s="34">
        <f>(1-AMD!H$58)*Yard!Q$84</f>
        <v>7.4369498551922472E-2</v>
      </c>
      <c r="R96" s="34">
        <f>(1-AMD!I$58)*Yard!R$84</f>
        <v>6.7521585039549498E-2</v>
      </c>
      <c r="S96" s="34">
        <f>(1-AMD!J$58)*Yard!S$84</f>
        <v>3.7431381277873745E-2</v>
      </c>
      <c r="T96" s="17"/>
    </row>
    <row r="97" spans="1:20">
      <c r="A97" s="4" t="s">
        <v>232</v>
      </c>
      <c r="B97" s="34">
        <f>(1-AMD!B$59)*Yard!B$85</f>
        <v>0</v>
      </c>
      <c r="C97" s="34">
        <f>(1-AMD!C$59)*Yard!C$85</f>
        <v>3.6221091385780197</v>
      </c>
      <c r="D97" s="34">
        <f>(1-AMD!D$59)*Yard!D$85</f>
        <v>1.4327447638919226</v>
      </c>
      <c r="E97" s="34">
        <f>(1-AMD!E$59)*Yard!E$85</f>
        <v>3.0065997898099379</v>
      </c>
      <c r="F97" s="34">
        <f>(1-AMD!F$59)*Yard!F$85</f>
        <v>1.8965733606417152</v>
      </c>
      <c r="G97" s="34">
        <f>(1-AMD!G$59)*Yard!G$85</f>
        <v>0</v>
      </c>
      <c r="H97" s="34">
        <f>(1-AMD!H$59)*Yard!H$85</f>
        <v>2.4102345953714805</v>
      </c>
      <c r="I97" s="34">
        <f>(1-AMD!I$59)*Yard!I$85</f>
        <v>2.1883011633192275</v>
      </c>
      <c r="J97" s="34">
        <f>(1-AMD!J$59)*Yard!J$85</f>
        <v>5.1990444545805287E-2</v>
      </c>
      <c r="K97" s="34">
        <f>(1-AMD!B$59)*Yard!K$85</f>
        <v>2.7274260841190494</v>
      </c>
      <c r="L97" s="34">
        <f>(1-AMD!C$59)*Yard!L$85</f>
        <v>1.4266075482204246</v>
      </c>
      <c r="M97" s="34">
        <f>(1-AMD!D$59)*Yard!M$85</f>
        <v>0.56430229367520757</v>
      </c>
      <c r="N97" s="34">
        <f>(1-AMD!E$59)*Yard!N$85</f>
        <v>1.1841824170722481</v>
      </c>
      <c r="O97" s="34">
        <f>(1-AMD!F$59)*Yard!O$85</f>
        <v>0.74698629128205907</v>
      </c>
      <c r="P97" s="34">
        <f>(1-AMD!G$59)*Yard!P$85</f>
        <v>0</v>
      </c>
      <c r="Q97" s="34">
        <f>(1-AMD!H$59)*Yard!Q$85</f>
        <v>1.3561391740034001</v>
      </c>
      <c r="R97" s="34">
        <f>(1-AMD!I$59)*Yard!R$85</f>
        <v>1.231266424352782</v>
      </c>
      <c r="S97" s="34">
        <f>(1-AMD!J$59)*Yard!S$85</f>
        <v>0.68256695925603772</v>
      </c>
      <c r="T97" s="17"/>
    </row>
    <row r="99" spans="1:20" ht="21" customHeight="1">
      <c r="A99" s="1" t="s">
        <v>1033</v>
      </c>
    </row>
    <row r="100" spans="1:20">
      <c r="A100" s="2" t="s">
        <v>379</v>
      </c>
    </row>
    <row r="101" spans="1:20">
      <c r="A101" s="29" t="s">
        <v>1022</v>
      </c>
    </row>
    <row r="102" spans="1:20">
      <c r="A102" s="29" t="s">
        <v>1034</v>
      </c>
    </row>
    <row r="103" spans="1:20">
      <c r="A103" s="2" t="s">
        <v>1030</v>
      </c>
    </row>
    <row r="105" spans="1:20" ht="30">
      <c r="B105" s="15" t="s">
        <v>148</v>
      </c>
      <c r="C105" s="15" t="s">
        <v>333</v>
      </c>
      <c r="D105" s="15" t="s">
        <v>334</v>
      </c>
      <c r="E105" s="15" t="s">
        <v>335</v>
      </c>
      <c r="F105" s="15" t="s">
        <v>336</v>
      </c>
      <c r="G105" s="15" t="s">
        <v>337</v>
      </c>
      <c r="H105" s="15" t="s">
        <v>338</v>
      </c>
      <c r="I105" s="15" t="s">
        <v>339</v>
      </c>
      <c r="J105" s="15" t="s">
        <v>340</v>
      </c>
      <c r="K105" s="15" t="s">
        <v>321</v>
      </c>
      <c r="L105" s="15" t="s">
        <v>909</v>
      </c>
      <c r="M105" s="15" t="s">
        <v>910</v>
      </c>
      <c r="N105" s="15" t="s">
        <v>911</v>
      </c>
      <c r="O105" s="15" t="s">
        <v>912</v>
      </c>
      <c r="P105" s="15" t="s">
        <v>913</v>
      </c>
      <c r="Q105" s="15" t="s">
        <v>914</v>
      </c>
      <c r="R105" s="15" t="s">
        <v>915</v>
      </c>
      <c r="S105" s="15" t="s">
        <v>916</v>
      </c>
    </row>
    <row r="106" spans="1:20">
      <c r="A106" s="4" t="s">
        <v>181</v>
      </c>
      <c r="B106" s="34">
        <f>(1-AMD!B$42)*Yard!B$103</f>
        <v>0</v>
      </c>
      <c r="C106" s="34">
        <f>(1-AMD!C$42)*Yard!C$103</f>
        <v>2.9279909276869003E-2</v>
      </c>
      <c r="D106" s="34">
        <f>(1-AMD!D$42)*Yard!D$103</f>
        <v>1.1581825698419935E-2</v>
      </c>
      <c r="E106" s="34">
        <f>(1-AMD!E$42)*Yard!E$103</f>
        <v>3.0106224424885433E-2</v>
      </c>
      <c r="F106" s="34">
        <f>(1-AMD!F$42)*Yard!F$103</f>
        <v>1.8991108636160766E-2</v>
      </c>
      <c r="G106" s="34">
        <f>(1-AMD!G$42)*Yard!G$103</f>
        <v>0</v>
      </c>
      <c r="H106" s="34">
        <f>(1-AMD!H$42)*Yard!H$103</f>
        <v>2.413459346694885E-2</v>
      </c>
      <c r="I106" s="34">
        <f>(1-AMD!I$42)*Yard!I$103</f>
        <v>2.1912289808378928E-2</v>
      </c>
      <c r="J106" s="34">
        <f>(1-AMD!J$42)*Yard!J$103</f>
        <v>0</v>
      </c>
      <c r="K106" s="34">
        <f>(1-AMD!B$42)*Yard!K$103</f>
        <v>3.5252266933299622E-3</v>
      </c>
      <c r="L106" s="34">
        <f>(1-AMD!C$42)*Yard!L$103</f>
        <v>1.153221451576391E-2</v>
      </c>
      <c r="M106" s="34">
        <f>(1-AMD!D$42)*Yard!M$103</f>
        <v>4.5616295178851837E-3</v>
      </c>
      <c r="N106" s="34">
        <f>(1-AMD!E$42)*Yard!N$103</f>
        <v>1.1857667831019863E-2</v>
      </c>
      <c r="O106" s="34">
        <f>(1-AMD!F$42)*Yard!O$103</f>
        <v>7.4798571475560918E-3</v>
      </c>
      <c r="P106" s="34">
        <f>(1-AMD!G$42)*Yard!P$103</f>
        <v>0</v>
      </c>
      <c r="Q106" s="34">
        <f>(1-AMD!H$42)*Yard!Q$103</f>
        <v>1.3579536080026827E-2</v>
      </c>
      <c r="R106" s="34">
        <f>(1-AMD!I$42)*Yard!R$103</f>
        <v>1.2329137859992458E-2</v>
      </c>
      <c r="S106" s="34">
        <f>(1-AMD!J$42)*Yard!S$103</f>
        <v>0</v>
      </c>
      <c r="T106" s="17"/>
    </row>
    <row r="107" spans="1:20">
      <c r="A107" s="4" t="s">
        <v>183</v>
      </c>
      <c r="B107" s="34">
        <f>(1-AMD!B$45)*Yard!B$104</f>
        <v>0</v>
      </c>
      <c r="C107" s="34">
        <f>(1-AMD!C$45)*Yard!C$104</f>
        <v>2.3388365215339754E-2</v>
      </c>
      <c r="D107" s="34">
        <f>(1-AMD!D$45)*Yard!D$104</f>
        <v>9.2513937366959908E-3</v>
      </c>
      <c r="E107" s="34">
        <f>(1-AMD!E$45)*Yard!E$104</f>
        <v>2.4047098743325494E-2</v>
      </c>
      <c r="F107" s="34">
        <f>(1-AMD!F$45)*Yard!F$104</f>
        <v>1.5168991573765474E-2</v>
      </c>
      <c r="G107" s="34">
        <f>(1-AMD!G$45)*Yard!G$104</f>
        <v>0</v>
      </c>
      <c r="H107" s="34">
        <f>(1-AMD!H$45)*Yard!H$104</f>
        <v>1.9277307710162863E-2</v>
      </c>
      <c r="I107" s="34">
        <f>(1-AMD!I$45)*Yard!I$104</f>
        <v>1.7502260970289646E-2</v>
      </c>
      <c r="J107" s="34">
        <f>(1-AMD!J$45)*Yard!J$104</f>
        <v>0</v>
      </c>
      <c r="K107" s="34">
        <f>(1-AMD!B$45)*Yard!K$104</f>
        <v>2.8160097223410971E-3</v>
      </c>
      <c r="L107" s="34">
        <f>(1-AMD!C$45)*Yard!L$104</f>
        <v>9.2117650463284084E-3</v>
      </c>
      <c r="M107" s="34">
        <f>(1-AMD!D$45)*Yard!M$104</f>
        <v>3.6437632416319249E-3</v>
      </c>
      <c r="N107" s="34">
        <f>(1-AMD!E$45)*Yard!N$104</f>
        <v>9.4712144961755368E-3</v>
      </c>
      <c r="O107" s="34">
        <f>(1-AMD!F$45)*Yard!O$104</f>
        <v>5.9744742773050275E-3</v>
      </c>
      <c r="P107" s="34">
        <f>(1-AMD!G$45)*Yard!P$104</f>
        <v>0</v>
      </c>
      <c r="Q107" s="34">
        <f>(1-AMD!H$45)*Yard!Q$104</f>
        <v>1.0846542575263452E-2</v>
      </c>
      <c r="R107" s="34">
        <f>(1-AMD!I$45)*Yard!R$104</f>
        <v>9.8477972978320318E-3</v>
      </c>
      <c r="S107" s="34">
        <f>(1-AMD!J$45)*Yard!S$104</f>
        <v>0</v>
      </c>
      <c r="T107" s="17"/>
    </row>
    <row r="108" spans="1:20">
      <c r="A108" s="4" t="s">
        <v>184</v>
      </c>
      <c r="B108" s="34">
        <f>(1-AMD!B$47)*Yard!B$105</f>
        <v>0</v>
      </c>
      <c r="C108" s="34">
        <f>(1-AMD!C$47)*Yard!C$105</f>
        <v>1.999297357647532E-2</v>
      </c>
      <c r="D108" s="34">
        <f>(1-AMD!D$47)*Yard!D$105</f>
        <v>7.9083283000053566E-3</v>
      </c>
      <c r="E108" s="34">
        <f>(1-AMD!E$47)*Yard!E$105</f>
        <v>2.0557195726823289E-2</v>
      </c>
      <c r="F108" s="34">
        <f>(1-AMD!F$47)*Yard!F$105</f>
        <v>1.296754889597574E-2</v>
      </c>
      <c r="G108" s="34">
        <f>(1-AMD!G$47)*Yard!G$105</f>
        <v>0</v>
      </c>
      <c r="H108" s="34">
        <f>(1-AMD!H$47)*Yard!H$105</f>
        <v>1.64796340678732E-2</v>
      </c>
      <c r="I108" s="34">
        <f>(1-AMD!I$47)*Yard!I$105</f>
        <v>1.4962195991649493E-2</v>
      </c>
      <c r="J108" s="34">
        <f>(1-AMD!J$47)*Yard!J$105</f>
        <v>0</v>
      </c>
      <c r="K108" s="34">
        <f>(1-AMD!B$47)*Yard!K$105</f>
        <v>2.407103994648282E-3</v>
      </c>
      <c r="L108" s="34">
        <f>(1-AMD!C$47)*Yard!L$105</f>
        <v>7.874452680564038E-3</v>
      </c>
      <c r="M108" s="34">
        <f>(1-AMD!D$47)*Yard!M$105</f>
        <v>3.1147821379623039E-3</v>
      </c>
      <c r="N108" s="34">
        <f>(1-AMD!E$47)*Yard!N$105</f>
        <v>8.0966777841608804E-3</v>
      </c>
      <c r="O108" s="34">
        <f>(1-AMD!F$47)*Yard!O$105</f>
        <v>5.107411850151778E-3</v>
      </c>
      <c r="P108" s="34">
        <f>(1-AMD!G$47)*Yard!P$105</f>
        <v>0</v>
      </c>
      <c r="Q108" s="34">
        <f>(1-AMD!H$47)*Yard!Q$105</f>
        <v>9.2724074974284143E-3</v>
      </c>
      <c r="R108" s="34">
        <f>(1-AMD!I$47)*Yard!R$105</f>
        <v>8.4186079447860478E-3</v>
      </c>
      <c r="S108" s="34">
        <f>(1-AMD!J$47)*Yard!S$105</f>
        <v>0</v>
      </c>
      <c r="T108" s="17"/>
    </row>
    <row r="109" spans="1:20">
      <c r="A109" s="4" t="s">
        <v>185</v>
      </c>
      <c r="B109" s="34">
        <f>(1-AMD!B$48)*Yard!B$106</f>
        <v>0</v>
      </c>
      <c r="C109" s="34">
        <f>(1-AMD!C$48)*Yard!C$106</f>
        <v>4.9893197482333805E-2</v>
      </c>
      <c r="D109" s="34">
        <f>(1-AMD!D$48)*Yard!D$106</f>
        <v>1.9735522788444457E-2</v>
      </c>
      <c r="E109" s="34">
        <f>(1-AMD!E$48)*Yard!E$106</f>
        <v>5.1301234514120921E-2</v>
      </c>
      <c r="F109" s="34">
        <f>(1-AMD!F$48)*Yard!F$106</f>
        <v>3.2360992998561225E-2</v>
      </c>
      <c r="G109" s="34">
        <f>(1-AMD!G$48)*Yard!G$106</f>
        <v>0</v>
      </c>
      <c r="H109" s="34">
        <f>(1-AMD!H$48)*Yard!H$106</f>
        <v>4.112553011886428E-2</v>
      </c>
      <c r="I109" s="34">
        <f>(1-AMD!I$48)*Yard!I$106</f>
        <v>0</v>
      </c>
      <c r="J109" s="34">
        <f>(1-AMD!J$48)*Yard!J$106</f>
        <v>0</v>
      </c>
      <c r="K109" s="34">
        <f>(1-AMD!B$48)*Yard!K$106</f>
        <v>6.007016140251115E-3</v>
      </c>
      <c r="L109" s="34">
        <f>(1-AMD!C$48)*Yard!L$106</f>
        <v>1.9650984939976992E-2</v>
      </c>
      <c r="M109" s="34">
        <f>(1-AMD!D$48)*Yard!M$106</f>
        <v>7.7730528542616457E-3</v>
      </c>
      <c r="N109" s="34">
        <f>(1-AMD!E$48)*Yard!N$106</f>
        <v>2.0205555821435833E-2</v>
      </c>
      <c r="O109" s="34">
        <f>(1-AMD!F$48)*Yard!O$106</f>
        <v>1.2745733249158784E-2</v>
      </c>
      <c r="P109" s="34">
        <f>(1-AMD!G$48)*Yard!P$106</f>
        <v>0</v>
      </c>
      <c r="Q109" s="34">
        <f>(1-AMD!H$48)*Yard!Q$106</f>
        <v>2.3139632363152866E-2</v>
      </c>
      <c r="R109" s="34">
        <f>(1-AMD!I$48)*Yard!R$106</f>
        <v>0</v>
      </c>
      <c r="S109" s="34">
        <f>(1-AMD!J$48)*Yard!S$106</f>
        <v>0</v>
      </c>
      <c r="T109" s="17"/>
    </row>
    <row r="110" spans="1:20">
      <c r="A110" s="4" t="s">
        <v>205</v>
      </c>
      <c r="B110" s="34">
        <f>(1-AMD!B$49)*Yard!B$107</f>
        <v>0</v>
      </c>
      <c r="C110" s="34">
        <f>(1-AMD!C$49)*Yard!C$107</f>
        <v>6.0019037823785988E-2</v>
      </c>
      <c r="D110" s="34">
        <f>(1-AMD!D$49)*Yard!D$107</f>
        <v>2.3740853432599681E-2</v>
      </c>
      <c r="E110" s="34">
        <f>(1-AMD!E$49)*Yard!E$107</f>
        <v>4.9370269136191074E-2</v>
      </c>
      <c r="F110" s="34">
        <f>(1-AMD!F$49)*Yard!F$107</f>
        <v>0</v>
      </c>
      <c r="G110" s="34">
        <f>(1-AMD!G$49)*Yard!G$107</f>
        <v>0</v>
      </c>
      <c r="H110" s="34">
        <f>(1-AMD!H$49)*Yard!H$107</f>
        <v>0</v>
      </c>
      <c r="I110" s="34">
        <f>(1-AMD!I$49)*Yard!I$107</f>
        <v>0</v>
      </c>
      <c r="J110" s="34">
        <f>(1-AMD!J$49)*Yard!J$107</f>
        <v>0</v>
      </c>
      <c r="K110" s="34">
        <f>(1-AMD!B$49)*Yard!K$107</f>
        <v>7.226141981729735E-3</v>
      </c>
      <c r="L110" s="34">
        <f>(1-AMD!C$49)*Yard!L$107</f>
        <v>2.3639158600824127E-2</v>
      </c>
      <c r="M110" s="34">
        <f>(1-AMD!D$49)*Yard!M$107</f>
        <v>9.3505964100899074E-3</v>
      </c>
      <c r="N110" s="34">
        <f>(1-AMD!E$49)*Yard!N$107</f>
        <v>1.9445023855635249E-2</v>
      </c>
      <c r="O110" s="34">
        <f>(1-AMD!F$49)*Yard!O$107</f>
        <v>0</v>
      </c>
      <c r="P110" s="34">
        <f>(1-AMD!G$49)*Yard!P$107</f>
        <v>0</v>
      </c>
      <c r="Q110" s="34">
        <f>(1-AMD!H$49)*Yard!Q$107</f>
        <v>0</v>
      </c>
      <c r="R110" s="34">
        <f>(1-AMD!I$49)*Yard!R$107</f>
        <v>0</v>
      </c>
      <c r="S110" s="34">
        <f>(1-AMD!J$49)*Yard!S$107</f>
        <v>0</v>
      </c>
      <c r="T110" s="17"/>
    </row>
    <row r="111" spans="1:20">
      <c r="A111" s="4" t="s">
        <v>186</v>
      </c>
      <c r="B111" s="34">
        <f>(1-AMD!B$50)*Yard!B$108</f>
        <v>0</v>
      </c>
      <c r="C111" s="34">
        <f>(1-AMD!C$50)*Yard!C$108</f>
        <v>0.17183059859999517</v>
      </c>
      <c r="D111" s="34">
        <f>(1-AMD!D$50)*Yard!D$108</f>
        <v>6.7968518065473785E-2</v>
      </c>
      <c r="E111" s="34">
        <f>(1-AMD!E$50)*Yard!E$108</f>
        <v>0.24185485407508911</v>
      </c>
      <c r="F111" s="34">
        <f>(1-AMD!F$50)*Yard!F$108</f>
        <v>0.15256286351623133</v>
      </c>
      <c r="G111" s="34">
        <f>(1-AMD!G$50)*Yard!G$108</f>
        <v>0</v>
      </c>
      <c r="H111" s="34">
        <f>(1-AMD!H$50)*Yard!H$108</f>
        <v>0.19388245097534265</v>
      </c>
      <c r="I111" s="34">
        <f>(1-AMD!I$50)*Yard!I$108</f>
        <v>0.17602983287655191</v>
      </c>
      <c r="J111" s="34">
        <f>(1-AMD!J$50)*Yard!J$108</f>
        <v>0</v>
      </c>
      <c r="K111" s="34">
        <f>(1-AMD!B$50)*Yard!K$108</f>
        <v>4.4189034742197437E-2</v>
      </c>
      <c r="L111" s="34">
        <f>(1-AMD!C$50)*Yard!L$108</f>
        <v>6.767737238150226E-2</v>
      </c>
      <c r="M111" s="34">
        <f>(1-AMD!D$50)*Yard!M$108</f>
        <v>2.6770148883925628E-2</v>
      </c>
      <c r="N111" s="34">
        <f>(1-AMD!E$50)*Yard!N$108</f>
        <v>9.5257196069118213E-2</v>
      </c>
      <c r="O111" s="34">
        <f>(1-AMD!F$50)*Yard!O$108</f>
        <v>6.008856286307894E-2</v>
      </c>
      <c r="P111" s="34">
        <f>(1-AMD!G$50)*Yard!P$108</f>
        <v>0</v>
      </c>
      <c r="Q111" s="34">
        <f>(1-AMD!H$50)*Yard!Q$108</f>
        <v>0.10908962448069552</v>
      </c>
      <c r="R111" s="34">
        <f>(1-AMD!I$50)*Yard!R$108</f>
        <v>9.9044695738578312E-2</v>
      </c>
      <c r="S111" s="34">
        <f>(1-AMD!J$50)*Yard!S$108</f>
        <v>0</v>
      </c>
      <c r="T111" s="17"/>
    </row>
    <row r="112" spans="1:20">
      <c r="A112" s="4" t="s">
        <v>187</v>
      </c>
      <c r="B112" s="34">
        <f>(1-AMD!B$51)*Yard!B$109</f>
        <v>0</v>
      </c>
      <c r="C112" s="34">
        <f>(1-AMD!C$51)*Yard!C$109</f>
        <v>0.15700203784356931</v>
      </c>
      <c r="D112" s="34">
        <f>(1-AMD!D$51)*Yard!D$109</f>
        <v>6.2103001051217549E-2</v>
      </c>
      <c r="E112" s="34">
        <f>(1-AMD!E$51)*Yard!E$109</f>
        <v>0.22097801788871321</v>
      </c>
      <c r="F112" s="34">
        <f>(1-AMD!F$51)*Yard!F$109</f>
        <v>0.13939368433257138</v>
      </c>
      <c r="G112" s="34">
        <f>(1-AMD!G$51)*Yard!G$109</f>
        <v>0</v>
      </c>
      <c r="H112" s="34">
        <f>(1-AMD!H$51)*Yard!H$109</f>
        <v>0.17714657778435597</v>
      </c>
      <c r="I112" s="34">
        <f>(1-AMD!I$51)*Yard!I$109</f>
        <v>0.16083499215717595</v>
      </c>
      <c r="J112" s="34">
        <f>(1-AMD!J$51)*Yard!J$109</f>
        <v>0</v>
      </c>
      <c r="K112" s="34">
        <f>(1-AMD!B$51)*Yard!K$109</f>
        <v>4.0407278899679225E-2</v>
      </c>
      <c r="L112" s="34">
        <f>(1-AMD!C$51)*Yard!L$109</f>
        <v>6.1836980528299508E-2</v>
      </c>
      <c r="M112" s="34">
        <f>(1-AMD!D$51)*Yard!M$109</f>
        <v>2.4459950453505516E-2</v>
      </c>
      <c r="N112" s="34">
        <f>(1-AMD!E$51)*Yard!N$109</f>
        <v>8.7034624372082758E-2</v>
      </c>
      <c r="O112" s="34">
        <f>(1-AMD!F$51)*Yard!O$109</f>
        <v>5.4901736705032206E-2</v>
      </c>
      <c r="P112" s="34">
        <f>(1-AMD!G$51)*Yard!P$109</f>
        <v>0</v>
      </c>
      <c r="Q112" s="34">
        <f>(1-AMD!H$51)*Yard!Q$109</f>
        <v>9.9673041842210791E-2</v>
      </c>
      <c r="R112" s="34">
        <f>(1-AMD!I$51)*Yard!R$109</f>
        <v>9.0495188241731625E-2</v>
      </c>
      <c r="S112" s="34">
        <f>(1-AMD!J$51)*Yard!S$109</f>
        <v>0</v>
      </c>
      <c r="T112" s="17"/>
    </row>
    <row r="113" spans="1:20">
      <c r="A113" s="4" t="s">
        <v>188</v>
      </c>
      <c r="B113" s="34">
        <f>(1-AMD!B$52)*Yard!B$110</f>
        <v>0</v>
      </c>
      <c r="C113" s="34">
        <f>(1-AMD!C$52)*Yard!C$110</f>
        <v>0.14081952708443113</v>
      </c>
      <c r="D113" s="34">
        <f>(1-AMD!D$52)*Yard!D$110</f>
        <v>5.5701921826453449E-2</v>
      </c>
      <c r="E113" s="34">
        <f>(1-AMD!E$52)*Yard!E$110</f>
        <v>0.19820583478038253</v>
      </c>
      <c r="F113" s="34">
        <f>(1-AMD!F$52)*Yard!F$110</f>
        <v>0.1250289138721685</v>
      </c>
      <c r="G113" s="34">
        <f>(1-AMD!G$52)*Yard!G$110</f>
        <v>0</v>
      </c>
      <c r="H113" s="34">
        <f>(1-AMD!H$52)*Yard!H$110</f>
        <v>0.12711304287621494</v>
      </c>
      <c r="I113" s="34">
        <f>(1-AMD!I$52)*Yard!I$110</f>
        <v>0</v>
      </c>
      <c r="J113" s="34">
        <f>(1-AMD!J$52)*Yard!J$110</f>
        <v>0</v>
      </c>
      <c r="K113" s="34">
        <f>(1-AMD!B$52)*Yard!K$110</f>
        <v>3.6231969145594872E-2</v>
      </c>
      <c r="L113" s="34">
        <f>(1-AMD!C$52)*Yard!L$110</f>
        <v>5.5463320565306791E-2</v>
      </c>
      <c r="M113" s="34">
        <f>(1-AMD!D$52)*Yard!M$110</f>
        <v>2.1938814952218437E-2</v>
      </c>
      <c r="N113" s="34">
        <f>(1-AMD!E$52)*Yard!N$110</f>
        <v>7.8065549430139949E-2</v>
      </c>
      <c r="O113" s="34">
        <f>(1-AMD!F$52)*Yard!O$110</f>
        <v>4.924401376427353E-2</v>
      </c>
      <c r="P113" s="34">
        <f>(1-AMD!G$52)*Yard!P$110</f>
        <v>0</v>
      </c>
      <c r="Q113" s="34">
        <f>(1-AMD!H$52)*Yard!Q$110</f>
        <v>7.1521244156998828E-2</v>
      </c>
      <c r="R113" s="34">
        <f>(1-AMD!I$52)*Yard!R$110</f>
        <v>0</v>
      </c>
      <c r="S113" s="34">
        <f>(1-AMD!J$52)*Yard!S$110</f>
        <v>0</v>
      </c>
      <c r="T113" s="17"/>
    </row>
    <row r="114" spans="1:20">
      <c r="A114" s="4" t="s">
        <v>189</v>
      </c>
      <c r="B114" s="34">
        <f>(1-AMD!B$53)*Yard!B$111</f>
        <v>0</v>
      </c>
      <c r="C114" s="34">
        <f>(1-AMD!C$53)*Yard!C$111</f>
        <v>0.13135811439787354</v>
      </c>
      <c r="D114" s="34">
        <f>(1-AMD!D$53)*Yard!D$111</f>
        <v>5.1959409117129686E-2</v>
      </c>
      <c r="E114" s="34">
        <f>(1-AMD!E$53)*Yard!E$111</f>
        <v>0.18488873850426404</v>
      </c>
      <c r="F114" s="34">
        <f>(1-AMD!F$53)*Yard!F$111</f>
        <v>0.11662844430385794</v>
      </c>
      <c r="G114" s="34">
        <f>(1-AMD!G$53)*Yard!G$111</f>
        <v>0</v>
      </c>
      <c r="H114" s="34">
        <f>(1-AMD!H$53)*Yard!H$111</f>
        <v>0</v>
      </c>
      <c r="I114" s="34">
        <f>(1-AMD!I$53)*Yard!I$111</f>
        <v>0</v>
      </c>
      <c r="J114" s="34">
        <f>(1-AMD!J$53)*Yard!J$111</f>
        <v>0</v>
      </c>
      <c r="K114" s="34">
        <f>(1-AMD!B$53)*Yard!K$111</f>
        <v>3.3797607806435141E-2</v>
      </c>
      <c r="L114" s="34">
        <f>(1-AMD!C$53)*Yard!L$111</f>
        <v>5.1736839048857924E-2</v>
      </c>
      <c r="M114" s="34">
        <f>(1-AMD!D$53)*Yard!M$111</f>
        <v>2.046478513252941E-2</v>
      </c>
      <c r="N114" s="34">
        <f>(1-AMD!E$53)*Yard!N$111</f>
        <v>7.2820464497291362E-2</v>
      </c>
      <c r="O114" s="34">
        <f>(1-AMD!F$53)*Yard!O$111</f>
        <v>4.5935396371410371E-2</v>
      </c>
      <c r="P114" s="34">
        <f>(1-AMD!G$53)*Yard!P$111</f>
        <v>0</v>
      </c>
      <c r="Q114" s="34">
        <f>(1-AMD!H$53)*Yard!Q$111</f>
        <v>0</v>
      </c>
      <c r="R114" s="34">
        <f>(1-AMD!I$53)*Yard!R$111</f>
        <v>0</v>
      </c>
      <c r="S114" s="34">
        <f>(1-AMD!J$53)*Yard!S$111</f>
        <v>0</v>
      </c>
      <c r="T114" s="17"/>
    </row>
    <row r="115" spans="1:20">
      <c r="A115" s="4" t="s">
        <v>206</v>
      </c>
      <c r="B115" s="34">
        <f>(1-AMD!B$54)*Yard!B$112</f>
        <v>0</v>
      </c>
      <c r="C115" s="34">
        <f>(1-AMD!C$54)*Yard!C$112</f>
        <v>0.11759713766650093</v>
      </c>
      <c r="D115" s="34">
        <f>(1-AMD!D$54)*Yard!D$112</f>
        <v>4.6516180709701628E-2</v>
      </c>
      <c r="E115" s="34">
        <f>(1-AMD!E$54)*Yard!E$112</f>
        <v>0.13241594725707237</v>
      </c>
      <c r="F115" s="34">
        <f>(1-AMD!F$54)*Yard!F$112</f>
        <v>0</v>
      </c>
      <c r="G115" s="34">
        <f>(1-AMD!G$54)*Yard!G$112</f>
        <v>0</v>
      </c>
      <c r="H115" s="34">
        <f>(1-AMD!H$54)*Yard!H$112</f>
        <v>0</v>
      </c>
      <c r="I115" s="34">
        <f>(1-AMD!I$54)*Yard!I$112</f>
        <v>0</v>
      </c>
      <c r="J115" s="34">
        <f>(1-AMD!J$54)*Yard!J$112</f>
        <v>0</v>
      </c>
      <c r="K115" s="34">
        <f>(1-AMD!B$54)*Yard!K$112</f>
        <v>3.0256995970369235E-2</v>
      </c>
      <c r="L115" s="34">
        <f>(1-AMD!C$54)*Yard!L$112</f>
        <v>4.6316926913474624E-2</v>
      </c>
      <c r="M115" s="34">
        <f>(1-AMD!D$54)*Yard!M$112</f>
        <v>1.8320909717507192E-2</v>
      </c>
      <c r="N115" s="34">
        <f>(1-AMD!E$54)*Yard!N$112</f>
        <v>5.2153478162686798E-2</v>
      </c>
      <c r="O115" s="34">
        <f>(1-AMD!F$54)*Yard!O$112</f>
        <v>0</v>
      </c>
      <c r="P115" s="34">
        <f>(1-AMD!G$54)*Yard!P$112</f>
        <v>0</v>
      </c>
      <c r="Q115" s="34">
        <f>(1-AMD!H$54)*Yard!Q$112</f>
        <v>0</v>
      </c>
      <c r="R115" s="34">
        <f>(1-AMD!I$54)*Yard!R$112</f>
        <v>0</v>
      </c>
      <c r="S115" s="34">
        <f>(1-AMD!J$54)*Yard!S$112</f>
        <v>0</v>
      </c>
      <c r="T115" s="17"/>
    </row>
    <row r="116" spans="1:20">
      <c r="A116" s="4" t="s">
        <v>232</v>
      </c>
      <c r="B116" s="34">
        <f>(1-AMD!B$59)*Yard!B$113</f>
        <v>0</v>
      </c>
      <c r="C116" s="34">
        <f>(1-AMD!C$59)*Yard!C$113</f>
        <v>0.13598079677452737</v>
      </c>
      <c r="D116" s="34">
        <f>(1-AMD!D$59)*Yard!D$113</f>
        <v>5.3787936010409959E-2</v>
      </c>
      <c r="E116" s="34">
        <f>(1-AMD!E$59)*Yard!E$113</f>
        <v>0.18607697216152</v>
      </c>
      <c r="F116" s="34">
        <f>(1-AMD!F$59)*Yard!F$113</f>
        <v>0.11737798613120967</v>
      </c>
      <c r="G116" s="34">
        <f>(1-AMD!G$59)*Yard!G$113</f>
        <v>0</v>
      </c>
      <c r="H116" s="34">
        <f>(1-AMD!H$59)*Yard!H$113</f>
        <v>0.14916822559015161</v>
      </c>
      <c r="I116" s="34">
        <f>(1-AMD!I$59)*Yard!I$113</f>
        <v>0.13543287537903884</v>
      </c>
      <c r="J116" s="34">
        <f>(1-AMD!J$59)*Yard!J$113</f>
        <v>3.2176628679357472E-3</v>
      </c>
      <c r="K116" s="34">
        <f>(1-AMD!B$59)*Yard!K$113</f>
        <v>3.5115934547945392E-2</v>
      </c>
      <c r="L116" s="34">
        <f>(1-AMD!C$59)*Yard!L$113</f>
        <v>5.3557533378943409E-2</v>
      </c>
      <c r="M116" s="34">
        <f>(1-AMD!D$59)*Yard!M$113</f>
        <v>2.1184970573739439E-2</v>
      </c>
      <c r="N116" s="34">
        <f>(1-AMD!E$59)*Yard!N$113</f>
        <v>7.3288463400592307E-2</v>
      </c>
      <c r="O116" s="34">
        <f>(1-AMD!F$59)*Yard!O$113</f>
        <v>4.6230611669375338E-2</v>
      </c>
      <c r="P116" s="34">
        <f>(1-AMD!G$59)*Yard!P$113</f>
        <v>0</v>
      </c>
      <c r="Q116" s="34">
        <f>(1-AMD!H$59)*Yard!Q$113</f>
        <v>8.3930781936271417E-2</v>
      </c>
      <c r="R116" s="34">
        <f>(1-AMD!I$59)*Yard!R$113</f>
        <v>7.6202469295785474E-2</v>
      </c>
      <c r="S116" s="34">
        <f>(1-AMD!J$59)*Yard!S$113</f>
        <v>4.2243731109915368E-2</v>
      </c>
      <c r="T116" s="17"/>
    </row>
    <row r="118" spans="1:20" ht="21" customHeight="1">
      <c r="A118" s="1" t="s">
        <v>1035</v>
      </c>
    </row>
    <row r="119" spans="1:20">
      <c r="A119" s="2" t="s">
        <v>379</v>
      </c>
    </row>
    <row r="120" spans="1:20">
      <c r="A120" s="29" t="s">
        <v>1022</v>
      </c>
    </row>
    <row r="121" spans="1:20">
      <c r="A121" s="29" t="s">
        <v>1036</v>
      </c>
    </row>
    <row r="122" spans="1:20">
      <c r="A122" s="2" t="s">
        <v>1030</v>
      </c>
    </row>
    <row r="124" spans="1:20" ht="30">
      <c r="B124" s="15" t="s">
        <v>148</v>
      </c>
      <c r="C124" s="15" t="s">
        <v>333</v>
      </c>
      <c r="D124" s="15" t="s">
        <v>334</v>
      </c>
      <c r="E124" s="15" t="s">
        <v>335</v>
      </c>
      <c r="F124" s="15" t="s">
        <v>336</v>
      </c>
      <c r="G124" s="15" t="s">
        <v>337</v>
      </c>
      <c r="H124" s="15" t="s">
        <v>338</v>
      </c>
      <c r="I124" s="15" t="s">
        <v>339</v>
      </c>
      <c r="J124" s="15" t="s">
        <v>340</v>
      </c>
      <c r="K124" s="15" t="s">
        <v>321</v>
      </c>
      <c r="L124" s="15" t="s">
        <v>909</v>
      </c>
      <c r="M124" s="15" t="s">
        <v>910</v>
      </c>
      <c r="N124" s="15" t="s">
        <v>911</v>
      </c>
      <c r="O124" s="15" t="s">
        <v>912</v>
      </c>
      <c r="P124" s="15" t="s">
        <v>913</v>
      </c>
      <c r="Q124" s="15" t="s">
        <v>914</v>
      </c>
      <c r="R124" s="15" t="s">
        <v>915</v>
      </c>
      <c r="S124" s="15" t="s">
        <v>916</v>
      </c>
    </row>
    <row r="125" spans="1:20">
      <c r="A125" s="4" t="s">
        <v>186</v>
      </c>
      <c r="B125" s="34">
        <f>(1-AMD!B$50)*Yard!B$131</f>
        <v>0</v>
      </c>
      <c r="C125" s="34">
        <f>(1-AMD!C$50)*Yard!C$131</f>
        <v>2.6141282338777608E-2</v>
      </c>
      <c r="D125" s="34">
        <f>(1-AMD!D$50)*Yard!D$131</f>
        <v>1.0340324921023155E-2</v>
      </c>
      <c r="E125" s="34">
        <f>(1-AMD!E$50)*Yard!E$131</f>
        <v>2.6879062561511749E-2</v>
      </c>
      <c r="F125" s="34">
        <f>(1-AMD!F$50)*Yard!F$131</f>
        <v>1.6955403970279604E-2</v>
      </c>
      <c r="G125" s="34">
        <f>(1-AMD!G$50)*Yard!G$131</f>
        <v>0</v>
      </c>
      <c r="H125" s="34">
        <f>(1-AMD!H$50)*Yard!H$131</f>
        <v>2.1547545734713607E-2</v>
      </c>
      <c r="I125" s="34">
        <f>(1-AMD!I$50)*Yard!I$131</f>
        <v>1.9563456390717278E-2</v>
      </c>
      <c r="J125" s="34">
        <f>(1-AMD!J$50)*Yard!J$131</f>
        <v>0</v>
      </c>
      <c r="K125" s="34">
        <f>(1-AMD!B$50)*Yard!K$131</f>
        <v>3.1457869389186731E-3</v>
      </c>
      <c r="L125" s="34">
        <f>(1-AMD!C$50)*Yard!L$131</f>
        <v>1.0296031753284541E-2</v>
      </c>
      <c r="M125" s="34">
        <f>(1-AMD!D$50)*Yard!M$131</f>
        <v>4.072650773072682E-3</v>
      </c>
      <c r="N125" s="34">
        <f>(1-AMD!E$50)*Yard!N$131</f>
        <v>1.0586614613825696E-2</v>
      </c>
      <c r="O125" s="34">
        <f>(1-AMD!F$50)*Yard!O$131</f>
        <v>6.6780724604625042E-3</v>
      </c>
      <c r="P125" s="34">
        <f>(1-AMD!G$50)*Yard!P$131</f>
        <v>0</v>
      </c>
      <c r="Q125" s="34">
        <f>(1-AMD!H$50)*Yard!Q$131</f>
        <v>1.2123911477575987E-2</v>
      </c>
      <c r="R125" s="34">
        <f>(1-AMD!I$50)*Yard!R$131</f>
        <v>1.1007546585426796E-2</v>
      </c>
      <c r="S125" s="34">
        <f>(1-AMD!J$50)*Yard!S$131</f>
        <v>0</v>
      </c>
      <c r="T125" s="17"/>
    </row>
    <row r="126" spans="1:20">
      <c r="A126" s="4" t="s">
        <v>187</v>
      </c>
      <c r="B126" s="34">
        <f>(1-AMD!B$51)*Yard!B$132</f>
        <v>0</v>
      </c>
      <c r="C126" s="34">
        <f>(1-AMD!C$51)*Yard!C$132</f>
        <v>2.3885353554441421E-2</v>
      </c>
      <c r="D126" s="34">
        <f>(1-AMD!D$51)*Yard!D$132</f>
        <v>9.4479801490101201E-3</v>
      </c>
      <c r="E126" s="34">
        <f>(1-AMD!E$51)*Yard!E$132</f>
        <v>2.4558870196194123E-2</v>
      </c>
      <c r="F126" s="34">
        <f>(1-AMD!F$51)*Yard!F$132</f>
        <v>1.5491818744690316E-2</v>
      </c>
      <c r="G126" s="34">
        <f>(1-AMD!G$51)*Yard!G$132</f>
        <v>0</v>
      </c>
      <c r="H126" s="34">
        <f>(1-AMD!H$51)*Yard!H$132</f>
        <v>1.9687568252589587E-2</v>
      </c>
      <c r="I126" s="34">
        <f>(1-AMD!I$51)*Yard!I$132</f>
        <v>1.7874744886992366E-2</v>
      </c>
      <c r="J126" s="34">
        <f>(1-AMD!J$51)*Yard!J$132</f>
        <v>0</v>
      </c>
      <c r="K126" s="34">
        <f>(1-AMD!B$51)*Yard!K$132</f>
        <v>2.8765663459598321E-3</v>
      </c>
      <c r="L126" s="34">
        <f>(1-AMD!C$51)*Yard!L$132</f>
        <v>9.4075093734080524E-3</v>
      </c>
      <c r="M126" s="34">
        <f>(1-AMD!D$51)*Yard!M$132</f>
        <v>3.7211909637007872E-3</v>
      </c>
      <c r="N126" s="34">
        <f>(1-AMD!E$51)*Yard!N$132</f>
        <v>9.6727813153114038E-3</v>
      </c>
      <c r="O126" s="34">
        <f>(1-AMD!F$51)*Yard!O$132</f>
        <v>6.1016233115256851E-3</v>
      </c>
      <c r="P126" s="34">
        <f>(1-AMD!G$51)*Yard!P$132</f>
        <v>0</v>
      </c>
      <c r="Q126" s="34">
        <f>(1-AMD!H$51)*Yard!Q$132</f>
        <v>1.1077379189342927E-2</v>
      </c>
      <c r="R126" s="34">
        <f>(1-AMD!I$51)*Yard!R$132</f>
        <v>1.0057378569338481E-2</v>
      </c>
      <c r="S126" s="34">
        <f>(1-AMD!J$51)*Yard!S$132</f>
        <v>0</v>
      </c>
      <c r="T126" s="17"/>
    </row>
    <row r="127" spans="1:20">
      <c r="A127" s="4" t="s">
        <v>188</v>
      </c>
      <c r="B127" s="34">
        <f>(1-AMD!B$52)*Yard!B$133</f>
        <v>0</v>
      </c>
      <c r="C127" s="34">
        <f>(1-AMD!C$52)*Yard!C$133</f>
        <v>2.1423442892710483E-2</v>
      </c>
      <c r="D127" s="34">
        <f>(1-AMD!D$52)*Yard!D$133</f>
        <v>8.4741581368027608E-3</v>
      </c>
      <c r="E127" s="34">
        <f>(1-AMD!E$52)*Yard!E$133</f>
        <v>2.2028034349331264E-2</v>
      </c>
      <c r="F127" s="34">
        <f>(1-AMD!F$52)*Yard!F$133</f>
        <v>1.3895358895399683E-2</v>
      </c>
      <c r="G127" s="34">
        <f>(1-AMD!G$52)*Yard!G$133</f>
        <v>0</v>
      </c>
      <c r="H127" s="34">
        <f>(1-AMD!H$52)*Yard!H$133</f>
        <v>1.4126983082146969E-2</v>
      </c>
      <c r="I127" s="34">
        <f>(1-AMD!I$52)*Yard!I$133</f>
        <v>0</v>
      </c>
      <c r="J127" s="34">
        <f>(1-AMD!J$52)*Yard!J$133</f>
        <v>0</v>
      </c>
      <c r="K127" s="34">
        <f>(1-AMD!B$52)*Yard!K$133</f>
        <v>2.57932892117862E-3</v>
      </c>
      <c r="L127" s="34">
        <f>(1-AMD!C$52)*Yard!L$133</f>
        <v>8.4378587641366458E-3</v>
      </c>
      <c r="M127" s="34">
        <f>(1-AMD!D$52)*Yard!M$133</f>
        <v>3.3376404465610358E-3</v>
      </c>
      <c r="N127" s="34">
        <f>(1-AMD!E$52)*Yard!N$133</f>
        <v>8.6759837633031255E-3</v>
      </c>
      <c r="O127" s="34">
        <f>(1-AMD!F$52)*Yard!O$133</f>
        <v>5.4728400296605315E-3</v>
      </c>
      <c r="P127" s="34">
        <f>(1-AMD!G$52)*Yard!P$133</f>
        <v>0</v>
      </c>
      <c r="Q127" s="34">
        <f>(1-AMD!H$52)*Yard!Q$133</f>
        <v>7.9486682354378956E-3</v>
      </c>
      <c r="R127" s="34">
        <f>(1-AMD!I$52)*Yard!R$133</f>
        <v>0</v>
      </c>
      <c r="S127" s="34">
        <f>(1-AMD!J$52)*Yard!S$133</f>
        <v>0</v>
      </c>
      <c r="T127" s="17"/>
    </row>
    <row r="128" spans="1:20">
      <c r="A128" s="4" t="s">
        <v>189</v>
      </c>
      <c r="B128" s="34">
        <f>(1-AMD!B$53)*Yard!B$134</f>
        <v>0</v>
      </c>
      <c r="C128" s="34">
        <f>(1-AMD!C$53)*Yard!C$134</f>
        <v>1.9984040001850733E-2</v>
      </c>
      <c r="D128" s="34">
        <f>(1-AMD!D$53)*Yard!D$134</f>
        <v>7.9047945764822627E-3</v>
      </c>
      <c r="E128" s="34">
        <f>(1-AMD!E$53)*Yard!E$134</f>
        <v>2.0548010037591252E-2</v>
      </c>
      <c r="F128" s="34">
        <f>(1-AMD!F$53)*Yard!F$134</f>
        <v>1.2961754532004967E-2</v>
      </c>
      <c r="G128" s="34">
        <f>(1-AMD!G$53)*Yard!G$134</f>
        <v>0</v>
      </c>
      <c r="H128" s="34">
        <f>(1-AMD!H$53)*Yard!H$134</f>
        <v>0</v>
      </c>
      <c r="I128" s="34">
        <f>(1-AMD!I$53)*Yard!I$134</f>
        <v>0</v>
      </c>
      <c r="J128" s="34">
        <f>(1-AMD!J$53)*Yard!J$134</f>
        <v>0</v>
      </c>
      <c r="K128" s="34">
        <f>(1-AMD!B$53)*Yard!K$134</f>
        <v>2.4060284146159732E-3</v>
      </c>
      <c r="L128" s="34">
        <f>(1-AMD!C$53)*Yard!L$134</f>
        <v>7.8709340938775459E-3</v>
      </c>
      <c r="M128" s="34">
        <f>(1-AMD!D$53)*Yard!M$134</f>
        <v>3.11339034206149E-3</v>
      </c>
      <c r="N128" s="34">
        <f>(1-AMD!E$53)*Yard!N$134</f>
        <v>8.0930598993615363E-3</v>
      </c>
      <c r="O128" s="34">
        <f>(1-AMD!F$53)*Yard!O$134</f>
        <v>5.1051296761306245E-3</v>
      </c>
      <c r="P128" s="34">
        <f>(1-AMD!G$53)*Yard!P$134</f>
        <v>0</v>
      </c>
      <c r="Q128" s="34">
        <f>(1-AMD!H$53)*Yard!Q$134</f>
        <v>0</v>
      </c>
      <c r="R128" s="34">
        <f>(1-AMD!I$53)*Yard!R$134</f>
        <v>0</v>
      </c>
      <c r="S128" s="34">
        <f>(1-AMD!J$53)*Yard!S$134</f>
        <v>0</v>
      </c>
      <c r="T128" s="17"/>
    </row>
    <row r="129" spans="1:20">
      <c r="A129" s="4" t="s">
        <v>206</v>
      </c>
      <c r="B129" s="34">
        <f>(1-AMD!B$54)*Yard!B$135</f>
        <v>0</v>
      </c>
      <c r="C129" s="34">
        <f>(1-AMD!C$54)*Yard!C$135</f>
        <v>1.7890527083179154E-2</v>
      </c>
      <c r="D129" s="34">
        <f>(1-AMD!D$54)*Yard!D$135</f>
        <v>7.0766942742521797E-3</v>
      </c>
      <c r="E129" s="34">
        <f>(1-AMD!E$54)*Yard!E$135</f>
        <v>1.4716332835559518E-2</v>
      </c>
      <c r="F129" s="34">
        <f>(1-AMD!F$54)*Yard!F$135</f>
        <v>0</v>
      </c>
      <c r="G129" s="34">
        <f>(1-AMD!G$54)*Yard!G$135</f>
        <v>0</v>
      </c>
      <c r="H129" s="34">
        <f>(1-AMD!H$54)*Yard!H$135</f>
        <v>0</v>
      </c>
      <c r="I129" s="34">
        <f>(1-AMD!I$54)*Yard!I$135</f>
        <v>0</v>
      </c>
      <c r="J129" s="34">
        <f>(1-AMD!J$54)*Yard!J$135</f>
        <v>0</v>
      </c>
      <c r="K129" s="34">
        <f>(1-AMD!B$54)*Yard!K$135</f>
        <v>2.1539746973384382E-3</v>
      </c>
      <c r="L129" s="34">
        <f>(1-AMD!C$54)*Yard!L$135</f>
        <v>7.0463809901998523E-3</v>
      </c>
      <c r="M129" s="34">
        <f>(1-AMD!D$54)*Yard!M$135</f>
        <v>2.7872339241715428E-3</v>
      </c>
      <c r="N129" s="34">
        <f>(1-AMD!E$54)*Yard!N$135</f>
        <v>5.7961896514182199E-3</v>
      </c>
      <c r="O129" s="34">
        <f>(1-AMD!F$54)*Yard!O$135</f>
        <v>0</v>
      </c>
      <c r="P129" s="34">
        <f>(1-AMD!G$54)*Yard!P$135</f>
        <v>0</v>
      </c>
      <c r="Q129" s="34">
        <f>(1-AMD!H$54)*Yard!Q$135</f>
        <v>0</v>
      </c>
      <c r="R129" s="34">
        <f>(1-AMD!I$54)*Yard!R$135</f>
        <v>0</v>
      </c>
      <c r="S129" s="34">
        <f>(1-AMD!J$54)*Yard!S$135</f>
        <v>0</v>
      </c>
      <c r="T129" s="17"/>
    </row>
    <row r="130" spans="1:20">
      <c r="A130" s="4" t="s">
        <v>232</v>
      </c>
      <c r="B130" s="34">
        <f>(1-AMD!B$59)*Yard!B$136</f>
        <v>0</v>
      </c>
      <c r="C130" s="34">
        <f>(1-AMD!C$59)*Yard!C$136</f>
        <v>2.2044682214783652E-2</v>
      </c>
      <c r="D130" s="34">
        <f>(1-AMD!D$59)*Yard!D$136</f>
        <v>8.7198926941478589E-3</v>
      </c>
      <c r="E130" s="34">
        <f>(1-AMD!E$59)*Yard!E$136</f>
        <v>2.2666805680079387E-2</v>
      </c>
      <c r="F130" s="34">
        <f>(1-AMD!F$59)*Yard!F$136</f>
        <v>1.4298298020701466E-2</v>
      </c>
      <c r="G130" s="34">
        <f>(1-AMD!G$59)*Yard!G$136</f>
        <v>0</v>
      </c>
      <c r="H130" s="34">
        <f>(1-AMD!H$59)*Yard!H$136</f>
        <v>1.817079858844256E-2</v>
      </c>
      <c r="I130" s="34">
        <f>(1-AMD!I$59)*Yard!I$136</f>
        <v>1.6497638763416589E-2</v>
      </c>
      <c r="J130" s="34">
        <f>(1-AMD!J$59)*Yard!J$136</f>
        <v>3.919568236965811E-4</v>
      </c>
      <c r="K130" s="34">
        <f>(1-AMD!B$59)*Yard!K$136</f>
        <v>2.6541245811676105E-3</v>
      </c>
      <c r="L130" s="34">
        <f>(1-AMD!C$59)*Yard!L$136</f>
        <v>8.6825407083336269E-3</v>
      </c>
      <c r="M130" s="34">
        <f>(1-AMD!D$59)*Yard!M$136</f>
        <v>3.4344257064620517E-3</v>
      </c>
      <c r="N130" s="34">
        <f>(1-AMD!E$59)*Yard!N$136</f>
        <v>8.9275708820694636E-3</v>
      </c>
      <c r="O130" s="34">
        <f>(1-AMD!F$59)*Yard!O$136</f>
        <v>5.6315420388038922E-3</v>
      </c>
      <c r="P130" s="34">
        <f>(1-AMD!G$59)*Yard!P$136</f>
        <v>0</v>
      </c>
      <c r="Q130" s="34">
        <f>(1-AMD!H$59)*Yard!Q$136</f>
        <v>1.022395572449023E-2</v>
      </c>
      <c r="R130" s="34">
        <f>(1-AMD!I$59)*Yard!R$136</f>
        <v>9.2825379938495031E-3</v>
      </c>
      <c r="S130" s="34">
        <f>(1-AMD!J$59)*Yard!S$136</f>
        <v>5.1458836262598525E-3</v>
      </c>
      <c r="T130" s="17"/>
    </row>
    <row r="132" spans="1:20" ht="21" customHeight="1">
      <c r="A132" s="1" t="s">
        <v>1037</v>
      </c>
    </row>
    <row r="133" spans="1:20">
      <c r="A133" s="2" t="s">
        <v>379</v>
      </c>
    </row>
    <row r="134" spans="1:20">
      <c r="A134" s="29" t="s">
        <v>1022</v>
      </c>
    </row>
    <row r="135" spans="1:20">
      <c r="A135" s="29" t="s">
        <v>1023</v>
      </c>
    </row>
    <row r="136" spans="1:20">
      <c r="A136" s="29" t="s">
        <v>1024</v>
      </c>
    </row>
    <row r="137" spans="1:20">
      <c r="A137" s="29" t="s">
        <v>1025</v>
      </c>
    </row>
    <row r="138" spans="1:20">
      <c r="A138" s="29" t="s">
        <v>773</v>
      </c>
    </row>
    <row r="139" spans="1:20">
      <c r="A139" s="2" t="s">
        <v>1038</v>
      </c>
    </row>
    <row r="141" spans="1:20" ht="30">
      <c r="B141" s="15" t="s">
        <v>148</v>
      </c>
      <c r="C141" s="15" t="s">
        <v>333</v>
      </c>
      <c r="D141" s="15" t="s">
        <v>334</v>
      </c>
      <c r="E141" s="15" t="s">
        <v>335</v>
      </c>
      <c r="F141" s="15" t="s">
        <v>336</v>
      </c>
      <c r="G141" s="15" t="s">
        <v>337</v>
      </c>
      <c r="H141" s="15" t="s">
        <v>338</v>
      </c>
      <c r="I141" s="15" t="s">
        <v>339</v>
      </c>
      <c r="J141" s="15" t="s">
        <v>340</v>
      </c>
      <c r="K141" s="15" t="s">
        <v>321</v>
      </c>
      <c r="L141" s="15" t="s">
        <v>909</v>
      </c>
      <c r="M141" s="15" t="s">
        <v>910</v>
      </c>
      <c r="N141" s="15" t="s">
        <v>911</v>
      </c>
      <c r="O141" s="15" t="s">
        <v>912</v>
      </c>
      <c r="P141" s="15" t="s">
        <v>913</v>
      </c>
      <c r="Q141" s="15" t="s">
        <v>914</v>
      </c>
      <c r="R141" s="15" t="s">
        <v>915</v>
      </c>
      <c r="S141" s="15" t="s">
        <v>916</v>
      </c>
    </row>
    <row r="142" spans="1:20">
      <c r="A142" s="4" t="s">
        <v>180</v>
      </c>
      <c r="B142" s="34">
        <f>100*AMD!B41*LAFs!B$261*B$11*Input!$E$60/Input!$F$60</f>
        <v>0</v>
      </c>
      <c r="C142" s="34">
        <f>100*AMD!C41*LAFs!C$261*C$11*Input!$E$60/Input!$F$60</f>
        <v>0</v>
      </c>
      <c r="D142" s="34">
        <f>100*AMD!D41*LAFs!D$261*D$11*Input!$E$60/Input!$F$60</f>
        <v>0</v>
      </c>
      <c r="E142" s="34">
        <f>100*AMD!E41*LAFs!E$261*E$11*Input!$E$60/Input!$F$60</f>
        <v>0</v>
      </c>
      <c r="F142" s="34">
        <f>100*AMD!F41*LAFs!F$261*F$11*Input!$E$60/Input!$F$60</f>
        <v>0</v>
      </c>
      <c r="G142" s="34">
        <f>100*AMD!G41*LAFs!G$261*G$11*Input!$E$60/Input!$F$60</f>
        <v>0</v>
      </c>
      <c r="H142" s="34">
        <f>100*AMD!H41*LAFs!H$261*H$11*Input!$E$60/Input!$F$60</f>
        <v>0</v>
      </c>
      <c r="I142" s="34">
        <f>100*AMD!I41*LAFs!I$261*I$11*Input!$E$60/Input!$F$60</f>
        <v>0</v>
      </c>
      <c r="J142" s="34">
        <f>100*AMD!J41*LAFs!J$261*J$11*Input!$E$60/Input!$F$60</f>
        <v>1.0639957468554841</v>
      </c>
      <c r="K142" s="34">
        <f>100*AMD!B41*LAFs!B$261*K$11*Input!$E$60/Input!$F$60</f>
        <v>0</v>
      </c>
      <c r="L142" s="34">
        <f>100*AMD!C41*LAFs!C$261*L$11*Input!$E$60/Input!$F$60</f>
        <v>0</v>
      </c>
      <c r="M142" s="34">
        <f>100*AMD!D41*LAFs!D$261*M$11*Input!$E$60/Input!$F$60</f>
        <v>0</v>
      </c>
      <c r="N142" s="34">
        <f>100*AMD!E41*LAFs!E$261*N$11*Input!$E$60/Input!$F$60</f>
        <v>0</v>
      </c>
      <c r="O142" s="34">
        <f>100*AMD!F41*LAFs!F$261*O$11*Input!$E$60/Input!$F$60</f>
        <v>0</v>
      </c>
      <c r="P142" s="34">
        <f>100*AMD!G41*LAFs!G$261*P$11*Input!$E$60/Input!$F$60</f>
        <v>0</v>
      </c>
      <c r="Q142" s="34">
        <f>100*AMD!H41*LAFs!H$261*Q$11*Input!$E$60/Input!$F$60</f>
        <v>0</v>
      </c>
      <c r="R142" s="34">
        <f>100*AMD!I41*LAFs!I$261*R$11*Input!$E$60/Input!$F$60</f>
        <v>0</v>
      </c>
      <c r="S142" s="34">
        <f>100*AMD!J41*LAFs!J$261*S$11*Input!$E$60/Input!$F$60</f>
        <v>0.41906643495959539</v>
      </c>
      <c r="T142" s="17"/>
    </row>
    <row r="143" spans="1:20">
      <c r="A143" s="4" t="s">
        <v>181</v>
      </c>
      <c r="B143" s="34">
        <f>100*AMD!B42*LAFs!B$262*B$11*Input!$E$60/Input!$F$60</f>
        <v>0</v>
      </c>
      <c r="C143" s="34">
        <f>100*AMD!C42*LAFs!C$262*C$11*Input!$E$60/Input!$F$60</f>
        <v>0</v>
      </c>
      <c r="D143" s="34">
        <f>100*AMD!D42*LAFs!D$262*D$11*Input!$E$60/Input!$F$60</f>
        <v>0</v>
      </c>
      <c r="E143" s="34">
        <f>100*AMD!E42*LAFs!E$262*E$11*Input!$E$60/Input!$F$60</f>
        <v>0</v>
      </c>
      <c r="F143" s="34">
        <f>100*AMD!F42*LAFs!F$262*F$11*Input!$E$60/Input!$F$60</f>
        <v>0</v>
      </c>
      <c r="G143" s="34">
        <f>100*AMD!G42*LAFs!G$262*G$11*Input!$E$60/Input!$F$60</f>
        <v>0</v>
      </c>
      <c r="H143" s="34">
        <f>100*AMD!H42*LAFs!H$262*H$11*Input!$E$60/Input!$F$60</f>
        <v>0</v>
      </c>
      <c r="I143" s="34">
        <f>100*AMD!I42*LAFs!I$262*I$11*Input!$E$60/Input!$F$60</f>
        <v>0</v>
      </c>
      <c r="J143" s="34">
        <f>100*AMD!J42*LAFs!J$262*J$11*Input!$E$60/Input!$F$60</f>
        <v>1.0639957468554841</v>
      </c>
      <c r="K143" s="34">
        <f>100*AMD!B42*LAFs!B$262*K$11*Input!$E$60/Input!$F$60</f>
        <v>0</v>
      </c>
      <c r="L143" s="34">
        <f>100*AMD!C42*LAFs!C$262*L$11*Input!$E$60/Input!$F$60</f>
        <v>0</v>
      </c>
      <c r="M143" s="34">
        <f>100*AMD!D42*LAFs!D$262*M$11*Input!$E$60/Input!$F$60</f>
        <v>0</v>
      </c>
      <c r="N143" s="34">
        <f>100*AMD!E42*LAFs!E$262*N$11*Input!$E$60/Input!$F$60</f>
        <v>0</v>
      </c>
      <c r="O143" s="34">
        <f>100*AMD!F42*LAFs!F$262*O$11*Input!$E$60/Input!$F$60</f>
        <v>0</v>
      </c>
      <c r="P143" s="34">
        <f>100*AMD!G42*LAFs!G$262*P$11*Input!$E$60/Input!$F$60</f>
        <v>0</v>
      </c>
      <c r="Q143" s="34">
        <f>100*AMD!H42*LAFs!H$262*Q$11*Input!$E$60/Input!$F$60</f>
        <v>0</v>
      </c>
      <c r="R143" s="34">
        <f>100*AMD!I42*LAFs!I$262*R$11*Input!$E$60/Input!$F$60</f>
        <v>0</v>
      </c>
      <c r="S143" s="34">
        <f>100*AMD!J42*LAFs!J$262*S$11*Input!$E$60/Input!$F$60</f>
        <v>0.41906643495959539</v>
      </c>
      <c r="T143" s="17"/>
    </row>
    <row r="144" spans="1:20">
      <c r="A144" s="4" t="s">
        <v>226</v>
      </c>
      <c r="B144" s="34">
        <f>100*AMD!B43*LAFs!B$263*B$11*Input!$E$60/Input!$F$60</f>
        <v>0</v>
      </c>
      <c r="C144" s="34">
        <f>100*AMD!C43*LAFs!C$263*C$11*Input!$E$60/Input!$F$60</f>
        <v>0</v>
      </c>
      <c r="D144" s="34">
        <f>100*AMD!D43*LAFs!D$263*D$11*Input!$E$60/Input!$F$60</f>
        <v>0</v>
      </c>
      <c r="E144" s="34">
        <f>100*AMD!E43*LAFs!E$263*E$11*Input!$E$60/Input!$F$60</f>
        <v>0</v>
      </c>
      <c r="F144" s="34">
        <f>100*AMD!F43*LAFs!F$263*F$11*Input!$E$60/Input!$F$60</f>
        <v>0</v>
      </c>
      <c r="G144" s="34">
        <f>100*AMD!G43*LAFs!G$263*G$11*Input!$E$60/Input!$F$60</f>
        <v>0</v>
      </c>
      <c r="H144" s="34">
        <f>100*AMD!H43*LAFs!H$263*H$11*Input!$E$60/Input!$F$60</f>
        <v>0</v>
      </c>
      <c r="I144" s="34">
        <f>100*AMD!I43*LAFs!I$263*I$11*Input!$E$60/Input!$F$60</f>
        <v>0</v>
      </c>
      <c r="J144" s="34">
        <f>100*AMD!J43*LAFs!J$263*J$11*Input!$E$60/Input!$F$60</f>
        <v>1.0639957468554841</v>
      </c>
      <c r="K144" s="34">
        <f>100*AMD!B43*LAFs!B$263*K$11*Input!$E$60/Input!$F$60</f>
        <v>0</v>
      </c>
      <c r="L144" s="34">
        <f>100*AMD!C43*LAFs!C$263*L$11*Input!$E$60/Input!$F$60</f>
        <v>0</v>
      </c>
      <c r="M144" s="34">
        <f>100*AMD!D43*LAFs!D$263*M$11*Input!$E$60/Input!$F$60</f>
        <v>0</v>
      </c>
      <c r="N144" s="34">
        <f>100*AMD!E43*LAFs!E$263*N$11*Input!$E$60/Input!$F$60</f>
        <v>0</v>
      </c>
      <c r="O144" s="34">
        <f>100*AMD!F43*LAFs!F$263*O$11*Input!$E$60/Input!$F$60</f>
        <v>0</v>
      </c>
      <c r="P144" s="34">
        <f>100*AMD!G43*LAFs!G$263*P$11*Input!$E$60/Input!$F$60</f>
        <v>0</v>
      </c>
      <c r="Q144" s="34">
        <f>100*AMD!H43*LAFs!H$263*Q$11*Input!$E$60/Input!$F$60</f>
        <v>0</v>
      </c>
      <c r="R144" s="34">
        <f>100*AMD!I43*LAFs!I$263*R$11*Input!$E$60/Input!$F$60</f>
        <v>0</v>
      </c>
      <c r="S144" s="34">
        <f>100*AMD!J43*LAFs!J$263*S$11*Input!$E$60/Input!$F$60</f>
        <v>0.41906643495959539</v>
      </c>
      <c r="T144" s="17"/>
    </row>
    <row r="145" spans="1:20">
      <c r="A145" s="4" t="s">
        <v>182</v>
      </c>
      <c r="B145" s="34">
        <f>100*AMD!B44*LAFs!B$264*B$11*Input!$E$60/Input!$F$60</f>
        <v>0</v>
      </c>
      <c r="C145" s="34">
        <f>100*AMD!C44*LAFs!C$264*C$11*Input!$E$60/Input!$F$60</f>
        <v>0</v>
      </c>
      <c r="D145" s="34">
        <f>100*AMD!D44*LAFs!D$264*D$11*Input!$E$60/Input!$F$60</f>
        <v>0</v>
      </c>
      <c r="E145" s="34">
        <f>100*AMD!E44*LAFs!E$264*E$11*Input!$E$60/Input!$F$60</f>
        <v>0</v>
      </c>
      <c r="F145" s="34">
        <f>100*AMD!F44*LAFs!F$264*F$11*Input!$E$60/Input!$F$60</f>
        <v>0</v>
      </c>
      <c r="G145" s="34">
        <f>100*AMD!G44*LAFs!G$264*G$11*Input!$E$60/Input!$F$60</f>
        <v>0</v>
      </c>
      <c r="H145" s="34">
        <f>100*AMD!H44*LAFs!H$264*H$11*Input!$E$60/Input!$F$60</f>
        <v>0</v>
      </c>
      <c r="I145" s="34">
        <f>100*AMD!I44*LAFs!I$264*I$11*Input!$E$60/Input!$F$60</f>
        <v>0</v>
      </c>
      <c r="J145" s="34">
        <f>100*AMD!J44*LAFs!J$264*J$11*Input!$E$60/Input!$F$60</f>
        <v>1.0639957468554841</v>
      </c>
      <c r="K145" s="34">
        <f>100*AMD!B44*LAFs!B$264*K$11*Input!$E$60/Input!$F$60</f>
        <v>0</v>
      </c>
      <c r="L145" s="34">
        <f>100*AMD!C44*LAFs!C$264*L$11*Input!$E$60/Input!$F$60</f>
        <v>0</v>
      </c>
      <c r="M145" s="34">
        <f>100*AMD!D44*LAFs!D$264*M$11*Input!$E$60/Input!$F$60</f>
        <v>0</v>
      </c>
      <c r="N145" s="34">
        <f>100*AMD!E44*LAFs!E$264*N$11*Input!$E$60/Input!$F$60</f>
        <v>0</v>
      </c>
      <c r="O145" s="34">
        <f>100*AMD!F44*LAFs!F$264*O$11*Input!$E$60/Input!$F$60</f>
        <v>0</v>
      </c>
      <c r="P145" s="34">
        <f>100*AMD!G44*LAFs!G$264*P$11*Input!$E$60/Input!$F$60</f>
        <v>0</v>
      </c>
      <c r="Q145" s="34">
        <f>100*AMD!H44*LAFs!H$264*Q$11*Input!$E$60/Input!$F$60</f>
        <v>0</v>
      </c>
      <c r="R145" s="34">
        <f>100*AMD!I44*LAFs!I$264*R$11*Input!$E$60/Input!$F$60</f>
        <v>0</v>
      </c>
      <c r="S145" s="34">
        <f>100*AMD!J44*LAFs!J$264*S$11*Input!$E$60/Input!$F$60</f>
        <v>0.41906643495959539</v>
      </c>
      <c r="T145" s="17"/>
    </row>
    <row r="146" spans="1:20">
      <c r="A146" s="4" t="s">
        <v>183</v>
      </c>
      <c r="B146" s="34">
        <f>100*AMD!B45*LAFs!B$265*B$11*Input!$E$60/Input!$F$60</f>
        <v>0</v>
      </c>
      <c r="C146" s="34">
        <f>100*AMD!C45*LAFs!C$265*C$11*Input!$E$60/Input!$F$60</f>
        <v>0</v>
      </c>
      <c r="D146" s="34">
        <f>100*AMD!D45*LAFs!D$265*D$11*Input!$E$60/Input!$F$60</f>
        <v>0</v>
      </c>
      <c r="E146" s="34">
        <f>100*AMD!E45*LAFs!E$265*E$11*Input!$E$60/Input!$F$60</f>
        <v>0</v>
      </c>
      <c r="F146" s="34">
        <f>100*AMD!F45*LAFs!F$265*F$11*Input!$E$60/Input!$F$60</f>
        <v>0</v>
      </c>
      <c r="G146" s="34">
        <f>100*AMD!G45*LAFs!G$265*G$11*Input!$E$60/Input!$F$60</f>
        <v>0</v>
      </c>
      <c r="H146" s="34">
        <f>100*AMD!H45*LAFs!H$265*H$11*Input!$E$60/Input!$F$60</f>
        <v>0</v>
      </c>
      <c r="I146" s="34">
        <f>100*AMD!I45*LAFs!I$265*I$11*Input!$E$60/Input!$F$60</f>
        <v>0</v>
      </c>
      <c r="J146" s="34">
        <f>100*AMD!J45*LAFs!J$265*J$11*Input!$E$60/Input!$F$60</f>
        <v>1.0639957468554841</v>
      </c>
      <c r="K146" s="34">
        <f>100*AMD!B45*LAFs!B$265*K$11*Input!$E$60/Input!$F$60</f>
        <v>0</v>
      </c>
      <c r="L146" s="34">
        <f>100*AMD!C45*LAFs!C$265*L$11*Input!$E$60/Input!$F$60</f>
        <v>0</v>
      </c>
      <c r="M146" s="34">
        <f>100*AMD!D45*LAFs!D$265*M$11*Input!$E$60/Input!$F$60</f>
        <v>0</v>
      </c>
      <c r="N146" s="34">
        <f>100*AMD!E45*LAFs!E$265*N$11*Input!$E$60/Input!$F$60</f>
        <v>0</v>
      </c>
      <c r="O146" s="34">
        <f>100*AMD!F45*LAFs!F$265*O$11*Input!$E$60/Input!$F$60</f>
        <v>0</v>
      </c>
      <c r="P146" s="34">
        <f>100*AMD!G45*LAFs!G$265*P$11*Input!$E$60/Input!$F$60</f>
        <v>0</v>
      </c>
      <c r="Q146" s="34">
        <f>100*AMD!H45*LAFs!H$265*Q$11*Input!$E$60/Input!$F$60</f>
        <v>0</v>
      </c>
      <c r="R146" s="34">
        <f>100*AMD!I45*LAFs!I$265*R$11*Input!$E$60/Input!$F$60</f>
        <v>0</v>
      </c>
      <c r="S146" s="34">
        <f>100*AMD!J45*LAFs!J$265*S$11*Input!$E$60/Input!$F$60</f>
        <v>0.41906643495959539</v>
      </c>
      <c r="T146" s="17"/>
    </row>
    <row r="147" spans="1:20">
      <c r="A147" s="4" t="s">
        <v>227</v>
      </c>
      <c r="B147" s="34">
        <f>100*AMD!B46*LAFs!B$266*B$11*Input!$E$60/Input!$F$60</f>
        <v>0</v>
      </c>
      <c r="C147" s="34">
        <f>100*AMD!C46*LAFs!C$266*C$11*Input!$E$60/Input!$F$60</f>
        <v>0</v>
      </c>
      <c r="D147" s="34">
        <f>100*AMD!D46*LAFs!D$266*D$11*Input!$E$60/Input!$F$60</f>
        <v>0</v>
      </c>
      <c r="E147" s="34">
        <f>100*AMD!E46*LAFs!E$266*E$11*Input!$E$60/Input!$F$60</f>
        <v>0</v>
      </c>
      <c r="F147" s="34">
        <f>100*AMD!F46*LAFs!F$266*F$11*Input!$E$60/Input!$F$60</f>
        <v>0</v>
      </c>
      <c r="G147" s="34">
        <f>100*AMD!G46*LAFs!G$266*G$11*Input!$E$60/Input!$F$60</f>
        <v>0</v>
      </c>
      <c r="H147" s="34">
        <f>100*AMD!H46*LAFs!H$266*H$11*Input!$E$60/Input!$F$60</f>
        <v>0</v>
      </c>
      <c r="I147" s="34">
        <f>100*AMD!I46*LAFs!I$266*I$11*Input!$E$60/Input!$F$60</f>
        <v>0</v>
      </c>
      <c r="J147" s="34">
        <f>100*AMD!J46*LAFs!J$266*J$11*Input!$E$60/Input!$F$60</f>
        <v>1.0639957468554841</v>
      </c>
      <c r="K147" s="34">
        <f>100*AMD!B46*LAFs!B$266*K$11*Input!$E$60/Input!$F$60</f>
        <v>0</v>
      </c>
      <c r="L147" s="34">
        <f>100*AMD!C46*LAFs!C$266*L$11*Input!$E$60/Input!$F$60</f>
        <v>0</v>
      </c>
      <c r="M147" s="34">
        <f>100*AMD!D46*LAFs!D$266*M$11*Input!$E$60/Input!$F$60</f>
        <v>0</v>
      </c>
      <c r="N147" s="34">
        <f>100*AMD!E46*LAFs!E$266*N$11*Input!$E$60/Input!$F$60</f>
        <v>0</v>
      </c>
      <c r="O147" s="34">
        <f>100*AMD!F46*LAFs!F$266*O$11*Input!$E$60/Input!$F$60</f>
        <v>0</v>
      </c>
      <c r="P147" s="34">
        <f>100*AMD!G46*LAFs!G$266*P$11*Input!$E$60/Input!$F$60</f>
        <v>0</v>
      </c>
      <c r="Q147" s="34">
        <f>100*AMD!H46*LAFs!H$266*Q$11*Input!$E$60/Input!$F$60</f>
        <v>0</v>
      </c>
      <c r="R147" s="34">
        <f>100*AMD!I46*LAFs!I$266*R$11*Input!$E$60/Input!$F$60</f>
        <v>0</v>
      </c>
      <c r="S147" s="34">
        <f>100*AMD!J46*LAFs!J$266*S$11*Input!$E$60/Input!$F$60</f>
        <v>0.41906643495959539</v>
      </c>
      <c r="T147" s="17"/>
    </row>
    <row r="148" spans="1:20">
      <c r="A148" s="4" t="s">
        <v>184</v>
      </c>
      <c r="B148" s="34">
        <f>100*AMD!B47*LAFs!B$267*B$11*Input!$E$60/Input!$F$60</f>
        <v>0</v>
      </c>
      <c r="C148" s="34">
        <f>100*AMD!C47*LAFs!C$267*C$11*Input!$E$60/Input!$F$60</f>
        <v>0</v>
      </c>
      <c r="D148" s="34">
        <f>100*AMD!D47*LAFs!D$267*D$11*Input!$E$60/Input!$F$60</f>
        <v>0</v>
      </c>
      <c r="E148" s="34">
        <f>100*AMD!E47*LAFs!E$267*E$11*Input!$E$60/Input!$F$60</f>
        <v>0</v>
      </c>
      <c r="F148" s="34">
        <f>100*AMD!F47*LAFs!F$267*F$11*Input!$E$60/Input!$F$60</f>
        <v>0</v>
      </c>
      <c r="G148" s="34">
        <f>100*AMD!G47*LAFs!G$267*G$11*Input!$E$60/Input!$F$60</f>
        <v>0</v>
      </c>
      <c r="H148" s="34">
        <f>100*AMD!H47*LAFs!H$267*H$11*Input!$E$60/Input!$F$60</f>
        <v>0</v>
      </c>
      <c r="I148" s="34">
        <f>100*AMD!I47*LAFs!I$267*I$11*Input!$E$60/Input!$F$60</f>
        <v>0</v>
      </c>
      <c r="J148" s="34">
        <f>100*AMD!J47*LAFs!J$267*J$11*Input!$E$60/Input!$F$60</f>
        <v>1.0639957468554841</v>
      </c>
      <c r="K148" s="34">
        <f>100*AMD!B47*LAFs!B$267*K$11*Input!$E$60/Input!$F$60</f>
        <v>0</v>
      </c>
      <c r="L148" s="34">
        <f>100*AMD!C47*LAFs!C$267*L$11*Input!$E$60/Input!$F$60</f>
        <v>0</v>
      </c>
      <c r="M148" s="34">
        <f>100*AMD!D47*LAFs!D$267*M$11*Input!$E$60/Input!$F$60</f>
        <v>0</v>
      </c>
      <c r="N148" s="34">
        <f>100*AMD!E47*LAFs!E$267*N$11*Input!$E$60/Input!$F$60</f>
        <v>0</v>
      </c>
      <c r="O148" s="34">
        <f>100*AMD!F47*LAFs!F$267*O$11*Input!$E$60/Input!$F$60</f>
        <v>0</v>
      </c>
      <c r="P148" s="34">
        <f>100*AMD!G47*LAFs!G$267*P$11*Input!$E$60/Input!$F$60</f>
        <v>0</v>
      </c>
      <c r="Q148" s="34">
        <f>100*AMD!H47*LAFs!H$267*Q$11*Input!$E$60/Input!$F$60</f>
        <v>0</v>
      </c>
      <c r="R148" s="34">
        <f>100*AMD!I47*LAFs!I$267*R$11*Input!$E$60/Input!$F$60</f>
        <v>0</v>
      </c>
      <c r="S148" s="34">
        <f>100*AMD!J47*LAFs!J$267*S$11*Input!$E$60/Input!$F$60</f>
        <v>0.41906643495959539</v>
      </c>
      <c r="T148" s="17"/>
    </row>
    <row r="149" spans="1:20">
      <c r="A149" s="4" t="s">
        <v>185</v>
      </c>
      <c r="B149" s="34">
        <f>100*AMD!B48*LAFs!B$268*B$11*Input!$E$60/Input!$F$60</f>
        <v>0</v>
      </c>
      <c r="C149" s="34">
        <f>100*AMD!C48*LAFs!C$268*C$11*Input!$E$60/Input!$F$60</f>
        <v>0</v>
      </c>
      <c r="D149" s="34">
        <f>100*AMD!D48*LAFs!D$268*D$11*Input!$E$60/Input!$F$60</f>
        <v>0</v>
      </c>
      <c r="E149" s="34">
        <f>100*AMD!E48*LAFs!E$268*E$11*Input!$E$60/Input!$F$60</f>
        <v>0</v>
      </c>
      <c r="F149" s="34">
        <f>100*AMD!F48*LAFs!F$268*F$11*Input!$E$60/Input!$F$60</f>
        <v>0</v>
      </c>
      <c r="G149" s="34">
        <f>100*AMD!G48*LAFs!G$268*G$11*Input!$E$60/Input!$F$60</f>
        <v>0</v>
      </c>
      <c r="H149" s="34">
        <f>100*AMD!H48*LAFs!H$268*H$11*Input!$E$60/Input!$F$60</f>
        <v>0</v>
      </c>
      <c r="I149" s="34">
        <f>100*AMD!I48*LAFs!I$268*I$11*Input!$E$60/Input!$F$60</f>
        <v>1.9976878025848381</v>
      </c>
      <c r="J149" s="34">
        <f>100*AMD!J48*LAFs!J$268*J$11*Input!$E$60/Input!$F$60</f>
        <v>0</v>
      </c>
      <c r="K149" s="34">
        <f>100*AMD!B48*LAFs!B$268*K$11*Input!$E$60/Input!$F$60</f>
        <v>0</v>
      </c>
      <c r="L149" s="34">
        <f>100*AMD!C48*LAFs!C$268*L$11*Input!$E$60/Input!$F$60</f>
        <v>0</v>
      </c>
      <c r="M149" s="34">
        <f>100*AMD!D48*LAFs!D$268*M$11*Input!$E$60/Input!$F$60</f>
        <v>0</v>
      </c>
      <c r="N149" s="34">
        <f>100*AMD!E48*LAFs!E$268*N$11*Input!$E$60/Input!$F$60</f>
        <v>0</v>
      </c>
      <c r="O149" s="34">
        <f>100*AMD!F48*LAFs!F$268*O$11*Input!$E$60/Input!$F$60</f>
        <v>0</v>
      </c>
      <c r="P149" s="34">
        <f>100*AMD!G48*LAFs!G$268*P$11*Input!$E$60/Input!$F$60</f>
        <v>0</v>
      </c>
      <c r="Q149" s="34">
        <f>100*AMD!H48*LAFs!H$268*Q$11*Input!$E$60/Input!$F$60</f>
        <v>0</v>
      </c>
      <c r="R149" s="34">
        <f>100*AMD!I48*LAFs!I$268*R$11*Input!$E$60/Input!$F$60</f>
        <v>0.78681132708061718</v>
      </c>
      <c r="S149" s="34">
        <f>100*AMD!J48*LAFs!J$268*S$11*Input!$E$60/Input!$F$60</f>
        <v>0</v>
      </c>
      <c r="T149" s="17"/>
    </row>
    <row r="150" spans="1:20">
      <c r="A150" s="4" t="s">
        <v>205</v>
      </c>
      <c r="B150" s="34">
        <f>100*AMD!B49*LAFs!B$269*B$11*Input!$E$60/Input!$F$60</f>
        <v>0</v>
      </c>
      <c r="C150" s="34">
        <f>100*AMD!C49*LAFs!C$269*C$11*Input!$E$60/Input!$F$60</f>
        <v>0</v>
      </c>
      <c r="D150" s="34">
        <f>100*AMD!D49*LAFs!D$269*D$11*Input!$E$60/Input!$F$60</f>
        <v>0</v>
      </c>
      <c r="E150" s="34">
        <f>100*AMD!E49*LAFs!E$269*E$11*Input!$E$60/Input!$F$60</f>
        <v>0.46983433569050798</v>
      </c>
      <c r="F150" s="34">
        <f>100*AMD!F49*LAFs!F$269*F$11*Input!$E$60/Input!$F$60</f>
        <v>1.4818654747556934</v>
      </c>
      <c r="G150" s="34">
        <f>100*AMD!G49*LAFs!G$269*G$11*Input!$E$60/Input!$F$60</f>
        <v>0</v>
      </c>
      <c r="H150" s="34">
        <f>100*AMD!H49*LAFs!H$269*H$11*Input!$E$60/Input!$F$60</f>
        <v>2.1713440785452858</v>
      </c>
      <c r="I150" s="34">
        <f>100*AMD!I49*LAFs!I$269*I$11*Input!$E$60/Input!$F$60</f>
        <v>0</v>
      </c>
      <c r="J150" s="34">
        <f>100*AMD!J49*LAFs!J$269*J$11*Input!$E$60/Input!$F$60</f>
        <v>0</v>
      </c>
      <c r="K150" s="34">
        <f>100*AMD!B49*LAFs!B$269*K$11*Input!$E$60/Input!$F$60</f>
        <v>0</v>
      </c>
      <c r="L150" s="34">
        <f>100*AMD!C49*LAFs!C$269*L$11*Input!$E$60/Input!$F$60</f>
        <v>0</v>
      </c>
      <c r="M150" s="34">
        <f>100*AMD!D49*LAFs!D$269*M$11*Input!$E$60/Input!$F$60</f>
        <v>0</v>
      </c>
      <c r="N150" s="34">
        <f>100*AMD!E49*LAFs!E$269*N$11*Input!$E$60/Input!$F$60</f>
        <v>0.18504942398625349</v>
      </c>
      <c r="O150" s="34">
        <f>100*AMD!F49*LAFs!F$269*O$11*Input!$E$60/Input!$F$60</f>
        <v>0.58364902625867676</v>
      </c>
      <c r="P150" s="34">
        <f>100*AMD!G49*LAFs!G$269*P$11*Input!$E$60/Input!$F$60</f>
        <v>0</v>
      </c>
      <c r="Q150" s="34">
        <f>100*AMD!H49*LAFs!H$269*Q$11*Input!$E$60/Input!$F$60</f>
        <v>0.85520776258346398</v>
      </c>
      <c r="R150" s="34">
        <f>100*AMD!I49*LAFs!I$269*R$11*Input!$E$60/Input!$F$60</f>
        <v>0</v>
      </c>
      <c r="S150" s="34">
        <f>100*AMD!J49*LAFs!J$269*S$11*Input!$E$60/Input!$F$60</f>
        <v>0</v>
      </c>
      <c r="T150" s="17"/>
    </row>
    <row r="151" spans="1:20">
      <c r="A151" s="4" t="s">
        <v>186</v>
      </c>
      <c r="B151" s="34">
        <f>100*AMD!B50*LAFs!B$270*B$11*Input!$E$60/Input!$F$60</f>
        <v>0</v>
      </c>
      <c r="C151" s="34">
        <f>100*AMD!C50*LAFs!C$270*C$11*Input!$E$60/Input!$F$60</f>
        <v>0</v>
      </c>
      <c r="D151" s="34">
        <f>100*AMD!D50*LAFs!D$270*D$11*Input!$E$60/Input!$F$60</f>
        <v>0</v>
      </c>
      <c r="E151" s="34">
        <f>100*AMD!E50*LAFs!E$270*E$11*Input!$E$60/Input!$F$60</f>
        <v>0</v>
      </c>
      <c r="F151" s="34">
        <f>100*AMD!F50*LAFs!F$270*F$11*Input!$E$60/Input!$F$60</f>
        <v>0</v>
      </c>
      <c r="G151" s="34">
        <f>100*AMD!G50*LAFs!G$270*G$11*Input!$E$60/Input!$F$60</f>
        <v>0</v>
      </c>
      <c r="H151" s="34">
        <f>100*AMD!H50*LAFs!H$270*H$11*Input!$E$60/Input!$F$60</f>
        <v>0</v>
      </c>
      <c r="I151" s="34">
        <f>100*AMD!I50*LAFs!I$270*I$11*Input!$E$60/Input!$F$60</f>
        <v>0</v>
      </c>
      <c r="J151" s="34">
        <f>100*AMD!J50*LAFs!J$270*J$11*Input!$E$60/Input!$F$60</f>
        <v>1.0639957468554841</v>
      </c>
      <c r="K151" s="34">
        <f>100*AMD!B50*LAFs!B$270*K$11*Input!$E$60/Input!$F$60</f>
        <v>0</v>
      </c>
      <c r="L151" s="34">
        <f>100*AMD!C50*LAFs!C$270*L$11*Input!$E$60/Input!$F$60</f>
        <v>0</v>
      </c>
      <c r="M151" s="34">
        <f>100*AMD!D50*LAFs!D$270*M$11*Input!$E$60/Input!$F$60</f>
        <v>0</v>
      </c>
      <c r="N151" s="34">
        <f>100*AMD!E50*LAFs!E$270*N$11*Input!$E$60/Input!$F$60</f>
        <v>0</v>
      </c>
      <c r="O151" s="34">
        <f>100*AMD!F50*LAFs!F$270*O$11*Input!$E$60/Input!$F$60</f>
        <v>0</v>
      </c>
      <c r="P151" s="34">
        <f>100*AMD!G50*LAFs!G$270*P$11*Input!$E$60/Input!$F$60</f>
        <v>0</v>
      </c>
      <c r="Q151" s="34">
        <f>100*AMD!H50*LAFs!H$270*Q$11*Input!$E$60/Input!$F$60</f>
        <v>0</v>
      </c>
      <c r="R151" s="34">
        <f>100*AMD!I50*LAFs!I$270*R$11*Input!$E$60/Input!$F$60</f>
        <v>0</v>
      </c>
      <c r="S151" s="34">
        <f>100*AMD!J50*LAFs!J$270*S$11*Input!$E$60/Input!$F$60</f>
        <v>0.41906643495959539</v>
      </c>
      <c r="T151" s="17"/>
    </row>
    <row r="152" spans="1:20">
      <c r="A152" s="4" t="s">
        <v>187</v>
      </c>
      <c r="B152" s="34">
        <f>100*AMD!B51*LAFs!B$271*B$11*Input!$E$60/Input!$F$60</f>
        <v>0</v>
      </c>
      <c r="C152" s="34">
        <f>100*AMD!C51*LAFs!C$271*C$11*Input!$E$60/Input!$F$60</f>
        <v>0</v>
      </c>
      <c r="D152" s="34">
        <f>100*AMD!D51*LAFs!D$271*D$11*Input!$E$60/Input!$F$60</f>
        <v>0</v>
      </c>
      <c r="E152" s="34">
        <f>100*AMD!E51*LAFs!E$271*E$11*Input!$E$60/Input!$F$60</f>
        <v>0</v>
      </c>
      <c r="F152" s="34">
        <f>100*AMD!F51*LAFs!F$271*F$11*Input!$E$60/Input!$F$60</f>
        <v>0</v>
      </c>
      <c r="G152" s="34">
        <f>100*AMD!G51*LAFs!G$271*G$11*Input!$E$60/Input!$F$60</f>
        <v>0</v>
      </c>
      <c r="H152" s="34">
        <f>100*AMD!H51*LAFs!H$271*H$11*Input!$E$60/Input!$F$60</f>
        <v>0</v>
      </c>
      <c r="I152" s="34">
        <f>100*AMD!I51*LAFs!I$271*I$11*Input!$E$60/Input!$F$60</f>
        <v>0</v>
      </c>
      <c r="J152" s="34">
        <f>100*AMD!J51*LAFs!J$271*J$11*Input!$E$60/Input!$F$60</f>
        <v>1.0639957468554841</v>
      </c>
      <c r="K152" s="34">
        <f>100*AMD!B51*LAFs!B$271*K$11*Input!$E$60/Input!$F$60</f>
        <v>0</v>
      </c>
      <c r="L152" s="34">
        <f>100*AMD!C51*LAFs!C$271*L$11*Input!$E$60/Input!$F$60</f>
        <v>0</v>
      </c>
      <c r="M152" s="34">
        <f>100*AMD!D51*LAFs!D$271*M$11*Input!$E$60/Input!$F$60</f>
        <v>0</v>
      </c>
      <c r="N152" s="34">
        <f>100*AMD!E51*LAFs!E$271*N$11*Input!$E$60/Input!$F$60</f>
        <v>0</v>
      </c>
      <c r="O152" s="34">
        <f>100*AMD!F51*LAFs!F$271*O$11*Input!$E$60/Input!$F$60</f>
        <v>0</v>
      </c>
      <c r="P152" s="34">
        <f>100*AMD!G51*LAFs!G$271*P$11*Input!$E$60/Input!$F$60</f>
        <v>0</v>
      </c>
      <c r="Q152" s="34">
        <f>100*AMD!H51*LAFs!H$271*Q$11*Input!$E$60/Input!$F$60</f>
        <v>0</v>
      </c>
      <c r="R152" s="34">
        <f>100*AMD!I51*LAFs!I$271*R$11*Input!$E$60/Input!$F$60</f>
        <v>0</v>
      </c>
      <c r="S152" s="34">
        <f>100*AMD!J51*LAFs!J$271*S$11*Input!$E$60/Input!$F$60</f>
        <v>0.41906643495959539</v>
      </c>
      <c r="T152" s="17"/>
    </row>
    <row r="153" spans="1:20">
      <c r="A153" s="4" t="s">
        <v>188</v>
      </c>
      <c r="B153" s="34">
        <f>100*AMD!B52*LAFs!B$272*B$11*Input!$E$60/Input!$F$60</f>
        <v>0</v>
      </c>
      <c r="C153" s="34">
        <f>100*AMD!C52*LAFs!C$272*C$11*Input!$E$60/Input!$F$60</f>
        <v>0</v>
      </c>
      <c r="D153" s="34">
        <f>100*AMD!D52*LAFs!D$272*D$11*Input!$E$60/Input!$F$60</f>
        <v>0</v>
      </c>
      <c r="E153" s="34">
        <f>100*AMD!E52*LAFs!E$272*E$11*Input!$E$60/Input!$F$60</f>
        <v>0</v>
      </c>
      <c r="F153" s="34">
        <f>100*AMD!F52*LAFs!F$272*F$11*Input!$E$60/Input!$F$60</f>
        <v>0</v>
      </c>
      <c r="G153" s="34">
        <f>100*AMD!G52*LAFs!G$272*G$11*Input!$E$60/Input!$F$60</f>
        <v>0</v>
      </c>
      <c r="H153" s="34">
        <f>100*AMD!H52*LAFs!H$272*H$11*Input!$E$60/Input!$F$60</f>
        <v>0.46277340582669363</v>
      </c>
      <c r="I153" s="34">
        <f>100*AMD!I52*LAFs!I$272*I$11*Input!$E$60/Input!$F$60</f>
        <v>2.1008070838176502</v>
      </c>
      <c r="J153" s="34">
        <f>100*AMD!J52*LAFs!J$272*J$11*Input!$E$60/Input!$F$60</f>
        <v>1.0639957468554841</v>
      </c>
      <c r="K153" s="34">
        <f>100*AMD!B52*LAFs!B$272*K$11*Input!$E$60/Input!$F$60</f>
        <v>0</v>
      </c>
      <c r="L153" s="34">
        <f>100*AMD!C52*LAFs!C$272*L$11*Input!$E$60/Input!$F$60</f>
        <v>0</v>
      </c>
      <c r="M153" s="34">
        <f>100*AMD!D52*LAFs!D$272*M$11*Input!$E$60/Input!$F$60</f>
        <v>0</v>
      </c>
      <c r="N153" s="34">
        <f>100*AMD!E52*LAFs!E$272*N$11*Input!$E$60/Input!$F$60</f>
        <v>0</v>
      </c>
      <c r="O153" s="34">
        <f>100*AMD!F52*LAFs!F$272*O$11*Input!$E$60/Input!$F$60</f>
        <v>0</v>
      </c>
      <c r="P153" s="34">
        <f>100*AMD!G52*LAFs!G$272*P$11*Input!$E$60/Input!$F$60</f>
        <v>0</v>
      </c>
      <c r="Q153" s="34">
        <f>100*AMD!H52*LAFs!H$272*Q$11*Input!$E$60/Input!$F$60</f>
        <v>0.18226839904863187</v>
      </c>
      <c r="R153" s="34">
        <f>100*AMD!I52*LAFs!I$272*R$11*Input!$E$60/Input!$F$60</f>
        <v>0.8274259908981596</v>
      </c>
      <c r="S153" s="34">
        <f>100*AMD!J52*LAFs!J$272*S$11*Input!$E$60/Input!$F$60</f>
        <v>0.41906643495959539</v>
      </c>
      <c r="T153" s="17"/>
    </row>
    <row r="154" spans="1:20">
      <c r="A154" s="4" t="s">
        <v>189</v>
      </c>
      <c r="B154" s="34">
        <f>100*AMD!B53*LAFs!B$273*B$11*Input!$E$60/Input!$F$60</f>
        <v>0</v>
      </c>
      <c r="C154" s="34">
        <f>100*AMD!C53*LAFs!C$273*C$11*Input!$E$60/Input!$F$60</f>
        <v>0</v>
      </c>
      <c r="D154" s="34">
        <f>100*AMD!D53*LAFs!D$273*D$11*Input!$E$60/Input!$F$60</f>
        <v>0</v>
      </c>
      <c r="E154" s="34">
        <f>100*AMD!E53*LAFs!E$273*E$11*Input!$E$60/Input!$F$60</f>
        <v>0</v>
      </c>
      <c r="F154" s="34">
        <f>100*AMD!F53*LAFs!F$273*F$11*Input!$E$60/Input!$F$60</f>
        <v>0</v>
      </c>
      <c r="G154" s="34">
        <f>100*AMD!G53*LAFs!G$273*G$11*Input!$E$60/Input!$F$60</f>
        <v>0</v>
      </c>
      <c r="H154" s="34">
        <f>100*AMD!H53*LAFs!H$273*H$11*Input!$E$60/Input!$F$60</f>
        <v>2.2002895822795918</v>
      </c>
      <c r="I154" s="34">
        <f>100*AMD!I53*LAFs!I$273*I$11*Input!$E$60/Input!$F$60</f>
        <v>1.9976878025848381</v>
      </c>
      <c r="J154" s="34">
        <f>100*AMD!J53*LAFs!J$273*J$11*Input!$E$60/Input!$F$60</f>
        <v>0</v>
      </c>
      <c r="K154" s="34">
        <f>100*AMD!B53*LAFs!B$273*K$11*Input!$E$60/Input!$F$60</f>
        <v>0</v>
      </c>
      <c r="L154" s="34">
        <f>100*AMD!C53*LAFs!C$273*L$11*Input!$E$60/Input!$F$60</f>
        <v>0</v>
      </c>
      <c r="M154" s="34">
        <f>100*AMD!D53*LAFs!D$273*M$11*Input!$E$60/Input!$F$60</f>
        <v>0</v>
      </c>
      <c r="N154" s="34">
        <f>100*AMD!E53*LAFs!E$273*N$11*Input!$E$60/Input!$F$60</f>
        <v>0</v>
      </c>
      <c r="O154" s="34">
        <f>100*AMD!F53*LAFs!F$273*O$11*Input!$E$60/Input!$F$60</f>
        <v>0</v>
      </c>
      <c r="P154" s="34">
        <f>100*AMD!G53*LAFs!G$273*P$11*Input!$E$60/Input!$F$60</f>
        <v>0</v>
      </c>
      <c r="Q154" s="34">
        <f>100*AMD!H53*LAFs!H$273*Q$11*Input!$E$60/Input!$F$60</f>
        <v>0.86660826779590916</v>
      </c>
      <c r="R154" s="34">
        <f>100*AMD!I53*LAFs!I$273*R$11*Input!$E$60/Input!$F$60</f>
        <v>0.78681132708061718</v>
      </c>
      <c r="S154" s="34">
        <f>100*AMD!J53*LAFs!J$273*S$11*Input!$E$60/Input!$F$60</f>
        <v>0</v>
      </c>
      <c r="T154" s="17"/>
    </row>
    <row r="155" spans="1:20">
      <c r="A155" s="4" t="s">
        <v>206</v>
      </c>
      <c r="B155" s="34">
        <f>100*AMD!B54*LAFs!B$274*B$11*Input!$E$60/Input!$F$60</f>
        <v>0</v>
      </c>
      <c r="C155" s="34">
        <f>100*AMD!C54*LAFs!C$274*C$11*Input!$E$60/Input!$F$60</f>
        <v>0</v>
      </c>
      <c r="D155" s="34">
        <f>100*AMD!D54*LAFs!D$274*D$11*Input!$E$60/Input!$F$60</f>
        <v>0</v>
      </c>
      <c r="E155" s="34">
        <f>100*AMD!E54*LAFs!E$274*E$11*Input!$E$60/Input!$F$60</f>
        <v>0.46983433569050798</v>
      </c>
      <c r="F155" s="34">
        <f>100*AMD!F54*LAFs!F$274*F$11*Input!$E$60/Input!$F$60</f>
        <v>1.4818654747556934</v>
      </c>
      <c r="G155" s="34">
        <f>100*AMD!G54*LAFs!G$274*G$11*Input!$E$60/Input!$F$60</f>
        <v>0</v>
      </c>
      <c r="H155" s="34">
        <f>100*AMD!H54*LAFs!H$274*H$11*Input!$E$60/Input!$F$60</f>
        <v>2.1713440785452858</v>
      </c>
      <c r="I155" s="34">
        <f>100*AMD!I54*LAFs!I$274*I$11*Input!$E$60/Input!$F$60</f>
        <v>0</v>
      </c>
      <c r="J155" s="34">
        <f>100*AMD!J54*LAFs!J$274*J$11*Input!$E$60/Input!$F$60</f>
        <v>0</v>
      </c>
      <c r="K155" s="34">
        <f>100*AMD!B54*LAFs!B$274*K$11*Input!$E$60/Input!$F$60</f>
        <v>0</v>
      </c>
      <c r="L155" s="34">
        <f>100*AMD!C54*LAFs!C$274*L$11*Input!$E$60/Input!$F$60</f>
        <v>0</v>
      </c>
      <c r="M155" s="34">
        <f>100*AMD!D54*LAFs!D$274*M$11*Input!$E$60/Input!$F$60</f>
        <v>0</v>
      </c>
      <c r="N155" s="34">
        <f>100*AMD!E54*LAFs!E$274*N$11*Input!$E$60/Input!$F$60</f>
        <v>0.18504942398625349</v>
      </c>
      <c r="O155" s="34">
        <f>100*AMD!F54*LAFs!F$274*O$11*Input!$E$60/Input!$F$60</f>
        <v>0.58364902625867676</v>
      </c>
      <c r="P155" s="34">
        <f>100*AMD!G54*LAFs!G$274*P$11*Input!$E$60/Input!$F$60</f>
        <v>0</v>
      </c>
      <c r="Q155" s="34">
        <f>100*AMD!H54*LAFs!H$274*Q$11*Input!$E$60/Input!$F$60</f>
        <v>0.85520776258346398</v>
      </c>
      <c r="R155" s="34">
        <f>100*AMD!I54*LAFs!I$274*R$11*Input!$E$60/Input!$F$60</f>
        <v>0</v>
      </c>
      <c r="S155" s="34">
        <f>100*AMD!J54*LAFs!J$274*S$11*Input!$E$60/Input!$F$60</f>
        <v>0</v>
      </c>
      <c r="T155" s="17"/>
    </row>
    <row r="156" spans="1:20">
      <c r="A156" s="4" t="s">
        <v>228</v>
      </c>
      <c r="B156" s="34">
        <f>100*AMD!B55*LAFs!B$275*B$11*Input!$E$60/Input!$F$60</f>
        <v>0</v>
      </c>
      <c r="C156" s="34">
        <f>100*AMD!C55*LAFs!C$275*C$11*Input!$E$60/Input!$F$60</f>
        <v>0</v>
      </c>
      <c r="D156" s="34">
        <f>100*AMD!D55*LAFs!D$275*D$11*Input!$E$60/Input!$F$60</f>
        <v>0</v>
      </c>
      <c r="E156" s="34">
        <f>100*AMD!E55*LAFs!E$275*E$11*Input!$E$60/Input!$F$60</f>
        <v>0</v>
      </c>
      <c r="F156" s="34">
        <f>100*AMD!F55*LAFs!F$275*F$11*Input!$E$60/Input!$F$60</f>
        <v>0</v>
      </c>
      <c r="G156" s="34">
        <f>100*AMD!G55*LAFs!G$275*G$11*Input!$E$60/Input!$F$60</f>
        <v>0</v>
      </c>
      <c r="H156" s="34">
        <f>100*AMD!H55*LAFs!H$275*H$11*Input!$E$60/Input!$F$60</f>
        <v>0</v>
      </c>
      <c r="I156" s="34">
        <f>100*AMD!I55*LAFs!I$275*I$11*Input!$E$60/Input!$F$60</f>
        <v>0</v>
      </c>
      <c r="J156" s="34">
        <f>100*AMD!J55*LAFs!J$275*J$11*Input!$E$60/Input!$F$60</f>
        <v>0</v>
      </c>
      <c r="K156" s="34">
        <f>100*AMD!B55*LAFs!B$275*K$11*Input!$E$60/Input!$F$60</f>
        <v>0</v>
      </c>
      <c r="L156" s="34">
        <f>100*AMD!C55*LAFs!C$275*L$11*Input!$E$60/Input!$F$60</f>
        <v>0</v>
      </c>
      <c r="M156" s="34">
        <f>100*AMD!D55*LAFs!D$275*M$11*Input!$E$60/Input!$F$60</f>
        <v>0</v>
      </c>
      <c r="N156" s="34">
        <f>100*AMD!E55*LAFs!E$275*N$11*Input!$E$60/Input!$F$60</f>
        <v>0</v>
      </c>
      <c r="O156" s="34">
        <f>100*AMD!F55*LAFs!F$275*O$11*Input!$E$60/Input!$F$60</f>
        <v>0</v>
      </c>
      <c r="P156" s="34">
        <f>100*AMD!G55*LAFs!G$275*P$11*Input!$E$60/Input!$F$60</f>
        <v>0</v>
      </c>
      <c r="Q156" s="34">
        <f>100*AMD!H55*LAFs!H$275*Q$11*Input!$E$60/Input!$F$60</f>
        <v>0</v>
      </c>
      <c r="R156" s="34">
        <f>100*AMD!I55*LAFs!I$275*R$11*Input!$E$60/Input!$F$60</f>
        <v>0</v>
      </c>
      <c r="S156" s="34">
        <f>100*AMD!J55*LAFs!J$275*S$11*Input!$E$60/Input!$F$60</f>
        <v>0</v>
      </c>
      <c r="T156" s="17"/>
    </row>
    <row r="157" spans="1:20">
      <c r="A157" s="4" t="s">
        <v>229</v>
      </c>
      <c r="B157" s="34">
        <f>100*AMD!B56*LAFs!B$276*B$11*Input!$E$60/Input!$F$60</f>
        <v>0</v>
      </c>
      <c r="C157" s="34">
        <f>100*AMD!C56*LAFs!C$276*C$11*Input!$E$60/Input!$F$60</f>
        <v>0</v>
      </c>
      <c r="D157" s="34">
        <f>100*AMD!D56*LAFs!D$276*D$11*Input!$E$60/Input!$F$60</f>
        <v>0</v>
      </c>
      <c r="E157" s="34">
        <f>100*AMD!E56*LAFs!E$276*E$11*Input!$E$60/Input!$F$60</f>
        <v>0</v>
      </c>
      <c r="F157" s="34">
        <f>100*AMD!F56*LAFs!F$276*F$11*Input!$E$60/Input!$F$60</f>
        <v>0</v>
      </c>
      <c r="G157" s="34">
        <f>100*AMD!G56*LAFs!G$276*G$11*Input!$E$60/Input!$F$60</f>
        <v>0</v>
      </c>
      <c r="H157" s="34">
        <f>100*AMD!H56*LAFs!H$276*H$11*Input!$E$60/Input!$F$60</f>
        <v>0</v>
      </c>
      <c r="I157" s="34">
        <f>100*AMD!I56*LAFs!I$276*I$11*Input!$E$60/Input!$F$60</f>
        <v>0</v>
      </c>
      <c r="J157" s="34">
        <f>100*AMD!J56*LAFs!J$276*J$11*Input!$E$60/Input!$F$60</f>
        <v>0</v>
      </c>
      <c r="K157" s="34">
        <f>100*AMD!B56*LAFs!B$276*K$11*Input!$E$60/Input!$F$60</f>
        <v>0</v>
      </c>
      <c r="L157" s="34">
        <f>100*AMD!C56*LAFs!C$276*L$11*Input!$E$60/Input!$F$60</f>
        <v>0</v>
      </c>
      <c r="M157" s="34">
        <f>100*AMD!D56*LAFs!D$276*M$11*Input!$E$60/Input!$F$60</f>
        <v>0</v>
      </c>
      <c r="N157" s="34">
        <f>100*AMD!E56*LAFs!E$276*N$11*Input!$E$60/Input!$F$60</f>
        <v>0</v>
      </c>
      <c r="O157" s="34">
        <f>100*AMD!F56*LAFs!F$276*O$11*Input!$E$60/Input!$F$60</f>
        <v>0</v>
      </c>
      <c r="P157" s="34">
        <f>100*AMD!G56*LAFs!G$276*P$11*Input!$E$60/Input!$F$60</f>
        <v>0</v>
      </c>
      <c r="Q157" s="34">
        <f>100*AMD!H56*LAFs!H$276*Q$11*Input!$E$60/Input!$F$60</f>
        <v>0</v>
      </c>
      <c r="R157" s="34">
        <f>100*AMD!I56*LAFs!I$276*R$11*Input!$E$60/Input!$F$60</f>
        <v>0</v>
      </c>
      <c r="S157" s="34">
        <f>100*AMD!J56*LAFs!J$276*S$11*Input!$E$60/Input!$F$60</f>
        <v>0</v>
      </c>
      <c r="T157" s="17"/>
    </row>
    <row r="158" spans="1:20">
      <c r="A158" s="4" t="s">
        <v>230</v>
      </c>
      <c r="B158" s="34">
        <f>100*AMD!B57*LAFs!B$277*B$11*Input!$E$60/Input!$F$60</f>
        <v>0</v>
      </c>
      <c r="C158" s="34">
        <f>100*AMD!C57*LAFs!C$277*C$11*Input!$E$60/Input!$F$60</f>
        <v>0</v>
      </c>
      <c r="D158" s="34">
        <f>100*AMD!D57*LAFs!D$277*D$11*Input!$E$60/Input!$F$60</f>
        <v>0</v>
      </c>
      <c r="E158" s="34">
        <f>100*AMD!E57*LAFs!E$277*E$11*Input!$E$60/Input!$F$60</f>
        <v>0</v>
      </c>
      <c r="F158" s="34">
        <f>100*AMD!F57*LAFs!F$277*F$11*Input!$E$60/Input!$F$60</f>
        <v>0</v>
      </c>
      <c r="G158" s="34">
        <f>100*AMD!G57*LAFs!G$277*G$11*Input!$E$60/Input!$F$60</f>
        <v>0</v>
      </c>
      <c r="H158" s="34">
        <f>100*AMD!H57*LAFs!H$277*H$11*Input!$E$60/Input!$F$60</f>
        <v>0</v>
      </c>
      <c r="I158" s="34">
        <f>100*AMD!I57*LAFs!I$277*I$11*Input!$E$60/Input!$F$60</f>
        <v>0</v>
      </c>
      <c r="J158" s="34">
        <f>100*AMD!J57*LAFs!J$277*J$11*Input!$E$60/Input!$F$60</f>
        <v>0</v>
      </c>
      <c r="K158" s="34">
        <f>100*AMD!B57*LAFs!B$277*K$11*Input!$E$60/Input!$F$60</f>
        <v>0</v>
      </c>
      <c r="L158" s="34">
        <f>100*AMD!C57*LAFs!C$277*L$11*Input!$E$60/Input!$F$60</f>
        <v>0</v>
      </c>
      <c r="M158" s="34">
        <f>100*AMD!D57*LAFs!D$277*M$11*Input!$E$60/Input!$F$60</f>
        <v>0</v>
      </c>
      <c r="N158" s="34">
        <f>100*AMD!E57*LAFs!E$277*N$11*Input!$E$60/Input!$F$60</f>
        <v>0</v>
      </c>
      <c r="O158" s="34">
        <f>100*AMD!F57*LAFs!F$277*O$11*Input!$E$60/Input!$F$60</f>
        <v>0</v>
      </c>
      <c r="P158" s="34">
        <f>100*AMD!G57*LAFs!G$277*P$11*Input!$E$60/Input!$F$60</f>
        <v>0</v>
      </c>
      <c r="Q158" s="34">
        <f>100*AMD!H57*LAFs!H$277*Q$11*Input!$E$60/Input!$F$60</f>
        <v>0</v>
      </c>
      <c r="R158" s="34">
        <f>100*AMD!I57*LAFs!I$277*R$11*Input!$E$60/Input!$F$60</f>
        <v>0</v>
      </c>
      <c r="S158" s="34">
        <f>100*AMD!J57*LAFs!J$277*S$11*Input!$E$60/Input!$F$60</f>
        <v>0</v>
      </c>
      <c r="T158" s="17"/>
    </row>
    <row r="159" spans="1:20">
      <c r="A159" s="4" t="s">
        <v>231</v>
      </c>
      <c r="B159" s="34">
        <f>100*AMD!B58*LAFs!B$278*B$11*Input!$E$60/Input!$F$60</f>
        <v>0</v>
      </c>
      <c r="C159" s="34">
        <f>100*AMD!C58*LAFs!C$278*C$11*Input!$E$60/Input!$F$60</f>
        <v>0</v>
      </c>
      <c r="D159" s="34">
        <f>100*AMD!D58*LAFs!D$278*D$11*Input!$E$60/Input!$F$60</f>
        <v>0</v>
      </c>
      <c r="E159" s="34">
        <f>100*AMD!E58*LAFs!E$278*E$11*Input!$E$60/Input!$F$60</f>
        <v>0</v>
      </c>
      <c r="F159" s="34">
        <f>100*AMD!F58*LAFs!F$278*F$11*Input!$E$60/Input!$F$60</f>
        <v>0</v>
      </c>
      <c r="G159" s="34">
        <f>100*AMD!G58*LAFs!G$278*G$11*Input!$E$60/Input!$F$60</f>
        <v>0</v>
      </c>
      <c r="H159" s="34">
        <f>100*AMD!H58*LAFs!H$278*H$11*Input!$E$60/Input!$F$60</f>
        <v>0</v>
      </c>
      <c r="I159" s="34">
        <f>100*AMD!I58*LAFs!I$278*I$11*Input!$E$60/Input!$F$60</f>
        <v>0</v>
      </c>
      <c r="J159" s="34">
        <f>100*AMD!J58*LAFs!J$278*J$11*Input!$E$60/Input!$F$60</f>
        <v>0</v>
      </c>
      <c r="K159" s="34">
        <f>100*AMD!B58*LAFs!B$278*K$11*Input!$E$60/Input!$F$60</f>
        <v>0</v>
      </c>
      <c r="L159" s="34">
        <f>100*AMD!C58*LAFs!C$278*L$11*Input!$E$60/Input!$F$60</f>
        <v>0</v>
      </c>
      <c r="M159" s="34">
        <f>100*AMD!D58*LAFs!D$278*M$11*Input!$E$60/Input!$F$60</f>
        <v>0</v>
      </c>
      <c r="N159" s="34">
        <f>100*AMD!E58*LAFs!E$278*N$11*Input!$E$60/Input!$F$60</f>
        <v>0</v>
      </c>
      <c r="O159" s="34">
        <f>100*AMD!F58*LAFs!F$278*O$11*Input!$E$60/Input!$F$60</f>
        <v>0</v>
      </c>
      <c r="P159" s="34">
        <f>100*AMD!G58*LAFs!G$278*P$11*Input!$E$60/Input!$F$60</f>
        <v>0</v>
      </c>
      <c r="Q159" s="34">
        <f>100*AMD!H58*LAFs!H$278*Q$11*Input!$E$60/Input!$F$60</f>
        <v>0</v>
      </c>
      <c r="R159" s="34">
        <f>100*AMD!I58*LAFs!I$278*R$11*Input!$E$60/Input!$F$60</f>
        <v>0</v>
      </c>
      <c r="S159" s="34">
        <f>100*AMD!J58*LAFs!J$278*S$11*Input!$E$60/Input!$F$60</f>
        <v>0</v>
      </c>
      <c r="T159" s="17"/>
    </row>
    <row r="160" spans="1:20">
      <c r="A160" s="4" t="s">
        <v>232</v>
      </c>
      <c r="B160" s="34">
        <f>100*AMD!B59*LAFs!B$279*B$11*Input!$E$60/Input!$F$60</f>
        <v>0</v>
      </c>
      <c r="C160" s="34">
        <f>100*AMD!C59*LAFs!C$279*C$11*Input!$E$60/Input!$F$60</f>
        <v>0</v>
      </c>
      <c r="D160" s="34">
        <f>100*AMD!D59*LAFs!D$279*D$11*Input!$E$60/Input!$F$60</f>
        <v>0</v>
      </c>
      <c r="E160" s="34">
        <f>100*AMD!E59*LAFs!E$279*E$11*Input!$E$60/Input!$F$60</f>
        <v>0</v>
      </c>
      <c r="F160" s="34">
        <f>100*AMD!F59*LAFs!F$279*F$11*Input!$E$60/Input!$F$60</f>
        <v>0</v>
      </c>
      <c r="G160" s="34">
        <f>100*AMD!G59*LAFs!G$279*G$11*Input!$E$60/Input!$F$60</f>
        <v>0</v>
      </c>
      <c r="H160" s="34">
        <f>100*AMD!H59*LAFs!H$279*H$11*Input!$E$60/Input!$F$60</f>
        <v>0</v>
      </c>
      <c r="I160" s="34">
        <f>100*AMD!I59*LAFs!I$279*I$11*Input!$E$60/Input!$F$60</f>
        <v>0</v>
      </c>
      <c r="J160" s="34">
        <f>100*AMD!J59*LAFs!J$279*J$11*Input!$E$60/Input!$F$60</f>
        <v>0</v>
      </c>
      <c r="K160" s="34">
        <f>100*AMD!B59*LAFs!B$279*K$11*Input!$E$60/Input!$F$60</f>
        <v>0</v>
      </c>
      <c r="L160" s="34">
        <f>100*AMD!C59*LAFs!C$279*L$11*Input!$E$60/Input!$F$60</f>
        <v>0</v>
      </c>
      <c r="M160" s="34">
        <f>100*AMD!D59*LAFs!D$279*M$11*Input!$E$60/Input!$F$60</f>
        <v>0</v>
      </c>
      <c r="N160" s="34">
        <f>100*AMD!E59*LAFs!E$279*N$11*Input!$E$60/Input!$F$60</f>
        <v>0</v>
      </c>
      <c r="O160" s="34">
        <f>100*AMD!F59*LAFs!F$279*O$11*Input!$E$60/Input!$F$60</f>
        <v>0</v>
      </c>
      <c r="P160" s="34">
        <f>100*AMD!G59*LAFs!G$279*P$11*Input!$E$60/Input!$F$60</f>
        <v>0</v>
      </c>
      <c r="Q160" s="34">
        <f>100*AMD!H59*LAFs!H$279*Q$11*Input!$E$60/Input!$F$60</f>
        <v>0</v>
      </c>
      <c r="R160" s="34">
        <f>100*AMD!I59*LAFs!I$279*R$11*Input!$E$60/Input!$F$60</f>
        <v>0</v>
      </c>
      <c r="S160" s="34">
        <f>100*AMD!J59*LAFs!J$279*S$11*Input!$E$60/Input!$F$60</f>
        <v>0</v>
      </c>
      <c r="T160" s="17"/>
    </row>
  </sheetData>
  <sheetProtection sheet="1" objects="1" scenarios="1"/>
  <hyperlinks>
    <hyperlink ref="A6" location="'Yard'!B10" display="x1 = 2901. Unit cost at each level, £/kW/year (relative to system simultaneous maximum load)"/>
    <hyperlink ref="A7" location="'AMD'!B202" display="x2 = 2612. Diversity allowances (including calculated LV value)"/>
    <hyperlink ref="A16" location="'AMD'!B40" display="x1 = 2602. Standing charges factors adapted to use 132kV/HV"/>
    <hyperlink ref="A17" location="'LAFs'!B260" display="x2 = 2012. Loss adjustment factors between end user meter reading and each network level, scaled by network use"/>
    <hyperlink ref="A18" location="'Standing'!B10" display="x3 = 3001. Costs based on aggregate maximum load (£/kW/year)"/>
    <hyperlink ref="A19" location="'Input'!E59" display="x4 = 1010. Power factor for all flows in the network model (in Financial and general assumptions)"/>
    <hyperlink ref="A20" location="'Input'!F59" display="x5 = 1010. Days in the charging year (in Financial and general assumptions)"/>
    <hyperlink ref="A21" location="'Contrib'!B105" display="x6 = 2804. Proportion of annual charge covered by contributions (for all charging levels)"/>
    <hyperlink ref="A47" location="'AMD'!B40" display="x1 = 2602. Standing charges factors adapted to use 132kV/HV"/>
    <hyperlink ref="A48" location="'Yard'!B22" display="x2 = 2902. Pay-as-you-go yardstick unit costs by charging level (p/kWh)"/>
    <hyperlink ref="A74" location="'AMD'!B40" display="x1 = 2602. Standing charges factors adapted to use 132kV/HV"/>
    <hyperlink ref="A75" location="'Yard'!B66" display="x2 = 2903. Contributions to pay-as-you-go unit rate 1 (p/kWh)"/>
    <hyperlink ref="A101" location="'AMD'!B40" display="x1 = 2602. Standing charges factors adapted to use 132kV/HV"/>
    <hyperlink ref="A102" location="'Yard'!B102" display="x2 = 2904. Contributions to pay-as-you-go unit rate 2 (p/kWh)"/>
    <hyperlink ref="A120" location="'AMD'!B40" display="x1 = 2602. Standing charges factors adapted to use 132kV/HV"/>
    <hyperlink ref="A121" location="'Yard'!B130" display="x2 = 2905. Contributions to pay-as-you-go unit rate 3 (p/kWh)"/>
    <hyperlink ref="A134" location="'AMD'!B40" display="x1 = 2602. Standing charges factors adapted to use 132kV/HV"/>
    <hyperlink ref="A135" location="'LAFs'!B260" display="x2 = 2012. Loss adjustment factors between end user meter reading and each network level, scaled by network use"/>
    <hyperlink ref="A136" location="'Standing'!B10" display="x3 = 3001. Costs based on aggregate maximum load (£/kW/year)"/>
    <hyperlink ref="A137" location="'Input'!E59" display="x4 = 1010. Power factor for all flows in the network model (in Financial and general assumptions)"/>
    <hyperlink ref="A138" location="'Input'!F59" display="x5 = 1010. Days in the charging year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50.7109375" customWidth="1"/>
    <col min="2" max="251" width="16.7109375" customWidth="1"/>
  </cols>
  <sheetData>
    <row r="1" spans="1:6" ht="21" customHeight="1">
      <c r="A1" s="1" t="str">
        <f>"Standing charges as fixed charges for "&amp;Input!B7&amp;" in "&amp;Input!C7&amp;" ("&amp;Input!D7&amp;")"</f>
        <v>Standing charges as fixed charges for Electricity North West in 2019/20 (Version 1)</v>
      </c>
    </row>
    <row r="2" spans="1:6">
      <c r="A2" s="2" t="s">
        <v>1039</v>
      </c>
    </row>
    <row r="4" spans="1:6" ht="21" customHeight="1">
      <c r="A4" s="1" t="s">
        <v>1040</v>
      </c>
    </row>
    <row r="6" spans="1:6" ht="45">
      <c r="B6" s="15" t="s">
        <v>1041</v>
      </c>
      <c r="C6" s="15" t="s">
        <v>1042</v>
      </c>
      <c r="D6" s="15" t="s">
        <v>1043</v>
      </c>
      <c r="E6" s="15" t="s">
        <v>1044</v>
      </c>
    </row>
    <row r="7" spans="1:6">
      <c r="A7" s="4" t="s">
        <v>180</v>
      </c>
      <c r="B7" s="33">
        <v>1</v>
      </c>
      <c r="C7" s="33">
        <v>0</v>
      </c>
      <c r="D7" s="33">
        <v>0</v>
      </c>
      <c r="E7" s="33">
        <v>0</v>
      </c>
      <c r="F7" s="17"/>
    </row>
    <row r="8" spans="1:6">
      <c r="A8" s="4" t="s">
        <v>181</v>
      </c>
      <c r="B8" s="33">
        <v>1</v>
      </c>
      <c r="C8" s="33">
        <v>0</v>
      </c>
      <c r="D8" s="33">
        <v>0</v>
      </c>
      <c r="E8" s="33">
        <v>0</v>
      </c>
      <c r="F8" s="17"/>
    </row>
    <row r="9" spans="1:6">
      <c r="A9" s="4" t="s">
        <v>182</v>
      </c>
      <c r="B9" s="33">
        <v>1</v>
      </c>
      <c r="C9" s="33">
        <v>0</v>
      </c>
      <c r="D9" s="33">
        <v>0</v>
      </c>
      <c r="E9" s="33">
        <v>0</v>
      </c>
      <c r="F9" s="17"/>
    </row>
    <row r="10" spans="1:6">
      <c r="A10" s="4" t="s">
        <v>183</v>
      </c>
      <c r="B10" s="33">
        <v>1</v>
      </c>
      <c r="C10" s="33">
        <v>0</v>
      </c>
      <c r="D10" s="33">
        <v>0</v>
      </c>
      <c r="E10" s="33">
        <v>0</v>
      </c>
      <c r="F10" s="17"/>
    </row>
    <row r="11" spans="1:6">
      <c r="A11" s="4" t="s">
        <v>184</v>
      </c>
      <c r="B11" s="33">
        <v>0</v>
      </c>
      <c r="C11" s="33">
        <v>1</v>
      </c>
      <c r="D11" s="33">
        <v>0</v>
      </c>
      <c r="E11" s="33">
        <v>0</v>
      </c>
      <c r="F11" s="17"/>
    </row>
    <row r="12" spans="1:6">
      <c r="A12" s="4" t="s">
        <v>185</v>
      </c>
      <c r="B12" s="33">
        <v>0</v>
      </c>
      <c r="C12" s="33">
        <v>0</v>
      </c>
      <c r="D12" s="33">
        <v>1</v>
      </c>
      <c r="E12" s="33">
        <v>0</v>
      </c>
      <c r="F12" s="17"/>
    </row>
    <row r="13" spans="1:6">
      <c r="A13" s="4" t="s">
        <v>205</v>
      </c>
      <c r="B13" s="33">
        <v>0</v>
      </c>
      <c r="C13" s="33">
        <v>0</v>
      </c>
      <c r="D13" s="33">
        <v>0</v>
      </c>
      <c r="E13" s="33">
        <v>1</v>
      </c>
      <c r="F13" s="17"/>
    </row>
    <row r="14" spans="1:6">
      <c r="A14" s="4" t="s">
        <v>186</v>
      </c>
      <c r="B14" s="33">
        <v>1</v>
      </c>
      <c r="C14" s="33">
        <v>0</v>
      </c>
      <c r="D14" s="33">
        <v>0</v>
      </c>
      <c r="E14" s="33">
        <v>0</v>
      </c>
      <c r="F14" s="17"/>
    </row>
    <row r="15" spans="1:6">
      <c r="A15" s="4" t="s">
        <v>187</v>
      </c>
      <c r="B15" s="33">
        <v>1</v>
      </c>
      <c r="C15" s="33">
        <v>0</v>
      </c>
      <c r="D15" s="33">
        <v>0</v>
      </c>
      <c r="E15" s="33">
        <v>0</v>
      </c>
      <c r="F15" s="17"/>
    </row>
    <row r="17" spans="1:4" ht="21" customHeight="1">
      <c r="A17" s="1" t="s">
        <v>1045</v>
      </c>
    </row>
    <row r="18" spans="1:4">
      <c r="A18" s="2" t="s">
        <v>379</v>
      </c>
    </row>
    <row r="19" spans="1:4">
      <c r="A19" s="29" t="s">
        <v>606</v>
      </c>
    </row>
    <row r="20" spans="1:4">
      <c r="A20" s="29" t="s">
        <v>527</v>
      </c>
    </row>
    <row r="21" spans="1:4">
      <c r="A21" s="29" t="s">
        <v>432</v>
      </c>
    </row>
    <row r="22" spans="1:4">
      <c r="A22" s="29" t="s">
        <v>1046</v>
      </c>
    </row>
    <row r="23" spans="1:4">
      <c r="A23" s="30" t="s">
        <v>382</v>
      </c>
      <c r="B23" s="30" t="s">
        <v>512</v>
      </c>
      <c r="C23" s="30" t="s">
        <v>441</v>
      </c>
    </row>
    <row r="24" spans="1:4" ht="30">
      <c r="A24" s="30" t="s">
        <v>385</v>
      </c>
      <c r="B24" s="30" t="s">
        <v>1047</v>
      </c>
      <c r="C24" s="30" t="s">
        <v>1048</v>
      </c>
    </row>
    <row r="26" spans="1:4" ht="75">
      <c r="B26" s="15" t="s">
        <v>1049</v>
      </c>
      <c r="C26" s="15" t="s">
        <v>240</v>
      </c>
    </row>
    <row r="27" spans="1:4">
      <c r="A27" s="4" t="s">
        <v>180</v>
      </c>
      <c r="B27" s="39">
        <f>Multi!B$128/Input!C$168/(24*Input!F$60)*1000</f>
        <v>1670446.4231976999</v>
      </c>
      <c r="C27" s="41">
        <f>Loads!E$334</f>
        <v>2065133.6971907238</v>
      </c>
      <c r="D27" s="17"/>
    </row>
    <row r="28" spans="1:4">
      <c r="A28" s="4" t="s">
        <v>181</v>
      </c>
      <c r="B28" s="39">
        <f>Multi!B$129/Input!C$169/(24*Input!F$60)*1000</f>
        <v>434208.50045754906</v>
      </c>
      <c r="C28" s="41">
        <f>Loads!E$335</f>
        <v>179230.22544160407</v>
      </c>
      <c r="D28" s="17"/>
    </row>
    <row r="29" spans="1:4">
      <c r="A29" s="4" t="s">
        <v>182</v>
      </c>
      <c r="B29" s="39">
        <f>Multi!B$131/Input!C$171/(24*Input!F$60)*1000</f>
        <v>434583.42200013995</v>
      </c>
      <c r="C29" s="41">
        <f>Loads!E$337</f>
        <v>122276.7197336002</v>
      </c>
      <c r="D29" s="17"/>
    </row>
    <row r="30" spans="1:4">
      <c r="A30" s="4" t="s">
        <v>183</v>
      </c>
      <c r="B30" s="39">
        <f>Multi!B$132/Input!C$172/(24*Input!F$60)*1000</f>
        <v>141423.53046078756</v>
      </c>
      <c r="C30" s="41">
        <f>Loads!E$338</f>
        <v>34194.508811436142</v>
      </c>
      <c r="D30" s="17"/>
    </row>
    <row r="31" spans="1:4">
      <c r="A31" s="4" t="s">
        <v>184</v>
      </c>
      <c r="B31" s="39">
        <f>Multi!B$134/Input!C$174/(24*Input!F$60)*1000</f>
        <v>18.119441776074574</v>
      </c>
      <c r="C31" s="41">
        <f>Loads!E$340</f>
        <v>1.2862842580996403</v>
      </c>
      <c r="D31" s="17"/>
    </row>
    <row r="32" spans="1:4">
      <c r="A32" s="4" t="s">
        <v>185</v>
      </c>
      <c r="B32" s="39">
        <f>Multi!B$135/Input!C$175/(24*Input!F$60)*1000</f>
        <v>9.7260595540228131E-2</v>
      </c>
      <c r="C32" s="41">
        <f>Loads!E$341</f>
        <v>1E-3</v>
      </c>
      <c r="D32" s="17"/>
    </row>
    <row r="33" spans="1:6">
      <c r="A33" s="4" t="s">
        <v>205</v>
      </c>
      <c r="B33" s="39">
        <f>Multi!B$136/Input!C$176/(24*Input!F$60)*1000</f>
        <v>0.35535595288357857</v>
      </c>
      <c r="C33" s="41">
        <f>Loads!E$342</f>
        <v>1E-3</v>
      </c>
      <c r="D33" s="17"/>
    </row>
    <row r="34" spans="1:6">
      <c r="A34" s="4" t="s">
        <v>186</v>
      </c>
      <c r="B34" s="39">
        <f>Multi!B$137/Input!C$177/(24*Input!F$60)*1000</f>
        <v>167.55455931779412</v>
      </c>
      <c r="C34" s="41">
        <f>Loads!E$343</f>
        <v>339.80327868852459</v>
      </c>
      <c r="D34" s="17"/>
    </row>
    <row r="35" spans="1:6">
      <c r="A35" s="4" t="s">
        <v>187</v>
      </c>
      <c r="B35" s="39">
        <f>Multi!B$138/Input!C$178/(24*Input!F$60)*1000</f>
        <v>62535.614101000108</v>
      </c>
      <c r="C35" s="41">
        <f>Loads!E$344</f>
        <v>3574</v>
      </c>
      <c r="D35" s="17"/>
    </row>
    <row r="37" spans="1:6" ht="21" customHeight="1">
      <c r="A37" s="1" t="s">
        <v>1050</v>
      </c>
    </row>
    <row r="38" spans="1:6">
      <c r="A38" s="2" t="s">
        <v>379</v>
      </c>
    </row>
    <row r="39" spans="1:6">
      <c r="A39" s="29" t="s">
        <v>1051</v>
      </c>
    </row>
    <row r="40" spans="1:6">
      <c r="A40" s="29" t="s">
        <v>1052</v>
      </c>
    </row>
    <row r="41" spans="1:6">
      <c r="A41" s="2" t="s">
        <v>392</v>
      </c>
    </row>
    <row r="43" spans="1:6" ht="45">
      <c r="B43" s="15" t="s">
        <v>1041</v>
      </c>
      <c r="C43" s="15" t="s">
        <v>1042</v>
      </c>
      <c r="D43" s="15" t="s">
        <v>1043</v>
      </c>
      <c r="E43" s="15" t="s">
        <v>1044</v>
      </c>
    </row>
    <row r="44" spans="1:6">
      <c r="A44" s="4" t="s">
        <v>1053</v>
      </c>
      <c r="B44" s="39">
        <f>SUMPRODUCT(B$7:B$15,$B$27:$B$35)</f>
        <v>2743365.0447764946</v>
      </c>
      <c r="C44" s="39">
        <f>SUMPRODUCT(C$7:C$15,$B$27:$B$35)</f>
        <v>18.119441776074574</v>
      </c>
      <c r="D44" s="39">
        <f>SUMPRODUCT(D$7:D$15,$B$27:$B$35)</f>
        <v>9.7260595540228131E-2</v>
      </c>
      <c r="E44" s="39">
        <f>SUMPRODUCT(E$7:E$15,$B$27:$B$35)</f>
        <v>0.35535595288357857</v>
      </c>
      <c r="F44" s="17"/>
    </row>
    <row r="46" spans="1:6" ht="21" customHeight="1">
      <c r="A46" s="1" t="s">
        <v>1054</v>
      </c>
    </row>
    <row r="47" spans="1:6">
      <c r="A47" s="2" t="s">
        <v>379</v>
      </c>
    </row>
    <row r="48" spans="1:6">
      <c r="A48" s="29" t="s">
        <v>1051</v>
      </c>
    </row>
    <row r="49" spans="1:6">
      <c r="A49" s="29" t="s">
        <v>1055</v>
      </c>
    </row>
    <row r="50" spans="1:6">
      <c r="A50" s="2" t="s">
        <v>392</v>
      </c>
    </row>
    <row r="52" spans="1:6" ht="45">
      <c r="B52" s="15" t="s">
        <v>1041</v>
      </c>
      <c r="C52" s="15" t="s">
        <v>1042</v>
      </c>
      <c r="D52" s="15" t="s">
        <v>1043</v>
      </c>
      <c r="E52" s="15" t="s">
        <v>1044</v>
      </c>
    </row>
    <row r="53" spans="1:6" ht="30">
      <c r="A53" s="4" t="s">
        <v>1056</v>
      </c>
      <c r="B53" s="39">
        <f>SUMPRODUCT(B$7:B$15,$C$27:$C$35)</f>
        <v>2404748.9544560523</v>
      </c>
      <c r="C53" s="39">
        <f>SUMPRODUCT(C$7:C$15,$C$27:$C$35)</f>
        <v>1.2862842580996403</v>
      </c>
      <c r="D53" s="39">
        <f>SUMPRODUCT(D$7:D$15,$C$27:$C$35)</f>
        <v>1E-3</v>
      </c>
      <c r="E53" s="39">
        <f>SUMPRODUCT(E$7:E$15,$C$27:$C$35)</f>
        <v>1E-3</v>
      </c>
      <c r="F53" s="17"/>
    </row>
    <row r="55" spans="1:6" ht="21" customHeight="1">
      <c r="A55" s="1" t="s">
        <v>1057</v>
      </c>
    </row>
    <row r="56" spans="1:6">
      <c r="A56" s="2" t="s">
        <v>379</v>
      </c>
    </row>
    <row r="57" spans="1:6">
      <c r="A57" s="29" t="s">
        <v>1058</v>
      </c>
    </row>
    <row r="58" spans="1:6">
      <c r="A58" s="29" t="s">
        <v>1059</v>
      </c>
    </row>
    <row r="59" spans="1:6">
      <c r="A59" s="29" t="s">
        <v>868</v>
      </c>
    </row>
    <row r="60" spans="1:6">
      <c r="A60" s="2" t="s">
        <v>1060</v>
      </c>
    </row>
    <row r="62" spans="1:6" ht="45">
      <c r="B62" s="15" t="s">
        <v>1041</v>
      </c>
      <c r="C62" s="15" t="s">
        <v>1042</v>
      </c>
      <c r="D62" s="15" t="s">
        <v>1043</v>
      </c>
      <c r="E62" s="15" t="s">
        <v>1044</v>
      </c>
    </row>
    <row r="63" spans="1:6">
      <c r="A63" s="4" t="s">
        <v>1061</v>
      </c>
      <c r="B63" s="34">
        <f>IF(B53,B44/B53/Input!$E60,0)</f>
        <v>1.2008541155038372</v>
      </c>
      <c r="C63" s="34">
        <f>IF(C53,C44/C53/Input!$E60,0)</f>
        <v>14.828057240296893</v>
      </c>
      <c r="D63" s="34">
        <f>IF(D53,D44/D53/Input!$E60,0)</f>
        <v>102.37957425287172</v>
      </c>
      <c r="E63" s="34">
        <f>IF(E53,E44/E53/Input!$E60,0)</f>
        <v>374.05889777218795</v>
      </c>
      <c r="F63" s="17"/>
    </row>
    <row r="65" spans="1:3" ht="21" customHeight="1">
      <c r="A65" s="1" t="s">
        <v>1062</v>
      </c>
    </row>
    <row r="66" spans="1:3">
      <c r="A66" s="2" t="s">
        <v>379</v>
      </c>
    </row>
    <row r="67" spans="1:3">
      <c r="A67" s="29" t="s">
        <v>1051</v>
      </c>
    </row>
    <row r="68" spans="1:3">
      <c r="A68" s="29" t="s">
        <v>1063</v>
      </c>
    </row>
    <row r="69" spans="1:3">
      <c r="A69" s="2" t="s">
        <v>392</v>
      </c>
    </row>
    <row r="71" spans="1:3" ht="45">
      <c r="B71" s="15" t="s">
        <v>1064</v>
      </c>
    </row>
    <row r="72" spans="1:3">
      <c r="A72" s="4" t="s">
        <v>180</v>
      </c>
      <c r="B72" s="34">
        <f t="shared" ref="B72:B80" si="0">SUMPRODUCT($B7:$E7,$B$63:$E$63)</f>
        <v>1.2008541155038372</v>
      </c>
      <c r="C72" s="17"/>
    </row>
    <row r="73" spans="1:3">
      <c r="A73" s="4" t="s">
        <v>181</v>
      </c>
      <c r="B73" s="34">
        <f t="shared" si="0"/>
        <v>1.2008541155038372</v>
      </c>
      <c r="C73" s="17"/>
    </row>
    <row r="74" spans="1:3">
      <c r="A74" s="4" t="s">
        <v>182</v>
      </c>
      <c r="B74" s="34">
        <f t="shared" si="0"/>
        <v>1.2008541155038372</v>
      </c>
      <c r="C74" s="17"/>
    </row>
    <row r="75" spans="1:3">
      <c r="A75" s="4" t="s">
        <v>183</v>
      </c>
      <c r="B75" s="34">
        <f t="shared" si="0"/>
        <v>1.2008541155038372</v>
      </c>
      <c r="C75" s="17"/>
    </row>
    <row r="76" spans="1:3">
      <c r="A76" s="4" t="s">
        <v>184</v>
      </c>
      <c r="B76" s="34">
        <f t="shared" si="0"/>
        <v>14.828057240296893</v>
      </c>
      <c r="C76" s="17"/>
    </row>
    <row r="77" spans="1:3">
      <c r="A77" s="4" t="s">
        <v>185</v>
      </c>
      <c r="B77" s="34">
        <f t="shared" si="0"/>
        <v>102.37957425287172</v>
      </c>
      <c r="C77" s="17"/>
    </row>
    <row r="78" spans="1:3">
      <c r="A78" s="4" t="s">
        <v>205</v>
      </c>
      <c r="B78" s="34">
        <f t="shared" si="0"/>
        <v>374.05889777218795</v>
      </c>
      <c r="C78" s="17"/>
    </row>
    <row r="79" spans="1:3">
      <c r="A79" s="4" t="s">
        <v>186</v>
      </c>
      <c r="B79" s="34">
        <f t="shared" si="0"/>
        <v>1.2008541155038372</v>
      </c>
      <c r="C79" s="17"/>
    </row>
    <row r="80" spans="1:3">
      <c r="A80" s="4" t="s">
        <v>187</v>
      </c>
      <c r="B80" s="34">
        <f t="shared" si="0"/>
        <v>1.2008541155038372</v>
      </c>
      <c r="C80" s="17"/>
    </row>
    <row r="82" spans="1:20" ht="21" customHeight="1">
      <c r="A82" s="1" t="s">
        <v>1065</v>
      </c>
    </row>
    <row r="83" spans="1:20">
      <c r="A83" s="2" t="s">
        <v>379</v>
      </c>
    </row>
    <row r="84" spans="1:20">
      <c r="A84" s="29" t="s">
        <v>1066</v>
      </c>
    </row>
    <row r="85" spans="1:20">
      <c r="A85" s="29" t="s">
        <v>1067</v>
      </c>
    </row>
    <row r="86" spans="1:20">
      <c r="A86" s="2" t="s">
        <v>721</v>
      </c>
    </row>
    <row r="88" spans="1:20" ht="30">
      <c r="B88" s="15" t="s">
        <v>148</v>
      </c>
      <c r="C88" s="15" t="s">
        <v>333</v>
      </c>
      <c r="D88" s="15" t="s">
        <v>334</v>
      </c>
      <c r="E88" s="15" t="s">
        <v>335</v>
      </c>
      <c r="F88" s="15" t="s">
        <v>336</v>
      </c>
      <c r="G88" s="15" t="s">
        <v>337</v>
      </c>
      <c r="H88" s="15" t="s">
        <v>338</v>
      </c>
      <c r="I88" s="15" t="s">
        <v>339</v>
      </c>
      <c r="J88" s="15" t="s">
        <v>340</v>
      </c>
      <c r="K88" s="15" t="s">
        <v>321</v>
      </c>
      <c r="L88" s="15" t="s">
        <v>909</v>
      </c>
      <c r="M88" s="15" t="s">
        <v>910</v>
      </c>
      <c r="N88" s="15" t="s">
        <v>911</v>
      </c>
      <c r="O88" s="15" t="s">
        <v>912</v>
      </c>
      <c r="P88" s="15" t="s">
        <v>913</v>
      </c>
      <c r="Q88" s="15" t="s">
        <v>914</v>
      </c>
      <c r="R88" s="15" t="s">
        <v>915</v>
      </c>
      <c r="S88" s="15" t="s">
        <v>916</v>
      </c>
    </row>
    <row r="89" spans="1:20">
      <c r="A89" s="4" t="s">
        <v>180</v>
      </c>
      <c r="B89" s="34">
        <f>Standing!B$25*$B72</f>
        <v>0</v>
      </c>
      <c r="C89" s="34">
        <f>Standing!C$25*$B72</f>
        <v>0</v>
      </c>
      <c r="D89" s="34">
        <f>Standing!D$25*$B72</f>
        <v>0</v>
      </c>
      <c r="E89" s="34">
        <f>Standing!E$25*$B72</f>
        <v>0</v>
      </c>
      <c r="F89" s="34">
        <f>Standing!F$25*$B72</f>
        <v>0</v>
      </c>
      <c r="G89" s="34">
        <f>Standing!G$25*$B72</f>
        <v>0</v>
      </c>
      <c r="H89" s="34">
        <f>Standing!H$25*$B72</f>
        <v>0</v>
      </c>
      <c r="I89" s="34">
        <f>Standing!I$25*$B72</f>
        <v>0</v>
      </c>
      <c r="J89" s="34">
        <f>Standing!J$25*$B72</f>
        <v>3.833111014469965E-2</v>
      </c>
      <c r="K89" s="34">
        <f>Standing!K$25*$B72</f>
        <v>0</v>
      </c>
      <c r="L89" s="34">
        <f>Standing!L$25*$B72</f>
        <v>0</v>
      </c>
      <c r="M89" s="34">
        <f>Standing!M$25*$B72</f>
        <v>0</v>
      </c>
      <c r="N89" s="34">
        <f>Standing!N$25*$B72</f>
        <v>0</v>
      </c>
      <c r="O89" s="34">
        <f>Standing!O$25*$B72</f>
        <v>0</v>
      </c>
      <c r="P89" s="34">
        <f>Standing!P$25*$B72</f>
        <v>0</v>
      </c>
      <c r="Q89" s="34">
        <f>Standing!Q$25*$B72</f>
        <v>0</v>
      </c>
      <c r="R89" s="34">
        <f>Standing!R$25*$B72</f>
        <v>0</v>
      </c>
      <c r="S89" s="34">
        <f>Standing!S$25*$B72</f>
        <v>0.5032376530907513</v>
      </c>
      <c r="T89" s="17"/>
    </row>
    <row r="90" spans="1:20">
      <c r="A90" s="4" t="s">
        <v>181</v>
      </c>
      <c r="B90" s="34">
        <f>Standing!B$26*$B73</f>
        <v>0</v>
      </c>
      <c r="C90" s="34">
        <f>Standing!C$26*$B73</f>
        <v>0</v>
      </c>
      <c r="D90" s="34">
        <f>Standing!D$26*$B73</f>
        <v>0</v>
      </c>
      <c r="E90" s="34">
        <f>Standing!E$26*$B73</f>
        <v>0</v>
      </c>
      <c r="F90" s="34">
        <f>Standing!F$26*$B73</f>
        <v>0</v>
      </c>
      <c r="G90" s="34">
        <f>Standing!G$26*$B73</f>
        <v>0</v>
      </c>
      <c r="H90" s="34">
        <f>Standing!H$26*$B73</f>
        <v>0</v>
      </c>
      <c r="I90" s="34">
        <f>Standing!I$26*$B73</f>
        <v>0</v>
      </c>
      <c r="J90" s="34">
        <f>Standing!J$26*$B73</f>
        <v>3.833111014469965E-2</v>
      </c>
      <c r="K90" s="34">
        <f>Standing!K$26*$B73</f>
        <v>0</v>
      </c>
      <c r="L90" s="34">
        <f>Standing!L$26*$B73</f>
        <v>0</v>
      </c>
      <c r="M90" s="34">
        <f>Standing!M$26*$B73</f>
        <v>0</v>
      </c>
      <c r="N90" s="34">
        <f>Standing!N$26*$B73</f>
        <v>0</v>
      </c>
      <c r="O90" s="34">
        <f>Standing!O$26*$B73</f>
        <v>0</v>
      </c>
      <c r="P90" s="34">
        <f>Standing!P$26*$B73</f>
        <v>0</v>
      </c>
      <c r="Q90" s="34">
        <f>Standing!Q$26*$B73</f>
        <v>0</v>
      </c>
      <c r="R90" s="34">
        <f>Standing!R$26*$B73</f>
        <v>0</v>
      </c>
      <c r="S90" s="34">
        <f>Standing!S$26*$B73</f>
        <v>0.5032376530907513</v>
      </c>
      <c r="T90" s="17"/>
    </row>
    <row r="91" spans="1:20">
      <c r="A91" s="4" t="s">
        <v>182</v>
      </c>
      <c r="B91" s="34">
        <f>Standing!B$28*$B74</f>
        <v>0</v>
      </c>
      <c r="C91" s="34">
        <f>Standing!C$28*$B74</f>
        <v>0</v>
      </c>
      <c r="D91" s="34">
        <f>Standing!D$28*$B74</f>
        <v>0</v>
      </c>
      <c r="E91" s="34">
        <f>Standing!E$28*$B74</f>
        <v>0</v>
      </c>
      <c r="F91" s="34">
        <f>Standing!F$28*$B74</f>
        <v>0</v>
      </c>
      <c r="G91" s="34">
        <f>Standing!G$28*$B74</f>
        <v>0</v>
      </c>
      <c r="H91" s="34">
        <f>Standing!H$28*$B74</f>
        <v>0</v>
      </c>
      <c r="I91" s="34">
        <f>Standing!I$28*$B74</f>
        <v>0</v>
      </c>
      <c r="J91" s="34">
        <f>Standing!J$28*$B74</f>
        <v>3.833111014469965E-2</v>
      </c>
      <c r="K91" s="34">
        <f>Standing!K$28*$B74</f>
        <v>0</v>
      </c>
      <c r="L91" s="34">
        <f>Standing!L$28*$B74</f>
        <v>0</v>
      </c>
      <c r="M91" s="34">
        <f>Standing!M$28*$B74</f>
        <v>0</v>
      </c>
      <c r="N91" s="34">
        <f>Standing!N$28*$B74</f>
        <v>0</v>
      </c>
      <c r="O91" s="34">
        <f>Standing!O$28*$B74</f>
        <v>0</v>
      </c>
      <c r="P91" s="34">
        <f>Standing!P$28*$B74</f>
        <v>0</v>
      </c>
      <c r="Q91" s="34">
        <f>Standing!Q$28*$B74</f>
        <v>0</v>
      </c>
      <c r="R91" s="34">
        <f>Standing!R$28*$B74</f>
        <v>0</v>
      </c>
      <c r="S91" s="34">
        <f>Standing!S$28*$B74</f>
        <v>0.5032376530907513</v>
      </c>
      <c r="T91" s="17"/>
    </row>
    <row r="92" spans="1:20">
      <c r="A92" s="4" t="s">
        <v>183</v>
      </c>
      <c r="B92" s="34">
        <f>Standing!B$29*$B75</f>
        <v>0</v>
      </c>
      <c r="C92" s="34">
        <f>Standing!C$29*$B75</f>
        <v>0</v>
      </c>
      <c r="D92" s="34">
        <f>Standing!D$29*$B75</f>
        <v>0</v>
      </c>
      <c r="E92" s="34">
        <f>Standing!E$29*$B75</f>
        <v>0</v>
      </c>
      <c r="F92" s="34">
        <f>Standing!F$29*$B75</f>
        <v>0</v>
      </c>
      <c r="G92" s="34">
        <f>Standing!G$29*$B75</f>
        <v>0</v>
      </c>
      <c r="H92" s="34">
        <f>Standing!H$29*$B75</f>
        <v>0</v>
      </c>
      <c r="I92" s="34">
        <f>Standing!I$29*$B75</f>
        <v>0</v>
      </c>
      <c r="J92" s="34">
        <f>Standing!J$29*$B75</f>
        <v>3.833111014469965E-2</v>
      </c>
      <c r="K92" s="34">
        <f>Standing!K$29*$B75</f>
        <v>0</v>
      </c>
      <c r="L92" s="34">
        <f>Standing!L$29*$B75</f>
        <v>0</v>
      </c>
      <c r="M92" s="34">
        <f>Standing!M$29*$B75</f>
        <v>0</v>
      </c>
      <c r="N92" s="34">
        <f>Standing!N$29*$B75</f>
        <v>0</v>
      </c>
      <c r="O92" s="34">
        <f>Standing!O$29*$B75</f>
        <v>0</v>
      </c>
      <c r="P92" s="34">
        <f>Standing!P$29*$B75</f>
        <v>0</v>
      </c>
      <c r="Q92" s="34">
        <f>Standing!Q$29*$B75</f>
        <v>0</v>
      </c>
      <c r="R92" s="34">
        <f>Standing!R$29*$B75</f>
        <v>0</v>
      </c>
      <c r="S92" s="34">
        <f>Standing!S$29*$B75</f>
        <v>0.5032376530907513</v>
      </c>
      <c r="T92" s="17"/>
    </row>
    <row r="93" spans="1:20">
      <c r="A93" s="4" t="s">
        <v>184</v>
      </c>
      <c r="B93" s="34">
        <f>Standing!B$31*$B76</f>
        <v>0</v>
      </c>
      <c r="C93" s="34">
        <f>Standing!C$31*$B76</f>
        <v>0</v>
      </c>
      <c r="D93" s="34">
        <f>Standing!D$31*$B76</f>
        <v>0</v>
      </c>
      <c r="E93" s="34">
        <f>Standing!E$31*$B76</f>
        <v>0</v>
      </c>
      <c r="F93" s="34">
        <f>Standing!F$31*$B76</f>
        <v>0</v>
      </c>
      <c r="G93" s="34">
        <f>Standing!G$31*$B76</f>
        <v>0</v>
      </c>
      <c r="H93" s="34">
        <f>Standing!H$31*$B76</f>
        <v>0</v>
      </c>
      <c r="I93" s="34">
        <f>Standing!I$31*$B76</f>
        <v>0</v>
      </c>
      <c r="J93" s="34">
        <f>Standing!J$31*$B76</f>
        <v>0.47330969513416726</v>
      </c>
      <c r="K93" s="34">
        <f>Standing!K$31*$B76</f>
        <v>0</v>
      </c>
      <c r="L93" s="34">
        <f>Standing!L$31*$B76</f>
        <v>0</v>
      </c>
      <c r="M93" s="34">
        <f>Standing!M$31*$B76</f>
        <v>0</v>
      </c>
      <c r="N93" s="34">
        <f>Standing!N$31*$B76</f>
        <v>0</v>
      </c>
      <c r="O93" s="34">
        <f>Standing!O$31*$B76</f>
        <v>0</v>
      </c>
      <c r="P93" s="34">
        <f>Standing!P$31*$B76</f>
        <v>0</v>
      </c>
      <c r="Q93" s="34">
        <f>Standing!Q$31*$B76</f>
        <v>0</v>
      </c>
      <c r="R93" s="34">
        <f>Standing!R$31*$B76</f>
        <v>0</v>
      </c>
      <c r="S93" s="34">
        <f>Standing!S$31*$B76</f>
        <v>6.2139410850680354</v>
      </c>
      <c r="T93" s="17"/>
    </row>
    <row r="94" spans="1:20">
      <c r="A94" s="4" t="s">
        <v>185</v>
      </c>
      <c r="B94" s="34">
        <f>Standing!B$32*$B77</f>
        <v>0</v>
      </c>
      <c r="C94" s="34">
        <f>Standing!C$32*$B77</f>
        <v>0</v>
      </c>
      <c r="D94" s="34">
        <f>Standing!D$32*$B77</f>
        <v>0</v>
      </c>
      <c r="E94" s="34">
        <f>Standing!E$32*$B77</f>
        <v>0</v>
      </c>
      <c r="F94" s="34">
        <f>Standing!F$32*$B77</f>
        <v>0</v>
      </c>
      <c r="G94" s="34">
        <f>Standing!G$32*$B77</f>
        <v>0</v>
      </c>
      <c r="H94" s="34">
        <f>Standing!H$32*$B77</f>
        <v>0</v>
      </c>
      <c r="I94" s="34">
        <f>Standing!I$32*$B77</f>
        <v>6.1356728015637225</v>
      </c>
      <c r="J94" s="34">
        <f>Standing!J$32*$B77</f>
        <v>0</v>
      </c>
      <c r="K94" s="34">
        <f>Standing!K$32*$B77</f>
        <v>0</v>
      </c>
      <c r="L94" s="34">
        <f>Standing!L$32*$B77</f>
        <v>0</v>
      </c>
      <c r="M94" s="34">
        <f>Standing!M$32*$B77</f>
        <v>0</v>
      </c>
      <c r="N94" s="34">
        <f>Standing!N$32*$B77</f>
        <v>0</v>
      </c>
      <c r="O94" s="34">
        <f>Standing!O$32*$B77</f>
        <v>0</v>
      </c>
      <c r="P94" s="34">
        <f>Standing!P$32*$B77</f>
        <v>0</v>
      </c>
      <c r="Q94" s="34">
        <f>Standing!Q$32*$B77</f>
        <v>0</v>
      </c>
      <c r="R94" s="34">
        <f>Standing!R$32*$B77</f>
        <v>80.553408683850591</v>
      </c>
      <c r="S94" s="34">
        <f>Standing!S$32*$B77</f>
        <v>0</v>
      </c>
      <c r="T94" s="17"/>
    </row>
    <row r="95" spans="1:20">
      <c r="A95" s="4" t="s">
        <v>205</v>
      </c>
      <c r="B95" s="34">
        <f>Standing!B$33*$B78</f>
        <v>0</v>
      </c>
      <c r="C95" s="34">
        <f>Standing!C$33*$B78</f>
        <v>0</v>
      </c>
      <c r="D95" s="34">
        <f>Standing!D$33*$B78</f>
        <v>0</v>
      </c>
      <c r="E95" s="34">
        <f>Standing!E$33*$B78</f>
        <v>175.74571374391957</v>
      </c>
      <c r="F95" s="34">
        <f>Standing!F$33*$B78</f>
        <v>238.35113543752311</v>
      </c>
      <c r="G95" s="34">
        <f>Standing!G$33*$B78</f>
        <v>0</v>
      </c>
      <c r="H95" s="34">
        <f>Standing!H$33*$B78</f>
        <v>73.098951543433486</v>
      </c>
      <c r="I95" s="34">
        <f>Standing!I$33*$B78</f>
        <v>0</v>
      </c>
      <c r="J95" s="34">
        <f>Standing!J$33*$B78</f>
        <v>0</v>
      </c>
      <c r="K95" s="34">
        <f>Standing!K$33*$B78</f>
        <v>0</v>
      </c>
      <c r="L95" s="34">
        <f>Standing!L$33*$B78</f>
        <v>0</v>
      </c>
      <c r="M95" s="34">
        <f>Standing!M$33*$B78</f>
        <v>0</v>
      </c>
      <c r="N95" s="34">
        <f>Standing!N$33*$B78</f>
        <v>69.219383569676253</v>
      </c>
      <c r="O95" s="34">
        <f>Standing!O$33*$B78</f>
        <v>218.31911144813142</v>
      </c>
      <c r="P95" s="34">
        <f>Standing!P$33*$B78</f>
        <v>0</v>
      </c>
      <c r="Q95" s="34">
        <f>Standing!Q$33*$B78</f>
        <v>319.89807303818952</v>
      </c>
      <c r="R95" s="34">
        <f>Standing!R$33*$B78</f>
        <v>0</v>
      </c>
      <c r="S95" s="34">
        <f>Standing!S$33*$B78</f>
        <v>0</v>
      </c>
      <c r="T95" s="17"/>
    </row>
    <row r="96" spans="1:20">
      <c r="A96" s="4" t="s">
        <v>186</v>
      </c>
      <c r="B96" s="34">
        <f>Standing!B$34*$B79</f>
        <v>0</v>
      </c>
      <c r="C96" s="34">
        <f>Standing!C$34*$B79</f>
        <v>0</v>
      </c>
      <c r="D96" s="34">
        <f>Standing!D$34*$B79</f>
        <v>0</v>
      </c>
      <c r="E96" s="34">
        <f>Standing!E$34*$B79</f>
        <v>0</v>
      </c>
      <c r="F96" s="34">
        <f>Standing!F$34*$B79</f>
        <v>0</v>
      </c>
      <c r="G96" s="34">
        <f>Standing!G$34*$B79</f>
        <v>0</v>
      </c>
      <c r="H96" s="34">
        <f>Standing!H$34*$B79</f>
        <v>0</v>
      </c>
      <c r="I96" s="34">
        <f>Standing!I$34*$B79</f>
        <v>0</v>
      </c>
      <c r="J96" s="34">
        <f>Standing!J$34*$B79</f>
        <v>3.833111014469965E-2</v>
      </c>
      <c r="K96" s="34">
        <f>Standing!K$34*$B79</f>
        <v>0</v>
      </c>
      <c r="L96" s="34">
        <f>Standing!L$34*$B79</f>
        <v>0</v>
      </c>
      <c r="M96" s="34">
        <f>Standing!M$34*$B79</f>
        <v>0</v>
      </c>
      <c r="N96" s="34">
        <f>Standing!N$34*$B79</f>
        <v>0</v>
      </c>
      <c r="O96" s="34">
        <f>Standing!O$34*$B79</f>
        <v>0</v>
      </c>
      <c r="P96" s="34">
        <f>Standing!P$34*$B79</f>
        <v>0</v>
      </c>
      <c r="Q96" s="34">
        <f>Standing!Q$34*$B79</f>
        <v>0</v>
      </c>
      <c r="R96" s="34">
        <f>Standing!R$34*$B79</f>
        <v>0</v>
      </c>
      <c r="S96" s="34">
        <f>Standing!S$34*$B79</f>
        <v>0.5032376530907513</v>
      </c>
      <c r="T96" s="17"/>
    </row>
    <row r="97" spans="1:20">
      <c r="A97" s="4" t="s">
        <v>187</v>
      </c>
      <c r="B97" s="34">
        <f>Standing!B$35*$B80</f>
        <v>0</v>
      </c>
      <c r="C97" s="34">
        <f>Standing!C$35*$B80</f>
        <v>0</v>
      </c>
      <c r="D97" s="34">
        <f>Standing!D$35*$B80</f>
        <v>0</v>
      </c>
      <c r="E97" s="34">
        <f>Standing!E$35*$B80</f>
        <v>0</v>
      </c>
      <c r="F97" s="34">
        <f>Standing!F$35*$B80</f>
        <v>0</v>
      </c>
      <c r="G97" s="34">
        <f>Standing!G$35*$B80</f>
        <v>0</v>
      </c>
      <c r="H97" s="34">
        <f>Standing!H$35*$B80</f>
        <v>0</v>
      </c>
      <c r="I97" s="34">
        <f>Standing!I$35*$B80</f>
        <v>0</v>
      </c>
      <c r="J97" s="34">
        <f>Standing!J$35*$B80</f>
        <v>3.833111014469965E-2</v>
      </c>
      <c r="K97" s="34">
        <f>Standing!K$35*$B80</f>
        <v>0</v>
      </c>
      <c r="L97" s="34">
        <f>Standing!L$35*$B80</f>
        <v>0</v>
      </c>
      <c r="M97" s="34">
        <f>Standing!M$35*$B80</f>
        <v>0</v>
      </c>
      <c r="N97" s="34">
        <f>Standing!N$35*$B80</f>
        <v>0</v>
      </c>
      <c r="O97" s="34">
        <f>Standing!O$35*$B80</f>
        <v>0</v>
      </c>
      <c r="P97" s="34">
        <f>Standing!P$35*$B80</f>
        <v>0</v>
      </c>
      <c r="Q97" s="34">
        <f>Standing!Q$35*$B80</f>
        <v>0</v>
      </c>
      <c r="R97" s="34">
        <f>Standing!R$35*$B80</f>
        <v>0</v>
      </c>
      <c r="S97" s="34">
        <f>Standing!S$35*$B80</f>
        <v>0.5032376530907513</v>
      </c>
      <c r="T97" s="17"/>
    </row>
  </sheetData>
  <sheetProtection sheet="1" objects="1" scenarios="1"/>
  <hyperlinks>
    <hyperlink ref="A19" location="'Multi'!B127" display="x1 = 2407. All units (MWh)"/>
    <hyperlink ref="A20" location="'Input'!C167" display="x2 = 1041. Load factor for each type of demand user (in Load profile data for demand users)"/>
    <hyperlink ref="A21" location="'Input'!F59" display="x3 = 1010. Days in the charging year (in Financial and general assumptions)"/>
    <hyperlink ref="A22" location="'Loads'!E333" display="x4 = 2305. MPANs (in Equivalent volume for each end user)"/>
    <hyperlink ref="A39" location="'AggCap'!B6" display="x1 = 3101. Mapping of tariffs to tariff groups"/>
    <hyperlink ref="A40" location="'AggCap'!B26" display="x2 = 3102. Unit-based contributions to aggregate maximum load (kW) (in Capacity use for tariffs charged for capacity on an exit point basis)"/>
    <hyperlink ref="A48" location="'AggCap'!B6" display="x1 = 3101. Mapping of tariffs to tariff groups"/>
    <hyperlink ref="A49" location="'AggCap'!C26" display="x2 = 3102. MPANs (in Equivalent volume for each end user) (in Capacity use for tariffs charged for capacity on an exit point basis)"/>
    <hyperlink ref="A57" location="'AggCap'!B52" display="x1 = 3104. Aggregate number of users charged for capacity on an exit point basis"/>
    <hyperlink ref="A58" location="'AggCap'!B43" display="x2 = 3103. Aggregate capacity (kW)"/>
    <hyperlink ref="A59" location="'Input'!E59" display="x3 = 1010. Power factor for all flows in the network model (in Financial and general assumptions)"/>
    <hyperlink ref="A67" location="'AggCap'!B6" display="x1 = 3101. Mapping of tariffs to tariff groups"/>
    <hyperlink ref="A68" location="'AggCap'!B62" display="x2 = 3105. Average maximum kVA by exit point"/>
    <hyperlink ref="A84" location="'Standing'!B24" display="x1 = 3002. Capacity elements p/kVA/day"/>
    <hyperlink ref="A85" location="'AggCap'!B71" display="x2 = 3106. Deemed average maximum kVA for each tariff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50.7109375" customWidth="1"/>
    <col min="2" max="251" width="16.7109375" customWidth="1"/>
  </cols>
  <sheetData>
    <row r="1" spans="1:11" ht="21" customHeight="1">
      <c r="A1" s="1" t="str">
        <f>"Reactive power unit charges for "&amp;Input!B7&amp;" in "&amp;Input!C7&amp;" ("&amp;Input!D7&amp;")"</f>
        <v>Reactive power unit charges for Electricity North West in 2019/20 (Version 1)</v>
      </c>
    </row>
    <row r="3" spans="1:11" ht="21" customHeight="1">
      <c r="A3" s="1" t="s">
        <v>1068</v>
      </c>
    </row>
    <row r="4" spans="1:11">
      <c r="A4" s="2" t="s">
        <v>1069</v>
      </c>
    </row>
    <row r="5" spans="1:11">
      <c r="A5" s="2" t="s">
        <v>1070</v>
      </c>
    </row>
    <row r="7" spans="1:11">
      <c r="B7" s="15" t="s">
        <v>148</v>
      </c>
      <c r="C7" s="15" t="s">
        <v>149</v>
      </c>
      <c r="D7" s="15" t="s">
        <v>150</v>
      </c>
      <c r="E7" s="15" t="s">
        <v>151</v>
      </c>
      <c r="F7" s="15" t="s">
        <v>152</v>
      </c>
      <c r="G7" s="15" t="s">
        <v>157</v>
      </c>
      <c r="H7" s="15" t="s">
        <v>153</v>
      </c>
      <c r="I7" s="15" t="s">
        <v>154</v>
      </c>
      <c r="J7" s="15" t="s">
        <v>155</v>
      </c>
    </row>
    <row r="8" spans="1:11">
      <c r="A8" s="4" t="s">
        <v>192</v>
      </c>
      <c r="B8" s="33">
        <v>1</v>
      </c>
      <c r="C8" s="33">
        <v>1</v>
      </c>
      <c r="D8" s="33">
        <v>1</v>
      </c>
      <c r="E8" s="33">
        <v>1</v>
      </c>
      <c r="F8" s="33">
        <v>1</v>
      </c>
      <c r="G8" s="33">
        <v>1</v>
      </c>
      <c r="H8" s="33">
        <v>1</v>
      </c>
      <c r="I8" s="33">
        <v>1</v>
      </c>
      <c r="J8" s="33">
        <v>1</v>
      </c>
      <c r="K8" s="17"/>
    </row>
    <row r="9" spans="1:11">
      <c r="A9" s="4" t="s">
        <v>194</v>
      </c>
      <c r="B9" s="33">
        <v>1</v>
      </c>
      <c r="C9" s="33">
        <v>1</v>
      </c>
      <c r="D9" s="33">
        <v>1</v>
      </c>
      <c r="E9" s="33">
        <v>1</v>
      </c>
      <c r="F9" s="33">
        <v>1</v>
      </c>
      <c r="G9" s="33">
        <v>1</v>
      </c>
      <c r="H9" s="33">
        <v>1</v>
      </c>
      <c r="I9" s="33">
        <v>1</v>
      </c>
      <c r="J9" s="33">
        <v>1</v>
      </c>
      <c r="K9" s="17"/>
    </row>
    <row r="10" spans="1:11">
      <c r="A10" s="4" t="s">
        <v>196</v>
      </c>
      <c r="B10" s="33">
        <v>1</v>
      </c>
      <c r="C10" s="33">
        <v>1</v>
      </c>
      <c r="D10" s="33">
        <v>1</v>
      </c>
      <c r="E10" s="33">
        <v>1</v>
      </c>
      <c r="F10" s="33">
        <v>1</v>
      </c>
      <c r="G10" s="33">
        <v>1</v>
      </c>
      <c r="H10" s="33">
        <v>1</v>
      </c>
      <c r="I10" s="33">
        <v>1</v>
      </c>
      <c r="J10" s="33">
        <v>0</v>
      </c>
      <c r="K10" s="17"/>
    </row>
    <row r="11" spans="1:11">
      <c r="A11" s="4" t="s">
        <v>198</v>
      </c>
      <c r="B11" s="33">
        <v>1</v>
      </c>
      <c r="C11" s="33">
        <v>1</v>
      </c>
      <c r="D11" s="33">
        <v>1</v>
      </c>
      <c r="E11" s="33">
        <v>1</v>
      </c>
      <c r="F11" s="33">
        <v>1</v>
      </c>
      <c r="G11" s="33">
        <v>1</v>
      </c>
      <c r="H11" s="33">
        <v>1</v>
      </c>
      <c r="I11" s="33">
        <v>1</v>
      </c>
      <c r="J11" s="33">
        <v>0</v>
      </c>
      <c r="K11" s="17"/>
    </row>
    <row r="12" spans="1:11">
      <c r="A12" s="4" t="s">
        <v>207</v>
      </c>
      <c r="B12" s="33">
        <v>1</v>
      </c>
      <c r="C12" s="33">
        <v>1</v>
      </c>
      <c r="D12" s="33">
        <v>1</v>
      </c>
      <c r="E12" s="33">
        <v>1</v>
      </c>
      <c r="F12" s="33">
        <v>1</v>
      </c>
      <c r="G12" s="33">
        <v>1</v>
      </c>
      <c r="H12" s="33">
        <v>1</v>
      </c>
      <c r="I12" s="33">
        <v>0</v>
      </c>
      <c r="J12" s="33">
        <v>0</v>
      </c>
      <c r="K12" s="17"/>
    </row>
    <row r="13" spans="1:11">
      <c r="A13" s="4" t="s">
        <v>209</v>
      </c>
      <c r="B13" s="33">
        <v>1</v>
      </c>
      <c r="C13" s="33">
        <v>1</v>
      </c>
      <c r="D13" s="33">
        <v>1</v>
      </c>
      <c r="E13" s="33">
        <v>1</v>
      </c>
      <c r="F13" s="33">
        <v>1</v>
      </c>
      <c r="G13" s="33">
        <v>1</v>
      </c>
      <c r="H13" s="33">
        <v>1</v>
      </c>
      <c r="I13" s="33">
        <v>0</v>
      </c>
      <c r="J13" s="33">
        <v>0</v>
      </c>
      <c r="K13" s="17"/>
    </row>
    <row r="15" spans="1:11" ht="21" customHeight="1">
      <c r="A15" s="1" t="s">
        <v>1071</v>
      </c>
    </row>
    <row r="16" spans="1:11">
      <c r="A16" s="2" t="s">
        <v>379</v>
      </c>
    </row>
    <row r="17" spans="1:20">
      <c r="A17" s="29" t="s">
        <v>1072</v>
      </c>
    </row>
    <row r="18" spans="1:20">
      <c r="A18" s="2" t="s">
        <v>1073</v>
      </c>
    </row>
    <row r="20" spans="1:20" ht="30">
      <c r="B20" s="15" t="s">
        <v>148</v>
      </c>
      <c r="C20" s="15" t="s">
        <v>333</v>
      </c>
      <c r="D20" s="15" t="s">
        <v>334</v>
      </c>
      <c r="E20" s="15" t="s">
        <v>335</v>
      </c>
      <c r="F20" s="15" t="s">
        <v>336</v>
      </c>
      <c r="G20" s="15" t="s">
        <v>337</v>
      </c>
      <c r="H20" s="15" t="s">
        <v>338</v>
      </c>
      <c r="I20" s="15" t="s">
        <v>339</v>
      </c>
      <c r="J20" s="15" t="s">
        <v>340</v>
      </c>
      <c r="K20" s="15" t="s">
        <v>321</v>
      </c>
      <c r="L20" s="15" t="s">
        <v>909</v>
      </c>
      <c r="M20" s="15" t="s">
        <v>910</v>
      </c>
      <c r="N20" s="15" t="s">
        <v>911</v>
      </c>
      <c r="O20" s="15" t="s">
        <v>912</v>
      </c>
      <c r="P20" s="15" t="s">
        <v>913</v>
      </c>
      <c r="Q20" s="15" t="s">
        <v>914</v>
      </c>
      <c r="R20" s="15" t="s">
        <v>915</v>
      </c>
      <c r="S20" s="15" t="s">
        <v>916</v>
      </c>
    </row>
    <row r="21" spans="1:20">
      <c r="A21" s="4" t="s">
        <v>188</v>
      </c>
      <c r="B21" s="34">
        <f>ABS(Standing!B$63)</f>
        <v>0</v>
      </c>
      <c r="C21" s="34">
        <f>ABS(Standing!C$63)</f>
        <v>0.198140749502101</v>
      </c>
      <c r="D21" s="34">
        <f>ABS(Standing!D$63)</f>
        <v>7.8375639855569043E-2</v>
      </c>
      <c r="E21" s="34">
        <f>ABS(Standing!E$63)</f>
        <v>0.19790378950105264</v>
      </c>
      <c r="F21" s="34">
        <f>ABS(Standing!F$63)</f>
        <v>0.12483838268393847</v>
      </c>
      <c r="G21" s="34">
        <f>ABS(Standing!G$63)</f>
        <v>0</v>
      </c>
      <c r="H21" s="34">
        <f>ABS(Standing!H$63)</f>
        <v>0.12691933569002356</v>
      </c>
      <c r="I21" s="34">
        <f>ABS(Standing!I$63)</f>
        <v>0</v>
      </c>
      <c r="J21" s="34">
        <f>ABS(Standing!J$63)</f>
        <v>0</v>
      </c>
      <c r="K21" s="34">
        <f>ABS(Standing!K$63)</f>
        <v>0.11117445056889146</v>
      </c>
      <c r="L21" s="34">
        <f>ABS(Standing!L$63)</f>
        <v>7.8039914876977118E-2</v>
      </c>
      <c r="M21" s="34">
        <f>ABS(Standing!M$63)</f>
        <v>3.086910833903133E-2</v>
      </c>
      <c r="N21" s="34">
        <f>ABS(Standing!N$63)</f>
        <v>7.7946585572644042E-2</v>
      </c>
      <c r="O21" s="34">
        <f>ABS(Standing!O$63)</f>
        <v>4.9168970958852413E-2</v>
      </c>
      <c r="P21" s="34">
        <f>ABS(Standing!P$63)</f>
        <v>0</v>
      </c>
      <c r="Q21" s="34">
        <f>ABS(Standing!Q$63)</f>
        <v>7.1412253146752536E-2</v>
      </c>
      <c r="R21" s="34">
        <f>ABS(Standing!R$63)</f>
        <v>0</v>
      </c>
      <c r="S21" s="34">
        <f>ABS(Standing!S$63)</f>
        <v>0</v>
      </c>
      <c r="T21" s="17"/>
    </row>
    <row r="22" spans="1:20">
      <c r="A22" s="4" t="s">
        <v>189</v>
      </c>
      <c r="B22" s="34">
        <f>ABS(Standing!B$64)</f>
        <v>0</v>
      </c>
      <c r="C22" s="34">
        <f>ABS(Standing!C$64)</f>
        <v>0.17663336593012621</v>
      </c>
      <c r="D22" s="34">
        <f>ABS(Standing!D$64)</f>
        <v>6.9868278531316053E-2</v>
      </c>
      <c r="E22" s="34">
        <f>ABS(Standing!E$64)</f>
        <v>0.1764221269866926</v>
      </c>
      <c r="F22" s="34">
        <f>ABS(Standing!F$64)</f>
        <v>0.11128767699802924</v>
      </c>
      <c r="G22" s="34">
        <f>ABS(Standing!G$64)</f>
        <v>0</v>
      </c>
      <c r="H22" s="34">
        <f>ABS(Standing!H$64)</f>
        <v>0</v>
      </c>
      <c r="I22" s="34">
        <f>ABS(Standing!I$64)</f>
        <v>0</v>
      </c>
      <c r="J22" s="34">
        <f>ABS(Standing!J$64)</f>
        <v>0</v>
      </c>
      <c r="K22" s="34">
        <f>ABS(Standing!K$64)</f>
        <v>9.9106909905009297E-2</v>
      </c>
      <c r="L22" s="34">
        <f>ABS(Standing!L$64)</f>
        <v>6.9568995152482938E-2</v>
      </c>
      <c r="M22" s="34">
        <f>ABS(Standing!M$64)</f>
        <v>2.7518390451667377E-2</v>
      </c>
      <c r="N22" s="34">
        <f>ABS(Standing!N$64)</f>
        <v>6.9485796369770716E-2</v>
      </c>
      <c r="O22" s="34">
        <f>ABS(Standing!O$64)</f>
        <v>4.383187638891331E-2</v>
      </c>
      <c r="P22" s="34">
        <f>ABS(Standing!P$64)</f>
        <v>0</v>
      </c>
      <c r="Q22" s="34">
        <f>ABS(Standing!Q$64)</f>
        <v>0</v>
      </c>
      <c r="R22" s="34">
        <f>ABS(Standing!R$64)</f>
        <v>0</v>
      </c>
      <c r="S22" s="34">
        <f>ABS(Standing!S$64)</f>
        <v>0</v>
      </c>
      <c r="T22" s="17"/>
    </row>
    <row r="23" spans="1:20">
      <c r="A23" s="4" t="s">
        <v>206</v>
      </c>
      <c r="B23" s="34">
        <f>ABS(Standing!B$65)</f>
        <v>0</v>
      </c>
      <c r="C23" s="34">
        <f>ABS(Standing!C$65)</f>
        <v>0.15117950057231316</v>
      </c>
      <c r="D23" s="34">
        <f>ABS(Standing!D$65)</f>
        <v>5.9799865096779453E-2</v>
      </c>
      <c r="E23" s="34">
        <f>ABS(Standing!E$65)</f>
        <v>0.12079896188267961</v>
      </c>
      <c r="F23" s="34">
        <f>ABS(Standing!F$65)</f>
        <v>0</v>
      </c>
      <c r="G23" s="34">
        <f>ABS(Standing!G$65)</f>
        <v>0</v>
      </c>
      <c r="H23" s="34">
        <f>ABS(Standing!H$65)</f>
        <v>0</v>
      </c>
      <c r="I23" s="34">
        <f>ABS(Standing!I$65)</f>
        <v>0</v>
      </c>
      <c r="J23" s="34">
        <f>ABS(Standing!J$65)</f>
        <v>0</v>
      </c>
      <c r="K23" s="34">
        <f>ABS(Standing!K$65)</f>
        <v>8.4825044599057167E-2</v>
      </c>
      <c r="L23" s="34">
        <f>ABS(Standing!L$65)</f>
        <v>5.9543710142683857E-2</v>
      </c>
      <c r="M23" s="34">
        <f>ABS(Standing!M$65)</f>
        <v>2.3552835010134554E-2</v>
      </c>
      <c r="N23" s="34">
        <f>ABS(Standing!N$65)</f>
        <v>4.757800061946145E-2</v>
      </c>
      <c r="O23" s="34">
        <f>ABS(Standing!O$65)</f>
        <v>0</v>
      </c>
      <c r="P23" s="34">
        <f>ABS(Standing!P$65)</f>
        <v>0</v>
      </c>
      <c r="Q23" s="34">
        <f>ABS(Standing!Q$65)</f>
        <v>0</v>
      </c>
      <c r="R23" s="34">
        <f>ABS(Standing!R$65)</f>
        <v>0</v>
      </c>
      <c r="S23" s="34">
        <f>ABS(Standing!S$65)</f>
        <v>0</v>
      </c>
      <c r="T23" s="17"/>
    </row>
    <row r="25" spans="1:20" ht="21" customHeight="1">
      <c r="A25" s="1" t="s">
        <v>1074</v>
      </c>
    </row>
    <row r="26" spans="1:20">
      <c r="A26" s="2" t="s">
        <v>379</v>
      </c>
    </row>
    <row r="27" spans="1:20">
      <c r="A27" s="29" t="s">
        <v>1075</v>
      </c>
    </row>
    <row r="28" spans="1:20">
      <c r="A28" s="29" t="s">
        <v>1076</v>
      </c>
    </row>
    <row r="29" spans="1:20">
      <c r="A29" s="29" t="s">
        <v>868</v>
      </c>
    </row>
    <row r="30" spans="1:20">
      <c r="A30" s="2" t="s">
        <v>726</v>
      </c>
    </row>
    <row r="32" spans="1:20" ht="30">
      <c r="B32" s="15" t="s">
        <v>148</v>
      </c>
      <c r="C32" s="15" t="s">
        <v>333</v>
      </c>
      <c r="D32" s="15" t="s">
        <v>334</v>
      </c>
      <c r="E32" s="15" t="s">
        <v>335</v>
      </c>
      <c r="F32" s="15" t="s">
        <v>336</v>
      </c>
      <c r="G32" s="15" t="s">
        <v>337</v>
      </c>
      <c r="H32" s="15" t="s">
        <v>338</v>
      </c>
      <c r="I32" s="15" t="s">
        <v>339</v>
      </c>
      <c r="J32" s="15" t="s">
        <v>340</v>
      </c>
      <c r="K32" s="15" t="s">
        <v>321</v>
      </c>
      <c r="L32" s="15" t="s">
        <v>909</v>
      </c>
      <c r="M32" s="15" t="s">
        <v>910</v>
      </c>
      <c r="N32" s="15" t="s">
        <v>911</v>
      </c>
      <c r="O32" s="15" t="s">
        <v>912</v>
      </c>
      <c r="P32" s="15" t="s">
        <v>913</v>
      </c>
      <c r="Q32" s="15" t="s">
        <v>914</v>
      </c>
      <c r="R32" s="15" t="s">
        <v>915</v>
      </c>
      <c r="S32" s="15" t="s">
        <v>916</v>
      </c>
    </row>
    <row r="33" spans="1:20">
      <c r="A33" s="4" t="s">
        <v>188</v>
      </c>
      <c r="B33" s="34">
        <f>B21*Input!B$390*Input!$E$60</f>
        <v>0</v>
      </c>
      <c r="C33" s="34">
        <f>C21*Input!C$390*Input!$E$60</f>
        <v>3.0606991323989589E-2</v>
      </c>
      <c r="D33" s="34">
        <f>D21*Input!D$390*Input!$E$60</f>
        <v>8.8152585896421626E-3</v>
      </c>
      <c r="E33" s="34">
        <f>E21*Input!E$390*Input!$E$60</f>
        <v>2.2259123925964693E-2</v>
      </c>
      <c r="F33" s="34">
        <f>F21*Input!F$390*Input!$E$60</f>
        <v>1.4937920239954968E-2</v>
      </c>
      <c r="G33" s="34">
        <f>G21*Input!G$390*Input!$E$60</f>
        <v>0</v>
      </c>
      <c r="H33" s="34">
        <f>H21*Input!H$390*Input!$E$60</f>
        <v>1.5186923065525802E-2</v>
      </c>
      <c r="I33" s="34">
        <f>I21*Input!I$390*Input!$E$60</f>
        <v>0</v>
      </c>
      <c r="J33" s="34">
        <f>J21*Input!J$390*Input!$E$60</f>
        <v>0</v>
      </c>
      <c r="K33" s="34">
        <f>K21*Input!B$390*Input!$E$60</f>
        <v>1.7173223844978384E-2</v>
      </c>
      <c r="L33" s="34">
        <f>L21*Input!C$390*Input!$E$60</f>
        <v>1.2054900385542336E-2</v>
      </c>
      <c r="M33" s="34">
        <f>M21*Input!D$390*Input!$E$60</f>
        <v>3.471986613974735E-3</v>
      </c>
      <c r="N33" s="34">
        <f>N21*Input!E$390*Input!$E$60</f>
        <v>8.7670009363719978E-3</v>
      </c>
      <c r="O33" s="34">
        <f>O21*Input!F$390*Input!$E$60</f>
        <v>5.8834642893727338E-3</v>
      </c>
      <c r="P33" s="34">
        <f>P21*Input!G$390*Input!$E$60</f>
        <v>0</v>
      </c>
      <c r="Q33" s="34">
        <f>Q21*Input!H$390*Input!$E$60</f>
        <v>8.54505256097738E-3</v>
      </c>
      <c r="R33" s="34">
        <f>R21*Input!I$390*Input!$E$60</f>
        <v>0</v>
      </c>
      <c r="S33" s="34">
        <f>S21*Input!J$390*Input!$E$60</f>
        <v>0</v>
      </c>
      <c r="T33" s="17"/>
    </row>
    <row r="34" spans="1:20">
      <c r="A34" s="4" t="s">
        <v>189</v>
      </c>
      <c r="B34" s="34">
        <f>B22*Input!B$390*Input!$E$60</f>
        <v>0</v>
      </c>
      <c r="C34" s="34">
        <f>C22*Input!C$390*Input!$E$60</f>
        <v>2.728472518719894E-2</v>
      </c>
      <c r="D34" s="34">
        <f>D22*Input!D$390*Input!$E$60</f>
        <v>7.8583976296932416E-3</v>
      </c>
      <c r="E34" s="34">
        <f>E22*Input!E$390*Input!$E$60</f>
        <v>1.984298531008262E-2</v>
      </c>
      <c r="F34" s="34">
        <f>F22*Input!F$390*Input!$E$60</f>
        <v>1.3316468917217996E-2</v>
      </c>
      <c r="G34" s="34">
        <f>G22*Input!G$390*Input!$E$60</f>
        <v>0</v>
      </c>
      <c r="H34" s="34">
        <f>H22*Input!H$390*Input!$E$60</f>
        <v>0</v>
      </c>
      <c r="I34" s="34">
        <f>I22*Input!I$390*Input!$E$60</f>
        <v>0</v>
      </c>
      <c r="J34" s="34">
        <f>J22*Input!J$390*Input!$E$60</f>
        <v>0</v>
      </c>
      <c r="K34" s="34">
        <f>K22*Input!B$390*Input!$E$60</f>
        <v>1.5309139282214498E-2</v>
      </c>
      <c r="L34" s="34">
        <f>L22*Input!C$390*Input!$E$60</f>
        <v>1.0746389303569989E-2</v>
      </c>
      <c r="M34" s="34">
        <f>M22*Input!D$390*Input!$E$60</f>
        <v>3.095116393935901E-3</v>
      </c>
      <c r="N34" s="34">
        <f>N22*Input!E$390*Input!$E$60</f>
        <v>7.8153781511134095E-3</v>
      </c>
      <c r="O34" s="34">
        <f>O22*Input!F$390*Input!$E$60</f>
        <v>5.244837840641078E-3</v>
      </c>
      <c r="P34" s="34">
        <f>P22*Input!G$390*Input!$E$60</f>
        <v>0</v>
      </c>
      <c r="Q34" s="34">
        <f>Q22*Input!H$390*Input!$E$60</f>
        <v>0</v>
      </c>
      <c r="R34" s="34">
        <f>R22*Input!I$390*Input!$E$60</f>
        <v>0</v>
      </c>
      <c r="S34" s="34">
        <f>S22*Input!J$390*Input!$E$60</f>
        <v>0</v>
      </c>
      <c r="T34" s="17"/>
    </row>
    <row r="35" spans="1:20">
      <c r="A35" s="4" t="s">
        <v>206</v>
      </c>
      <c r="B35" s="34">
        <f>B23*Input!B$390*Input!$E$60</f>
        <v>0</v>
      </c>
      <c r="C35" s="34">
        <f>C23*Input!C$390*Input!$E$60</f>
        <v>2.335284222962326E-2</v>
      </c>
      <c r="D35" s="34">
        <f>D23*Input!D$390*Input!$E$60</f>
        <v>6.7259581602812334E-3</v>
      </c>
      <c r="E35" s="34">
        <f>E23*Input!E$390*Input!$E$60</f>
        <v>1.3586799269753995E-2</v>
      </c>
      <c r="F35" s="34">
        <f>F23*Input!F$390*Input!$E$60</f>
        <v>0</v>
      </c>
      <c r="G35" s="34">
        <f>G23*Input!G$390*Input!$E$60</f>
        <v>0</v>
      </c>
      <c r="H35" s="34">
        <f>H23*Input!H$390*Input!$E$60</f>
        <v>0</v>
      </c>
      <c r="I35" s="34">
        <f>I23*Input!I$390*Input!$E$60</f>
        <v>0</v>
      </c>
      <c r="J35" s="34">
        <f>J23*Input!J$390*Input!$E$60</f>
        <v>0</v>
      </c>
      <c r="K35" s="34">
        <f>K23*Input!B$390*Input!$E$60</f>
        <v>1.3103005871454236E-2</v>
      </c>
      <c r="L35" s="34">
        <f>L23*Input!C$390*Input!$E$60</f>
        <v>9.1977739274472226E-3</v>
      </c>
      <c r="M35" s="34">
        <f>M23*Input!D$390*Input!$E$60</f>
        <v>2.6490926455736024E-3</v>
      </c>
      <c r="N35" s="34">
        <f>N23*Input!E$390*Input!$E$60</f>
        <v>5.3513104251729565E-3</v>
      </c>
      <c r="O35" s="34">
        <f>O23*Input!F$390*Input!$E$60</f>
        <v>0</v>
      </c>
      <c r="P35" s="34">
        <f>P23*Input!G$390*Input!$E$60</f>
        <v>0</v>
      </c>
      <c r="Q35" s="34">
        <f>Q23*Input!H$390*Input!$E$60</f>
        <v>0</v>
      </c>
      <c r="R35" s="34">
        <f>R23*Input!I$390*Input!$E$60</f>
        <v>0</v>
      </c>
      <c r="S35" s="34">
        <f>S23*Input!J$390*Input!$E$60</f>
        <v>0</v>
      </c>
      <c r="T35" s="17"/>
    </row>
    <row r="37" spans="1:20" ht="21" customHeight="1">
      <c r="A37" s="1" t="s">
        <v>1077</v>
      </c>
    </row>
    <row r="38" spans="1:20">
      <c r="A38" s="2" t="s">
        <v>379</v>
      </c>
    </row>
    <row r="39" spans="1:20">
      <c r="A39" s="29" t="s">
        <v>1078</v>
      </c>
    </row>
    <row r="40" spans="1:20">
      <c r="A40" s="2" t="s">
        <v>1073</v>
      </c>
    </row>
    <row r="42" spans="1:20" ht="30">
      <c r="B42" s="15" t="s">
        <v>1079</v>
      </c>
    </row>
    <row r="43" spans="1:20">
      <c r="A43" s="4" t="s">
        <v>192</v>
      </c>
      <c r="B43" s="34">
        <f>ABS(Loads!B$67)</f>
        <v>1</v>
      </c>
      <c r="C43" s="17"/>
    </row>
    <row r="44" spans="1:20">
      <c r="A44" s="4" t="s">
        <v>194</v>
      </c>
      <c r="B44" s="34">
        <f>ABS(Loads!B$69)</f>
        <v>1</v>
      </c>
      <c r="C44" s="17"/>
    </row>
    <row r="45" spans="1:20">
      <c r="A45" s="4" t="s">
        <v>196</v>
      </c>
      <c r="B45" s="34">
        <f>ABS(Loads!B$71)</f>
        <v>1</v>
      </c>
      <c r="C45" s="17"/>
    </row>
    <row r="46" spans="1:20">
      <c r="A46" s="4" t="s">
        <v>198</v>
      </c>
      <c r="B46" s="34">
        <f>ABS(Loads!B$73)</f>
        <v>1</v>
      </c>
      <c r="C46" s="17"/>
    </row>
    <row r="47" spans="1:20">
      <c r="A47" s="4" t="s">
        <v>207</v>
      </c>
      <c r="B47" s="34">
        <f>ABS(Loads!B$75)</f>
        <v>1</v>
      </c>
      <c r="C47" s="17"/>
    </row>
    <row r="48" spans="1:20">
      <c r="A48" s="4" t="s">
        <v>209</v>
      </c>
      <c r="B48" s="34">
        <f>ABS(Loads!B$77)</f>
        <v>1</v>
      </c>
      <c r="C48" s="17"/>
    </row>
    <row r="50" spans="1:20" ht="21" customHeight="1">
      <c r="A50" s="1" t="s">
        <v>1080</v>
      </c>
    </row>
    <row r="51" spans="1:20">
      <c r="A51" s="2" t="s">
        <v>379</v>
      </c>
    </row>
    <row r="52" spans="1:20">
      <c r="A52" s="29" t="s">
        <v>1004</v>
      </c>
    </row>
    <row r="53" spans="1:20">
      <c r="A53" s="29" t="s">
        <v>1081</v>
      </c>
    </row>
    <row r="54" spans="1:20">
      <c r="A54" s="29" t="s">
        <v>426</v>
      </c>
    </row>
    <row r="55" spans="1:20">
      <c r="A55" s="29" t="s">
        <v>1082</v>
      </c>
    </row>
    <row r="56" spans="1:20">
      <c r="A56" s="29" t="s">
        <v>1083</v>
      </c>
    </row>
    <row r="57" spans="1:20">
      <c r="A57" s="29" t="s">
        <v>1084</v>
      </c>
    </row>
    <row r="58" spans="1:20">
      <c r="A58" s="29" t="s">
        <v>1085</v>
      </c>
    </row>
    <row r="59" spans="1:20">
      <c r="A59" s="2" t="s">
        <v>1086</v>
      </c>
    </row>
    <row r="61" spans="1:20" ht="30">
      <c r="B61" s="15" t="s">
        <v>148</v>
      </c>
      <c r="C61" s="15" t="s">
        <v>333</v>
      </c>
      <c r="D61" s="15" t="s">
        <v>334</v>
      </c>
      <c r="E61" s="15" t="s">
        <v>335</v>
      </c>
      <c r="F61" s="15" t="s">
        <v>336</v>
      </c>
      <c r="G61" s="15" t="s">
        <v>337</v>
      </c>
      <c r="H61" s="15" t="s">
        <v>338</v>
      </c>
      <c r="I61" s="15" t="s">
        <v>339</v>
      </c>
      <c r="J61" s="15" t="s">
        <v>340</v>
      </c>
      <c r="K61" s="15" t="s">
        <v>321</v>
      </c>
      <c r="L61" s="15" t="s">
        <v>909</v>
      </c>
      <c r="M61" s="15" t="s">
        <v>910</v>
      </c>
      <c r="N61" s="15" t="s">
        <v>911</v>
      </c>
      <c r="O61" s="15" t="s">
        <v>912</v>
      </c>
      <c r="P61" s="15" t="s">
        <v>913</v>
      </c>
      <c r="Q61" s="15" t="s">
        <v>914</v>
      </c>
      <c r="R61" s="15" t="s">
        <v>915</v>
      </c>
      <c r="S61" s="15" t="s">
        <v>916</v>
      </c>
    </row>
    <row r="62" spans="1:20">
      <c r="A62" s="4" t="s">
        <v>192</v>
      </c>
      <c r="B62" s="34">
        <f>Yard!B$11*$B$43*LAFs!$I$35/LAFs!B$83*(1-Contrib!B$127)*B8/(24*Input!$F$60)*100</f>
        <v>0</v>
      </c>
      <c r="C62" s="34">
        <f>Yard!C$11*$B$43*LAFs!$I$35/LAFs!C$83*(1-Contrib!C$127)*C8/(24*Input!$F$60)*100</f>
        <v>0.13631165338487333</v>
      </c>
      <c r="D62" s="34">
        <f>Yard!D$11*$B$43*LAFs!$I$35/LAFs!D$83*(1-Contrib!D$127)*D8/(24*Input!$F$60)*100</f>
        <v>5.391880812329676E-2</v>
      </c>
      <c r="E62" s="34">
        <f>Yard!E$11*$B$43*LAFs!$I$35/LAFs!E$83*(1-Contrib!E$127)*E8/(24*Input!$F$60)*100</f>
        <v>0.13614863588539303</v>
      </c>
      <c r="F62" s="34">
        <f>Yard!F$11*$B$43*LAFs!$I$35/LAFs!F$83*(1-Contrib!F$127)*F8/(24*Input!$F$60)*100</f>
        <v>8.5883022004823673E-2</v>
      </c>
      <c r="G62" s="34">
        <f>Yard!G$11*$B$43*LAFs!$I$35/LAFs!G$83*(1-Contrib!G$127)*G8/(24*Input!$F$60)*100</f>
        <v>0</v>
      </c>
      <c r="H62" s="34">
        <f>Yard!H$11*$B$43*LAFs!$I$35/LAFs!H$83*(1-Contrib!H$127)*H8/(24*Input!$F$60)*100</f>
        <v>0.10914327654641168</v>
      </c>
      <c r="I62" s="34">
        <f>Yard!I$11*$B$43*LAFs!$I$35/LAFs!I$83*(1-Contrib!I$127)*I8/(24*Input!$F$60)*100</f>
        <v>9.9093407543664275E-2</v>
      </c>
      <c r="J62" s="34">
        <f>Yard!J$11*$B$43*LAFs!$I$35/LAFs!J$83*(1-Contrib!J$127)*J8/(24*Input!$F$60)*100</f>
        <v>2.3542967467692225E-3</v>
      </c>
      <c r="K62" s="34">
        <f>Yard!K$11*$B$43*LAFs!$I$35/LAFs!B$83*(1-Contrib!K$127)*B8/(24*Input!$F$60)*100</f>
        <v>7.6482869925955238E-2</v>
      </c>
      <c r="L62" s="34">
        <f>Yard!L$11*$B$43*LAFs!$I$35/LAFs!C$83*(1-Contrib!L$127)*C8/(24*Input!$F$60)*100</f>
        <v>5.3687844896250031E-2</v>
      </c>
      <c r="M62" s="34">
        <f>Yard!M$11*$B$43*LAFs!$I$35/LAFs!D$83*(1-Contrib!M$127)*D8/(24*Input!$F$60)*100</f>
        <v>2.1236515995744353E-2</v>
      </c>
      <c r="N62" s="34">
        <f>Yard!N$11*$B$43*LAFs!$I$35/LAFs!E$83*(1-Contrib!N$127)*E8/(24*Input!$F$60)*100</f>
        <v>5.3623638659951484E-2</v>
      </c>
      <c r="O62" s="34">
        <f>Yard!O$11*$B$43*LAFs!$I$35/LAFs!F$83*(1-Contrib!O$127)*F8/(24*Input!$F$60)*100</f>
        <v>3.3825973422811371E-2</v>
      </c>
      <c r="P62" s="34">
        <f>Yard!P$11*$B$43*LAFs!$I$35/LAFs!G$83*(1-Contrib!P$127)*G8/(24*Input!$F$60)*100</f>
        <v>0</v>
      </c>
      <c r="Q62" s="34">
        <f>Yard!Q$11*$B$43*LAFs!$I$35/LAFs!H$83*(1-Contrib!Q$127)*H8/(24*Input!$F$60)*100</f>
        <v>6.1410400957614117E-2</v>
      </c>
      <c r="R62" s="34">
        <f>Yard!R$11*$B$43*LAFs!$I$35/LAFs!I$83*(1-Contrib!R$127)*I8/(24*Input!$F$60)*100</f>
        <v>5.5755755939074898E-2</v>
      </c>
      <c r="S62" s="34">
        <f>Yard!S$11*$B$43*LAFs!$I$35/LAFs!J$83*(1-Contrib!S$127)*J8/(24*Input!$F$60)*100</f>
        <v>3.0908856149765383E-2</v>
      </c>
      <c r="T62" s="17"/>
    </row>
    <row r="63" spans="1:20">
      <c r="A63" s="4" t="s">
        <v>194</v>
      </c>
      <c r="B63" s="34">
        <f>Yard!B$11*$B$44*LAFs!$I$37/LAFs!B$83*(1-Contrib!B$129)*B9/(24*Input!$F$60)*100</f>
        <v>0</v>
      </c>
      <c r="C63" s="34">
        <f>Yard!C$11*$B$44*LAFs!$I$37/LAFs!C$83*(1-Contrib!C$129)*C9/(24*Input!$F$60)*100</f>
        <v>0.13631165338487333</v>
      </c>
      <c r="D63" s="34">
        <f>Yard!D$11*$B$44*LAFs!$I$37/LAFs!D$83*(1-Contrib!D$129)*D9/(24*Input!$F$60)*100</f>
        <v>5.391880812329676E-2</v>
      </c>
      <c r="E63" s="34">
        <f>Yard!E$11*$B$44*LAFs!$I$37/LAFs!E$83*(1-Contrib!E$129)*E9/(24*Input!$F$60)*100</f>
        <v>0.13614863588539303</v>
      </c>
      <c r="F63" s="34">
        <f>Yard!F$11*$B$44*LAFs!$I$37/LAFs!F$83*(1-Contrib!F$129)*F9/(24*Input!$F$60)*100</f>
        <v>8.5883022004823673E-2</v>
      </c>
      <c r="G63" s="34">
        <f>Yard!G$11*$B$44*LAFs!$I$37/LAFs!G$83*(1-Contrib!G$129)*G9/(24*Input!$F$60)*100</f>
        <v>0</v>
      </c>
      <c r="H63" s="34">
        <f>Yard!H$11*$B$44*LAFs!$I$37/LAFs!H$83*(1-Contrib!H$129)*H9/(24*Input!$F$60)*100</f>
        <v>0.10914327654641168</v>
      </c>
      <c r="I63" s="34">
        <f>Yard!I$11*$B$44*LAFs!$I$37/LAFs!I$83*(1-Contrib!I$129)*I9/(24*Input!$F$60)*100</f>
        <v>9.9093407543664275E-2</v>
      </c>
      <c r="J63" s="34">
        <f>Yard!J$11*$B$44*LAFs!$I$37/LAFs!J$83*(1-Contrib!J$129)*J9/(24*Input!$F$60)*100</f>
        <v>2.3542967467692225E-3</v>
      </c>
      <c r="K63" s="34">
        <f>Yard!K$11*$B$44*LAFs!$I$37/LAFs!B$83*(1-Contrib!K$129)*B9/(24*Input!$F$60)*100</f>
        <v>7.6482869925955238E-2</v>
      </c>
      <c r="L63" s="34">
        <f>Yard!L$11*$B$44*LAFs!$I$37/LAFs!C$83*(1-Contrib!L$129)*C9/(24*Input!$F$60)*100</f>
        <v>5.3687844896250031E-2</v>
      </c>
      <c r="M63" s="34">
        <f>Yard!M$11*$B$44*LAFs!$I$37/LAFs!D$83*(1-Contrib!M$129)*D9/(24*Input!$F$60)*100</f>
        <v>2.1236515995744353E-2</v>
      </c>
      <c r="N63" s="34">
        <f>Yard!N$11*$B$44*LAFs!$I$37/LAFs!E$83*(1-Contrib!N$129)*E9/(24*Input!$F$60)*100</f>
        <v>5.3623638659951484E-2</v>
      </c>
      <c r="O63" s="34">
        <f>Yard!O$11*$B$44*LAFs!$I$37/LAFs!F$83*(1-Contrib!O$129)*F9/(24*Input!$F$60)*100</f>
        <v>3.3825973422811371E-2</v>
      </c>
      <c r="P63" s="34">
        <f>Yard!P$11*$B$44*LAFs!$I$37/LAFs!G$83*(1-Contrib!P$129)*G9/(24*Input!$F$60)*100</f>
        <v>0</v>
      </c>
      <c r="Q63" s="34">
        <f>Yard!Q$11*$B$44*LAFs!$I$37/LAFs!H$83*(1-Contrib!Q$129)*H9/(24*Input!$F$60)*100</f>
        <v>6.1410400957614117E-2</v>
      </c>
      <c r="R63" s="34">
        <f>Yard!R$11*$B$44*LAFs!$I$37/LAFs!I$83*(1-Contrib!R$129)*I9/(24*Input!$F$60)*100</f>
        <v>5.5755755939074898E-2</v>
      </c>
      <c r="S63" s="34">
        <f>Yard!S$11*$B$44*LAFs!$I$37/LAFs!J$83*(1-Contrib!S$129)*J9/(24*Input!$F$60)*100</f>
        <v>3.0908856149765383E-2</v>
      </c>
      <c r="T63" s="17"/>
    </row>
    <row r="64" spans="1:20">
      <c r="A64" s="4" t="s">
        <v>196</v>
      </c>
      <c r="B64" s="34">
        <f>Yard!B$11*$B$45*LAFs!$I$39/LAFs!B$83*(1-Contrib!B$131)*B10/(24*Input!$F$60)*100</f>
        <v>0</v>
      </c>
      <c r="C64" s="34">
        <f>Yard!C$11*$B$45*LAFs!$I$39/LAFs!C$83*(1-Contrib!C$131)*C10/(24*Input!$F$60)*100</f>
        <v>0.12962072025304061</v>
      </c>
      <c r="D64" s="34">
        <f>Yard!D$11*$B$45*LAFs!$I$39/LAFs!D$83*(1-Contrib!D$131)*D10/(24*Input!$F$60)*100</f>
        <v>5.1272173512516436E-2</v>
      </c>
      <c r="E64" s="34">
        <f>Yard!E$11*$B$45*LAFs!$I$39/LAFs!E$83*(1-Contrib!E$131)*E10/(24*Input!$F$60)*100</f>
        <v>0.12946570455796413</v>
      </c>
      <c r="F64" s="34">
        <f>Yard!F$11*$B$45*LAFs!$I$39/LAFs!F$83*(1-Contrib!F$131)*F10/(24*Input!$F$60)*100</f>
        <v>8.1667406221985844E-2</v>
      </c>
      <c r="G64" s="34">
        <f>Yard!G$11*$B$45*LAFs!$I$39/LAFs!G$83*(1-Contrib!G$131)*G10/(24*Input!$F$60)*100</f>
        <v>0</v>
      </c>
      <c r="H64" s="34">
        <f>Yard!H$11*$B$45*LAFs!$I$39/LAFs!H$83*(1-Contrib!H$131)*H10/(24*Input!$F$60)*100</f>
        <v>0.1037859182646567</v>
      </c>
      <c r="I64" s="34">
        <f>Yard!I$11*$B$45*LAFs!$I$39/LAFs!I$83*(1-Contrib!I$131)*I10/(24*Input!$F$60)*100</f>
        <v>4.0384008281810031E-3</v>
      </c>
      <c r="J64" s="34">
        <f>Yard!J$11*$B$45*LAFs!$I$39/LAFs!J$83*(1-Contrib!J$131)*J10/(24*Input!$F$60)*100</f>
        <v>0</v>
      </c>
      <c r="K64" s="34">
        <f>Yard!K$11*$B$45*LAFs!$I$39/LAFs!B$83*(1-Contrib!K$131)*B10/(24*Input!$F$60)*100</f>
        <v>7.2728665823094479E-2</v>
      </c>
      <c r="L64" s="34">
        <f>Yard!L$11*$B$45*LAFs!$I$39/LAFs!C$83*(1-Contrib!L$131)*C10/(24*Input!$F$60)*100</f>
        <v>5.1052547243607221E-2</v>
      </c>
      <c r="M64" s="34">
        <f>Yard!M$11*$B$45*LAFs!$I$39/LAFs!D$83*(1-Contrib!M$131)*D10/(24*Input!$F$60)*100</f>
        <v>2.019410982611609E-2</v>
      </c>
      <c r="N64" s="34">
        <f>Yard!N$11*$B$45*LAFs!$I$39/LAFs!E$83*(1-Contrib!N$131)*E10/(24*Input!$F$60)*100</f>
        <v>5.0991492606038885E-2</v>
      </c>
      <c r="O64" s="34">
        <f>Yard!O$11*$B$45*LAFs!$I$39/LAFs!F$83*(1-Contrib!O$131)*F10/(24*Input!$F$60)*100</f>
        <v>3.2165606750769404E-2</v>
      </c>
      <c r="P64" s="34">
        <f>Yard!P$11*$B$45*LAFs!$I$39/LAFs!G$83*(1-Contrib!P$131)*G10/(24*Input!$F$60)*100</f>
        <v>0</v>
      </c>
      <c r="Q64" s="34">
        <f>Yard!Q$11*$B$45*LAFs!$I$39/LAFs!H$83*(1-Contrib!Q$131)*H10/(24*Input!$F$60)*100</f>
        <v>5.839603735624041E-2</v>
      </c>
      <c r="R64" s="34">
        <f>Yard!R$11*$B$45*LAFs!$I$39/LAFs!I$83*(1-Contrib!R$131)*I10/(24*Input!$F$60)*100</f>
        <v>5.3018953725622077E-2</v>
      </c>
      <c r="S64" s="34">
        <f>Yard!S$11*$B$45*LAFs!$I$39/LAFs!J$83*(1-Contrib!S$131)*J10/(24*Input!$F$60)*100</f>
        <v>0</v>
      </c>
      <c r="T64" s="17"/>
    </row>
    <row r="65" spans="1:20">
      <c r="A65" s="4" t="s">
        <v>198</v>
      </c>
      <c r="B65" s="34">
        <f>Yard!B$11*$B$46*LAFs!$I$41/LAFs!B$83*(1-Contrib!B$133)*B11/(24*Input!$F$60)*100</f>
        <v>0</v>
      </c>
      <c r="C65" s="34">
        <f>Yard!C$11*$B$46*LAFs!$I$41/LAFs!C$83*(1-Contrib!C$133)*C11/(24*Input!$F$60)*100</f>
        <v>0.12962072025304061</v>
      </c>
      <c r="D65" s="34">
        <f>Yard!D$11*$B$46*LAFs!$I$41/LAFs!D$83*(1-Contrib!D$133)*D11/(24*Input!$F$60)*100</f>
        <v>5.1272173512516436E-2</v>
      </c>
      <c r="E65" s="34">
        <f>Yard!E$11*$B$46*LAFs!$I$41/LAFs!E$83*(1-Contrib!E$133)*E11/(24*Input!$F$60)*100</f>
        <v>0.12946570455796413</v>
      </c>
      <c r="F65" s="34">
        <f>Yard!F$11*$B$46*LAFs!$I$41/LAFs!F$83*(1-Contrib!F$133)*F11/(24*Input!$F$60)*100</f>
        <v>8.1667406221985844E-2</v>
      </c>
      <c r="G65" s="34">
        <f>Yard!G$11*$B$46*LAFs!$I$41/LAFs!G$83*(1-Contrib!G$133)*G11/(24*Input!$F$60)*100</f>
        <v>0</v>
      </c>
      <c r="H65" s="34">
        <f>Yard!H$11*$B$46*LAFs!$I$41/LAFs!H$83*(1-Contrib!H$133)*H11/(24*Input!$F$60)*100</f>
        <v>0.1037859182646567</v>
      </c>
      <c r="I65" s="34">
        <f>Yard!I$11*$B$46*LAFs!$I$41/LAFs!I$83*(1-Contrib!I$133)*I11/(24*Input!$F$60)*100</f>
        <v>4.0384008281810031E-3</v>
      </c>
      <c r="J65" s="34">
        <f>Yard!J$11*$B$46*LAFs!$I$41/LAFs!J$83*(1-Contrib!J$133)*J11/(24*Input!$F$60)*100</f>
        <v>0</v>
      </c>
      <c r="K65" s="34">
        <f>Yard!K$11*$B$46*LAFs!$I$41/LAFs!B$83*(1-Contrib!K$133)*B11/(24*Input!$F$60)*100</f>
        <v>7.2728665823094479E-2</v>
      </c>
      <c r="L65" s="34">
        <f>Yard!L$11*$B$46*LAFs!$I$41/LAFs!C$83*(1-Contrib!L$133)*C11/(24*Input!$F$60)*100</f>
        <v>5.1052547243607221E-2</v>
      </c>
      <c r="M65" s="34">
        <f>Yard!M$11*$B$46*LAFs!$I$41/LAFs!D$83*(1-Contrib!M$133)*D11/(24*Input!$F$60)*100</f>
        <v>2.019410982611609E-2</v>
      </c>
      <c r="N65" s="34">
        <f>Yard!N$11*$B$46*LAFs!$I$41/LAFs!E$83*(1-Contrib!N$133)*E11/(24*Input!$F$60)*100</f>
        <v>5.0991492606038885E-2</v>
      </c>
      <c r="O65" s="34">
        <f>Yard!O$11*$B$46*LAFs!$I$41/LAFs!F$83*(1-Contrib!O$133)*F11/(24*Input!$F$60)*100</f>
        <v>3.2165606750769404E-2</v>
      </c>
      <c r="P65" s="34">
        <f>Yard!P$11*$B$46*LAFs!$I$41/LAFs!G$83*(1-Contrib!P$133)*G11/(24*Input!$F$60)*100</f>
        <v>0</v>
      </c>
      <c r="Q65" s="34">
        <f>Yard!Q$11*$B$46*LAFs!$I$41/LAFs!H$83*(1-Contrib!Q$133)*H11/(24*Input!$F$60)*100</f>
        <v>5.839603735624041E-2</v>
      </c>
      <c r="R65" s="34">
        <f>Yard!R$11*$B$46*LAFs!$I$41/LAFs!I$83*(1-Contrib!R$133)*I11/(24*Input!$F$60)*100</f>
        <v>5.3018953725622077E-2</v>
      </c>
      <c r="S65" s="34">
        <f>Yard!S$11*$B$46*LAFs!$I$41/LAFs!J$83*(1-Contrib!S$133)*J11/(24*Input!$F$60)*100</f>
        <v>0</v>
      </c>
      <c r="T65" s="17"/>
    </row>
    <row r="66" spans="1:20">
      <c r="A66" s="4" t="s">
        <v>207</v>
      </c>
      <c r="B66" s="34">
        <f>Yard!B$11*$B$47*LAFs!$I$43/LAFs!B$83*(1-Contrib!B$135)*B12/(24*Input!$F$60)*100</f>
        <v>0</v>
      </c>
      <c r="C66" s="34">
        <f>Yard!C$11*$B$47*LAFs!$I$43/LAFs!C$83*(1-Contrib!C$135)*C12/(24*Input!$F$60)*100</f>
        <v>0.12791551877758725</v>
      </c>
      <c r="D66" s="34">
        <f>Yard!D$11*$B$47*LAFs!$I$43/LAFs!D$83*(1-Contrib!D$135)*D12/(24*Input!$F$60)*100</f>
        <v>5.0597671891536633E-2</v>
      </c>
      <c r="E66" s="34">
        <f>Yard!E$11*$B$47*LAFs!$I$43/LAFs!E$83*(1-Contrib!E$135)*E12/(24*Input!$F$60)*100</f>
        <v>0.12776254236289314</v>
      </c>
      <c r="F66" s="34">
        <f>Yard!F$11*$B$47*LAFs!$I$43/LAFs!F$83*(1-Contrib!F$135)*F12/(24*Input!$F$60)*100</f>
        <v>3.4655009661234283E-2</v>
      </c>
      <c r="G66" s="34">
        <f>Yard!G$11*$B$47*LAFs!$I$43/LAFs!G$83*(1-Contrib!G$135)*G12/(24*Input!$F$60)*100</f>
        <v>0</v>
      </c>
      <c r="H66" s="34">
        <f>Yard!H$11*$B$47*LAFs!$I$43/LAFs!H$83*(1-Contrib!H$135)*H12/(24*Input!$F$60)*100</f>
        <v>1.3168360512163853E-2</v>
      </c>
      <c r="I66" s="34">
        <f>Yard!I$11*$B$47*LAFs!$I$43/LAFs!I$83*(1-Contrib!I$135)*I12/(24*Input!$F$60)*100</f>
        <v>0</v>
      </c>
      <c r="J66" s="34">
        <f>Yard!J$11*$B$47*LAFs!$I$43/LAFs!J$83*(1-Contrib!J$135)*J12/(24*Input!$F$60)*100</f>
        <v>0</v>
      </c>
      <c r="K66" s="34">
        <f>Yard!K$11*$B$47*LAFs!$I$43/LAFs!B$83*(1-Contrib!K$135)*B12/(24*Input!$F$60)*100</f>
        <v>7.177189727538702E-2</v>
      </c>
      <c r="L66" s="34">
        <f>Yard!L$11*$B$47*LAFs!$I$43/LAFs!C$83*(1-Contrib!L$135)*C12/(24*Input!$F$60)*100</f>
        <v>5.038093487549581E-2</v>
      </c>
      <c r="M66" s="34">
        <f>Yard!M$11*$B$47*LAFs!$I$43/LAFs!D$83*(1-Contrib!M$135)*D12/(24*Input!$F$60)*100</f>
        <v>1.9928449939303722E-2</v>
      </c>
      <c r="N66" s="34">
        <f>Yard!N$11*$B$47*LAFs!$I$43/LAFs!E$83*(1-Contrib!N$135)*E12/(24*Input!$F$60)*100</f>
        <v>5.0320683430949864E-2</v>
      </c>
      <c r="O66" s="34">
        <f>Yard!O$11*$B$47*LAFs!$I$43/LAFs!F$83*(1-Contrib!O$135)*F12/(24*Input!$F$60)*100</f>
        <v>3.1742458044426838E-2</v>
      </c>
      <c r="P66" s="34">
        <f>Yard!P$11*$B$47*LAFs!$I$43/LAFs!G$83*(1-Contrib!P$135)*G12/(24*Input!$F$60)*100</f>
        <v>0</v>
      </c>
      <c r="Q66" s="34">
        <f>Yard!Q$11*$B$47*LAFs!$I$43/LAFs!H$83*(1-Contrib!Q$135)*H12/(24*Input!$F$60)*100</f>
        <v>5.7627819058532287E-2</v>
      </c>
      <c r="R66" s="34">
        <f>Yard!R$11*$B$47*LAFs!$I$43/LAFs!I$83*(1-Contrib!R$135)*I12/(24*Input!$F$60)*100</f>
        <v>0</v>
      </c>
      <c r="S66" s="34">
        <f>Yard!S$11*$B$47*LAFs!$I$43/LAFs!J$83*(1-Contrib!S$135)*J12/(24*Input!$F$60)*100</f>
        <v>0</v>
      </c>
      <c r="T66" s="17"/>
    </row>
    <row r="67" spans="1:20">
      <c r="A67" s="4" t="s">
        <v>209</v>
      </c>
      <c r="B67" s="34">
        <f>Yard!B$11*$B$48*LAFs!$I$45/LAFs!B$83*(1-Contrib!B$137)*B13/(24*Input!$F$60)*100</f>
        <v>0</v>
      </c>
      <c r="C67" s="34">
        <f>Yard!C$11*$B$48*LAFs!$I$45/LAFs!C$83*(1-Contrib!C$137)*C13/(24*Input!$F$60)*100</f>
        <v>0.12791551877758725</v>
      </c>
      <c r="D67" s="34">
        <f>Yard!D$11*$B$48*LAFs!$I$45/LAFs!D$83*(1-Contrib!D$137)*D13/(24*Input!$F$60)*100</f>
        <v>5.0597671891536633E-2</v>
      </c>
      <c r="E67" s="34">
        <f>Yard!E$11*$B$48*LAFs!$I$45/LAFs!E$83*(1-Contrib!E$137)*E13/(24*Input!$F$60)*100</f>
        <v>0.12776254236289314</v>
      </c>
      <c r="F67" s="34">
        <f>Yard!F$11*$B$48*LAFs!$I$45/LAFs!F$83*(1-Contrib!F$137)*F13/(24*Input!$F$60)*100</f>
        <v>3.4655009661234283E-2</v>
      </c>
      <c r="G67" s="34">
        <f>Yard!G$11*$B$48*LAFs!$I$45/LAFs!G$83*(1-Contrib!G$137)*G13/(24*Input!$F$60)*100</f>
        <v>0</v>
      </c>
      <c r="H67" s="34">
        <f>Yard!H$11*$B$48*LAFs!$I$45/LAFs!H$83*(1-Contrib!H$137)*H13/(24*Input!$F$60)*100</f>
        <v>1.3168360512163853E-2</v>
      </c>
      <c r="I67" s="34">
        <f>Yard!I$11*$B$48*LAFs!$I$45/LAFs!I$83*(1-Contrib!I$137)*I13/(24*Input!$F$60)*100</f>
        <v>0</v>
      </c>
      <c r="J67" s="34">
        <f>Yard!J$11*$B$48*LAFs!$I$45/LAFs!J$83*(1-Contrib!J$137)*J13/(24*Input!$F$60)*100</f>
        <v>0</v>
      </c>
      <c r="K67" s="34">
        <f>Yard!K$11*$B$48*LAFs!$I$45/LAFs!B$83*(1-Contrib!K$137)*B13/(24*Input!$F$60)*100</f>
        <v>7.177189727538702E-2</v>
      </c>
      <c r="L67" s="34">
        <f>Yard!L$11*$B$48*LAFs!$I$45/LAFs!C$83*(1-Contrib!L$137)*C13/(24*Input!$F$60)*100</f>
        <v>5.038093487549581E-2</v>
      </c>
      <c r="M67" s="34">
        <f>Yard!M$11*$B$48*LAFs!$I$45/LAFs!D$83*(1-Contrib!M$137)*D13/(24*Input!$F$60)*100</f>
        <v>1.9928449939303722E-2</v>
      </c>
      <c r="N67" s="34">
        <f>Yard!N$11*$B$48*LAFs!$I$45/LAFs!E$83*(1-Contrib!N$137)*E13/(24*Input!$F$60)*100</f>
        <v>5.0320683430949864E-2</v>
      </c>
      <c r="O67" s="34">
        <f>Yard!O$11*$B$48*LAFs!$I$45/LAFs!F$83*(1-Contrib!O$137)*F13/(24*Input!$F$60)*100</f>
        <v>3.1742458044426838E-2</v>
      </c>
      <c r="P67" s="34">
        <f>Yard!P$11*$B$48*LAFs!$I$45/LAFs!G$83*(1-Contrib!P$137)*G13/(24*Input!$F$60)*100</f>
        <v>0</v>
      </c>
      <c r="Q67" s="34">
        <f>Yard!Q$11*$B$48*LAFs!$I$45/LAFs!H$83*(1-Contrib!Q$137)*H13/(24*Input!$F$60)*100</f>
        <v>5.7627819058532287E-2</v>
      </c>
      <c r="R67" s="34">
        <f>Yard!R$11*$B$48*LAFs!$I$45/LAFs!I$83*(1-Contrib!R$137)*I13/(24*Input!$F$60)*100</f>
        <v>0</v>
      </c>
      <c r="S67" s="34">
        <f>Yard!S$11*$B$48*LAFs!$I$45/LAFs!J$83*(1-Contrib!S$137)*J13/(24*Input!$F$60)*100</f>
        <v>0</v>
      </c>
      <c r="T67" s="17"/>
    </row>
    <row r="69" spans="1:20" ht="21" customHeight="1">
      <c r="A69" s="1" t="s">
        <v>1087</v>
      </c>
    </row>
    <row r="70" spans="1:20">
      <c r="A70" s="2" t="s">
        <v>379</v>
      </c>
    </row>
    <row r="71" spans="1:20">
      <c r="A71" s="29" t="s">
        <v>1088</v>
      </c>
    </row>
    <row r="72" spans="1:20">
      <c r="A72" s="29" t="s">
        <v>1076</v>
      </c>
    </row>
    <row r="73" spans="1:20">
      <c r="A73" s="29" t="s">
        <v>868</v>
      </c>
    </row>
    <row r="74" spans="1:20">
      <c r="A74" s="2" t="s">
        <v>726</v>
      </c>
    </row>
    <row r="76" spans="1:20" ht="30">
      <c r="B76" s="15" t="s">
        <v>148</v>
      </c>
      <c r="C76" s="15" t="s">
        <v>333</v>
      </c>
      <c r="D76" s="15" t="s">
        <v>334</v>
      </c>
      <c r="E76" s="15" t="s">
        <v>335</v>
      </c>
      <c r="F76" s="15" t="s">
        <v>336</v>
      </c>
      <c r="G76" s="15" t="s">
        <v>337</v>
      </c>
      <c r="H76" s="15" t="s">
        <v>338</v>
      </c>
      <c r="I76" s="15" t="s">
        <v>339</v>
      </c>
      <c r="J76" s="15" t="s">
        <v>340</v>
      </c>
      <c r="K76" s="15" t="s">
        <v>321</v>
      </c>
      <c r="L76" s="15" t="s">
        <v>909</v>
      </c>
      <c r="M76" s="15" t="s">
        <v>910</v>
      </c>
      <c r="N76" s="15" t="s">
        <v>911</v>
      </c>
      <c r="O76" s="15" t="s">
        <v>912</v>
      </c>
      <c r="P76" s="15" t="s">
        <v>913</v>
      </c>
      <c r="Q76" s="15" t="s">
        <v>914</v>
      </c>
      <c r="R76" s="15" t="s">
        <v>915</v>
      </c>
      <c r="S76" s="15" t="s">
        <v>916</v>
      </c>
    </row>
    <row r="77" spans="1:20">
      <c r="A77" s="4" t="s">
        <v>192</v>
      </c>
      <c r="B77" s="34">
        <f>B62*Input!B$390*Input!$E$60</f>
        <v>0</v>
      </c>
      <c r="C77" s="34">
        <f>C62*Input!C$390*Input!$E$60</f>
        <v>2.1056191636467263E-2</v>
      </c>
      <c r="D77" s="34">
        <f>D62*Input!D$390*Input!$E$60</f>
        <v>6.0644893914494277E-3</v>
      </c>
      <c r="E77" s="34">
        <f>E62*Input!E$390*Input!$E$60</f>
        <v>1.5313245724927805E-2</v>
      </c>
      <c r="F77" s="34">
        <f>F62*Input!F$390*Input!$E$60</f>
        <v>1.0276596869429095E-2</v>
      </c>
      <c r="G77" s="34">
        <f>G62*Input!G$390*Input!$E$60</f>
        <v>0</v>
      </c>
      <c r="H77" s="34">
        <f>H62*Input!H$390*Input!$E$60</f>
        <v>1.3059874092612759E-2</v>
      </c>
      <c r="I77" s="34">
        <f>I62*Input!I$390*Input!$E$60</f>
        <v>1.1857326139351336E-2</v>
      </c>
      <c r="J77" s="34">
        <f>J62*Input!J$390*Input!$E$60</f>
        <v>2.8171061069784918E-4</v>
      </c>
      <c r="K77" s="34">
        <f>K62*Input!B$390*Input!$E$60</f>
        <v>1.1814382160862443E-2</v>
      </c>
      <c r="L77" s="34">
        <f>L62*Input!C$390*Input!$E$60</f>
        <v>8.2932128149934108E-3</v>
      </c>
      <c r="M77" s="34">
        <f>M62*Input!D$390*Input!$E$60</f>
        <v>2.3885658910159004E-3</v>
      </c>
      <c r="N77" s="34">
        <f>N62*Input!E$390*Input!$E$60</f>
        <v>6.0312903623639938E-3</v>
      </c>
      <c r="O77" s="34">
        <f>O62*Input!F$390*Input!$E$60</f>
        <v>4.0475507785779951E-3</v>
      </c>
      <c r="P77" s="34">
        <f>P62*Input!G$390*Input!$E$60</f>
        <v>0</v>
      </c>
      <c r="Q77" s="34">
        <f>Q62*Input!H$390*Input!$E$60</f>
        <v>7.348250207077682E-3</v>
      </c>
      <c r="R77" s="34">
        <f>R62*Input!I$390*Input!$E$60</f>
        <v>6.6716262837603459E-3</v>
      </c>
      <c r="S77" s="34">
        <f>S62*Input!J$390*Input!$E$60</f>
        <v>3.6984941485695838E-3</v>
      </c>
      <c r="T77" s="17"/>
    </row>
    <row r="78" spans="1:20">
      <c r="A78" s="4" t="s">
        <v>194</v>
      </c>
      <c r="B78" s="34">
        <f>B63*Input!B$390*Input!$E$60</f>
        <v>0</v>
      </c>
      <c r="C78" s="34">
        <f>C63*Input!C$390*Input!$E$60</f>
        <v>2.1056191636467263E-2</v>
      </c>
      <c r="D78" s="34">
        <f>D63*Input!D$390*Input!$E$60</f>
        <v>6.0644893914494277E-3</v>
      </c>
      <c r="E78" s="34">
        <f>E63*Input!E$390*Input!$E$60</f>
        <v>1.5313245724927805E-2</v>
      </c>
      <c r="F78" s="34">
        <f>F63*Input!F$390*Input!$E$60</f>
        <v>1.0276596869429095E-2</v>
      </c>
      <c r="G78" s="34">
        <f>G63*Input!G$390*Input!$E$60</f>
        <v>0</v>
      </c>
      <c r="H78" s="34">
        <f>H63*Input!H$390*Input!$E$60</f>
        <v>1.3059874092612759E-2</v>
      </c>
      <c r="I78" s="34">
        <f>I63*Input!I$390*Input!$E$60</f>
        <v>1.1857326139351336E-2</v>
      </c>
      <c r="J78" s="34">
        <f>J63*Input!J$390*Input!$E$60</f>
        <v>2.8171061069784918E-4</v>
      </c>
      <c r="K78" s="34">
        <f>K63*Input!B$390*Input!$E$60</f>
        <v>1.1814382160862443E-2</v>
      </c>
      <c r="L78" s="34">
        <f>L63*Input!C$390*Input!$E$60</f>
        <v>8.2932128149934108E-3</v>
      </c>
      <c r="M78" s="34">
        <f>M63*Input!D$390*Input!$E$60</f>
        <v>2.3885658910159004E-3</v>
      </c>
      <c r="N78" s="34">
        <f>N63*Input!E$390*Input!$E$60</f>
        <v>6.0312903623639938E-3</v>
      </c>
      <c r="O78" s="34">
        <f>O63*Input!F$390*Input!$E$60</f>
        <v>4.0475507785779951E-3</v>
      </c>
      <c r="P78" s="34">
        <f>P63*Input!G$390*Input!$E$60</f>
        <v>0</v>
      </c>
      <c r="Q78" s="34">
        <f>Q63*Input!H$390*Input!$E$60</f>
        <v>7.348250207077682E-3</v>
      </c>
      <c r="R78" s="34">
        <f>R63*Input!I$390*Input!$E$60</f>
        <v>6.6716262837603459E-3</v>
      </c>
      <c r="S78" s="34">
        <f>S63*Input!J$390*Input!$E$60</f>
        <v>3.6984941485695838E-3</v>
      </c>
      <c r="T78" s="17"/>
    </row>
    <row r="79" spans="1:20">
      <c r="A79" s="4" t="s">
        <v>196</v>
      </c>
      <c r="B79" s="34">
        <f>B64*Input!B$390*Input!$E$60</f>
        <v>0</v>
      </c>
      <c r="C79" s="34">
        <f>C64*Input!C$390*Input!$E$60</f>
        <v>2.0022636788057713E-2</v>
      </c>
      <c r="D79" s="34">
        <f>D64*Input!D$390*Input!$E$60</f>
        <v>5.7668105651033901E-3</v>
      </c>
      <c r="E79" s="34">
        <f>E64*Input!E$390*Input!$E$60</f>
        <v>1.4561586562761231E-2</v>
      </c>
      <c r="F79" s="34">
        <f>F64*Input!F$390*Input!$E$60</f>
        <v>9.7721644106575131E-3</v>
      </c>
      <c r="G79" s="34">
        <f>G64*Input!G$390*Input!$E$60</f>
        <v>0</v>
      </c>
      <c r="H79" s="34">
        <f>H64*Input!H$390*Input!$E$60</f>
        <v>1.2418822927184499E-2</v>
      </c>
      <c r="I79" s="34">
        <f>I64*Input!I$390*Input!$E$60</f>
        <v>4.8322725888772086E-4</v>
      </c>
      <c r="J79" s="34">
        <f>J64*Input!J$390*Input!$E$60</f>
        <v>0</v>
      </c>
      <c r="K79" s="34">
        <f>K64*Input!B$390*Input!$E$60</f>
        <v>1.1234466657900611E-2</v>
      </c>
      <c r="L79" s="34">
        <f>L64*Input!C$390*Input!$E$60</f>
        <v>7.8861358629113594E-3</v>
      </c>
      <c r="M79" s="34">
        <f>M64*Input!D$390*Input!$E$60</f>
        <v>2.2713218090837438E-3</v>
      </c>
      <c r="N79" s="34">
        <f>N64*Input!E$390*Input!$E$60</f>
        <v>5.7352411287793685E-3</v>
      </c>
      <c r="O79" s="34">
        <f>O64*Input!F$390*Input!$E$60</f>
        <v>3.8488745030383132E-3</v>
      </c>
      <c r="P79" s="34">
        <f>P64*Input!G$390*Input!$E$60</f>
        <v>0</v>
      </c>
      <c r="Q79" s="34">
        <f>Q64*Input!H$390*Input!$E$60</f>
        <v>6.9875572688685656E-3</v>
      </c>
      <c r="R79" s="34">
        <f>R64*Input!I$390*Input!$E$60</f>
        <v>6.3441458062168769E-3</v>
      </c>
      <c r="S79" s="34">
        <f>S64*Input!J$390*Input!$E$60</f>
        <v>0</v>
      </c>
      <c r="T79" s="17"/>
    </row>
    <row r="80" spans="1:20">
      <c r="A80" s="4" t="s">
        <v>198</v>
      </c>
      <c r="B80" s="34">
        <f>B65*Input!B$390*Input!$E$60</f>
        <v>0</v>
      </c>
      <c r="C80" s="34">
        <f>C65*Input!C$390*Input!$E$60</f>
        <v>2.0022636788057713E-2</v>
      </c>
      <c r="D80" s="34">
        <f>D65*Input!D$390*Input!$E$60</f>
        <v>5.7668105651033901E-3</v>
      </c>
      <c r="E80" s="34">
        <f>E65*Input!E$390*Input!$E$60</f>
        <v>1.4561586562761231E-2</v>
      </c>
      <c r="F80" s="34">
        <f>F65*Input!F$390*Input!$E$60</f>
        <v>9.7721644106575131E-3</v>
      </c>
      <c r="G80" s="34">
        <f>G65*Input!G$390*Input!$E$60</f>
        <v>0</v>
      </c>
      <c r="H80" s="34">
        <f>H65*Input!H$390*Input!$E$60</f>
        <v>1.2418822927184499E-2</v>
      </c>
      <c r="I80" s="34">
        <f>I65*Input!I$390*Input!$E$60</f>
        <v>4.8322725888772086E-4</v>
      </c>
      <c r="J80" s="34">
        <f>J65*Input!J$390*Input!$E$60</f>
        <v>0</v>
      </c>
      <c r="K80" s="34">
        <f>K65*Input!B$390*Input!$E$60</f>
        <v>1.1234466657900611E-2</v>
      </c>
      <c r="L80" s="34">
        <f>L65*Input!C$390*Input!$E$60</f>
        <v>7.8861358629113594E-3</v>
      </c>
      <c r="M80" s="34">
        <f>M65*Input!D$390*Input!$E$60</f>
        <v>2.2713218090837438E-3</v>
      </c>
      <c r="N80" s="34">
        <f>N65*Input!E$390*Input!$E$60</f>
        <v>5.7352411287793685E-3</v>
      </c>
      <c r="O80" s="34">
        <f>O65*Input!F$390*Input!$E$60</f>
        <v>3.8488745030383132E-3</v>
      </c>
      <c r="P80" s="34">
        <f>P65*Input!G$390*Input!$E$60</f>
        <v>0</v>
      </c>
      <c r="Q80" s="34">
        <f>Q65*Input!H$390*Input!$E$60</f>
        <v>6.9875572688685656E-3</v>
      </c>
      <c r="R80" s="34">
        <f>R65*Input!I$390*Input!$E$60</f>
        <v>6.3441458062168769E-3</v>
      </c>
      <c r="S80" s="34">
        <f>S65*Input!J$390*Input!$E$60</f>
        <v>0</v>
      </c>
      <c r="T80" s="17"/>
    </row>
    <row r="81" spans="1:20">
      <c r="A81" s="4" t="s">
        <v>207</v>
      </c>
      <c r="B81" s="34">
        <f>B66*Input!B$390*Input!$E$60</f>
        <v>0</v>
      </c>
      <c r="C81" s="34">
        <f>C66*Input!C$390*Input!$E$60</f>
        <v>1.9759232683167607E-2</v>
      </c>
      <c r="D81" s="34">
        <f>D66*Input!D$390*Input!$E$60</f>
        <v>5.690946352459935E-3</v>
      </c>
      <c r="E81" s="34">
        <f>E66*Input!E$390*Input!$E$60</f>
        <v>1.4370024296764795E-2</v>
      </c>
      <c r="F81" s="34">
        <f>F66*Input!F$390*Input!$E$60</f>
        <v>4.1467516568603358E-3</v>
      </c>
      <c r="G81" s="34">
        <f>G66*Input!G$390*Input!$E$60</f>
        <v>0</v>
      </c>
      <c r="H81" s="34">
        <f>H66*Input!H$390*Input!$E$60</f>
        <v>1.575700636235368E-3</v>
      </c>
      <c r="I81" s="34">
        <f>I66*Input!I$390*Input!$E$60</f>
        <v>0</v>
      </c>
      <c r="J81" s="34">
        <f>J66*Input!J$390*Input!$E$60</f>
        <v>0</v>
      </c>
      <c r="K81" s="34">
        <f>K66*Input!B$390*Input!$E$60</f>
        <v>1.1086673704092097E-2</v>
      </c>
      <c r="L81" s="34">
        <f>L66*Input!C$390*Input!$E$60</f>
        <v>7.7823912572432957E-3</v>
      </c>
      <c r="M81" s="34">
        <f>M66*Input!D$390*Input!$E$60</f>
        <v>2.241441853992319E-3</v>
      </c>
      <c r="N81" s="34">
        <f>N66*Input!E$390*Input!$E$60</f>
        <v>5.6597922220321777E-3</v>
      </c>
      <c r="O81" s="34">
        <f>O66*Input!F$390*Input!$E$60</f>
        <v>3.7982413444769066E-3</v>
      </c>
      <c r="P81" s="34">
        <f>P66*Input!G$390*Input!$E$60</f>
        <v>0</v>
      </c>
      <c r="Q81" s="34">
        <f>Q66*Input!H$390*Input!$E$60</f>
        <v>6.8956337481426416E-3</v>
      </c>
      <c r="R81" s="34">
        <f>R66*Input!I$390*Input!$E$60</f>
        <v>0</v>
      </c>
      <c r="S81" s="34">
        <f>S66*Input!J$390*Input!$E$60</f>
        <v>0</v>
      </c>
      <c r="T81" s="17"/>
    </row>
    <row r="82" spans="1:20">
      <c r="A82" s="4" t="s">
        <v>209</v>
      </c>
      <c r="B82" s="34">
        <f>B67*Input!B$390*Input!$E$60</f>
        <v>0</v>
      </c>
      <c r="C82" s="34">
        <f>C67*Input!C$390*Input!$E$60</f>
        <v>1.9759232683167607E-2</v>
      </c>
      <c r="D82" s="34">
        <f>D67*Input!D$390*Input!$E$60</f>
        <v>5.690946352459935E-3</v>
      </c>
      <c r="E82" s="34">
        <f>E67*Input!E$390*Input!$E$60</f>
        <v>1.4370024296764795E-2</v>
      </c>
      <c r="F82" s="34">
        <f>F67*Input!F$390*Input!$E$60</f>
        <v>4.1467516568603358E-3</v>
      </c>
      <c r="G82" s="34">
        <f>G67*Input!G$390*Input!$E$60</f>
        <v>0</v>
      </c>
      <c r="H82" s="34">
        <f>H67*Input!H$390*Input!$E$60</f>
        <v>1.575700636235368E-3</v>
      </c>
      <c r="I82" s="34">
        <f>I67*Input!I$390*Input!$E$60</f>
        <v>0</v>
      </c>
      <c r="J82" s="34">
        <f>J67*Input!J$390*Input!$E$60</f>
        <v>0</v>
      </c>
      <c r="K82" s="34">
        <f>K67*Input!B$390*Input!$E$60</f>
        <v>1.1086673704092097E-2</v>
      </c>
      <c r="L82" s="34">
        <f>L67*Input!C$390*Input!$E$60</f>
        <v>7.7823912572432957E-3</v>
      </c>
      <c r="M82" s="34">
        <f>M67*Input!D$390*Input!$E$60</f>
        <v>2.241441853992319E-3</v>
      </c>
      <c r="N82" s="34">
        <f>N67*Input!E$390*Input!$E$60</f>
        <v>5.6597922220321777E-3</v>
      </c>
      <c r="O82" s="34">
        <f>O67*Input!F$390*Input!$E$60</f>
        <v>3.7982413444769066E-3</v>
      </c>
      <c r="P82" s="34">
        <f>P67*Input!G$390*Input!$E$60</f>
        <v>0</v>
      </c>
      <c r="Q82" s="34">
        <f>Q67*Input!H$390*Input!$E$60</f>
        <v>6.8956337481426416E-3</v>
      </c>
      <c r="R82" s="34">
        <f>R67*Input!I$390*Input!$E$60</f>
        <v>0</v>
      </c>
      <c r="S82" s="34">
        <f>S67*Input!J$390*Input!$E$60</f>
        <v>0</v>
      </c>
      <c r="T82" s="17"/>
    </row>
  </sheetData>
  <sheetProtection sheet="1" objects="1" scenarios="1"/>
  <hyperlinks>
    <hyperlink ref="A17" location="'Standing'!B51" display="x1 = 3003. Yardstick components p/kWh (taking account of standing charges)"/>
    <hyperlink ref="A27" location="'Reactive'!B20" display="x1 = 3202. Standard components p/kWh for reactive power (absolute value)"/>
    <hyperlink ref="A28" location="'Input'!B389" display="x2 = 1092. Average kVAr by kVA, by network level"/>
    <hyperlink ref="A29" location="'Input'!E59" display="x3 = 1010. Power factor for all flows in the network model (in Financial and general assumptions)"/>
    <hyperlink ref="A39" location="'Loads'!B45" display="x1 = 2302. Load coefficient"/>
    <hyperlink ref="A52" location="'Yard'!B10" display="x1 = 2901. Unit cost at each level, £/kW/year (relative to system simultaneous maximum load)"/>
    <hyperlink ref="A53" location="'Reactive'!B42" display="x2 = 3204. Absolute value of load coefficient (kW peak / average kW)"/>
    <hyperlink ref="A54" location="'LAFs'!I13" display="x3 = 2001. Loss adjustment factor to transmission (in Loss adjustment factors to transmission)"/>
    <hyperlink ref="A55" location="'LAFs'!B82" display="x4 = 2004. Loss adjustment factor to transmission for each network level"/>
    <hyperlink ref="A56" location="'Contrib'!B105" display="x5 = 2804. Proportion of annual charge covered by contributions (for all charging levels)"/>
    <hyperlink ref="A57" location="'Reactive'!B7" display="x6 = 3201. Network use factors for generator reactive unit charges"/>
    <hyperlink ref="A58" location="'Input'!F59" display="x7 = 1010. Days in the charging year (in Financial and general assumptions)"/>
    <hyperlink ref="A71" location="'Reactive'!B61" display="x1 = 3205. Pay-as-you-go components p/kWh for reactive power (absolute value)"/>
    <hyperlink ref="A72" location="'Input'!B389" display="x2 = 1092. Average kVAr by kVA, by network level"/>
    <hyperlink ref="A73" location="'Input'!E59" display="x3 = 1010. Power factor for all flows in the network model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4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50.7109375" customWidth="1"/>
    <col min="2" max="251" width="16.7109375" customWidth="1"/>
  </cols>
  <sheetData>
    <row r="1" spans="1:24" ht="21" customHeight="1">
      <c r="A1" s="1" t="str">
        <f>"Aggregation for "&amp;Input!B7&amp;" in "&amp;Input!C7&amp;" ("&amp;Input!D7&amp;")"</f>
        <v>Aggregation for Electricity North West in 2019/20 (Version 1)</v>
      </c>
    </row>
    <row r="2" spans="1:24">
      <c r="A2" s="2" t="s">
        <v>1089</v>
      </c>
    </row>
    <row r="4" spans="1:24" ht="21" customHeight="1">
      <c r="A4" s="1" t="s">
        <v>1090</v>
      </c>
    </row>
    <row r="5" spans="1:24">
      <c r="A5" s="2" t="s">
        <v>379</v>
      </c>
    </row>
    <row r="6" spans="1:24">
      <c r="A6" s="29" t="s">
        <v>1091</v>
      </c>
    </row>
    <row r="7" spans="1:24">
      <c r="A7" s="29" t="s">
        <v>1092</v>
      </c>
    </row>
    <row r="8" spans="1:24">
      <c r="A8" s="29" t="s">
        <v>1093</v>
      </c>
    </row>
    <row r="9" spans="1:24">
      <c r="A9" s="29" t="s">
        <v>1094</v>
      </c>
    </row>
    <row r="10" spans="1:24">
      <c r="A10" s="29" t="s">
        <v>1095</v>
      </c>
    </row>
    <row r="11" spans="1:24">
      <c r="A11" s="29" t="s">
        <v>1096</v>
      </c>
    </row>
    <row r="12" spans="1:24">
      <c r="A12" s="2" t="s">
        <v>414</v>
      </c>
    </row>
    <row r="14" spans="1:24" ht="30">
      <c r="B14" s="15" t="s">
        <v>148</v>
      </c>
      <c r="C14" s="15" t="s">
        <v>333</v>
      </c>
      <c r="D14" s="15" t="s">
        <v>334</v>
      </c>
      <c r="E14" s="15" t="s">
        <v>335</v>
      </c>
      <c r="F14" s="15" t="s">
        <v>336</v>
      </c>
      <c r="G14" s="15" t="s">
        <v>337</v>
      </c>
      <c r="H14" s="15" t="s">
        <v>338</v>
      </c>
      <c r="I14" s="15" t="s">
        <v>339</v>
      </c>
      <c r="J14" s="15" t="s">
        <v>340</v>
      </c>
      <c r="K14" s="15" t="s">
        <v>491</v>
      </c>
      <c r="L14" s="15" t="s">
        <v>503</v>
      </c>
      <c r="M14" s="15" t="s">
        <v>321</v>
      </c>
      <c r="N14" s="15" t="s">
        <v>909</v>
      </c>
      <c r="O14" s="15" t="s">
        <v>910</v>
      </c>
      <c r="P14" s="15" t="s">
        <v>911</v>
      </c>
      <c r="Q14" s="15" t="s">
        <v>912</v>
      </c>
      <c r="R14" s="15" t="s">
        <v>913</v>
      </c>
      <c r="S14" s="15" t="s">
        <v>914</v>
      </c>
      <c r="T14" s="15" t="s">
        <v>915</v>
      </c>
      <c r="U14" s="15" t="s">
        <v>916</v>
      </c>
      <c r="V14" s="15" t="s">
        <v>917</v>
      </c>
      <c r="W14" s="15" t="s">
        <v>918</v>
      </c>
    </row>
    <row r="15" spans="1:24">
      <c r="A15" s="4" t="s">
        <v>180</v>
      </c>
      <c r="B15" s="35">
        <f>Standing!$B$79</f>
        <v>0</v>
      </c>
      <c r="C15" s="35">
        <f>Standing!$C$79</f>
        <v>0.25586168986668695</v>
      </c>
      <c r="D15" s="35">
        <f>Standing!$D$79</f>
        <v>0.1012074684698622</v>
      </c>
      <c r="E15" s="35">
        <f>Standing!$E$79</f>
        <v>0.25008683800099535</v>
      </c>
      <c r="F15" s="35">
        <f>Standing!$F$79</f>
        <v>0.15775562694022249</v>
      </c>
      <c r="G15" s="35">
        <f>Standing!$G$79</f>
        <v>0</v>
      </c>
      <c r="H15" s="35">
        <f>Standing!$H$79</f>
        <v>0.20048160411637819</v>
      </c>
      <c r="I15" s="35">
        <f>Standing!$I$79</f>
        <v>0.18202133865079548</v>
      </c>
      <c r="J15" s="35">
        <f>Standing!$J$79</f>
        <v>0</v>
      </c>
      <c r="K15" s="10"/>
      <c r="L15" s="10"/>
      <c r="M15" s="35">
        <f>Standing!$K$79</f>
        <v>0.15125305119069615</v>
      </c>
      <c r="N15" s="35">
        <f>Standing!$L$79</f>
        <v>0.10077394250123216</v>
      </c>
      <c r="O15" s="35">
        <f>Standing!$M$79</f>
        <v>3.9861675319940407E-2</v>
      </c>
      <c r="P15" s="35">
        <f>Standing!$N$79</f>
        <v>9.8499453537411241E-2</v>
      </c>
      <c r="Q15" s="35">
        <f>Standing!$O$79</f>
        <v>6.2133789887822033E-2</v>
      </c>
      <c r="R15" s="35">
        <f>Standing!$P$79</f>
        <v>0</v>
      </c>
      <c r="S15" s="35">
        <f>Standing!$Q$79</f>
        <v>0.1128026946137821</v>
      </c>
      <c r="T15" s="35">
        <f>Standing!$R$79</f>
        <v>0.10241586786735069</v>
      </c>
      <c r="U15" s="35">
        <f>Standing!$S$79</f>
        <v>0</v>
      </c>
      <c r="V15" s="10"/>
      <c r="W15" s="10"/>
      <c r="X15" s="17"/>
    </row>
    <row r="16" spans="1:24">
      <c r="A16" s="4" t="s">
        <v>181</v>
      </c>
      <c r="B16" s="35">
        <f>Standing!$B$80</f>
        <v>0</v>
      </c>
      <c r="C16" s="35">
        <f>Standing!$C$80</f>
        <v>0.31311052461642763</v>
      </c>
      <c r="D16" s="35">
        <f>Standing!$D$80</f>
        <v>0.12385255316733929</v>
      </c>
      <c r="E16" s="35">
        <f>Standing!$E$80</f>
        <v>0.30525017922688308</v>
      </c>
      <c r="F16" s="35">
        <f>Standing!$F$80</f>
        <v>0.19255284997189889</v>
      </c>
      <c r="G16" s="35">
        <f>Standing!$G$80</f>
        <v>0</v>
      </c>
      <c r="H16" s="35">
        <f>Standing!$H$80</f>
        <v>0.24470318421145343</v>
      </c>
      <c r="I16" s="35">
        <f>Standing!$I$80</f>
        <v>0.22217101343834572</v>
      </c>
      <c r="J16" s="35">
        <f>Standing!$J$80</f>
        <v>0</v>
      </c>
      <c r="K16" s="10"/>
      <c r="L16" s="10"/>
      <c r="M16" s="35">
        <f>Standing!$K$80</f>
        <v>0.1868196198240295</v>
      </c>
      <c r="N16" s="35">
        <f>Standing!$L$80</f>
        <v>0.12332202613320874</v>
      </c>
      <c r="O16" s="35">
        <f>Standing!$M$80</f>
        <v>4.8780691153956474E-2</v>
      </c>
      <c r="P16" s="35">
        <f>Standing!$N$80</f>
        <v>0.12022614259261885</v>
      </c>
      <c r="Q16" s="35">
        <f>Standing!$O$80</f>
        <v>7.5839059148037596E-2</v>
      </c>
      <c r="R16" s="35">
        <f>Standing!$P$80</f>
        <v>0</v>
      </c>
      <c r="S16" s="35">
        <f>Standing!$Q$80</f>
        <v>0.13768434605900901</v>
      </c>
      <c r="T16" s="35">
        <f>Standing!$R$80</f>
        <v>0.12500642685586341</v>
      </c>
      <c r="U16" s="35">
        <f>Standing!$S$80</f>
        <v>0</v>
      </c>
      <c r="V16" s="10"/>
      <c r="W16" s="10"/>
      <c r="X16" s="17"/>
    </row>
    <row r="17" spans="1:24">
      <c r="A17" s="4" t="s">
        <v>226</v>
      </c>
      <c r="B17" s="35">
        <f>Standing!$B$81</f>
        <v>0</v>
      </c>
      <c r="C17" s="35">
        <f>Standing!$C$81</f>
        <v>3.3131530565176905E-2</v>
      </c>
      <c r="D17" s="35">
        <f>Standing!$D$81</f>
        <v>1.3105355228367846E-2</v>
      </c>
      <c r="E17" s="35">
        <f>Standing!$E$81</f>
        <v>3.7226451863997527E-2</v>
      </c>
      <c r="F17" s="35">
        <f>Standing!$F$81</f>
        <v>2.3482572291715614E-2</v>
      </c>
      <c r="G17" s="35">
        <f>Standing!$G$81</f>
        <v>0</v>
      </c>
      <c r="H17" s="35">
        <f>Standing!$H$81</f>
        <v>2.9842509285617255E-2</v>
      </c>
      <c r="I17" s="35">
        <f>Standing!$I$81</f>
        <v>2.7094623034408807E-2</v>
      </c>
      <c r="J17" s="35">
        <f>Standing!$J$81</f>
        <v>0</v>
      </c>
      <c r="K17" s="10"/>
      <c r="L17" s="10"/>
      <c r="M17" s="35">
        <f>Standing!$K$81</f>
        <v>9.059305673483552E-3</v>
      </c>
      <c r="N17" s="35">
        <f>Standing!$L$81</f>
        <v>1.3049217950106499E-2</v>
      </c>
      <c r="O17" s="35">
        <f>Standing!$M$81</f>
        <v>5.1616883908250748E-3</v>
      </c>
      <c r="P17" s="35">
        <f>Standing!$N$81</f>
        <v>1.466204777128618E-2</v>
      </c>
      <c r="Q17" s="35">
        <f>Standing!$O$81</f>
        <v>9.2488695401776334E-3</v>
      </c>
      <c r="R17" s="35">
        <f>Standing!$P$81</f>
        <v>0</v>
      </c>
      <c r="S17" s="35">
        <f>Standing!$Q$81</f>
        <v>1.6791143887198337E-2</v>
      </c>
      <c r="T17" s="35">
        <f>Standing!$R$81</f>
        <v>1.5245022112112464E-2</v>
      </c>
      <c r="U17" s="35">
        <f>Standing!$S$81</f>
        <v>0</v>
      </c>
      <c r="V17" s="10"/>
      <c r="W17" s="10"/>
      <c r="X17" s="17"/>
    </row>
    <row r="18" spans="1:24">
      <c r="A18" s="4" t="s">
        <v>182</v>
      </c>
      <c r="B18" s="35">
        <f>Standing!$B$82</f>
        <v>0</v>
      </c>
      <c r="C18" s="35">
        <f>Standing!$C$82</f>
        <v>0.23072053245775298</v>
      </c>
      <c r="D18" s="35">
        <f>Standing!$D$82</f>
        <v>9.1262748347493414E-2</v>
      </c>
      <c r="E18" s="35">
        <f>Standing!$E$82</f>
        <v>0.23598399340128612</v>
      </c>
      <c r="F18" s="35">
        <f>Standing!$F$82</f>
        <v>0.14885950466025349</v>
      </c>
      <c r="G18" s="35">
        <f>Standing!$G$82</f>
        <v>0</v>
      </c>
      <c r="H18" s="35">
        <f>Standing!$H$82</f>
        <v>0.18917608747842368</v>
      </c>
      <c r="I18" s="35">
        <f>Standing!$I$82</f>
        <v>0.17175682943734785</v>
      </c>
      <c r="J18" s="35">
        <f>Standing!$J$82</f>
        <v>0</v>
      </c>
      <c r="K18" s="10"/>
      <c r="L18" s="10"/>
      <c r="M18" s="35">
        <f>Standing!$K$82</f>
        <v>0.12848986583244953</v>
      </c>
      <c r="N18" s="35">
        <f>Standing!$L$82</f>
        <v>9.0871820958681487E-2</v>
      </c>
      <c r="O18" s="35">
        <f>Standing!$M$82</f>
        <v>3.5944837850741311E-2</v>
      </c>
      <c r="P18" s="35">
        <f>Standing!$N$82</f>
        <v>9.29448929795747E-2</v>
      </c>
      <c r="Q18" s="35">
        <f>Standing!$O$82</f>
        <v>5.8629954219447326E-2</v>
      </c>
      <c r="R18" s="35">
        <f>Standing!$P$82</f>
        <v>0</v>
      </c>
      <c r="S18" s="35">
        <f>Standing!$Q$82</f>
        <v>0.10644154868030324</v>
      </c>
      <c r="T18" s="35">
        <f>Standing!$R$82</f>
        <v>9.6640453692727668E-2</v>
      </c>
      <c r="U18" s="35">
        <f>Standing!$S$82</f>
        <v>0</v>
      </c>
      <c r="V18" s="10"/>
      <c r="W18" s="10"/>
      <c r="X18" s="17"/>
    </row>
    <row r="19" spans="1:24">
      <c r="A19" s="4" t="s">
        <v>183</v>
      </c>
      <c r="B19" s="35">
        <f>Standing!$B$83</f>
        <v>0</v>
      </c>
      <c r="C19" s="35">
        <f>Standing!$C$83</f>
        <v>0.24627164599365056</v>
      </c>
      <c r="D19" s="35">
        <f>Standing!$D$83</f>
        <v>9.7414075002435999E-2</v>
      </c>
      <c r="E19" s="35">
        <f>Standing!$E$83</f>
        <v>0.24919024899593398</v>
      </c>
      <c r="F19" s="35">
        <f>Standing!$F$83</f>
        <v>0.1571900555501736</v>
      </c>
      <c r="G19" s="35">
        <f>Standing!$G$83</f>
        <v>0</v>
      </c>
      <c r="H19" s="35">
        <f>Standing!$H$83</f>
        <v>0.19976285536732538</v>
      </c>
      <c r="I19" s="35">
        <f>Standing!$I$83</f>
        <v>0.18136877199744689</v>
      </c>
      <c r="J19" s="35">
        <f>Standing!$J$83</f>
        <v>0</v>
      </c>
      <c r="K19" s="10"/>
      <c r="L19" s="10"/>
      <c r="M19" s="35">
        <f>Standing!$K$83</f>
        <v>0.14021867807435892</v>
      </c>
      <c r="N19" s="35">
        <f>Standing!$L$83</f>
        <v>9.6996798176307228E-2</v>
      </c>
      <c r="O19" s="35">
        <f>Standing!$M$83</f>
        <v>3.8367605553692327E-2</v>
      </c>
      <c r="P19" s="35">
        <f>Standing!$N$83</f>
        <v>9.814632209014236E-2</v>
      </c>
      <c r="Q19" s="35">
        <f>Standing!$O$83</f>
        <v>6.1911033371319597E-2</v>
      </c>
      <c r="R19" s="35">
        <f>Standing!$P$83</f>
        <v>0</v>
      </c>
      <c r="S19" s="35">
        <f>Standing!$Q$83</f>
        <v>0.1123982844635302</v>
      </c>
      <c r="T19" s="35">
        <f>Standing!$R$83</f>
        <v>0.10204869564106459</v>
      </c>
      <c r="U19" s="35">
        <f>Standing!$S$83</f>
        <v>0</v>
      </c>
      <c r="V19" s="10"/>
      <c r="W19" s="10"/>
      <c r="X19" s="17"/>
    </row>
    <row r="20" spans="1:24">
      <c r="A20" s="4" t="s">
        <v>227</v>
      </c>
      <c r="B20" s="35">
        <f>Standing!$B$84</f>
        <v>0</v>
      </c>
      <c r="C20" s="35">
        <f>Standing!$C$84</f>
        <v>2.5096230601312428E-2</v>
      </c>
      <c r="D20" s="35">
        <f>Standing!$D$84</f>
        <v>9.9269490818188165E-3</v>
      </c>
      <c r="E20" s="35">
        <f>Standing!$E$84</f>
        <v>2.783814464584624E-2</v>
      </c>
      <c r="F20" s="35">
        <f>Standing!$F$84</f>
        <v>1.7560396207019074E-2</v>
      </c>
      <c r="G20" s="35">
        <f>Standing!$G$84</f>
        <v>0</v>
      </c>
      <c r="H20" s="35">
        <f>Standing!$H$84</f>
        <v>2.2316391933432368E-2</v>
      </c>
      <c r="I20" s="35">
        <f>Standing!$I$84</f>
        <v>2.026150754071768E-2</v>
      </c>
      <c r="J20" s="35">
        <f>Standing!$J$84</f>
        <v>0</v>
      </c>
      <c r="K20" s="10"/>
      <c r="L20" s="10"/>
      <c r="M20" s="35">
        <f>Standing!$K$84</f>
        <v>4.971144151430875E-3</v>
      </c>
      <c r="N20" s="35">
        <f>Standing!$L$84</f>
        <v>9.8844266249161587E-3</v>
      </c>
      <c r="O20" s="35">
        <f>Standing!$M$84</f>
        <v>3.9098381492950396E-3</v>
      </c>
      <c r="P20" s="35">
        <f>Standing!$N$84</f>
        <v>1.0964359648148906E-2</v>
      </c>
      <c r="Q20" s="35">
        <f>Standing!$O$84</f>
        <v>6.9163553112896094E-3</v>
      </c>
      <c r="R20" s="35">
        <f>Standing!$P$84</f>
        <v>0</v>
      </c>
      <c r="S20" s="35">
        <f>Standing!$Q$84</f>
        <v>1.2556509387699923E-2</v>
      </c>
      <c r="T20" s="35">
        <f>Standing!$R$84</f>
        <v>1.1400311053994125E-2</v>
      </c>
      <c r="U20" s="35">
        <f>Standing!$S$84</f>
        <v>0</v>
      </c>
      <c r="V20" s="10"/>
      <c r="W20" s="10"/>
      <c r="X20" s="17"/>
    </row>
    <row r="21" spans="1:24">
      <c r="A21" s="4" t="s">
        <v>184</v>
      </c>
      <c r="B21" s="35">
        <f>Standing!$B$85</f>
        <v>0</v>
      </c>
      <c r="C21" s="35">
        <f>Standing!$C$85</f>
        <v>0.2247452178076712</v>
      </c>
      <c r="D21" s="35">
        <f>Standing!$D$85</f>
        <v>8.8899180478615697E-2</v>
      </c>
      <c r="E21" s="35">
        <f>Standing!$E$85</f>
        <v>0.22645599938654956</v>
      </c>
      <c r="F21" s="35">
        <f>Standing!$F$85</f>
        <v>0.14284921366976375</v>
      </c>
      <c r="G21" s="35">
        <f>Standing!$G$85</f>
        <v>0</v>
      </c>
      <c r="H21" s="35">
        <f>Standing!$H$85</f>
        <v>0.18153799049037653</v>
      </c>
      <c r="I21" s="35">
        <f>Standing!$I$85</f>
        <v>0.16482204534762215</v>
      </c>
      <c r="J21" s="35">
        <f>Standing!$J$85</f>
        <v>0</v>
      </c>
      <c r="K21" s="10"/>
      <c r="L21" s="10"/>
      <c r="M21" s="35">
        <f>Standing!$K$85</f>
        <v>0.12930386717820264</v>
      </c>
      <c r="N21" s="35">
        <f>Standing!$L$85</f>
        <v>8.8518377520987263E-2</v>
      </c>
      <c r="O21" s="35">
        <f>Standing!$M$85</f>
        <v>3.5013920632770354E-2</v>
      </c>
      <c r="P21" s="35">
        <f>Standing!$N$85</f>
        <v>8.9192187674245776E-2</v>
      </c>
      <c r="Q21" s="35">
        <f>Standing!$O$85</f>
        <v>5.6262734965142905E-2</v>
      </c>
      <c r="R21" s="35">
        <f>Standing!$P$85</f>
        <v>0</v>
      </c>
      <c r="S21" s="35">
        <f>Standing!$Q$85</f>
        <v>0.10214390787794325</v>
      </c>
      <c r="T21" s="35">
        <f>Standing!$R$85</f>
        <v>9.2738537926771697E-2</v>
      </c>
      <c r="U21" s="35">
        <f>Standing!$S$85</f>
        <v>0</v>
      </c>
      <c r="V21" s="10"/>
      <c r="W21" s="10"/>
      <c r="X21" s="17"/>
    </row>
    <row r="22" spans="1:24">
      <c r="A22" s="4" t="s">
        <v>185</v>
      </c>
      <c r="B22" s="35">
        <f>Standing!$B$86</f>
        <v>0</v>
      </c>
      <c r="C22" s="35">
        <f>Standing!$C$86</f>
        <v>0.55674173509484981</v>
      </c>
      <c r="D22" s="35">
        <f>Standing!$D$86</f>
        <v>0.22022218969094942</v>
      </c>
      <c r="E22" s="35">
        <f>Standing!$E$86</f>
        <v>0.56150192773499308</v>
      </c>
      <c r="F22" s="35">
        <f>Standing!$F$86</f>
        <v>0.35419732340182086</v>
      </c>
      <c r="G22" s="35">
        <f>Standing!$G$86</f>
        <v>0</v>
      </c>
      <c r="H22" s="35">
        <f>Standing!$H$86</f>
        <v>0.45012687627448045</v>
      </c>
      <c r="I22" s="35">
        <f>Standing!$I$86</f>
        <v>0</v>
      </c>
      <c r="J22" s="35">
        <f>Standing!$J$86</f>
        <v>0</v>
      </c>
      <c r="K22" s="10"/>
      <c r="L22" s="10"/>
      <c r="M22" s="35">
        <f>Standing!$K$86</f>
        <v>0.31976075137493104</v>
      </c>
      <c r="N22" s="35">
        <f>Standing!$L$86</f>
        <v>0.21927885972189645</v>
      </c>
      <c r="O22" s="35">
        <f>Standing!$M$86</f>
        <v>8.6736933117944892E-2</v>
      </c>
      <c r="P22" s="35">
        <f>Standing!$N$86</f>
        <v>0.22115371398265937</v>
      </c>
      <c r="Q22" s="35">
        <f>Standing!$O$86</f>
        <v>0.13950451402546116</v>
      </c>
      <c r="R22" s="35">
        <f>Standing!$P$86</f>
        <v>0</v>
      </c>
      <c r="S22" s="35">
        <f>Standing!$Q$86</f>
        <v>0.25326774885725206</v>
      </c>
      <c r="T22" s="35">
        <f>Standing!$R$86</f>
        <v>0</v>
      </c>
      <c r="U22" s="35">
        <f>Standing!$S$86</f>
        <v>0</v>
      </c>
      <c r="V22" s="10"/>
      <c r="W22" s="10"/>
      <c r="X22" s="17"/>
    </row>
    <row r="23" spans="1:24">
      <c r="A23" s="4" t="s">
        <v>205</v>
      </c>
      <c r="B23" s="35">
        <f>Standing!$B$87</f>
        <v>0</v>
      </c>
      <c r="C23" s="35">
        <f>Standing!$C$87</f>
        <v>0.66859403440475773</v>
      </c>
      <c r="D23" s="35">
        <f>Standing!$D$87</f>
        <v>0.2644659686700821</v>
      </c>
      <c r="E23" s="35">
        <f>Standing!$E$87</f>
        <v>0.54080792872374872</v>
      </c>
      <c r="F23" s="35">
        <f>Standing!$F$87</f>
        <v>0</v>
      </c>
      <c r="G23" s="35">
        <f>Standing!$G$87</f>
        <v>0</v>
      </c>
      <c r="H23" s="35">
        <f>Standing!$H$87</f>
        <v>0</v>
      </c>
      <c r="I23" s="35">
        <f>Standing!$I$87</f>
        <v>0</v>
      </c>
      <c r="J23" s="35">
        <f>Standing!$J$87</f>
        <v>0</v>
      </c>
      <c r="K23" s="10"/>
      <c r="L23" s="10"/>
      <c r="M23" s="35">
        <f>Standing!$K$87</f>
        <v>0.38273126665218404</v>
      </c>
      <c r="N23" s="35">
        <f>Standing!$L$87</f>
        <v>0.26333311882242955</v>
      </c>
      <c r="O23" s="35">
        <f>Standing!$M$87</f>
        <v>0.10416283240440484</v>
      </c>
      <c r="P23" s="35">
        <f>Standing!$N$87</f>
        <v>0.21300315471930797</v>
      </c>
      <c r="Q23" s="35">
        <f>Standing!$O$87</f>
        <v>0</v>
      </c>
      <c r="R23" s="35">
        <f>Standing!$P$87</f>
        <v>0</v>
      </c>
      <c r="S23" s="35">
        <f>Standing!$Q$87</f>
        <v>0</v>
      </c>
      <c r="T23" s="35">
        <f>Standing!$R$87</f>
        <v>0</v>
      </c>
      <c r="U23" s="35">
        <f>Standing!$S$87</f>
        <v>0</v>
      </c>
      <c r="V23" s="10"/>
      <c r="W23" s="10"/>
      <c r="X23" s="17"/>
    </row>
    <row r="24" spans="1:24">
      <c r="A24" s="4" t="s">
        <v>186</v>
      </c>
      <c r="B24" s="35">
        <f>Standing!$B$88</f>
        <v>0</v>
      </c>
      <c r="C24" s="35">
        <f>Standing!$C$88</f>
        <v>1.4840222842680741</v>
      </c>
      <c r="D24" s="35">
        <f>Standing!$D$88</f>
        <v>0.58701300152395042</v>
      </c>
      <c r="E24" s="35">
        <f>Standing!$E$88</f>
        <v>1.2500483733058054</v>
      </c>
      <c r="F24" s="35">
        <f>Standing!$F$88</f>
        <v>0.78853476021668023</v>
      </c>
      <c r="G24" s="35">
        <f>Standing!$G$88</f>
        <v>0</v>
      </c>
      <c r="H24" s="35">
        <f>Standing!$H$88</f>
        <v>1.0020987314111254</v>
      </c>
      <c r="I24" s="35">
        <f>Standing!$I$88</f>
        <v>0.90982588330564795</v>
      </c>
      <c r="J24" s="35">
        <f>Standing!$J$88</f>
        <v>0</v>
      </c>
      <c r="K24" s="10"/>
      <c r="L24" s="10"/>
      <c r="M24" s="35">
        <f>Standing!$K$88</f>
        <v>1.0807680549169909</v>
      </c>
      <c r="N24" s="35">
        <f>Standing!$L$88</f>
        <v>0.58449850942241266</v>
      </c>
      <c r="O24" s="35">
        <f>Standing!$M$88</f>
        <v>0.23120153116268585</v>
      </c>
      <c r="P24" s="35">
        <f>Standing!$N$88</f>
        <v>0.49234530953388939</v>
      </c>
      <c r="Q24" s="35">
        <f>Standing!$O$88</f>
        <v>0.31057309371990027</v>
      </c>
      <c r="R24" s="35">
        <f>Standing!$P$88</f>
        <v>0</v>
      </c>
      <c r="S24" s="35">
        <f>Standing!$Q$88</f>
        <v>0.56383944886339321</v>
      </c>
      <c r="T24" s="35">
        <f>Standing!$R$88</f>
        <v>0.51192133921008087</v>
      </c>
      <c r="U24" s="35">
        <f>Standing!$S$88</f>
        <v>0</v>
      </c>
      <c r="V24" s="10"/>
      <c r="W24" s="10"/>
      <c r="X24" s="17"/>
    </row>
    <row r="25" spans="1:24">
      <c r="A25" s="4" t="s">
        <v>187</v>
      </c>
      <c r="B25" s="35">
        <f>Standing!$B$89</f>
        <v>0</v>
      </c>
      <c r="C25" s="35">
        <f>Standing!$C$89</f>
        <v>1.355954787643759</v>
      </c>
      <c r="D25" s="35">
        <f>Standing!$D$89</f>
        <v>0.53635521397719843</v>
      </c>
      <c r="E25" s="35">
        <f>Standing!$E$89</f>
        <v>1.1421445844223768</v>
      </c>
      <c r="F25" s="35">
        <f>Standing!$F$89</f>
        <v>0.72046868364665728</v>
      </c>
      <c r="G25" s="35">
        <f>Standing!$G$89</f>
        <v>0</v>
      </c>
      <c r="H25" s="35">
        <f>Standing!$H$89</f>
        <v>0.91559787891324751</v>
      </c>
      <c r="I25" s="35">
        <f>Standing!$I$89</f>
        <v>0.83128999451178687</v>
      </c>
      <c r="J25" s="35">
        <f>Standing!$J$89</f>
        <v>0</v>
      </c>
      <c r="K25" s="10"/>
      <c r="L25" s="10"/>
      <c r="M25" s="35">
        <f>Standing!$K$89</f>
        <v>0.98827450012597851</v>
      </c>
      <c r="N25" s="35">
        <f>Standing!$L$89</f>
        <v>0.53405771639935429</v>
      </c>
      <c r="O25" s="35">
        <f>Standing!$M$89</f>
        <v>0.21124940401095832</v>
      </c>
      <c r="P25" s="35">
        <f>Standing!$N$89</f>
        <v>0.44984621472110436</v>
      </c>
      <c r="Q25" s="35">
        <f>Standing!$O$89</f>
        <v>0.2837645203452544</v>
      </c>
      <c r="R25" s="35">
        <f>Standing!$P$89</f>
        <v>0</v>
      </c>
      <c r="S25" s="35">
        <f>Standing!$Q$89</f>
        <v>0.51516900206027516</v>
      </c>
      <c r="T25" s="35">
        <f>Standing!$R$89</f>
        <v>0.46773244757145821</v>
      </c>
      <c r="U25" s="35">
        <f>Standing!$S$89</f>
        <v>0</v>
      </c>
      <c r="V25" s="10"/>
      <c r="W25" s="10"/>
      <c r="X25" s="17"/>
    </row>
    <row r="26" spans="1:24">
      <c r="A26" s="4" t="s">
        <v>188</v>
      </c>
      <c r="B26" s="35">
        <f>Standing!$B$90</f>
        <v>0</v>
      </c>
      <c r="C26" s="35">
        <f>Standing!$C$90</f>
        <v>1.2161938441468794</v>
      </c>
      <c r="D26" s="35">
        <f>Standing!$D$90</f>
        <v>0.48107202058607901</v>
      </c>
      <c r="E26" s="35">
        <f>Standing!$E$90</f>
        <v>1.0244445260131592</v>
      </c>
      <c r="F26" s="35">
        <f>Standing!$F$90</f>
        <v>0.64622308698245789</v>
      </c>
      <c r="G26" s="35">
        <f>Standing!$G$90</f>
        <v>0</v>
      </c>
      <c r="H26" s="35">
        <f>Standing!$H$90</f>
        <v>0.65699509352841212</v>
      </c>
      <c r="I26" s="35">
        <f>Standing!$I$90</f>
        <v>0</v>
      </c>
      <c r="J26" s="35">
        <f>Standing!$J$90</f>
        <v>0</v>
      </c>
      <c r="K26" s="10"/>
      <c r="L26" s="10"/>
      <c r="M26" s="35">
        <f>Standing!$K$90</f>
        <v>0.88615546928667133</v>
      </c>
      <c r="N26" s="35">
        <f>Standing!$L$90</f>
        <v>0.47901133063050028</v>
      </c>
      <c r="O26" s="35">
        <f>Standing!$M$90</f>
        <v>0.18947550986141251</v>
      </c>
      <c r="P26" s="35">
        <f>Standing!$N$90</f>
        <v>0.40348875134039197</v>
      </c>
      <c r="Q26" s="35">
        <f>Standing!$O$90</f>
        <v>0.25452207497132562</v>
      </c>
      <c r="R26" s="35">
        <f>Standing!$P$90</f>
        <v>0</v>
      </c>
      <c r="S26" s="35">
        <f>Standing!$Q$90</f>
        <v>0.36966392614764726</v>
      </c>
      <c r="T26" s="35">
        <f>Standing!$R$90</f>
        <v>0</v>
      </c>
      <c r="U26" s="35">
        <f>Standing!$S$90</f>
        <v>0</v>
      </c>
      <c r="V26" s="10"/>
      <c r="W26" s="10"/>
      <c r="X26" s="17"/>
    </row>
    <row r="27" spans="1:24">
      <c r="A27" s="4" t="s">
        <v>189</v>
      </c>
      <c r="B27" s="35">
        <f>Standing!$B$91</f>
        <v>0</v>
      </c>
      <c r="C27" s="35">
        <f>Standing!$C$91</f>
        <v>1.1344799504521121</v>
      </c>
      <c r="D27" s="35">
        <f>Standing!$D$91</f>
        <v>0.44874965015238188</v>
      </c>
      <c r="E27" s="35">
        <f>Standing!$E$91</f>
        <v>0.95561392676477563</v>
      </c>
      <c r="F27" s="35">
        <f>Standing!$F$91</f>
        <v>0.60280451116337863</v>
      </c>
      <c r="G27" s="35">
        <f>Standing!$G$91</f>
        <v>0</v>
      </c>
      <c r="H27" s="35">
        <f>Standing!$H$91</f>
        <v>0</v>
      </c>
      <c r="I27" s="35">
        <f>Standing!$I$91</f>
        <v>0</v>
      </c>
      <c r="J27" s="35">
        <f>Standing!$J$91</f>
        <v>0</v>
      </c>
      <c r="K27" s="10"/>
      <c r="L27" s="10"/>
      <c r="M27" s="35">
        <f>Standing!$K$91</f>
        <v>0.82661626493794205</v>
      </c>
      <c r="N27" s="35">
        <f>Standing!$L$91</f>
        <v>0.446827414276947</v>
      </c>
      <c r="O27" s="35">
        <f>Standing!$M$91</f>
        <v>0.17674498853449533</v>
      </c>
      <c r="P27" s="35">
        <f>Standing!$N$91</f>
        <v>0.37637906229473594</v>
      </c>
      <c r="Q27" s="35">
        <f>Standing!$O$91</f>
        <v>0.23742119103142414</v>
      </c>
      <c r="R27" s="35">
        <f>Standing!$P$91</f>
        <v>0</v>
      </c>
      <c r="S27" s="35">
        <f>Standing!$Q$91</f>
        <v>0</v>
      </c>
      <c r="T27" s="35">
        <f>Standing!$R$91</f>
        <v>0</v>
      </c>
      <c r="U27" s="35">
        <f>Standing!$S$91</f>
        <v>0</v>
      </c>
      <c r="V27" s="10"/>
      <c r="W27" s="10"/>
      <c r="X27" s="17"/>
    </row>
    <row r="28" spans="1:24">
      <c r="A28" s="4" t="s">
        <v>206</v>
      </c>
      <c r="B28" s="35">
        <f>Standing!$B$92</f>
        <v>0</v>
      </c>
      <c r="C28" s="35">
        <f>Standing!$C$92</f>
        <v>1.0156326887359912</v>
      </c>
      <c r="D28" s="35">
        <f>Standing!$D$92</f>
        <v>0.4017389761467075</v>
      </c>
      <c r="E28" s="35">
        <f>Standing!$E$92</f>
        <v>0.68440362754538464</v>
      </c>
      <c r="F28" s="35">
        <f>Standing!$F$92</f>
        <v>0</v>
      </c>
      <c r="G28" s="35">
        <f>Standing!$G$92</f>
        <v>0</v>
      </c>
      <c r="H28" s="35">
        <f>Standing!$H$92</f>
        <v>0</v>
      </c>
      <c r="I28" s="35">
        <f>Standing!$I$92</f>
        <v>0</v>
      </c>
      <c r="J28" s="35">
        <f>Standing!$J$92</f>
        <v>0</v>
      </c>
      <c r="K28" s="10"/>
      <c r="L28" s="10"/>
      <c r="M28" s="35">
        <f>Standing!$K$92</f>
        <v>0.7400205701099013</v>
      </c>
      <c r="N28" s="35">
        <f>Standing!$L$92</f>
        <v>0.40001811224798922</v>
      </c>
      <c r="O28" s="35">
        <f>Standing!$M$92</f>
        <v>0.15822931719010463</v>
      </c>
      <c r="P28" s="35">
        <f>Standing!$N$92</f>
        <v>0.26955990107713723</v>
      </c>
      <c r="Q28" s="35">
        <f>Standing!$O$92</f>
        <v>0</v>
      </c>
      <c r="R28" s="35">
        <f>Standing!$P$92</f>
        <v>0</v>
      </c>
      <c r="S28" s="35">
        <f>Standing!$Q$92</f>
        <v>0</v>
      </c>
      <c r="T28" s="35">
        <f>Standing!$R$92</f>
        <v>0</v>
      </c>
      <c r="U28" s="35">
        <f>Standing!$S$92</f>
        <v>0</v>
      </c>
      <c r="V28" s="10"/>
      <c r="W28" s="10"/>
      <c r="X28" s="17"/>
    </row>
    <row r="29" spans="1:24">
      <c r="A29" s="4" t="s">
        <v>228</v>
      </c>
      <c r="B29" s="35">
        <f>Yard!$B$81</f>
        <v>0</v>
      </c>
      <c r="C29" s="35">
        <f>Yard!$C$81</f>
        <v>0.16693718005860772</v>
      </c>
      <c r="D29" s="35">
        <f>Yard!$D$81</f>
        <v>6.6032900025135843E-2</v>
      </c>
      <c r="E29" s="35">
        <f>Yard!$E$81</f>
        <v>0.16684374061807727</v>
      </c>
      <c r="F29" s="35">
        <f>Yard!$F$81</f>
        <v>0.10524559833953313</v>
      </c>
      <c r="G29" s="35">
        <f>Yard!$G$81</f>
        <v>0</v>
      </c>
      <c r="H29" s="35">
        <f>Yard!$H$81</f>
        <v>0.13374994471222804</v>
      </c>
      <c r="I29" s="35">
        <f>Yard!$I$81</f>
        <v>0.12143430360252569</v>
      </c>
      <c r="J29" s="35">
        <f>Yard!$J$81</f>
        <v>2.8850797747734867E-3</v>
      </c>
      <c r="K29" s="10"/>
      <c r="L29" s="10"/>
      <c r="M29" s="35">
        <f>Yard!$K$81</f>
        <v>9.3543905099219601E-2</v>
      </c>
      <c r="N29" s="35">
        <f>Yard!$L$81</f>
        <v>6.5750045633284598E-2</v>
      </c>
      <c r="O29" s="35">
        <f>Yard!$M$81</f>
        <v>2.600778441582962E-2</v>
      </c>
      <c r="P29" s="35">
        <f>Yard!$N$81</f>
        <v>6.5713243481261466E-2</v>
      </c>
      <c r="Q29" s="35">
        <f>Yard!$O$81</f>
        <v>4.1452137211717768E-2</v>
      </c>
      <c r="R29" s="35">
        <f>Yard!$P$81</f>
        <v>0</v>
      </c>
      <c r="S29" s="35">
        <f>Yard!$Q$81</f>
        <v>7.5255553917184331E-2</v>
      </c>
      <c r="T29" s="35">
        <f>Yard!$R$81</f>
        <v>6.8326052783183766E-2</v>
      </c>
      <c r="U29" s="35">
        <f>Yard!$S$81</f>
        <v>3.7877347391081652E-2</v>
      </c>
      <c r="V29" s="35">
        <f>Otex!$B$162</f>
        <v>1.7272478538741278</v>
      </c>
      <c r="W29" s="10"/>
      <c r="X29" s="17"/>
    </row>
    <row r="30" spans="1:24">
      <c r="A30" s="4" t="s">
        <v>229</v>
      </c>
      <c r="B30" s="35">
        <f>Yard!$B$82</f>
        <v>0</v>
      </c>
      <c r="C30" s="35">
        <f>Yard!$C$82</f>
        <v>0.20953062465748024</v>
      </c>
      <c r="D30" s="35">
        <f>Yard!$D$82</f>
        <v>8.2880966273386134E-2</v>
      </c>
      <c r="E30" s="35">
        <f>Yard!$E$82</f>
        <v>0.18384697154540899</v>
      </c>
      <c r="F30" s="35">
        <f>Yard!$F$82</f>
        <v>0.11597129416739563</v>
      </c>
      <c r="G30" s="35">
        <f>Yard!$G$82</f>
        <v>0</v>
      </c>
      <c r="H30" s="35">
        <f>Yard!$H$82</f>
        <v>0.14738055014000795</v>
      </c>
      <c r="I30" s="35">
        <f>Yard!$I$82</f>
        <v>0.13380980836527218</v>
      </c>
      <c r="J30" s="35">
        <f>Yard!$J$82</f>
        <v>3.1791014592101917E-3</v>
      </c>
      <c r="K30" s="10"/>
      <c r="L30" s="10"/>
      <c r="M30" s="35">
        <f>Yard!$K$82</f>
        <v>0.14004887506924621</v>
      </c>
      <c r="N30" s="35">
        <f>Yard!$L$82</f>
        <v>8.2525942560927962E-2</v>
      </c>
      <c r="O30" s="35">
        <f>Yard!$M$82</f>
        <v>3.2643580733139818E-2</v>
      </c>
      <c r="P30" s="35">
        <f>Yard!$N$82</f>
        <v>7.2410153115129994E-2</v>
      </c>
      <c r="Q30" s="35">
        <f>Yard!$O$82</f>
        <v>4.5676570557741138E-2</v>
      </c>
      <c r="R30" s="35">
        <f>Yard!$P$82</f>
        <v>0</v>
      </c>
      <c r="S30" s="35">
        <f>Yard!$Q$82</f>
        <v>8.2924931006656669E-2</v>
      </c>
      <c r="T30" s="35">
        <f>Yard!$R$82</f>
        <v>7.5289236715177524E-2</v>
      </c>
      <c r="U30" s="35">
        <f>Yard!$S$82</f>
        <v>4.1737469935802074E-2</v>
      </c>
      <c r="V30" s="35">
        <f>Otex!$B$163</f>
        <v>1.7272478538741278</v>
      </c>
      <c r="W30" s="10"/>
      <c r="X30" s="17"/>
    </row>
    <row r="31" spans="1:24">
      <c r="A31" s="4" t="s">
        <v>230</v>
      </c>
      <c r="B31" s="35">
        <f>Yard!$B$83</f>
        <v>0</v>
      </c>
      <c r="C31" s="35">
        <f>Yard!$C$83</f>
        <v>0.38347770164805284</v>
      </c>
      <c r="D31" s="35">
        <f>Yard!$D$83</f>
        <v>0.15168666875710213</v>
      </c>
      <c r="E31" s="35">
        <f>Yard!$E$83</f>
        <v>0.33359990983556237</v>
      </c>
      <c r="F31" s="35">
        <f>Yard!$F$83</f>
        <v>0.21043595634209822</v>
      </c>
      <c r="G31" s="35">
        <f>Yard!$G$83</f>
        <v>0</v>
      </c>
      <c r="H31" s="35">
        <f>Yard!$H$83</f>
        <v>0.26742968798960348</v>
      </c>
      <c r="I31" s="35">
        <f>Yard!$I$83</f>
        <v>0.24280486989008224</v>
      </c>
      <c r="J31" s="35">
        <f>Yard!$J$83</f>
        <v>5.7686452555389331E-3</v>
      </c>
      <c r="K31" s="10"/>
      <c r="L31" s="10"/>
      <c r="M31" s="35">
        <f>Yard!$K$83</f>
        <v>0.26735668120973083</v>
      </c>
      <c r="N31" s="35">
        <f>Yard!$L$83</f>
        <v>0.15103691324997004</v>
      </c>
      <c r="O31" s="35">
        <f>Yard!$M$83</f>
        <v>5.9743463914024193E-2</v>
      </c>
      <c r="P31" s="35">
        <f>Yard!$N$83</f>
        <v>0.13139199600261164</v>
      </c>
      <c r="Q31" s="35">
        <f>Yard!$O$83</f>
        <v>8.2882517408759904E-2</v>
      </c>
      <c r="R31" s="35">
        <f>Yard!$P$83</f>
        <v>0</v>
      </c>
      <c r="S31" s="35">
        <f>Yard!$Q$83</f>
        <v>0.1504716083947466</v>
      </c>
      <c r="T31" s="35">
        <f>Yard!$R$83</f>
        <v>0.13661624321925767</v>
      </c>
      <c r="U31" s="35">
        <f>Yard!$S$83</f>
        <v>7.5734814070130205E-2</v>
      </c>
      <c r="V31" s="35">
        <f>Otex!$B$164</f>
        <v>1.7272478538741278</v>
      </c>
      <c r="W31" s="10"/>
      <c r="X31" s="17"/>
    </row>
    <row r="32" spans="1:24">
      <c r="A32" s="4" t="s">
        <v>231</v>
      </c>
      <c r="B32" s="35">
        <f>Yard!$B$84</f>
        <v>0</v>
      </c>
      <c r="C32" s="35">
        <f>Yard!$C$84</f>
        <v>0.14634127890877346</v>
      </c>
      <c r="D32" s="35">
        <f>Yard!$D$84</f>
        <v>5.7886080478542823E-2</v>
      </c>
      <c r="E32" s="35">
        <f>Yard!$E$84</f>
        <v>0.16487933023452356</v>
      </c>
      <c r="F32" s="35">
        <f>Yard!$F$84</f>
        <v>0.10400644159660943</v>
      </c>
      <c r="G32" s="35">
        <f>Yard!$G$84</f>
        <v>0</v>
      </c>
      <c r="H32" s="35">
        <f>Yard!$H$84</f>
        <v>0.13217517913085766</v>
      </c>
      <c r="I32" s="35">
        <f>Yard!$I$84</f>
        <v>0.12000454180245629</v>
      </c>
      <c r="J32" s="35">
        <f>Yard!$J$84</f>
        <v>2.8511109807033558E-3</v>
      </c>
      <c r="K32" s="10"/>
      <c r="L32" s="10"/>
      <c r="M32" s="35">
        <f>Yard!$K$84</f>
        <v>6.6178217961452748E-2</v>
      </c>
      <c r="N32" s="35">
        <f>Yard!$L$84</f>
        <v>5.7638123292289019E-2</v>
      </c>
      <c r="O32" s="35">
        <f>Yard!$M$84</f>
        <v>2.2799069875626108E-2</v>
      </c>
      <c r="P32" s="35">
        <f>Yard!$N$84</f>
        <v>6.4939538831908866E-2</v>
      </c>
      <c r="Q32" s="35">
        <f>Yard!$O$84</f>
        <v>4.0964081690680332E-2</v>
      </c>
      <c r="R32" s="35">
        <f>Yard!$P$84</f>
        <v>0</v>
      </c>
      <c r="S32" s="35">
        <f>Yard!$Q$84</f>
        <v>7.4369498551922472E-2</v>
      </c>
      <c r="T32" s="35">
        <f>Yard!$R$84</f>
        <v>6.7521585039549498E-2</v>
      </c>
      <c r="U32" s="35">
        <f>Yard!$S$84</f>
        <v>3.7431381277873745E-2</v>
      </c>
      <c r="V32" s="35">
        <f>Otex!$B$165</f>
        <v>1.7272478538741278</v>
      </c>
      <c r="W32" s="10"/>
      <c r="X32" s="17"/>
    </row>
    <row r="33" spans="1:24">
      <c r="A33" s="4" t="s">
        <v>232</v>
      </c>
      <c r="B33" s="35">
        <f>Yard!$B$85</f>
        <v>0</v>
      </c>
      <c r="C33" s="35">
        <f>Yard!$C$85</f>
        <v>3.6221091385780197</v>
      </c>
      <c r="D33" s="35">
        <f>Yard!$D$85</f>
        <v>1.4327447638919226</v>
      </c>
      <c r="E33" s="35">
        <f>Yard!$E$85</f>
        <v>3.0065997898099379</v>
      </c>
      <c r="F33" s="35">
        <f>Yard!$F$85</f>
        <v>1.8965733606417152</v>
      </c>
      <c r="G33" s="35">
        <f>Yard!$G$85</f>
        <v>0</v>
      </c>
      <c r="H33" s="35">
        <f>Yard!$H$85</f>
        <v>2.4102345953714805</v>
      </c>
      <c r="I33" s="35">
        <f>Yard!$I$85</f>
        <v>2.1883011633192275</v>
      </c>
      <c r="J33" s="35">
        <f>Yard!$J$85</f>
        <v>5.1990444545805287E-2</v>
      </c>
      <c r="K33" s="10"/>
      <c r="L33" s="10"/>
      <c r="M33" s="35">
        <f>Yard!$K$85</f>
        <v>2.7274260841190494</v>
      </c>
      <c r="N33" s="35">
        <f>Yard!$L$85</f>
        <v>1.4266075482204246</v>
      </c>
      <c r="O33" s="35">
        <f>Yard!$M$85</f>
        <v>0.56430229367520757</v>
      </c>
      <c r="P33" s="35">
        <f>Yard!$N$85</f>
        <v>1.1841824170722481</v>
      </c>
      <c r="Q33" s="35">
        <f>Yard!$O$85</f>
        <v>0.74698629128205907</v>
      </c>
      <c r="R33" s="35">
        <f>Yard!$P$85</f>
        <v>0</v>
      </c>
      <c r="S33" s="35">
        <f>Yard!$Q$85</f>
        <v>1.3561391740034001</v>
      </c>
      <c r="T33" s="35">
        <f>Yard!$R$85</f>
        <v>1.231266424352782</v>
      </c>
      <c r="U33" s="35">
        <f>Yard!$S$85</f>
        <v>0.68256695925603772</v>
      </c>
      <c r="V33" s="35">
        <f>Otex!$B$166</f>
        <v>1.7272478538741278</v>
      </c>
      <c r="W33" s="10"/>
      <c r="X33" s="17"/>
    </row>
    <row r="34" spans="1:24">
      <c r="A34" s="4" t="s">
        <v>190</v>
      </c>
      <c r="B34" s="35">
        <f>Yard!$B$42</f>
        <v>0</v>
      </c>
      <c r="C34" s="35">
        <f>Yard!$C$42</f>
        <v>-0.13631165338487333</v>
      </c>
      <c r="D34" s="35">
        <f>Yard!$D$42</f>
        <v>-5.391880812329676E-2</v>
      </c>
      <c r="E34" s="35">
        <f>Yard!$E$42</f>
        <v>-0.13614863588539305</v>
      </c>
      <c r="F34" s="35">
        <f>Yard!$F$42</f>
        <v>-8.5883022004823673E-2</v>
      </c>
      <c r="G34" s="35">
        <f>Yard!$G$42</f>
        <v>0</v>
      </c>
      <c r="H34" s="35">
        <f>Yard!$H$42</f>
        <v>-0.1091432765464117</v>
      </c>
      <c r="I34" s="35">
        <f>Yard!$I$42</f>
        <v>-9.9093407543664302E-2</v>
      </c>
      <c r="J34" s="35">
        <f>Yard!$J$42</f>
        <v>0</v>
      </c>
      <c r="K34" s="10"/>
      <c r="L34" s="10"/>
      <c r="M34" s="35">
        <f>Yard!$K$42</f>
        <v>-7.6482869925955238E-2</v>
      </c>
      <c r="N34" s="35">
        <f>Yard!$L$42</f>
        <v>-5.3687844896250031E-2</v>
      </c>
      <c r="O34" s="35">
        <f>Yard!$M$42</f>
        <v>-2.1236515995744353E-2</v>
      </c>
      <c r="P34" s="35">
        <f>Yard!$N$42</f>
        <v>-5.3623638659951484E-2</v>
      </c>
      <c r="Q34" s="35">
        <f>Yard!$O$42</f>
        <v>-3.3825973422811365E-2</v>
      </c>
      <c r="R34" s="35">
        <f>Yard!$P$42</f>
        <v>0</v>
      </c>
      <c r="S34" s="35">
        <f>Yard!$Q$42</f>
        <v>-6.1410400957614117E-2</v>
      </c>
      <c r="T34" s="35">
        <f>Yard!$R$42</f>
        <v>-5.5755755939074898E-2</v>
      </c>
      <c r="U34" s="35">
        <f>Yard!$S$42</f>
        <v>0</v>
      </c>
      <c r="V34" s="10"/>
      <c r="W34" s="10"/>
      <c r="X34" s="17"/>
    </row>
    <row r="35" spans="1:24">
      <c r="A35" s="4" t="s">
        <v>191</v>
      </c>
      <c r="B35" s="35">
        <f>Yard!$B$43</f>
        <v>0</v>
      </c>
      <c r="C35" s="35">
        <f>Yard!$C$43</f>
        <v>-0.12962072025304061</v>
      </c>
      <c r="D35" s="35">
        <f>Yard!$D$43</f>
        <v>-5.1272173512516436E-2</v>
      </c>
      <c r="E35" s="35">
        <f>Yard!$E$43</f>
        <v>-0.12946570455796413</v>
      </c>
      <c r="F35" s="35">
        <f>Yard!$F$43</f>
        <v>-8.166740622198583E-2</v>
      </c>
      <c r="G35" s="35">
        <f>Yard!$G$43</f>
        <v>0</v>
      </c>
      <c r="H35" s="35">
        <f>Yard!$H$43</f>
        <v>-0.1037859182646567</v>
      </c>
      <c r="I35" s="35">
        <f>Yard!$I$43</f>
        <v>0</v>
      </c>
      <c r="J35" s="35">
        <f>Yard!$J$43</f>
        <v>0</v>
      </c>
      <c r="K35" s="10"/>
      <c r="L35" s="10"/>
      <c r="M35" s="35">
        <f>Yard!$K$43</f>
        <v>-7.2728665823094479E-2</v>
      </c>
      <c r="N35" s="35">
        <f>Yard!$L$43</f>
        <v>-5.1052547243607221E-2</v>
      </c>
      <c r="O35" s="35">
        <f>Yard!$M$43</f>
        <v>-2.019410982611609E-2</v>
      </c>
      <c r="P35" s="35">
        <f>Yard!$N$43</f>
        <v>-5.0991492606038892E-2</v>
      </c>
      <c r="Q35" s="35">
        <f>Yard!$O$43</f>
        <v>-3.2165606750769404E-2</v>
      </c>
      <c r="R35" s="35">
        <f>Yard!$P$43</f>
        <v>0</v>
      </c>
      <c r="S35" s="35">
        <f>Yard!$Q$43</f>
        <v>-5.839603735624041E-2</v>
      </c>
      <c r="T35" s="35">
        <f>Yard!$R$43</f>
        <v>0</v>
      </c>
      <c r="U35" s="35">
        <f>Yard!$S$43</f>
        <v>0</v>
      </c>
      <c r="V35" s="10"/>
      <c r="W35" s="10"/>
      <c r="X35" s="17"/>
    </row>
    <row r="36" spans="1:24">
      <c r="A36" s="4" t="s">
        <v>192</v>
      </c>
      <c r="B36" s="35">
        <f>Yard!$B$44</f>
        <v>0</v>
      </c>
      <c r="C36" s="35">
        <f>Yard!$C$44</f>
        <v>-0.13631165338487333</v>
      </c>
      <c r="D36" s="35">
        <f>Yard!$D$44</f>
        <v>-5.391880812329676E-2</v>
      </c>
      <c r="E36" s="35">
        <f>Yard!$E$44</f>
        <v>-0.13614863588539305</v>
      </c>
      <c r="F36" s="35">
        <f>Yard!$F$44</f>
        <v>-8.5883022004823673E-2</v>
      </c>
      <c r="G36" s="35">
        <f>Yard!$G$44</f>
        <v>0</v>
      </c>
      <c r="H36" s="35">
        <f>Yard!$H$44</f>
        <v>-0.1091432765464117</v>
      </c>
      <c r="I36" s="35">
        <f>Yard!$I$44</f>
        <v>-9.9093407543664302E-2</v>
      </c>
      <c r="J36" s="35">
        <f>Yard!$J$44</f>
        <v>0</v>
      </c>
      <c r="K36" s="10"/>
      <c r="L36" s="10"/>
      <c r="M36" s="35">
        <f>Yard!$K$44</f>
        <v>-7.6482869925955238E-2</v>
      </c>
      <c r="N36" s="35">
        <f>Yard!$L$44</f>
        <v>-5.3687844896250031E-2</v>
      </c>
      <c r="O36" s="35">
        <f>Yard!$M$44</f>
        <v>-2.1236515995744353E-2</v>
      </c>
      <c r="P36" s="35">
        <f>Yard!$N$44</f>
        <v>-5.3623638659951484E-2</v>
      </c>
      <c r="Q36" s="35">
        <f>Yard!$O$44</f>
        <v>-3.3825973422811365E-2</v>
      </c>
      <c r="R36" s="35">
        <f>Yard!$P$44</f>
        <v>0</v>
      </c>
      <c r="S36" s="35">
        <f>Yard!$Q$44</f>
        <v>-6.1410400957614117E-2</v>
      </c>
      <c r="T36" s="35">
        <f>Yard!$R$44</f>
        <v>-5.5755755939074898E-2</v>
      </c>
      <c r="U36" s="35">
        <f>Yard!$S$44</f>
        <v>0</v>
      </c>
      <c r="V36" s="10"/>
      <c r="W36" s="10"/>
      <c r="X36" s="17"/>
    </row>
    <row r="37" spans="1:24">
      <c r="A37" s="4" t="s">
        <v>193</v>
      </c>
      <c r="B37" s="35">
        <f>Yard!$B$45</f>
        <v>0</v>
      </c>
      <c r="C37" s="35">
        <f>Yard!$C$45</f>
        <v>-0.13631165338487333</v>
      </c>
      <c r="D37" s="35">
        <f>Yard!$D$45</f>
        <v>-5.391880812329676E-2</v>
      </c>
      <c r="E37" s="35">
        <f>Yard!$E$45</f>
        <v>-0.13614863588539305</v>
      </c>
      <c r="F37" s="35">
        <f>Yard!$F$45</f>
        <v>-8.5883022004823673E-2</v>
      </c>
      <c r="G37" s="35">
        <f>Yard!$G$45</f>
        <v>0</v>
      </c>
      <c r="H37" s="35">
        <f>Yard!$H$45</f>
        <v>-0.1091432765464117</v>
      </c>
      <c r="I37" s="35">
        <f>Yard!$I$45</f>
        <v>-9.9093407543664302E-2</v>
      </c>
      <c r="J37" s="35">
        <f>Yard!$J$45</f>
        <v>0</v>
      </c>
      <c r="K37" s="10"/>
      <c r="L37" s="10"/>
      <c r="M37" s="35">
        <f>Yard!$K$45</f>
        <v>-7.6482869925955238E-2</v>
      </c>
      <c r="N37" s="35">
        <f>Yard!$L$45</f>
        <v>-5.3687844896250031E-2</v>
      </c>
      <c r="O37" s="35">
        <f>Yard!$M$45</f>
        <v>-2.1236515995744353E-2</v>
      </c>
      <c r="P37" s="35">
        <f>Yard!$N$45</f>
        <v>-5.3623638659951484E-2</v>
      </c>
      <c r="Q37" s="35">
        <f>Yard!$O$45</f>
        <v>-3.3825973422811365E-2</v>
      </c>
      <c r="R37" s="35">
        <f>Yard!$P$45</f>
        <v>0</v>
      </c>
      <c r="S37" s="35">
        <f>Yard!$Q$45</f>
        <v>-6.1410400957614117E-2</v>
      </c>
      <c r="T37" s="35">
        <f>Yard!$R$45</f>
        <v>-5.5755755939074898E-2</v>
      </c>
      <c r="U37" s="35">
        <f>Yard!$S$45</f>
        <v>0</v>
      </c>
      <c r="V37" s="10"/>
      <c r="W37" s="10"/>
      <c r="X37" s="17"/>
    </row>
    <row r="38" spans="1:24">
      <c r="A38" s="4" t="s">
        <v>194</v>
      </c>
      <c r="B38" s="35">
        <f>Yard!$B$86</f>
        <v>0</v>
      </c>
      <c r="C38" s="35">
        <f>Yard!$C$86</f>
        <v>-1.0180394934055255</v>
      </c>
      <c r="D38" s="35">
        <f>Yard!$D$86</f>
        <v>-0.40269100068712194</v>
      </c>
      <c r="E38" s="35">
        <f>Yard!$E$86</f>
        <v>-0.85753187397201336</v>
      </c>
      <c r="F38" s="35">
        <f>Yard!$F$86</f>
        <v>-0.54093401908316519</v>
      </c>
      <c r="G38" s="35">
        <f>Yard!$G$86</f>
        <v>0</v>
      </c>
      <c r="H38" s="35">
        <f>Yard!$H$86</f>
        <v>-0.68743867949639526</v>
      </c>
      <c r="I38" s="35">
        <f>Yard!$I$86</f>
        <v>-0.62413960240278588</v>
      </c>
      <c r="J38" s="35">
        <f>Yard!$J$86</f>
        <v>0</v>
      </c>
      <c r="K38" s="10"/>
      <c r="L38" s="10"/>
      <c r="M38" s="35">
        <f>Yard!$K$86</f>
        <v>-0.74177424049038965</v>
      </c>
      <c r="N38" s="35">
        <f>Yard!$L$86</f>
        <v>-0.40096605875575175</v>
      </c>
      <c r="O38" s="35">
        <f>Yard!$M$86</f>
        <v>-0.15860428253308143</v>
      </c>
      <c r="P38" s="35">
        <f>Yard!$N$86</f>
        <v>-0.33774836633673366</v>
      </c>
      <c r="Q38" s="35">
        <f>Yard!$O$86</f>
        <v>-0.2130528167950819</v>
      </c>
      <c r="R38" s="35">
        <f>Yard!$P$86</f>
        <v>0</v>
      </c>
      <c r="S38" s="35">
        <f>Yard!$Q$86</f>
        <v>-0.38679327098719352</v>
      </c>
      <c r="T38" s="35">
        <f>Yard!$R$86</f>
        <v>-0.35117750217790283</v>
      </c>
      <c r="U38" s="35">
        <f>Yard!$S$86</f>
        <v>0</v>
      </c>
      <c r="V38" s="10"/>
      <c r="W38" s="10"/>
      <c r="X38" s="17"/>
    </row>
    <row r="39" spans="1:24">
      <c r="A39" s="4" t="s">
        <v>195</v>
      </c>
      <c r="B39" s="35">
        <f>Yard!$B$87</f>
        <v>0</v>
      </c>
      <c r="C39" s="35">
        <f>Yard!$C$87</f>
        <v>-1.0180394934055255</v>
      </c>
      <c r="D39" s="35">
        <f>Yard!$D$87</f>
        <v>-0.40269100068712194</v>
      </c>
      <c r="E39" s="35">
        <f>Yard!$E$87</f>
        <v>-0.85753187397201336</v>
      </c>
      <c r="F39" s="35">
        <f>Yard!$F$87</f>
        <v>-0.54093401908316519</v>
      </c>
      <c r="G39" s="35">
        <f>Yard!$G$87</f>
        <v>0</v>
      </c>
      <c r="H39" s="35">
        <f>Yard!$H$87</f>
        <v>-0.68743867949639526</v>
      </c>
      <c r="I39" s="35">
        <f>Yard!$I$87</f>
        <v>-0.62413960240278588</v>
      </c>
      <c r="J39" s="35">
        <f>Yard!$J$87</f>
        <v>0</v>
      </c>
      <c r="K39" s="10"/>
      <c r="L39" s="10"/>
      <c r="M39" s="35">
        <f>Yard!$K$87</f>
        <v>-0.74177424049038965</v>
      </c>
      <c r="N39" s="35">
        <f>Yard!$L$87</f>
        <v>-0.40096605875575175</v>
      </c>
      <c r="O39" s="35">
        <f>Yard!$M$87</f>
        <v>-0.15860428253308143</v>
      </c>
      <c r="P39" s="35">
        <f>Yard!$N$87</f>
        <v>-0.33774836633673366</v>
      </c>
      <c r="Q39" s="35">
        <f>Yard!$O$87</f>
        <v>-0.2130528167950819</v>
      </c>
      <c r="R39" s="35">
        <f>Yard!$P$87</f>
        <v>0</v>
      </c>
      <c r="S39" s="35">
        <f>Yard!$Q$87</f>
        <v>-0.38679327098719352</v>
      </c>
      <c r="T39" s="35">
        <f>Yard!$R$87</f>
        <v>-0.35117750217790283</v>
      </c>
      <c r="U39" s="35">
        <f>Yard!$S$87</f>
        <v>0</v>
      </c>
      <c r="V39" s="10"/>
      <c r="W39" s="10"/>
      <c r="X39" s="17"/>
    </row>
    <row r="40" spans="1:24">
      <c r="A40" s="4" t="s">
        <v>196</v>
      </c>
      <c r="B40" s="35">
        <f>Yard!$B$48</f>
        <v>0</v>
      </c>
      <c r="C40" s="35">
        <f>Yard!$C$48</f>
        <v>-0.12962072025304061</v>
      </c>
      <c r="D40" s="35">
        <f>Yard!$D$48</f>
        <v>-5.1272173512516436E-2</v>
      </c>
      <c r="E40" s="35">
        <f>Yard!$E$48</f>
        <v>-0.12946570455796413</v>
      </c>
      <c r="F40" s="35">
        <f>Yard!$F$48</f>
        <v>-8.166740622198583E-2</v>
      </c>
      <c r="G40" s="35">
        <f>Yard!$G$48</f>
        <v>0</v>
      </c>
      <c r="H40" s="35">
        <f>Yard!$H$48</f>
        <v>-0.1037859182646567</v>
      </c>
      <c r="I40" s="35">
        <f>Yard!$I$48</f>
        <v>0</v>
      </c>
      <c r="J40" s="35">
        <f>Yard!$J$48</f>
        <v>0</v>
      </c>
      <c r="K40" s="10"/>
      <c r="L40" s="10"/>
      <c r="M40" s="35">
        <f>Yard!$K$48</f>
        <v>-7.2728665823094479E-2</v>
      </c>
      <c r="N40" s="35">
        <f>Yard!$L$48</f>
        <v>-5.1052547243607221E-2</v>
      </c>
      <c r="O40" s="35">
        <f>Yard!$M$48</f>
        <v>-2.019410982611609E-2</v>
      </c>
      <c r="P40" s="35">
        <f>Yard!$N$48</f>
        <v>-5.0991492606038892E-2</v>
      </c>
      <c r="Q40" s="35">
        <f>Yard!$O$48</f>
        <v>-3.2165606750769404E-2</v>
      </c>
      <c r="R40" s="35">
        <f>Yard!$P$48</f>
        <v>0</v>
      </c>
      <c r="S40" s="35">
        <f>Yard!$Q$48</f>
        <v>-5.839603735624041E-2</v>
      </c>
      <c r="T40" s="35">
        <f>Yard!$R$48</f>
        <v>0</v>
      </c>
      <c r="U40" s="35">
        <f>Yard!$S$48</f>
        <v>0</v>
      </c>
      <c r="V40" s="10"/>
      <c r="W40" s="10"/>
      <c r="X40" s="17"/>
    </row>
    <row r="41" spans="1:24">
      <c r="A41" s="4" t="s">
        <v>197</v>
      </c>
      <c r="B41" s="35">
        <f>Yard!$B$49</f>
        <v>0</v>
      </c>
      <c r="C41" s="35">
        <f>Yard!$C$49</f>
        <v>-0.12962072025304061</v>
      </c>
      <c r="D41" s="35">
        <f>Yard!$D$49</f>
        <v>-5.1272173512516436E-2</v>
      </c>
      <c r="E41" s="35">
        <f>Yard!$E$49</f>
        <v>-0.12946570455796413</v>
      </c>
      <c r="F41" s="35">
        <f>Yard!$F$49</f>
        <v>-8.166740622198583E-2</v>
      </c>
      <c r="G41" s="35">
        <f>Yard!$G$49</f>
        <v>0</v>
      </c>
      <c r="H41" s="35">
        <f>Yard!$H$49</f>
        <v>-0.1037859182646567</v>
      </c>
      <c r="I41" s="35">
        <f>Yard!$I$49</f>
        <v>0</v>
      </c>
      <c r="J41" s="35">
        <f>Yard!$J$49</f>
        <v>0</v>
      </c>
      <c r="K41" s="10"/>
      <c r="L41" s="10"/>
      <c r="M41" s="35">
        <f>Yard!$K$49</f>
        <v>-7.2728665823094479E-2</v>
      </c>
      <c r="N41" s="35">
        <f>Yard!$L$49</f>
        <v>-5.1052547243607221E-2</v>
      </c>
      <c r="O41" s="35">
        <f>Yard!$M$49</f>
        <v>-2.019410982611609E-2</v>
      </c>
      <c r="P41" s="35">
        <f>Yard!$N$49</f>
        <v>-5.0991492606038892E-2</v>
      </c>
      <c r="Q41" s="35">
        <f>Yard!$O$49</f>
        <v>-3.2165606750769404E-2</v>
      </c>
      <c r="R41" s="35">
        <f>Yard!$P$49</f>
        <v>0</v>
      </c>
      <c r="S41" s="35">
        <f>Yard!$Q$49</f>
        <v>-5.839603735624041E-2</v>
      </c>
      <c r="T41" s="35">
        <f>Yard!$R$49</f>
        <v>0</v>
      </c>
      <c r="U41" s="35">
        <f>Yard!$S$49</f>
        <v>0</v>
      </c>
      <c r="V41" s="10"/>
      <c r="W41" s="10"/>
      <c r="X41" s="17"/>
    </row>
    <row r="42" spans="1:24">
      <c r="A42" s="4" t="s">
        <v>198</v>
      </c>
      <c r="B42" s="35">
        <f>Yard!$B$88</f>
        <v>0</v>
      </c>
      <c r="C42" s="35">
        <f>Yard!$C$88</f>
        <v>-0.96806846006541392</v>
      </c>
      <c r="D42" s="35">
        <f>Yard!$D$88</f>
        <v>-0.38292468950622244</v>
      </c>
      <c r="E42" s="35">
        <f>Yard!$E$88</f>
        <v>-0.81543944618110642</v>
      </c>
      <c r="F42" s="35">
        <f>Yard!$F$88</f>
        <v>-0.51438197264734209</v>
      </c>
      <c r="G42" s="35">
        <f>Yard!$G$88</f>
        <v>0</v>
      </c>
      <c r="H42" s="35">
        <f>Yard!$H$88</f>
        <v>-0.65369537052369231</v>
      </c>
      <c r="I42" s="35">
        <f>Yard!$I$88</f>
        <v>0</v>
      </c>
      <c r="J42" s="35">
        <f>Yard!$J$88</f>
        <v>0</v>
      </c>
      <c r="K42" s="10"/>
      <c r="L42" s="10"/>
      <c r="M42" s="35">
        <f>Yard!$K$88</f>
        <v>-0.7053638403610345</v>
      </c>
      <c r="N42" s="35">
        <f>Yard!$L$88</f>
        <v>-0.38128441730654777</v>
      </c>
      <c r="O42" s="35">
        <f>Yard!$M$88</f>
        <v>-0.15081910333160228</v>
      </c>
      <c r="P42" s="35">
        <f>Yard!$N$88</f>
        <v>-0.32116980039296822</v>
      </c>
      <c r="Q42" s="35">
        <f>Yard!$O$88</f>
        <v>-0.20259500108141315</v>
      </c>
      <c r="R42" s="35">
        <f>Yard!$P$88</f>
        <v>0</v>
      </c>
      <c r="S42" s="35">
        <f>Yard!$Q$88</f>
        <v>-0.36780730868864392</v>
      </c>
      <c r="T42" s="35">
        <f>Yard!$R$88</f>
        <v>0</v>
      </c>
      <c r="U42" s="35">
        <f>Yard!$S$88</f>
        <v>0</v>
      </c>
      <c r="V42" s="10"/>
      <c r="W42" s="10"/>
      <c r="X42" s="17"/>
    </row>
    <row r="43" spans="1:24">
      <c r="A43" s="4" t="s">
        <v>199</v>
      </c>
      <c r="B43" s="35">
        <f>Yard!$B$89</f>
        <v>0</v>
      </c>
      <c r="C43" s="35">
        <f>Yard!$C$89</f>
        <v>-0.96806846006541392</v>
      </c>
      <c r="D43" s="35">
        <f>Yard!$D$89</f>
        <v>-0.38292468950622244</v>
      </c>
      <c r="E43" s="35">
        <f>Yard!$E$89</f>
        <v>-0.81543944618110642</v>
      </c>
      <c r="F43" s="35">
        <f>Yard!$F$89</f>
        <v>-0.51438197264734209</v>
      </c>
      <c r="G43" s="35">
        <f>Yard!$G$89</f>
        <v>0</v>
      </c>
      <c r="H43" s="35">
        <f>Yard!$H$89</f>
        <v>-0.65369537052369231</v>
      </c>
      <c r="I43" s="35">
        <f>Yard!$I$89</f>
        <v>0</v>
      </c>
      <c r="J43" s="35">
        <f>Yard!$J$89</f>
        <v>0</v>
      </c>
      <c r="K43" s="10"/>
      <c r="L43" s="10"/>
      <c r="M43" s="35">
        <f>Yard!$K$89</f>
        <v>-0.7053638403610345</v>
      </c>
      <c r="N43" s="35">
        <f>Yard!$L$89</f>
        <v>-0.38128441730654777</v>
      </c>
      <c r="O43" s="35">
        <f>Yard!$M$89</f>
        <v>-0.15081910333160228</v>
      </c>
      <c r="P43" s="35">
        <f>Yard!$N$89</f>
        <v>-0.32116980039296822</v>
      </c>
      <c r="Q43" s="35">
        <f>Yard!$O$89</f>
        <v>-0.20259500108141315</v>
      </c>
      <c r="R43" s="35">
        <f>Yard!$P$89</f>
        <v>0</v>
      </c>
      <c r="S43" s="35">
        <f>Yard!$Q$89</f>
        <v>-0.36780730868864392</v>
      </c>
      <c r="T43" s="35">
        <f>Yard!$R$89</f>
        <v>0</v>
      </c>
      <c r="U43" s="35">
        <f>Yard!$S$89</f>
        <v>0</v>
      </c>
      <c r="V43" s="10"/>
      <c r="W43" s="10"/>
      <c r="X43" s="17"/>
    </row>
    <row r="44" spans="1:24">
      <c r="A44" s="4" t="s">
        <v>207</v>
      </c>
      <c r="B44" s="35">
        <f>Yard!$B$52</f>
        <v>0</v>
      </c>
      <c r="C44" s="35">
        <f>Yard!$C$52</f>
        <v>-0.12791551877758725</v>
      </c>
      <c r="D44" s="35">
        <f>Yard!$D$52</f>
        <v>-5.0597671891536633E-2</v>
      </c>
      <c r="E44" s="35">
        <f>Yard!$E$52</f>
        <v>-0.12776254236289314</v>
      </c>
      <c r="F44" s="35">
        <f>Yard!$F$52</f>
        <v>-3.4655009661234276E-2</v>
      </c>
      <c r="G44" s="35">
        <f>Yard!$G$52</f>
        <v>0</v>
      </c>
      <c r="H44" s="35">
        <f>Yard!$H$52</f>
        <v>0</v>
      </c>
      <c r="I44" s="35">
        <f>Yard!$I$52</f>
        <v>0</v>
      </c>
      <c r="J44" s="35">
        <f>Yard!$J$52</f>
        <v>0</v>
      </c>
      <c r="K44" s="10"/>
      <c r="L44" s="10"/>
      <c r="M44" s="35">
        <f>Yard!$K$52</f>
        <v>-7.177189727538702E-2</v>
      </c>
      <c r="N44" s="35">
        <f>Yard!$L$52</f>
        <v>-5.038093487549581E-2</v>
      </c>
      <c r="O44" s="35">
        <f>Yard!$M$52</f>
        <v>-1.9928449939303719E-2</v>
      </c>
      <c r="P44" s="35">
        <f>Yard!$N$52</f>
        <v>-5.0320683430949864E-2</v>
      </c>
      <c r="Q44" s="35">
        <f>Yard!$O$52</f>
        <v>-3.1742458044426838E-2</v>
      </c>
      <c r="R44" s="35">
        <f>Yard!$P$52</f>
        <v>0</v>
      </c>
      <c r="S44" s="35">
        <f>Yard!$Q$52</f>
        <v>0</v>
      </c>
      <c r="T44" s="35">
        <f>Yard!$R$52</f>
        <v>0</v>
      </c>
      <c r="U44" s="35">
        <f>Yard!$S$52</f>
        <v>0</v>
      </c>
      <c r="V44" s="10"/>
      <c r="W44" s="10"/>
      <c r="X44" s="17"/>
    </row>
    <row r="45" spans="1:24">
      <c r="A45" s="4" t="s">
        <v>208</v>
      </c>
      <c r="B45" s="35">
        <f>Yard!$B$53</f>
        <v>0</v>
      </c>
      <c r="C45" s="35">
        <f>Yard!$C$53</f>
        <v>-0.12791551877758725</v>
      </c>
      <c r="D45" s="35">
        <f>Yard!$D$53</f>
        <v>-5.0597671891536633E-2</v>
      </c>
      <c r="E45" s="35">
        <f>Yard!$E$53</f>
        <v>-0.12776254236289314</v>
      </c>
      <c r="F45" s="35">
        <f>Yard!$F$53</f>
        <v>-3.4655009661234276E-2</v>
      </c>
      <c r="G45" s="35">
        <f>Yard!$G$53</f>
        <v>0</v>
      </c>
      <c r="H45" s="35">
        <f>Yard!$H$53</f>
        <v>0</v>
      </c>
      <c r="I45" s="35">
        <f>Yard!$I$53</f>
        <v>0</v>
      </c>
      <c r="J45" s="35">
        <f>Yard!$J$53</f>
        <v>0</v>
      </c>
      <c r="K45" s="10"/>
      <c r="L45" s="10"/>
      <c r="M45" s="35">
        <f>Yard!$K$53</f>
        <v>-7.177189727538702E-2</v>
      </c>
      <c r="N45" s="35">
        <f>Yard!$L$53</f>
        <v>-5.038093487549581E-2</v>
      </c>
      <c r="O45" s="35">
        <f>Yard!$M$53</f>
        <v>-1.9928449939303719E-2</v>
      </c>
      <c r="P45" s="35">
        <f>Yard!$N$53</f>
        <v>-5.0320683430949864E-2</v>
      </c>
      <c r="Q45" s="35">
        <f>Yard!$O$53</f>
        <v>-3.1742458044426838E-2</v>
      </c>
      <c r="R45" s="35">
        <f>Yard!$P$53</f>
        <v>0</v>
      </c>
      <c r="S45" s="35">
        <f>Yard!$Q$53</f>
        <v>0</v>
      </c>
      <c r="T45" s="35">
        <f>Yard!$R$53</f>
        <v>0</v>
      </c>
      <c r="U45" s="35">
        <f>Yard!$S$53</f>
        <v>0</v>
      </c>
      <c r="V45" s="10"/>
      <c r="W45" s="10"/>
      <c r="X45" s="17"/>
    </row>
    <row r="46" spans="1:24">
      <c r="A46" s="4" t="s">
        <v>209</v>
      </c>
      <c r="B46" s="35">
        <f>Yard!$B$90</f>
        <v>0</v>
      </c>
      <c r="C46" s="35">
        <f>Yard!$C$90</f>
        <v>-0.95533321400891247</v>
      </c>
      <c r="D46" s="35">
        <f>Yard!$D$90</f>
        <v>-0.37788719438770396</v>
      </c>
      <c r="E46" s="35">
        <f>Yard!$E$90</f>
        <v>-0.80471208296281493</v>
      </c>
      <c r="F46" s="35">
        <f>Yard!$F$90</f>
        <v>-0.21827449966029949</v>
      </c>
      <c r="G46" s="35">
        <f>Yard!$G$90</f>
        <v>0</v>
      </c>
      <c r="H46" s="35">
        <f>Yard!$H$90</f>
        <v>0</v>
      </c>
      <c r="I46" s="35">
        <f>Yard!$I$90</f>
        <v>0</v>
      </c>
      <c r="J46" s="35">
        <f>Yard!$J$90</f>
        <v>0</v>
      </c>
      <c r="K46" s="10"/>
      <c r="L46" s="10"/>
      <c r="M46" s="35">
        <f>Yard!$K$90</f>
        <v>-0.696084556470565</v>
      </c>
      <c r="N46" s="35">
        <f>Yard!$L$90</f>
        <v>-0.3762685004863876</v>
      </c>
      <c r="O46" s="35">
        <f>Yard!$M$90</f>
        <v>-0.14883503043781221</v>
      </c>
      <c r="P46" s="35">
        <f>Yard!$N$90</f>
        <v>-0.3169447103268736</v>
      </c>
      <c r="Q46" s="35">
        <f>Yard!$O$90</f>
        <v>-0.1999297999153565</v>
      </c>
      <c r="R46" s="35">
        <f>Yard!$P$90</f>
        <v>0</v>
      </c>
      <c r="S46" s="35">
        <f>Yard!$Q$90</f>
        <v>0</v>
      </c>
      <c r="T46" s="35">
        <f>Yard!$R$90</f>
        <v>0</v>
      </c>
      <c r="U46" s="35">
        <f>Yard!$S$90</f>
        <v>0</v>
      </c>
      <c r="V46" s="10"/>
      <c r="W46" s="10"/>
      <c r="X46" s="17"/>
    </row>
    <row r="47" spans="1:24">
      <c r="A47" s="4" t="s">
        <v>210</v>
      </c>
      <c r="B47" s="35">
        <f>Yard!$B$91</f>
        <v>0</v>
      </c>
      <c r="C47" s="35">
        <f>Yard!$C$91</f>
        <v>-0.95533321400891247</v>
      </c>
      <c r="D47" s="35">
        <f>Yard!$D$91</f>
        <v>-0.37788719438770396</v>
      </c>
      <c r="E47" s="35">
        <f>Yard!$E$91</f>
        <v>-0.80471208296281493</v>
      </c>
      <c r="F47" s="35">
        <f>Yard!$F$91</f>
        <v>-0.21827449966029949</v>
      </c>
      <c r="G47" s="35">
        <f>Yard!$G$91</f>
        <v>0</v>
      </c>
      <c r="H47" s="35">
        <f>Yard!$H$91</f>
        <v>0</v>
      </c>
      <c r="I47" s="35">
        <f>Yard!$I$91</f>
        <v>0</v>
      </c>
      <c r="J47" s="35">
        <f>Yard!$J$91</f>
        <v>0</v>
      </c>
      <c r="K47" s="10"/>
      <c r="L47" s="10"/>
      <c r="M47" s="35">
        <f>Yard!$K$91</f>
        <v>-0.696084556470565</v>
      </c>
      <c r="N47" s="35">
        <f>Yard!$L$91</f>
        <v>-0.3762685004863876</v>
      </c>
      <c r="O47" s="35">
        <f>Yard!$M$91</f>
        <v>-0.14883503043781221</v>
      </c>
      <c r="P47" s="35">
        <f>Yard!$N$91</f>
        <v>-0.3169447103268736</v>
      </c>
      <c r="Q47" s="35">
        <f>Yard!$O$91</f>
        <v>-0.1999297999153565</v>
      </c>
      <c r="R47" s="35">
        <f>Yard!$P$91</f>
        <v>0</v>
      </c>
      <c r="S47" s="35">
        <f>Yard!$Q$91</f>
        <v>0</v>
      </c>
      <c r="T47" s="35">
        <f>Yard!$R$91</f>
        <v>0</v>
      </c>
      <c r="U47" s="35">
        <f>Yard!$S$91</f>
        <v>0</v>
      </c>
      <c r="V47" s="10"/>
      <c r="W47" s="10"/>
      <c r="X47" s="17"/>
    </row>
    <row r="49" spans="1:24" ht="21" customHeight="1">
      <c r="A49" s="1" t="s">
        <v>1097</v>
      </c>
    </row>
    <row r="50" spans="1:24">
      <c r="A50" s="2" t="s">
        <v>379</v>
      </c>
    </row>
    <row r="51" spans="1:24">
      <c r="A51" s="29" t="s">
        <v>1098</v>
      </c>
    </row>
    <row r="52" spans="1:24">
      <c r="A52" s="29" t="s">
        <v>1099</v>
      </c>
    </row>
    <row r="53" spans="1:24">
      <c r="A53" s="29" t="s">
        <v>1100</v>
      </c>
    </row>
    <row r="54" spans="1:24">
      <c r="A54" s="29" t="s">
        <v>1101</v>
      </c>
    </row>
    <row r="55" spans="1:24">
      <c r="A55" s="29" t="s">
        <v>1102</v>
      </c>
    </row>
    <row r="56" spans="1:24">
      <c r="A56" s="2" t="s">
        <v>468</v>
      </c>
    </row>
    <row r="58" spans="1:24" ht="30">
      <c r="B58" s="15" t="s">
        <v>148</v>
      </c>
      <c r="C58" s="15" t="s">
        <v>333</v>
      </c>
      <c r="D58" s="15" t="s">
        <v>334</v>
      </c>
      <c r="E58" s="15" t="s">
        <v>335</v>
      </c>
      <c r="F58" s="15" t="s">
        <v>336</v>
      </c>
      <c r="G58" s="15" t="s">
        <v>337</v>
      </c>
      <c r="H58" s="15" t="s">
        <v>338</v>
      </c>
      <c r="I58" s="15" t="s">
        <v>339</v>
      </c>
      <c r="J58" s="15" t="s">
        <v>340</v>
      </c>
      <c r="K58" s="15" t="s">
        <v>491</v>
      </c>
      <c r="L58" s="15" t="s">
        <v>503</v>
      </c>
      <c r="M58" s="15" t="s">
        <v>321</v>
      </c>
      <c r="N58" s="15" t="s">
        <v>909</v>
      </c>
      <c r="O58" s="15" t="s">
        <v>910</v>
      </c>
      <c r="P58" s="15" t="s">
        <v>911</v>
      </c>
      <c r="Q58" s="15" t="s">
        <v>912</v>
      </c>
      <c r="R58" s="15" t="s">
        <v>913</v>
      </c>
      <c r="S58" s="15" t="s">
        <v>914</v>
      </c>
      <c r="T58" s="15" t="s">
        <v>915</v>
      </c>
      <c r="U58" s="15" t="s">
        <v>916</v>
      </c>
      <c r="V58" s="15" t="s">
        <v>917</v>
      </c>
      <c r="W58" s="15" t="s">
        <v>918</v>
      </c>
    </row>
    <row r="59" spans="1:24">
      <c r="A59" s="4" t="s">
        <v>180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7"/>
    </row>
    <row r="60" spans="1:24">
      <c r="A60" s="4" t="s">
        <v>181</v>
      </c>
      <c r="B60" s="35">
        <f>Standing!$B$106</f>
        <v>0</v>
      </c>
      <c r="C60" s="35">
        <f>Standing!$C$106</f>
        <v>2.9279909276869003E-2</v>
      </c>
      <c r="D60" s="35">
        <f>Standing!$D$106</f>
        <v>1.1581825698419935E-2</v>
      </c>
      <c r="E60" s="35">
        <f>Standing!$E$106</f>
        <v>3.0106224424885433E-2</v>
      </c>
      <c r="F60" s="35">
        <f>Standing!$F$106</f>
        <v>1.8991108636160766E-2</v>
      </c>
      <c r="G60" s="35">
        <f>Standing!$G$106</f>
        <v>0</v>
      </c>
      <c r="H60" s="35">
        <f>Standing!$H$106</f>
        <v>2.413459346694885E-2</v>
      </c>
      <c r="I60" s="35">
        <f>Standing!$I$106</f>
        <v>2.1912289808378928E-2</v>
      </c>
      <c r="J60" s="35">
        <f>Standing!$J$106</f>
        <v>0</v>
      </c>
      <c r="K60" s="10"/>
      <c r="L60" s="10"/>
      <c r="M60" s="35">
        <f>Standing!$K$106</f>
        <v>3.5252266933299622E-3</v>
      </c>
      <c r="N60" s="35">
        <f>Standing!$L$106</f>
        <v>1.153221451576391E-2</v>
      </c>
      <c r="O60" s="35">
        <f>Standing!$M$106</f>
        <v>4.5616295178851837E-3</v>
      </c>
      <c r="P60" s="35">
        <f>Standing!$N$106</f>
        <v>1.1857667831019863E-2</v>
      </c>
      <c r="Q60" s="35">
        <f>Standing!$O$106</f>
        <v>7.4798571475560918E-3</v>
      </c>
      <c r="R60" s="35">
        <f>Standing!$P$106</f>
        <v>0</v>
      </c>
      <c r="S60" s="35">
        <f>Standing!$Q$106</f>
        <v>1.3579536080026827E-2</v>
      </c>
      <c r="T60" s="35">
        <f>Standing!$R$106</f>
        <v>1.2329137859992458E-2</v>
      </c>
      <c r="U60" s="35">
        <f>Standing!$S$106</f>
        <v>0</v>
      </c>
      <c r="V60" s="10"/>
      <c r="W60" s="10"/>
      <c r="X60" s="17"/>
    </row>
    <row r="61" spans="1:24">
      <c r="A61" s="4" t="s">
        <v>226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7"/>
    </row>
    <row r="62" spans="1:24">
      <c r="A62" s="4" t="s">
        <v>182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7"/>
    </row>
    <row r="63" spans="1:24">
      <c r="A63" s="4" t="s">
        <v>183</v>
      </c>
      <c r="B63" s="35">
        <f>Standing!$B$107</f>
        <v>0</v>
      </c>
      <c r="C63" s="35">
        <f>Standing!$C$107</f>
        <v>2.3388365215339754E-2</v>
      </c>
      <c r="D63" s="35">
        <f>Standing!$D$107</f>
        <v>9.2513937366959908E-3</v>
      </c>
      <c r="E63" s="35">
        <f>Standing!$E$107</f>
        <v>2.4047098743325494E-2</v>
      </c>
      <c r="F63" s="35">
        <f>Standing!$F$107</f>
        <v>1.5168991573765474E-2</v>
      </c>
      <c r="G63" s="35">
        <f>Standing!$G$107</f>
        <v>0</v>
      </c>
      <c r="H63" s="35">
        <f>Standing!$H$107</f>
        <v>1.9277307710162863E-2</v>
      </c>
      <c r="I63" s="35">
        <f>Standing!$I$107</f>
        <v>1.7502260970289646E-2</v>
      </c>
      <c r="J63" s="35">
        <f>Standing!$J$107</f>
        <v>0</v>
      </c>
      <c r="K63" s="10"/>
      <c r="L63" s="10"/>
      <c r="M63" s="35">
        <f>Standing!$K$107</f>
        <v>2.8160097223410971E-3</v>
      </c>
      <c r="N63" s="35">
        <f>Standing!$L$107</f>
        <v>9.2117650463284084E-3</v>
      </c>
      <c r="O63" s="35">
        <f>Standing!$M$107</f>
        <v>3.6437632416319249E-3</v>
      </c>
      <c r="P63" s="35">
        <f>Standing!$N$107</f>
        <v>9.4712144961755368E-3</v>
      </c>
      <c r="Q63" s="35">
        <f>Standing!$O$107</f>
        <v>5.9744742773050275E-3</v>
      </c>
      <c r="R63" s="35">
        <f>Standing!$P$107</f>
        <v>0</v>
      </c>
      <c r="S63" s="35">
        <f>Standing!$Q$107</f>
        <v>1.0846542575263452E-2</v>
      </c>
      <c r="T63" s="35">
        <f>Standing!$R$107</f>
        <v>9.8477972978320318E-3</v>
      </c>
      <c r="U63" s="35">
        <f>Standing!$S$107</f>
        <v>0</v>
      </c>
      <c r="V63" s="10"/>
      <c r="W63" s="10"/>
      <c r="X63" s="17"/>
    </row>
    <row r="64" spans="1:24">
      <c r="A64" s="4" t="s">
        <v>227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7"/>
    </row>
    <row r="65" spans="1:24">
      <c r="A65" s="4" t="s">
        <v>184</v>
      </c>
      <c r="B65" s="35">
        <f>Standing!$B$108</f>
        <v>0</v>
      </c>
      <c r="C65" s="35">
        <f>Standing!$C$108</f>
        <v>1.999297357647532E-2</v>
      </c>
      <c r="D65" s="35">
        <f>Standing!$D$108</f>
        <v>7.9083283000053566E-3</v>
      </c>
      <c r="E65" s="35">
        <f>Standing!$E$108</f>
        <v>2.0557195726823289E-2</v>
      </c>
      <c r="F65" s="35">
        <f>Standing!$F$108</f>
        <v>1.296754889597574E-2</v>
      </c>
      <c r="G65" s="35">
        <f>Standing!$G$108</f>
        <v>0</v>
      </c>
      <c r="H65" s="35">
        <f>Standing!$H$108</f>
        <v>1.64796340678732E-2</v>
      </c>
      <c r="I65" s="35">
        <f>Standing!$I$108</f>
        <v>1.4962195991649493E-2</v>
      </c>
      <c r="J65" s="35">
        <f>Standing!$J$108</f>
        <v>0</v>
      </c>
      <c r="K65" s="10"/>
      <c r="L65" s="10"/>
      <c r="M65" s="35">
        <f>Standing!$K$108</f>
        <v>2.407103994648282E-3</v>
      </c>
      <c r="N65" s="35">
        <f>Standing!$L$108</f>
        <v>7.874452680564038E-3</v>
      </c>
      <c r="O65" s="35">
        <f>Standing!$M$108</f>
        <v>3.1147821379623039E-3</v>
      </c>
      <c r="P65" s="35">
        <f>Standing!$N$108</f>
        <v>8.0966777841608804E-3</v>
      </c>
      <c r="Q65" s="35">
        <f>Standing!$O$108</f>
        <v>5.107411850151778E-3</v>
      </c>
      <c r="R65" s="35">
        <f>Standing!$P$108</f>
        <v>0</v>
      </c>
      <c r="S65" s="35">
        <f>Standing!$Q$108</f>
        <v>9.2724074974284143E-3</v>
      </c>
      <c r="T65" s="35">
        <f>Standing!$R$108</f>
        <v>8.4186079447860478E-3</v>
      </c>
      <c r="U65" s="35">
        <f>Standing!$S$108</f>
        <v>0</v>
      </c>
      <c r="V65" s="10"/>
      <c r="W65" s="10"/>
      <c r="X65" s="17"/>
    </row>
    <row r="66" spans="1:24">
      <c r="A66" s="4" t="s">
        <v>185</v>
      </c>
      <c r="B66" s="35">
        <f>Standing!$B$109</f>
        <v>0</v>
      </c>
      <c r="C66" s="35">
        <f>Standing!$C$109</f>
        <v>4.9893197482333805E-2</v>
      </c>
      <c r="D66" s="35">
        <f>Standing!$D$109</f>
        <v>1.9735522788444457E-2</v>
      </c>
      <c r="E66" s="35">
        <f>Standing!$E$109</f>
        <v>5.1301234514120921E-2</v>
      </c>
      <c r="F66" s="35">
        <f>Standing!$F$109</f>
        <v>3.2360992998561225E-2</v>
      </c>
      <c r="G66" s="35">
        <f>Standing!$G$109</f>
        <v>0</v>
      </c>
      <c r="H66" s="35">
        <f>Standing!$H$109</f>
        <v>4.112553011886428E-2</v>
      </c>
      <c r="I66" s="35">
        <f>Standing!$I$109</f>
        <v>0</v>
      </c>
      <c r="J66" s="35">
        <f>Standing!$J$109</f>
        <v>0</v>
      </c>
      <c r="K66" s="10"/>
      <c r="L66" s="10"/>
      <c r="M66" s="35">
        <f>Standing!$K$109</f>
        <v>6.007016140251115E-3</v>
      </c>
      <c r="N66" s="35">
        <f>Standing!$L$109</f>
        <v>1.9650984939976992E-2</v>
      </c>
      <c r="O66" s="35">
        <f>Standing!$M$109</f>
        <v>7.7730528542616457E-3</v>
      </c>
      <c r="P66" s="35">
        <f>Standing!$N$109</f>
        <v>2.0205555821435833E-2</v>
      </c>
      <c r="Q66" s="35">
        <f>Standing!$O$109</f>
        <v>1.2745733249158784E-2</v>
      </c>
      <c r="R66" s="35">
        <f>Standing!$P$109</f>
        <v>0</v>
      </c>
      <c r="S66" s="35">
        <f>Standing!$Q$109</f>
        <v>2.3139632363152866E-2</v>
      </c>
      <c r="T66" s="35">
        <f>Standing!$R$109</f>
        <v>0</v>
      </c>
      <c r="U66" s="35">
        <f>Standing!$S$109</f>
        <v>0</v>
      </c>
      <c r="V66" s="10"/>
      <c r="W66" s="10"/>
      <c r="X66" s="17"/>
    </row>
    <row r="67" spans="1:24">
      <c r="A67" s="4" t="s">
        <v>205</v>
      </c>
      <c r="B67" s="35">
        <f>Standing!$B$110</f>
        <v>0</v>
      </c>
      <c r="C67" s="35">
        <f>Standing!$C$110</f>
        <v>6.0019037823785988E-2</v>
      </c>
      <c r="D67" s="35">
        <f>Standing!$D$110</f>
        <v>2.3740853432599681E-2</v>
      </c>
      <c r="E67" s="35">
        <f>Standing!$E$110</f>
        <v>4.9370269136191074E-2</v>
      </c>
      <c r="F67" s="35">
        <f>Standing!$F$110</f>
        <v>0</v>
      </c>
      <c r="G67" s="35">
        <f>Standing!$G$110</f>
        <v>0</v>
      </c>
      <c r="H67" s="35">
        <f>Standing!$H$110</f>
        <v>0</v>
      </c>
      <c r="I67" s="35">
        <f>Standing!$I$110</f>
        <v>0</v>
      </c>
      <c r="J67" s="35">
        <f>Standing!$J$110</f>
        <v>0</v>
      </c>
      <c r="K67" s="10"/>
      <c r="L67" s="10"/>
      <c r="M67" s="35">
        <f>Standing!$K$110</f>
        <v>7.226141981729735E-3</v>
      </c>
      <c r="N67" s="35">
        <f>Standing!$L$110</f>
        <v>2.3639158600824127E-2</v>
      </c>
      <c r="O67" s="35">
        <f>Standing!$M$110</f>
        <v>9.3505964100899074E-3</v>
      </c>
      <c r="P67" s="35">
        <f>Standing!$N$110</f>
        <v>1.9445023855635249E-2</v>
      </c>
      <c r="Q67" s="35">
        <f>Standing!$O$110</f>
        <v>0</v>
      </c>
      <c r="R67" s="35">
        <f>Standing!$P$110</f>
        <v>0</v>
      </c>
      <c r="S67" s="35">
        <f>Standing!$Q$110</f>
        <v>0</v>
      </c>
      <c r="T67" s="35">
        <f>Standing!$R$110</f>
        <v>0</v>
      </c>
      <c r="U67" s="35">
        <f>Standing!$S$110</f>
        <v>0</v>
      </c>
      <c r="V67" s="10"/>
      <c r="W67" s="10"/>
      <c r="X67" s="17"/>
    </row>
    <row r="68" spans="1:24">
      <c r="A68" s="4" t="s">
        <v>186</v>
      </c>
      <c r="B68" s="35">
        <f>Standing!$B$111</f>
        <v>0</v>
      </c>
      <c r="C68" s="35">
        <f>Standing!$C$111</f>
        <v>0.17183059859999517</v>
      </c>
      <c r="D68" s="35">
        <f>Standing!$D$111</f>
        <v>6.7968518065473785E-2</v>
      </c>
      <c r="E68" s="35">
        <f>Standing!$E$111</f>
        <v>0.24185485407508911</v>
      </c>
      <c r="F68" s="35">
        <f>Standing!$F$111</f>
        <v>0.15256286351623133</v>
      </c>
      <c r="G68" s="35">
        <f>Standing!$G$111</f>
        <v>0</v>
      </c>
      <c r="H68" s="35">
        <f>Standing!$H$111</f>
        <v>0.19388245097534265</v>
      </c>
      <c r="I68" s="35">
        <f>Standing!$I$111</f>
        <v>0.17602983287655191</v>
      </c>
      <c r="J68" s="35">
        <f>Standing!$J$111</f>
        <v>0</v>
      </c>
      <c r="K68" s="10"/>
      <c r="L68" s="10"/>
      <c r="M68" s="35">
        <f>Standing!$K$111</f>
        <v>4.4189034742197437E-2</v>
      </c>
      <c r="N68" s="35">
        <f>Standing!$L$111</f>
        <v>6.767737238150226E-2</v>
      </c>
      <c r="O68" s="35">
        <f>Standing!$M$111</f>
        <v>2.6770148883925628E-2</v>
      </c>
      <c r="P68" s="35">
        <f>Standing!$N$111</f>
        <v>9.5257196069118213E-2</v>
      </c>
      <c r="Q68" s="35">
        <f>Standing!$O$111</f>
        <v>6.008856286307894E-2</v>
      </c>
      <c r="R68" s="35">
        <f>Standing!$P$111</f>
        <v>0</v>
      </c>
      <c r="S68" s="35">
        <f>Standing!$Q$111</f>
        <v>0.10908962448069552</v>
      </c>
      <c r="T68" s="35">
        <f>Standing!$R$111</f>
        <v>9.9044695738578312E-2</v>
      </c>
      <c r="U68" s="35">
        <f>Standing!$S$111</f>
        <v>0</v>
      </c>
      <c r="V68" s="10"/>
      <c r="W68" s="10"/>
      <c r="X68" s="17"/>
    </row>
    <row r="69" spans="1:24">
      <c r="A69" s="4" t="s">
        <v>187</v>
      </c>
      <c r="B69" s="35">
        <f>Standing!$B$112</f>
        <v>0</v>
      </c>
      <c r="C69" s="35">
        <f>Standing!$C$112</f>
        <v>0.15700203784356931</v>
      </c>
      <c r="D69" s="35">
        <f>Standing!$D$112</f>
        <v>6.2103001051217549E-2</v>
      </c>
      <c r="E69" s="35">
        <f>Standing!$E$112</f>
        <v>0.22097801788871321</v>
      </c>
      <c r="F69" s="35">
        <f>Standing!$F$112</f>
        <v>0.13939368433257138</v>
      </c>
      <c r="G69" s="35">
        <f>Standing!$G$112</f>
        <v>0</v>
      </c>
      <c r="H69" s="35">
        <f>Standing!$H$112</f>
        <v>0.17714657778435597</v>
      </c>
      <c r="I69" s="35">
        <f>Standing!$I$112</f>
        <v>0.16083499215717595</v>
      </c>
      <c r="J69" s="35">
        <f>Standing!$J$112</f>
        <v>0</v>
      </c>
      <c r="K69" s="10"/>
      <c r="L69" s="10"/>
      <c r="M69" s="35">
        <f>Standing!$K$112</f>
        <v>4.0407278899679225E-2</v>
      </c>
      <c r="N69" s="35">
        <f>Standing!$L$112</f>
        <v>6.1836980528299508E-2</v>
      </c>
      <c r="O69" s="35">
        <f>Standing!$M$112</f>
        <v>2.4459950453505516E-2</v>
      </c>
      <c r="P69" s="35">
        <f>Standing!$N$112</f>
        <v>8.7034624372082758E-2</v>
      </c>
      <c r="Q69" s="35">
        <f>Standing!$O$112</f>
        <v>5.4901736705032206E-2</v>
      </c>
      <c r="R69" s="35">
        <f>Standing!$P$112</f>
        <v>0</v>
      </c>
      <c r="S69" s="35">
        <f>Standing!$Q$112</f>
        <v>9.9673041842210791E-2</v>
      </c>
      <c r="T69" s="35">
        <f>Standing!$R$112</f>
        <v>9.0495188241731625E-2</v>
      </c>
      <c r="U69" s="35">
        <f>Standing!$S$112</f>
        <v>0</v>
      </c>
      <c r="V69" s="10"/>
      <c r="W69" s="10"/>
      <c r="X69" s="17"/>
    </row>
    <row r="70" spans="1:24">
      <c r="A70" s="4" t="s">
        <v>188</v>
      </c>
      <c r="B70" s="35">
        <f>Standing!$B$113</f>
        <v>0</v>
      </c>
      <c r="C70" s="35">
        <f>Standing!$C$113</f>
        <v>0.14081952708443113</v>
      </c>
      <c r="D70" s="35">
        <f>Standing!$D$113</f>
        <v>5.5701921826453449E-2</v>
      </c>
      <c r="E70" s="35">
        <f>Standing!$E$113</f>
        <v>0.19820583478038253</v>
      </c>
      <c r="F70" s="35">
        <f>Standing!$F$113</f>
        <v>0.1250289138721685</v>
      </c>
      <c r="G70" s="35">
        <f>Standing!$G$113</f>
        <v>0</v>
      </c>
      <c r="H70" s="35">
        <f>Standing!$H$113</f>
        <v>0.12711304287621494</v>
      </c>
      <c r="I70" s="35">
        <f>Standing!$I$113</f>
        <v>0</v>
      </c>
      <c r="J70" s="35">
        <f>Standing!$J$113</f>
        <v>0</v>
      </c>
      <c r="K70" s="10"/>
      <c r="L70" s="10"/>
      <c r="M70" s="35">
        <f>Standing!$K$113</f>
        <v>3.6231969145594872E-2</v>
      </c>
      <c r="N70" s="35">
        <f>Standing!$L$113</f>
        <v>5.5463320565306791E-2</v>
      </c>
      <c r="O70" s="35">
        <f>Standing!$M$113</f>
        <v>2.1938814952218437E-2</v>
      </c>
      <c r="P70" s="35">
        <f>Standing!$N$113</f>
        <v>7.8065549430139949E-2</v>
      </c>
      <c r="Q70" s="35">
        <f>Standing!$O$113</f>
        <v>4.924401376427353E-2</v>
      </c>
      <c r="R70" s="35">
        <f>Standing!$P$113</f>
        <v>0</v>
      </c>
      <c r="S70" s="35">
        <f>Standing!$Q$113</f>
        <v>7.1521244156998828E-2</v>
      </c>
      <c r="T70" s="35">
        <f>Standing!$R$113</f>
        <v>0</v>
      </c>
      <c r="U70" s="35">
        <f>Standing!$S$113</f>
        <v>0</v>
      </c>
      <c r="V70" s="10"/>
      <c r="W70" s="10"/>
      <c r="X70" s="17"/>
    </row>
    <row r="71" spans="1:24">
      <c r="A71" s="4" t="s">
        <v>189</v>
      </c>
      <c r="B71" s="35">
        <f>Standing!$B$114</f>
        <v>0</v>
      </c>
      <c r="C71" s="35">
        <f>Standing!$C$114</f>
        <v>0.13135811439787354</v>
      </c>
      <c r="D71" s="35">
        <f>Standing!$D$114</f>
        <v>5.1959409117129686E-2</v>
      </c>
      <c r="E71" s="35">
        <f>Standing!$E$114</f>
        <v>0.18488873850426404</v>
      </c>
      <c r="F71" s="35">
        <f>Standing!$F$114</f>
        <v>0.11662844430385794</v>
      </c>
      <c r="G71" s="35">
        <f>Standing!$G$114</f>
        <v>0</v>
      </c>
      <c r="H71" s="35">
        <f>Standing!$H$114</f>
        <v>0</v>
      </c>
      <c r="I71" s="35">
        <f>Standing!$I$114</f>
        <v>0</v>
      </c>
      <c r="J71" s="35">
        <f>Standing!$J$114</f>
        <v>0</v>
      </c>
      <c r="K71" s="10"/>
      <c r="L71" s="10"/>
      <c r="M71" s="35">
        <f>Standing!$K$114</f>
        <v>3.3797607806435141E-2</v>
      </c>
      <c r="N71" s="35">
        <f>Standing!$L$114</f>
        <v>5.1736839048857924E-2</v>
      </c>
      <c r="O71" s="35">
        <f>Standing!$M$114</f>
        <v>2.046478513252941E-2</v>
      </c>
      <c r="P71" s="35">
        <f>Standing!$N$114</f>
        <v>7.2820464497291362E-2</v>
      </c>
      <c r="Q71" s="35">
        <f>Standing!$O$114</f>
        <v>4.5935396371410371E-2</v>
      </c>
      <c r="R71" s="35">
        <f>Standing!$P$114</f>
        <v>0</v>
      </c>
      <c r="S71" s="35">
        <f>Standing!$Q$114</f>
        <v>0</v>
      </c>
      <c r="T71" s="35">
        <f>Standing!$R$114</f>
        <v>0</v>
      </c>
      <c r="U71" s="35">
        <f>Standing!$S$114</f>
        <v>0</v>
      </c>
      <c r="V71" s="10"/>
      <c r="W71" s="10"/>
      <c r="X71" s="17"/>
    </row>
    <row r="72" spans="1:24">
      <c r="A72" s="4" t="s">
        <v>206</v>
      </c>
      <c r="B72" s="35">
        <f>Standing!$B$115</f>
        <v>0</v>
      </c>
      <c r="C72" s="35">
        <f>Standing!$C$115</f>
        <v>0.11759713766650093</v>
      </c>
      <c r="D72" s="35">
        <f>Standing!$D$115</f>
        <v>4.6516180709701628E-2</v>
      </c>
      <c r="E72" s="35">
        <f>Standing!$E$115</f>
        <v>0.13241594725707237</v>
      </c>
      <c r="F72" s="35">
        <f>Standing!$F$115</f>
        <v>0</v>
      </c>
      <c r="G72" s="35">
        <f>Standing!$G$115</f>
        <v>0</v>
      </c>
      <c r="H72" s="35">
        <f>Standing!$H$115</f>
        <v>0</v>
      </c>
      <c r="I72" s="35">
        <f>Standing!$I$115</f>
        <v>0</v>
      </c>
      <c r="J72" s="35">
        <f>Standing!$J$115</f>
        <v>0</v>
      </c>
      <c r="K72" s="10"/>
      <c r="L72" s="10"/>
      <c r="M72" s="35">
        <f>Standing!$K$115</f>
        <v>3.0256995970369235E-2</v>
      </c>
      <c r="N72" s="35">
        <f>Standing!$L$115</f>
        <v>4.6316926913474624E-2</v>
      </c>
      <c r="O72" s="35">
        <f>Standing!$M$115</f>
        <v>1.8320909717507192E-2</v>
      </c>
      <c r="P72" s="35">
        <f>Standing!$N$115</f>
        <v>5.2153478162686798E-2</v>
      </c>
      <c r="Q72" s="35">
        <f>Standing!$O$115</f>
        <v>0</v>
      </c>
      <c r="R72" s="35">
        <f>Standing!$P$115</f>
        <v>0</v>
      </c>
      <c r="S72" s="35">
        <f>Standing!$Q$115</f>
        <v>0</v>
      </c>
      <c r="T72" s="35">
        <f>Standing!$R$115</f>
        <v>0</v>
      </c>
      <c r="U72" s="35">
        <f>Standing!$S$115</f>
        <v>0</v>
      </c>
      <c r="V72" s="10"/>
      <c r="W72" s="10"/>
      <c r="X72" s="17"/>
    </row>
    <row r="73" spans="1:24">
      <c r="A73" s="4" t="s">
        <v>228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7"/>
    </row>
    <row r="74" spans="1:24">
      <c r="A74" s="4" t="s">
        <v>229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7"/>
    </row>
    <row r="75" spans="1:24">
      <c r="A75" s="4" t="s">
        <v>230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7"/>
    </row>
    <row r="76" spans="1:24">
      <c r="A76" s="4" t="s">
        <v>231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7"/>
    </row>
    <row r="77" spans="1:24">
      <c r="A77" s="4" t="s">
        <v>232</v>
      </c>
      <c r="B77" s="35">
        <f>Yard!$B$113</f>
        <v>0</v>
      </c>
      <c r="C77" s="35">
        <f>Yard!$C$113</f>
        <v>0.13598079677452737</v>
      </c>
      <c r="D77" s="35">
        <f>Yard!$D$113</f>
        <v>5.3787936010409959E-2</v>
      </c>
      <c r="E77" s="35">
        <f>Yard!$E$113</f>
        <v>0.18607697216152</v>
      </c>
      <c r="F77" s="35">
        <f>Yard!$F$113</f>
        <v>0.11737798613120967</v>
      </c>
      <c r="G77" s="35">
        <f>Yard!$G$113</f>
        <v>0</v>
      </c>
      <c r="H77" s="35">
        <f>Yard!$H$113</f>
        <v>0.14916822559015161</v>
      </c>
      <c r="I77" s="35">
        <f>Yard!$I$113</f>
        <v>0.13543287537903884</v>
      </c>
      <c r="J77" s="35">
        <f>Yard!$J$113</f>
        <v>3.2176628679357472E-3</v>
      </c>
      <c r="K77" s="10"/>
      <c r="L77" s="10"/>
      <c r="M77" s="35">
        <f>Yard!$K$113</f>
        <v>3.5115934547945392E-2</v>
      </c>
      <c r="N77" s="35">
        <f>Yard!$L$113</f>
        <v>5.3557533378943409E-2</v>
      </c>
      <c r="O77" s="35">
        <f>Yard!$M$113</f>
        <v>2.1184970573739439E-2</v>
      </c>
      <c r="P77" s="35">
        <f>Yard!$N$113</f>
        <v>7.3288463400592307E-2</v>
      </c>
      <c r="Q77" s="35">
        <f>Yard!$O$113</f>
        <v>4.6230611669375338E-2</v>
      </c>
      <c r="R77" s="35">
        <f>Yard!$P$113</f>
        <v>0</v>
      </c>
      <c r="S77" s="35">
        <f>Yard!$Q$113</f>
        <v>8.3930781936271417E-2</v>
      </c>
      <c r="T77" s="35">
        <f>Yard!$R$113</f>
        <v>7.6202469295785474E-2</v>
      </c>
      <c r="U77" s="35">
        <f>Yard!$S$113</f>
        <v>4.2243731109915368E-2</v>
      </c>
      <c r="V77" s="35">
        <f>Otex!$B$166</f>
        <v>1.7272478538741278</v>
      </c>
      <c r="W77" s="10"/>
      <c r="X77" s="17"/>
    </row>
    <row r="78" spans="1:24">
      <c r="A78" s="4" t="s">
        <v>190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7"/>
    </row>
    <row r="79" spans="1:24">
      <c r="A79" s="4" t="s">
        <v>191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7"/>
    </row>
    <row r="80" spans="1:24">
      <c r="A80" s="4" t="s">
        <v>192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7"/>
    </row>
    <row r="81" spans="1:24">
      <c r="A81" s="4" t="s">
        <v>193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7"/>
    </row>
    <row r="82" spans="1:24">
      <c r="A82" s="4" t="s">
        <v>194</v>
      </c>
      <c r="B82" s="35">
        <f>Yard!$B$114</f>
        <v>0</v>
      </c>
      <c r="C82" s="35">
        <f>Yard!$C$114</f>
        <v>-0.117875814537774</v>
      </c>
      <c r="D82" s="35">
        <f>Yard!$D$114</f>
        <v>-4.662641284596767E-2</v>
      </c>
      <c r="E82" s="35">
        <f>Yard!$E$114</f>
        <v>-0.16591217641903377</v>
      </c>
      <c r="F82" s="35">
        <f>Yard!$F$114</f>
        <v>-0.10465796447831173</v>
      </c>
      <c r="G82" s="35">
        <f>Yard!$G$114</f>
        <v>0</v>
      </c>
      <c r="H82" s="35">
        <f>Yard!$H$114</f>
        <v>-0.13300315817018343</v>
      </c>
      <c r="I82" s="35">
        <f>Yard!$I$114</f>
        <v>-0.12075628086488618</v>
      </c>
      <c r="J82" s="35">
        <f>Yard!$J$114</f>
        <v>0</v>
      </c>
      <c r="K82" s="10"/>
      <c r="L82" s="10"/>
      <c r="M82" s="35">
        <f>Yard!$K$114</f>
        <v>-3.0328697757831577E-2</v>
      </c>
      <c r="N82" s="35">
        <f>Yard!$L$114</f>
        <v>-4.6426686866270703E-2</v>
      </c>
      <c r="O82" s="35">
        <f>Yard!$M$114</f>
        <v>-1.8364325857561807E-2</v>
      </c>
      <c r="P82" s="35">
        <f>Yard!$N$114</f>
        <v>-6.5346336668914803E-2</v>
      </c>
      <c r="Q82" s="35">
        <f>Yard!$O$114</f>
        <v>-4.1220691148130234E-2</v>
      </c>
      <c r="R82" s="35">
        <f>Yard!$P$114</f>
        <v>0</v>
      </c>
      <c r="S82" s="35">
        <f>Yard!$Q$114</f>
        <v>-7.4835368062151783E-2</v>
      </c>
      <c r="T82" s="35">
        <f>Yard!$R$114</f>
        <v>-6.7944557472667616E-2</v>
      </c>
      <c r="U82" s="35">
        <f>Yard!$S$114</f>
        <v>0</v>
      </c>
      <c r="V82" s="10"/>
      <c r="W82" s="10"/>
      <c r="X82" s="17"/>
    </row>
    <row r="83" spans="1:24">
      <c r="A83" s="4" t="s">
        <v>195</v>
      </c>
      <c r="B83" s="35">
        <f>Yard!$B$115</f>
        <v>0</v>
      </c>
      <c r="C83" s="35">
        <f>Yard!$C$115</f>
        <v>-0.117875814537774</v>
      </c>
      <c r="D83" s="35">
        <f>Yard!$D$115</f>
        <v>-4.662641284596767E-2</v>
      </c>
      <c r="E83" s="35">
        <f>Yard!$E$115</f>
        <v>-0.16591217641903377</v>
      </c>
      <c r="F83" s="35">
        <f>Yard!$F$115</f>
        <v>-0.10465796447831173</v>
      </c>
      <c r="G83" s="35">
        <f>Yard!$G$115</f>
        <v>0</v>
      </c>
      <c r="H83" s="35">
        <f>Yard!$H$115</f>
        <v>-0.13300315817018343</v>
      </c>
      <c r="I83" s="35">
        <f>Yard!$I$115</f>
        <v>-0.12075628086488618</v>
      </c>
      <c r="J83" s="35">
        <f>Yard!$J$115</f>
        <v>0</v>
      </c>
      <c r="K83" s="10"/>
      <c r="L83" s="10"/>
      <c r="M83" s="35">
        <f>Yard!$K$115</f>
        <v>-3.0328697757831577E-2</v>
      </c>
      <c r="N83" s="35">
        <f>Yard!$L$115</f>
        <v>-4.6426686866270703E-2</v>
      </c>
      <c r="O83" s="35">
        <f>Yard!$M$115</f>
        <v>-1.8364325857561807E-2</v>
      </c>
      <c r="P83" s="35">
        <f>Yard!$N$115</f>
        <v>-6.5346336668914803E-2</v>
      </c>
      <c r="Q83" s="35">
        <f>Yard!$O$115</f>
        <v>-4.1220691148130234E-2</v>
      </c>
      <c r="R83" s="35">
        <f>Yard!$P$115</f>
        <v>0</v>
      </c>
      <c r="S83" s="35">
        <f>Yard!$Q$115</f>
        <v>-7.4835368062151783E-2</v>
      </c>
      <c r="T83" s="35">
        <f>Yard!$R$115</f>
        <v>-6.7944557472667616E-2</v>
      </c>
      <c r="U83" s="35">
        <f>Yard!$S$115</f>
        <v>0</v>
      </c>
      <c r="V83" s="10"/>
      <c r="W83" s="10"/>
      <c r="X83" s="17"/>
    </row>
    <row r="84" spans="1:24">
      <c r="A84" s="4" t="s">
        <v>196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7"/>
    </row>
    <row r="85" spans="1:24">
      <c r="A85" s="4" t="s">
        <v>197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7"/>
    </row>
    <row r="86" spans="1:24">
      <c r="A86" s="4" t="s">
        <v>198</v>
      </c>
      <c r="B86" s="35">
        <f>Yard!$B$116</f>
        <v>0</v>
      </c>
      <c r="C86" s="35">
        <f>Yard!$C$116</f>
        <v>-0.11208981478391816</v>
      </c>
      <c r="D86" s="35">
        <f>Yard!$D$116</f>
        <v>-4.4337729503181551E-2</v>
      </c>
      <c r="E86" s="35">
        <f>Yard!$E$116</f>
        <v>-0.15776828519175756</v>
      </c>
      <c r="F86" s="35">
        <f>Yard!$F$116</f>
        <v>-9.9520770227861724E-2</v>
      </c>
      <c r="G86" s="35">
        <f>Yard!$G$116</f>
        <v>0</v>
      </c>
      <c r="H86" s="35">
        <f>Yard!$H$116</f>
        <v>-0.12647462436151041</v>
      </c>
      <c r="I86" s="35">
        <f>Yard!$I$116</f>
        <v>0</v>
      </c>
      <c r="J86" s="35">
        <f>Yard!$J$116</f>
        <v>0</v>
      </c>
      <c r="K86" s="10"/>
      <c r="L86" s="10"/>
      <c r="M86" s="35">
        <f>Yard!$K$116</f>
        <v>-2.8839996802086772E-2</v>
      </c>
      <c r="N86" s="35">
        <f>Yard!$L$116</f>
        <v>-4.4147807184005579E-2</v>
      </c>
      <c r="O86" s="35">
        <f>Yard!$M$116</f>
        <v>-1.7462902734351658E-2</v>
      </c>
      <c r="P86" s="35">
        <f>Yard!$N$116</f>
        <v>-6.2138775479502535E-2</v>
      </c>
      <c r="Q86" s="35">
        <f>Yard!$O$116</f>
        <v>-3.9197350653966193E-2</v>
      </c>
      <c r="R86" s="35">
        <f>Yard!$P$116</f>
        <v>0</v>
      </c>
      <c r="S86" s="35">
        <f>Yard!$Q$116</f>
        <v>-7.1162032502306599E-2</v>
      </c>
      <c r="T86" s="35">
        <f>Yard!$R$116</f>
        <v>0</v>
      </c>
      <c r="U86" s="35">
        <f>Yard!$S$116</f>
        <v>0</v>
      </c>
      <c r="V86" s="10"/>
      <c r="W86" s="10"/>
      <c r="X86" s="17"/>
    </row>
    <row r="87" spans="1:24">
      <c r="A87" s="4" t="s">
        <v>199</v>
      </c>
      <c r="B87" s="35">
        <f>Yard!$B$117</f>
        <v>0</v>
      </c>
      <c r="C87" s="35">
        <f>Yard!$C$117</f>
        <v>-0.11208981478391816</v>
      </c>
      <c r="D87" s="35">
        <f>Yard!$D$117</f>
        <v>-4.4337729503181551E-2</v>
      </c>
      <c r="E87" s="35">
        <f>Yard!$E$117</f>
        <v>-0.15776828519175756</v>
      </c>
      <c r="F87" s="35">
        <f>Yard!$F$117</f>
        <v>-9.9520770227861724E-2</v>
      </c>
      <c r="G87" s="35">
        <f>Yard!$G$117</f>
        <v>0</v>
      </c>
      <c r="H87" s="35">
        <f>Yard!$H$117</f>
        <v>-0.12647462436151041</v>
      </c>
      <c r="I87" s="35">
        <f>Yard!$I$117</f>
        <v>0</v>
      </c>
      <c r="J87" s="35">
        <f>Yard!$J$117</f>
        <v>0</v>
      </c>
      <c r="K87" s="10"/>
      <c r="L87" s="10"/>
      <c r="M87" s="35">
        <f>Yard!$K$117</f>
        <v>-2.8839996802086772E-2</v>
      </c>
      <c r="N87" s="35">
        <f>Yard!$L$117</f>
        <v>-4.4147807184005579E-2</v>
      </c>
      <c r="O87" s="35">
        <f>Yard!$M$117</f>
        <v>-1.7462902734351658E-2</v>
      </c>
      <c r="P87" s="35">
        <f>Yard!$N$117</f>
        <v>-6.2138775479502535E-2</v>
      </c>
      <c r="Q87" s="35">
        <f>Yard!$O$117</f>
        <v>-3.9197350653966193E-2</v>
      </c>
      <c r="R87" s="35">
        <f>Yard!$P$117</f>
        <v>0</v>
      </c>
      <c r="S87" s="35">
        <f>Yard!$Q$117</f>
        <v>-7.1162032502306599E-2</v>
      </c>
      <c r="T87" s="35">
        <f>Yard!$R$117</f>
        <v>0</v>
      </c>
      <c r="U87" s="35">
        <f>Yard!$S$117</f>
        <v>0</v>
      </c>
      <c r="V87" s="10"/>
      <c r="W87" s="10"/>
      <c r="X87" s="17"/>
    </row>
    <row r="88" spans="1:24">
      <c r="A88" s="4" t="s">
        <v>207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7"/>
    </row>
    <row r="89" spans="1:24">
      <c r="A89" s="4" t="s">
        <v>208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7"/>
    </row>
    <row r="90" spans="1:24">
      <c r="A90" s="4" t="s">
        <v>209</v>
      </c>
      <c r="B90" s="35">
        <f>Yard!$B$118</f>
        <v>0</v>
      </c>
      <c r="C90" s="35">
        <f>Yard!$C$118</f>
        <v>-0.11061523790161333</v>
      </c>
      <c r="D90" s="35">
        <f>Yard!$D$118</f>
        <v>-4.3754452681239148E-2</v>
      </c>
      <c r="E90" s="35">
        <f>Yard!$E$118</f>
        <v>-0.15569279361785215</v>
      </c>
      <c r="F90" s="35">
        <f>Yard!$F$118</f>
        <v>-4.2230963529873218E-2</v>
      </c>
      <c r="G90" s="35">
        <f>Yard!$G$118</f>
        <v>0</v>
      </c>
      <c r="H90" s="35">
        <f>Yard!$H$118</f>
        <v>0</v>
      </c>
      <c r="I90" s="35">
        <f>Yard!$I$118</f>
        <v>0</v>
      </c>
      <c r="J90" s="35">
        <f>Yard!$J$118</f>
        <v>0</v>
      </c>
      <c r="K90" s="10"/>
      <c r="L90" s="10"/>
      <c r="M90" s="35">
        <f>Yard!$K$118</f>
        <v>-2.8460597543982162E-2</v>
      </c>
      <c r="N90" s="35">
        <f>Yard!$L$118</f>
        <v>-4.356702885010004E-2</v>
      </c>
      <c r="O90" s="35">
        <f>Yard!$M$118</f>
        <v>-1.7233172738636584E-2</v>
      </c>
      <c r="P90" s="35">
        <f>Yard!$N$118</f>
        <v>-6.132132028079923E-2</v>
      </c>
      <c r="Q90" s="35">
        <f>Yard!$O$118</f>
        <v>-3.8681697137780469E-2</v>
      </c>
      <c r="R90" s="35">
        <f>Yard!$P$118</f>
        <v>0</v>
      </c>
      <c r="S90" s="35">
        <f>Yard!$Q$118</f>
        <v>0</v>
      </c>
      <c r="T90" s="35">
        <f>Yard!$R$118</f>
        <v>0</v>
      </c>
      <c r="U90" s="35">
        <f>Yard!$S$118</f>
        <v>0</v>
      </c>
      <c r="V90" s="10"/>
      <c r="W90" s="10"/>
      <c r="X90" s="17"/>
    </row>
    <row r="91" spans="1:24">
      <c r="A91" s="4" t="s">
        <v>210</v>
      </c>
      <c r="B91" s="35">
        <f>Yard!$B$119</f>
        <v>0</v>
      </c>
      <c r="C91" s="35">
        <f>Yard!$C$119</f>
        <v>-0.11061523790161333</v>
      </c>
      <c r="D91" s="35">
        <f>Yard!$D$119</f>
        <v>-4.3754452681239148E-2</v>
      </c>
      <c r="E91" s="35">
        <f>Yard!$E$119</f>
        <v>-0.15569279361785215</v>
      </c>
      <c r="F91" s="35">
        <f>Yard!$F$119</f>
        <v>-4.2230963529873218E-2</v>
      </c>
      <c r="G91" s="35">
        <f>Yard!$G$119</f>
        <v>0</v>
      </c>
      <c r="H91" s="35">
        <f>Yard!$H$119</f>
        <v>0</v>
      </c>
      <c r="I91" s="35">
        <f>Yard!$I$119</f>
        <v>0</v>
      </c>
      <c r="J91" s="35">
        <f>Yard!$J$119</f>
        <v>0</v>
      </c>
      <c r="K91" s="10"/>
      <c r="L91" s="10"/>
      <c r="M91" s="35">
        <f>Yard!$K$119</f>
        <v>-2.8460597543982162E-2</v>
      </c>
      <c r="N91" s="35">
        <f>Yard!$L$119</f>
        <v>-4.356702885010004E-2</v>
      </c>
      <c r="O91" s="35">
        <f>Yard!$M$119</f>
        <v>-1.7233172738636584E-2</v>
      </c>
      <c r="P91" s="35">
        <f>Yard!$N$119</f>
        <v>-6.132132028079923E-2</v>
      </c>
      <c r="Q91" s="35">
        <f>Yard!$O$119</f>
        <v>-3.8681697137780469E-2</v>
      </c>
      <c r="R91" s="35">
        <f>Yard!$P$119</f>
        <v>0</v>
      </c>
      <c r="S91" s="35">
        <f>Yard!$Q$119</f>
        <v>0</v>
      </c>
      <c r="T91" s="35">
        <f>Yard!$R$119</f>
        <v>0</v>
      </c>
      <c r="U91" s="35">
        <f>Yard!$S$119</f>
        <v>0</v>
      </c>
      <c r="V91" s="10"/>
      <c r="W91" s="10"/>
      <c r="X91" s="17"/>
    </row>
    <row r="93" spans="1:24" ht="21" customHeight="1">
      <c r="A93" s="1" t="s">
        <v>1103</v>
      </c>
    </row>
    <row r="94" spans="1:24">
      <c r="A94" s="2" t="s">
        <v>379</v>
      </c>
    </row>
    <row r="95" spans="1:24">
      <c r="A95" s="29" t="s">
        <v>1104</v>
      </c>
    </row>
    <row r="96" spans="1:24">
      <c r="A96" s="29" t="s">
        <v>1105</v>
      </c>
    </row>
    <row r="97" spans="1:24">
      <c r="A97" s="29" t="s">
        <v>1106</v>
      </c>
    </row>
    <row r="98" spans="1:24">
      <c r="A98" s="29" t="s">
        <v>1107</v>
      </c>
    </row>
    <row r="99" spans="1:24">
      <c r="A99" s="29" t="s">
        <v>1108</v>
      </c>
    </row>
    <row r="100" spans="1:24">
      <c r="A100" s="2" t="s">
        <v>468</v>
      </c>
    </row>
    <row r="102" spans="1:24" ht="30">
      <c r="B102" s="15" t="s">
        <v>148</v>
      </c>
      <c r="C102" s="15" t="s">
        <v>333</v>
      </c>
      <c r="D102" s="15" t="s">
        <v>334</v>
      </c>
      <c r="E102" s="15" t="s">
        <v>335</v>
      </c>
      <c r="F102" s="15" t="s">
        <v>336</v>
      </c>
      <c r="G102" s="15" t="s">
        <v>337</v>
      </c>
      <c r="H102" s="15" t="s">
        <v>338</v>
      </c>
      <c r="I102" s="15" t="s">
        <v>339</v>
      </c>
      <c r="J102" s="15" t="s">
        <v>340</v>
      </c>
      <c r="K102" s="15" t="s">
        <v>491</v>
      </c>
      <c r="L102" s="15" t="s">
        <v>503</v>
      </c>
      <c r="M102" s="15" t="s">
        <v>321</v>
      </c>
      <c r="N102" s="15" t="s">
        <v>909</v>
      </c>
      <c r="O102" s="15" t="s">
        <v>910</v>
      </c>
      <c r="P102" s="15" t="s">
        <v>911</v>
      </c>
      <c r="Q102" s="15" t="s">
        <v>912</v>
      </c>
      <c r="R102" s="15" t="s">
        <v>913</v>
      </c>
      <c r="S102" s="15" t="s">
        <v>914</v>
      </c>
      <c r="T102" s="15" t="s">
        <v>915</v>
      </c>
      <c r="U102" s="15" t="s">
        <v>916</v>
      </c>
      <c r="V102" s="15" t="s">
        <v>917</v>
      </c>
      <c r="W102" s="15" t="s">
        <v>918</v>
      </c>
    </row>
    <row r="103" spans="1:24">
      <c r="A103" s="4" t="s">
        <v>180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7"/>
    </row>
    <row r="104" spans="1:24">
      <c r="A104" s="4" t="s">
        <v>181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7"/>
    </row>
    <row r="105" spans="1:24">
      <c r="A105" s="4" t="s">
        <v>226</v>
      </c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7"/>
    </row>
    <row r="106" spans="1:24">
      <c r="A106" s="4" t="s">
        <v>182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7"/>
    </row>
    <row r="107" spans="1:24">
      <c r="A107" s="4" t="s">
        <v>183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7"/>
    </row>
    <row r="108" spans="1:24">
      <c r="A108" s="4" t="s">
        <v>227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7"/>
    </row>
    <row r="109" spans="1:24">
      <c r="A109" s="4" t="s">
        <v>184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7"/>
    </row>
    <row r="110" spans="1:24">
      <c r="A110" s="4" t="s">
        <v>185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7"/>
    </row>
    <row r="111" spans="1:24">
      <c r="A111" s="4" t="s">
        <v>205</v>
      </c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7"/>
    </row>
    <row r="112" spans="1:24">
      <c r="A112" s="4" t="s">
        <v>186</v>
      </c>
      <c r="B112" s="35">
        <f>Standing!$B$125</f>
        <v>0</v>
      </c>
      <c r="C112" s="35">
        <f>Standing!$C$125</f>
        <v>2.6141282338777608E-2</v>
      </c>
      <c r="D112" s="35">
        <f>Standing!$D$125</f>
        <v>1.0340324921023155E-2</v>
      </c>
      <c r="E112" s="35">
        <f>Standing!$E$125</f>
        <v>2.6879062561511749E-2</v>
      </c>
      <c r="F112" s="35">
        <f>Standing!$F$125</f>
        <v>1.6955403970279604E-2</v>
      </c>
      <c r="G112" s="35">
        <f>Standing!$G$125</f>
        <v>0</v>
      </c>
      <c r="H112" s="35">
        <f>Standing!$H$125</f>
        <v>2.1547545734713607E-2</v>
      </c>
      <c r="I112" s="35">
        <f>Standing!$I$125</f>
        <v>1.9563456390717278E-2</v>
      </c>
      <c r="J112" s="35">
        <f>Standing!$J$125</f>
        <v>0</v>
      </c>
      <c r="K112" s="10"/>
      <c r="L112" s="10"/>
      <c r="M112" s="35">
        <f>Standing!$K$125</f>
        <v>3.1457869389186731E-3</v>
      </c>
      <c r="N112" s="35">
        <f>Standing!$L$125</f>
        <v>1.0296031753284541E-2</v>
      </c>
      <c r="O112" s="35">
        <f>Standing!$M$125</f>
        <v>4.072650773072682E-3</v>
      </c>
      <c r="P112" s="35">
        <f>Standing!$N$125</f>
        <v>1.0586614613825696E-2</v>
      </c>
      <c r="Q112" s="35">
        <f>Standing!$O$125</f>
        <v>6.6780724604625042E-3</v>
      </c>
      <c r="R112" s="35">
        <f>Standing!$P$125</f>
        <v>0</v>
      </c>
      <c r="S112" s="35">
        <f>Standing!$Q$125</f>
        <v>1.2123911477575987E-2</v>
      </c>
      <c r="T112" s="35">
        <f>Standing!$R$125</f>
        <v>1.1007546585426796E-2</v>
      </c>
      <c r="U112" s="35">
        <f>Standing!$S$125</f>
        <v>0</v>
      </c>
      <c r="V112" s="10"/>
      <c r="W112" s="10"/>
      <c r="X112" s="17"/>
    </row>
    <row r="113" spans="1:24">
      <c r="A113" s="4" t="s">
        <v>187</v>
      </c>
      <c r="B113" s="35">
        <f>Standing!$B$126</f>
        <v>0</v>
      </c>
      <c r="C113" s="35">
        <f>Standing!$C$126</f>
        <v>2.3885353554441421E-2</v>
      </c>
      <c r="D113" s="35">
        <f>Standing!$D$126</f>
        <v>9.4479801490101201E-3</v>
      </c>
      <c r="E113" s="35">
        <f>Standing!$E$126</f>
        <v>2.4558870196194123E-2</v>
      </c>
      <c r="F113" s="35">
        <f>Standing!$F$126</f>
        <v>1.5491818744690316E-2</v>
      </c>
      <c r="G113" s="35">
        <f>Standing!$G$126</f>
        <v>0</v>
      </c>
      <c r="H113" s="35">
        <f>Standing!$H$126</f>
        <v>1.9687568252589587E-2</v>
      </c>
      <c r="I113" s="35">
        <f>Standing!$I$126</f>
        <v>1.7874744886992366E-2</v>
      </c>
      <c r="J113" s="35">
        <f>Standing!$J$126</f>
        <v>0</v>
      </c>
      <c r="K113" s="10"/>
      <c r="L113" s="10"/>
      <c r="M113" s="35">
        <f>Standing!$K$126</f>
        <v>2.8765663459598321E-3</v>
      </c>
      <c r="N113" s="35">
        <f>Standing!$L$126</f>
        <v>9.4075093734080524E-3</v>
      </c>
      <c r="O113" s="35">
        <f>Standing!$M$126</f>
        <v>3.7211909637007872E-3</v>
      </c>
      <c r="P113" s="35">
        <f>Standing!$N$126</f>
        <v>9.6727813153114038E-3</v>
      </c>
      <c r="Q113" s="35">
        <f>Standing!$O$126</f>
        <v>6.1016233115256851E-3</v>
      </c>
      <c r="R113" s="35">
        <f>Standing!$P$126</f>
        <v>0</v>
      </c>
      <c r="S113" s="35">
        <f>Standing!$Q$126</f>
        <v>1.1077379189342927E-2</v>
      </c>
      <c r="T113" s="35">
        <f>Standing!$R$126</f>
        <v>1.0057378569338481E-2</v>
      </c>
      <c r="U113" s="35">
        <f>Standing!$S$126</f>
        <v>0</v>
      </c>
      <c r="V113" s="10"/>
      <c r="W113" s="10"/>
      <c r="X113" s="17"/>
    </row>
    <row r="114" spans="1:24">
      <c r="A114" s="4" t="s">
        <v>188</v>
      </c>
      <c r="B114" s="35">
        <f>Standing!$B$127</f>
        <v>0</v>
      </c>
      <c r="C114" s="35">
        <f>Standing!$C$127</f>
        <v>2.1423442892710483E-2</v>
      </c>
      <c r="D114" s="35">
        <f>Standing!$D$127</f>
        <v>8.4741581368027608E-3</v>
      </c>
      <c r="E114" s="35">
        <f>Standing!$E$127</f>
        <v>2.2028034349331264E-2</v>
      </c>
      <c r="F114" s="35">
        <f>Standing!$F$127</f>
        <v>1.3895358895399683E-2</v>
      </c>
      <c r="G114" s="35">
        <f>Standing!$G$127</f>
        <v>0</v>
      </c>
      <c r="H114" s="35">
        <f>Standing!$H$127</f>
        <v>1.4126983082146969E-2</v>
      </c>
      <c r="I114" s="35">
        <f>Standing!$I$127</f>
        <v>0</v>
      </c>
      <c r="J114" s="35">
        <f>Standing!$J$127</f>
        <v>0</v>
      </c>
      <c r="K114" s="10"/>
      <c r="L114" s="10"/>
      <c r="M114" s="35">
        <f>Standing!$K$127</f>
        <v>2.57932892117862E-3</v>
      </c>
      <c r="N114" s="35">
        <f>Standing!$L$127</f>
        <v>8.4378587641366458E-3</v>
      </c>
      <c r="O114" s="35">
        <f>Standing!$M$127</f>
        <v>3.3376404465610358E-3</v>
      </c>
      <c r="P114" s="35">
        <f>Standing!$N$127</f>
        <v>8.6759837633031255E-3</v>
      </c>
      <c r="Q114" s="35">
        <f>Standing!$O$127</f>
        <v>5.4728400296605315E-3</v>
      </c>
      <c r="R114" s="35">
        <f>Standing!$P$127</f>
        <v>0</v>
      </c>
      <c r="S114" s="35">
        <f>Standing!$Q$127</f>
        <v>7.9486682354378956E-3</v>
      </c>
      <c r="T114" s="35">
        <f>Standing!$R$127</f>
        <v>0</v>
      </c>
      <c r="U114" s="35">
        <f>Standing!$S$127</f>
        <v>0</v>
      </c>
      <c r="V114" s="10"/>
      <c r="W114" s="10"/>
      <c r="X114" s="17"/>
    </row>
    <row r="115" spans="1:24">
      <c r="A115" s="4" t="s">
        <v>189</v>
      </c>
      <c r="B115" s="35">
        <f>Standing!$B$128</f>
        <v>0</v>
      </c>
      <c r="C115" s="35">
        <f>Standing!$C$128</f>
        <v>1.9984040001850733E-2</v>
      </c>
      <c r="D115" s="35">
        <f>Standing!$D$128</f>
        <v>7.9047945764822627E-3</v>
      </c>
      <c r="E115" s="35">
        <f>Standing!$E$128</f>
        <v>2.0548010037591252E-2</v>
      </c>
      <c r="F115" s="35">
        <f>Standing!$F$128</f>
        <v>1.2961754532004967E-2</v>
      </c>
      <c r="G115" s="35">
        <f>Standing!$G$128</f>
        <v>0</v>
      </c>
      <c r="H115" s="35">
        <f>Standing!$H$128</f>
        <v>0</v>
      </c>
      <c r="I115" s="35">
        <f>Standing!$I$128</f>
        <v>0</v>
      </c>
      <c r="J115" s="35">
        <f>Standing!$J$128</f>
        <v>0</v>
      </c>
      <c r="K115" s="10"/>
      <c r="L115" s="10"/>
      <c r="M115" s="35">
        <f>Standing!$K$128</f>
        <v>2.4060284146159732E-3</v>
      </c>
      <c r="N115" s="35">
        <f>Standing!$L$128</f>
        <v>7.8709340938775459E-3</v>
      </c>
      <c r="O115" s="35">
        <f>Standing!$M$128</f>
        <v>3.11339034206149E-3</v>
      </c>
      <c r="P115" s="35">
        <f>Standing!$N$128</f>
        <v>8.0930598993615363E-3</v>
      </c>
      <c r="Q115" s="35">
        <f>Standing!$O$128</f>
        <v>5.1051296761306245E-3</v>
      </c>
      <c r="R115" s="35">
        <f>Standing!$P$128</f>
        <v>0</v>
      </c>
      <c r="S115" s="35">
        <f>Standing!$Q$128</f>
        <v>0</v>
      </c>
      <c r="T115" s="35">
        <f>Standing!$R$128</f>
        <v>0</v>
      </c>
      <c r="U115" s="35">
        <f>Standing!$S$128</f>
        <v>0</v>
      </c>
      <c r="V115" s="10"/>
      <c r="W115" s="10"/>
      <c r="X115" s="17"/>
    </row>
    <row r="116" spans="1:24">
      <c r="A116" s="4" t="s">
        <v>206</v>
      </c>
      <c r="B116" s="35">
        <f>Standing!$B$129</f>
        <v>0</v>
      </c>
      <c r="C116" s="35">
        <f>Standing!$C$129</f>
        <v>1.7890527083179154E-2</v>
      </c>
      <c r="D116" s="35">
        <f>Standing!$D$129</f>
        <v>7.0766942742521797E-3</v>
      </c>
      <c r="E116" s="35">
        <f>Standing!$E$129</f>
        <v>1.4716332835559518E-2</v>
      </c>
      <c r="F116" s="35">
        <f>Standing!$F$129</f>
        <v>0</v>
      </c>
      <c r="G116" s="35">
        <f>Standing!$G$129</f>
        <v>0</v>
      </c>
      <c r="H116" s="35">
        <f>Standing!$H$129</f>
        <v>0</v>
      </c>
      <c r="I116" s="35">
        <f>Standing!$I$129</f>
        <v>0</v>
      </c>
      <c r="J116" s="35">
        <f>Standing!$J$129</f>
        <v>0</v>
      </c>
      <c r="K116" s="10"/>
      <c r="L116" s="10"/>
      <c r="M116" s="35">
        <f>Standing!$K$129</f>
        <v>2.1539746973384382E-3</v>
      </c>
      <c r="N116" s="35">
        <f>Standing!$L$129</f>
        <v>7.0463809901998523E-3</v>
      </c>
      <c r="O116" s="35">
        <f>Standing!$M$129</f>
        <v>2.7872339241715428E-3</v>
      </c>
      <c r="P116" s="35">
        <f>Standing!$N$129</f>
        <v>5.7961896514182199E-3</v>
      </c>
      <c r="Q116" s="35">
        <f>Standing!$O$129</f>
        <v>0</v>
      </c>
      <c r="R116" s="35">
        <f>Standing!$P$129</f>
        <v>0</v>
      </c>
      <c r="S116" s="35">
        <f>Standing!$Q$129</f>
        <v>0</v>
      </c>
      <c r="T116" s="35">
        <f>Standing!$R$129</f>
        <v>0</v>
      </c>
      <c r="U116" s="35">
        <f>Standing!$S$129</f>
        <v>0</v>
      </c>
      <c r="V116" s="10"/>
      <c r="W116" s="10"/>
      <c r="X116" s="17"/>
    </row>
    <row r="117" spans="1:24">
      <c r="A117" s="4" t="s">
        <v>228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7"/>
    </row>
    <row r="118" spans="1:24">
      <c r="A118" s="4" t="s">
        <v>229</v>
      </c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7"/>
    </row>
    <row r="119" spans="1:24">
      <c r="A119" s="4" t="s">
        <v>230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7"/>
    </row>
    <row r="120" spans="1:24">
      <c r="A120" s="4" t="s">
        <v>231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7"/>
    </row>
    <row r="121" spans="1:24">
      <c r="A121" s="4" t="s">
        <v>232</v>
      </c>
      <c r="B121" s="35">
        <f>Yard!$B$136</f>
        <v>0</v>
      </c>
      <c r="C121" s="35">
        <f>Yard!$C$136</f>
        <v>2.2044682214783652E-2</v>
      </c>
      <c r="D121" s="35">
        <f>Yard!$D$136</f>
        <v>8.7198926941478589E-3</v>
      </c>
      <c r="E121" s="35">
        <f>Yard!$E$136</f>
        <v>2.2666805680079387E-2</v>
      </c>
      <c r="F121" s="35">
        <f>Yard!$F$136</f>
        <v>1.4298298020701466E-2</v>
      </c>
      <c r="G121" s="35">
        <f>Yard!$G$136</f>
        <v>0</v>
      </c>
      <c r="H121" s="35">
        <f>Yard!$H$136</f>
        <v>1.817079858844256E-2</v>
      </c>
      <c r="I121" s="35">
        <f>Yard!$I$136</f>
        <v>1.6497638763416589E-2</v>
      </c>
      <c r="J121" s="35">
        <f>Yard!$J$136</f>
        <v>3.919568236965811E-4</v>
      </c>
      <c r="K121" s="10"/>
      <c r="L121" s="10"/>
      <c r="M121" s="35">
        <f>Yard!$K$136</f>
        <v>2.6541245811676105E-3</v>
      </c>
      <c r="N121" s="35">
        <f>Yard!$L$136</f>
        <v>8.6825407083336269E-3</v>
      </c>
      <c r="O121" s="35">
        <f>Yard!$M$136</f>
        <v>3.4344257064620517E-3</v>
      </c>
      <c r="P121" s="35">
        <f>Yard!$N$136</f>
        <v>8.9275708820694636E-3</v>
      </c>
      <c r="Q121" s="35">
        <f>Yard!$O$136</f>
        <v>5.6315420388038922E-3</v>
      </c>
      <c r="R121" s="35">
        <f>Yard!$P$136</f>
        <v>0</v>
      </c>
      <c r="S121" s="35">
        <f>Yard!$Q$136</f>
        <v>1.022395572449023E-2</v>
      </c>
      <c r="T121" s="35">
        <f>Yard!$R$136</f>
        <v>9.2825379938495031E-3</v>
      </c>
      <c r="U121" s="35">
        <f>Yard!$S$136</f>
        <v>5.1458836262598525E-3</v>
      </c>
      <c r="V121" s="35">
        <f>Otex!$B$166</f>
        <v>1.7272478538741278</v>
      </c>
      <c r="W121" s="10"/>
      <c r="X121" s="17"/>
    </row>
    <row r="122" spans="1:24">
      <c r="A122" s="4" t="s">
        <v>190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7"/>
    </row>
    <row r="123" spans="1:24">
      <c r="A123" s="4" t="s">
        <v>191</v>
      </c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7"/>
    </row>
    <row r="124" spans="1:24">
      <c r="A124" s="4" t="s">
        <v>192</v>
      </c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7"/>
    </row>
    <row r="125" spans="1:24">
      <c r="A125" s="4" t="s">
        <v>193</v>
      </c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7"/>
    </row>
    <row r="126" spans="1:24">
      <c r="A126" s="4" t="s">
        <v>194</v>
      </c>
      <c r="B126" s="35">
        <f>Yard!$B$137</f>
        <v>0</v>
      </c>
      <c r="C126" s="35">
        <f>Yard!$C$137</f>
        <v>-1.7932923320127581E-2</v>
      </c>
      <c r="D126" s="35">
        <f>Yard!$D$137</f>
        <v>-7.0934643339529285E-3</v>
      </c>
      <c r="E126" s="35">
        <f>Yard!$E$137</f>
        <v>-1.843900874654025E-2</v>
      </c>
      <c r="F126" s="35">
        <f>Yard!$F$137</f>
        <v>-1.1631389353465799E-2</v>
      </c>
      <c r="G126" s="35">
        <f>Yard!$G$137</f>
        <v>0</v>
      </c>
      <c r="H126" s="35">
        <f>Yard!$H$137</f>
        <v>-1.4781593791063906E-2</v>
      </c>
      <c r="I126" s="35">
        <f>Yard!$I$137</f>
        <v>-1.342051058051134E-2</v>
      </c>
      <c r="J126" s="35">
        <f>Yard!$J$137</f>
        <v>0</v>
      </c>
      <c r="K126" s="10"/>
      <c r="L126" s="10"/>
      <c r="M126" s="35">
        <f>Yard!$K$137</f>
        <v>-2.1590790981883797E-3</v>
      </c>
      <c r="N126" s="35">
        <f>Yard!$L$137</f>
        <v>-7.063079214723952E-3</v>
      </c>
      <c r="O126" s="35">
        <f>Yard!$M$137</f>
        <v>-2.7938389967515991E-3</v>
      </c>
      <c r="P126" s="35">
        <f>Yard!$N$137</f>
        <v>-7.2624065297612044E-3</v>
      </c>
      <c r="Q126" s="35">
        <f>Yard!$O$137</f>
        <v>-4.5811507089096992E-3</v>
      </c>
      <c r="R126" s="35">
        <f>Yard!$P$137</f>
        <v>0</v>
      </c>
      <c r="S126" s="35">
        <f>Yard!$Q$137</f>
        <v>-8.3169905671267638E-3</v>
      </c>
      <c r="T126" s="35">
        <f>Yard!$R$137</f>
        <v>-7.5511654211209396E-3</v>
      </c>
      <c r="U126" s="35">
        <f>Yard!$S$137</f>
        <v>0</v>
      </c>
      <c r="V126" s="10"/>
      <c r="W126" s="10"/>
      <c r="X126" s="17"/>
    </row>
    <row r="127" spans="1:24">
      <c r="A127" s="4" t="s">
        <v>195</v>
      </c>
      <c r="B127" s="35">
        <f>Yard!$B$138</f>
        <v>0</v>
      </c>
      <c r="C127" s="35">
        <f>Yard!$C$138</f>
        <v>-1.7932923320127581E-2</v>
      </c>
      <c r="D127" s="35">
        <f>Yard!$D$138</f>
        <v>-7.0934643339529285E-3</v>
      </c>
      <c r="E127" s="35">
        <f>Yard!$E$138</f>
        <v>-1.843900874654025E-2</v>
      </c>
      <c r="F127" s="35">
        <f>Yard!$F$138</f>
        <v>-1.1631389353465799E-2</v>
      </c>
      <c r="G127" s="35">
        <f>Yard!$G$138</f>
        <v>0</v>
      </c>
      <c r="H127" s="35">
        <f>Yard!$H$138</f>
        <v>-1.4781593791063906E-2</v>
      </c>
      <c r="I127" s="35">
        <f>Yard!$I$138</f>
        <v>-1.342051058051134E-2</v>
      </c>
      <c r="J127" s="35">
        <f>Yard!$J$138</f>
        <v>0</v>
      </c>
      <c r="K127" s="10"/>
      <c r="L127" s="10"/>
      <c r="M127" s="35">
        <f>Yard!$K$138</f>
        <v>-2.1590790981883797E-3</v>
      </c>
      <c r="N127" s="35">
        <f>Yard!$L$138</f>
        <v>-7.063079214723952E-3</v>
      </c>
      <c r="O127" s="35">
        <f>Yard!$M$138</f>
        <v>-2.7938389967515991E-3</v>
      </c>
      <c r="P127" s="35">
        <f>Yard!$N$138</f>
        <v>-7.2624065297612044E-3</v>
      </c>
      <c r="Q127" s="35">
        <f>Yard!$O$138</f>
        <v>-4.5811507089096992E-3</v>
      </c>
      <c r="R127" s="35">
        <f>Yard!$P$138</f>
        <v>0</v>
      </c>
      <c r="S127" s="35">
        <f>Yard!$Q$138</f>
        <v>-8.3169905671267638E-3</v>
      </c>
      <c r="T127" s="35">
        <f>Yard!$R$138</f>
        <v>-7.5511654211209396E-3</v>
      </c>
      <c r="U127" s="35">
        <f>Yard!$S$138</f>
        <v>0</v>
      </c>
      <c r="V127" s="10"/>
      <c r="W127" s="10"/>
      <c r="X127" s="17"/>
    </row>
    <row r="128" spans="1:24">
      <c r="A128" s="4" t="s">
        <v>196</v>
      </c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7"/>
    </row>
    <row r="129" spans="1:24">
      <c r="A129" s="4" t="s">
        <v>197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7"/>
    </row>
    <row r="130" spans="1:24">
      <c r="A130" s="4" t="s">
        <v>198</v>
      </c>
      <c r="B130" s="35">
        <f>Yard!$B$139</f>
        <v>0</v>
      </c>
      <c r="C130" s="35">
        <f>Yard!$C$139</f>
        <v>-1.7052675829808666E-2</v>
      </c>
      <c r="D130" s="35">
        <f>Yard!$D$139</f>
        <v>-6.7452777016808402E-3</v>
      </c>
      <c r="E130" s="35">
        <f>Yard!$E$139</f>
        <v>-1.7533919772290671E-2</v>
      </c>
      <c r="F130" s="35">
        <f>Yard!$F$139</f>
        <v>-1.1060456153979079E-2</v>
      </c>
      <c r="G130" s="35">
        <f>Yard!$G$139</f>
        <v>0</v>
      </c>
      <c r="H130" s="35">
        <f>Yard!$H$139</f>
        <v>-1.4056031059030479E-2</v>
      </c>
      <c r="I130" s="35">
        <f>Yard!$I$139</f>
        <v>0</v>
      </c>
      <c r="J130" s="35">
        <f>Yard!$J$139</f>
        <v>0</v>
      </c>
      <c r="K130" s="10"/>
      <c r="L130" s="10"/>
      <c r="M130" s="35">
        <f>Yard!$K$139</f>
        <v>-2.0530995028009815E-3</v>
      </c>
      <c r="N130" s="35">
        <f>Yard!$L$139</f>
        <v>-6.7163840528868214E-3</v>
      </c>
      <c r="O130" s="35">
        <f>Yard!$M$139</f>
        <v>-2.6567018595796874E-3</v>
      </c>
      <c r="P130" s="35">
        <f>Yard!$N$139</f>
        <v>-6.9059272760790694E-3</v>
      </c>
      <c r="Q130" s="35">
        <f>Yard!$O$139</f>
        <v>-4.3562823847494965E-3</v>
      </c>
      <c r="R130" s="35">
        <f>Yard!$P$139</f>
        <v>0</v>
      </c>
      <c r="S130" s="35">
        <f>Yard!$Q$139</f>
        <v>-7.9087464708893999E-3</v>
      </c>
      <c r="T130" s="35">
        <f>Yard!$R$139</f>
        <v>0</v>
      </c>
      <c r="U130" s="35">
        <f>Yard!$S$139</f>
        <v>0</v>
      </c>
      <c r="V130" s="10"/>
      <c r="W130" s="10"/>
      <c r="X130" s="17"/>
    </row>
    <row r="131" spans="1:24">
      <c r="A131" s="4" t="s">
        <v>199</v>
      </c>
      <c r="B131" s="35">
        <f>Yard!$B$140</f>
        <v>0</v>
      </c>
      <c r="C131" s="35">
        <f>Yard!$C$140</f>
        <v>-1.7052675829808666E-2</v>
      </c>
      <c r="D131" s="35">
        <f>Yard!$D$140</f>
        <v>-6.7452777016808402E-3</v>
      </c>
      <c r="E131" s="35">
        <f>Yard!$E$140</f>
        <v>-1.7533919772290671E-2</v>
      </c>
      <c r="F131" s="35">
        <f>Yard!$F$140</f>
        <v>-1.1060456153979079E-2</v>
      </c>
      <c r="G131" s="35">
        <f>Yard!$G$140</f>
        <v>0</v>
      </c>
      <c r="H131" s="35">
        <f>Yard!$H$140</f>
        <v>-1.4056031059030479E-2</v>
      </c>
      <c r="I131" s="35">
        <f>Yard!$I$140</f>
        <v>0</v>
      </c>
      <c r="J131" s="35">
        <f>Yard!$J$140</f>
        <v>0</v>
      </c>
      <c r="K131" s="10"/>
      <c r="L131" s="10"/>
      <c r="M131" s="35">
        <f>Yard!$K$140</f>
        <v>-2.0530995028009815E-3</v>
      </c>
      <c r="N131" s="35">
        <f>Yard!$L$140</f>
        <v>-6.7163840528868214E-3</v>
      </c>
      <c r="O131" s="35">
        <f>Yard!$M$140</f>
        <v>-2.6567018595796874E-3</v>
      </c>
      <c r="P131" s="35">
        <f>Yard!$N$140</f>
        <v>-6.9059272760790694E-3</v>
      </c>
      <c r="Q131" s="35">
        <f>Yard!$O$140</f>
        <v>-4.3562823847494965E-3</v>
      </c>
      <c r="R131" s="35">
        <f>Yard!$P$140</f>
        <v>0</v>
      </c>
      <c r="S131" s="35">
        <f>Yard!$Q$140</f>
        <v>-7.9087464708893999E-3</v>
      </c>
      <c r="T131" s="35">
        <f>Yard!$R$140</f>
        <v>0</v>
      </c>
      <c r="U131" s="35">
        <f>Yard!$S$140</f>
        <v>0</v>
      </c>
      <c r="V131" s="10"/>
      <c r="W131" s="10"/>
      <c r="X131" s="17"/>
    </row>
    <row r="132" spans="1:24">
      <c r="A132" s="4" t="s">
        <v>207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7"/>
    </row>
    <row r="133" spans="1:24">
      <c r="A133" s="4" t="s">
        <v>208</v>
      </c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7"/>
    </row>
    <row r="134" spans="1:24">
      <c r="A134" s="4" t="s">
        <v>209</v>
      </c>
      <c r="B134" s="35">
        <f>Yard!$B$141</f>
        <v>0</v>
      </c>
      <c r="C134" s="35">
        <f>Yard!$C$141</f>
        <v>-1.6828342498465862E-2</v>
      </c>
      <c r="D134" s="35">
        <f>Yard!$D$141</f>
        <v>-6.6565414451101703E-3</v>
      </c>
      <c r="E134" s="35">
        <f>Yard!$E$141</f>
        <v>-1.7303255525032795E-2</v>
      </c>
      <c r="F134" s="35">
        <f>Yard!$F$141</f>
        <v>-4.6934295162004815E-3</v>
      </c>
      <c r="G134" s="35">
        <f>Yard!$G$141</f>
        <v>0</v>
      </c>
      <c r="H134" s="35">
        <f>Yard!$H$141</f>
        <v>0</v>
      </c>
      <c r="I134" s="35">
        <f>Yard!$I$141</f>
        <v>0</v>
      </c>
      <c r="J134" s="35">
        <f>Yard!$J$141</f>
        <v>0</v>
      </c>
      <c r="K134" s="10"/>
      <c r="L134" s="10"/>
      <c r="M134" s="35">
        <f>Yard!$K$141</f>
        <v>-2.0260903310065771E-3</v>
      </c>
      <c r="N134" s="35">
        <f>Yard!$L$141</f>
        <v>-6.6280279013831381E-3</v>
      </c>
      <c r="O134" s="35">
        <f>Yard!$M$141</f>
        <v>-2.6217521083211591E-3</v>
      </c>
      <c r="P134" s="35">
        <f>Yard!$N$141</f>
        <v>-6.8150776236658214E-3</v>
      </c>
      <c r="Q134" s="35">
        <f>Yard!$O$141</f>
        <v>-4.2989741153966867E-3</v>
      </c>
      <c r="R134" s="35">
        <f>Yard!$P$141</f>
        <v>0</v>
      </c>
      <c r="S134" s="35">
        <f>Yard!$Q$141</f>
        <v>0</v>
      </c>
      <c r="T134" s="35">
        <f>Yard!$R$141</f>
        <v>0</v>
      </c>
      <c r="U134" s="35">
        <f>Yard!$S$141</f>
        <v>0</v>
      </c>
      <c r="V134" s="10"/>
      <c r="W134" s="10"/>
      <c r="X134" s="17"/>
    </row>
    <row r="135" spans="1:24">
      <c r="A135" s="4" t="s">
        <v>210</v>
      </c>
      <c r="B135" s="35">
        <f>Yard!$B$142</f>
        <v>0</v>
      </c>
      <c r="C135" s="35">
        <f>Yard!$C$142</f>
        <v>-1.6828342498465862E-2</v>
      </c>
      <c r="D135" s="35">
        <f>Yard!$D$142</f>
        <v>-6.6565414451101703E-3</v>
      </c>
      <c r="E135" s="35">
        <f>Yard!$E$142</f>
        <v>-1.7303255525032795E-2</v>
      </c>
      <c r="F135" s="35">
        <f>Yard!$F$142</f>
        <v>-4.6934295162004815E-3</v>
      </c>
      <c r="G135" s="35">
        <f>Yard!$G$142</f>
        <v>0</v>
      </c>
      <c r="H135" s="35">
        <f>Yard!$H$142</f>
        <v>0</v>
      </c>
      <c r="I135" s="35">
        <f>Yard!$I$142</f>
        <v>0</v>
      </c>
      <c r="J135" s="35">
        <f>Yard!$J$142</f>
        <v>0</v>
      </c>
      <c r="K135" s="10"/>
      <c r="L135" s="10"/>
      <c r="M135" s="35">
        <f>Yard!$K$142</f>
        <v>-2.0260903310065771E-3</v>
      </c>
      <c r="N135" s="35">
        <f>Yard!$L$142</f>
        <v>-6.6280279013831381E-3</v>
      </c>
      <c r="O135" s="35">
        <f>Yard!$M$142</f>
        <v>-2.6217521083211591E-3</v>
      </c>
      <c r="P135" s="35">
        <f>Yard!$N$142</f>
        <v>-6.8150776236658214E-3</v>
      </c>
      <c r="Q135" s="35">
        <f>Yard!$O$142</f>
        <v>-4.2989741153966867E-3</v>
      </c>
      <c r="R135" s="35">
        <f>Yard!$P$142</f>
        <v>0</v>
      </c>
      <c r="S135" s="35">
        <f>Yard!$Q$142</f>
        <v>0</v>
      </c>
      <c r="T135" s="35">
        <f>Yard!$R$142</f>
        <v>0</v>
      </c>
      <c r="U135" s="35">
        <f>Yard!$S$142</f>
        <v>0</v>
      </c>
      <c r="V135" s="10"/>
      <c r="W135" s="10"/>
      <c r="X135" s="17"/>
    </row>
    <row r="137" spans="1:24" ht="21" customHeight="1">
      <c r="A137" s="1" t="s">
        <v>1109</v>
      </c>
    </row>
    <row r="138" spans="1:24">
      <c r="A138" s="2" t="s">
        <v>379</v>
      </c>
    </row>
    <row r="139" spans="1:24">
      <c r="A139" s="29" t="s">
        <v>1110</v>
      </c>
    </row>
    <row r="140" spans="1:24">
      <c r="A140" s="29" t="s">
        <v>1111</v>
      </c>
    </row>
    <row r="141" spans="1:24">
      <c r="A141" s="29" t="s">
        <v>1112</v>
      </c>
    </row>
    <row r="142" spans="1:24">
      <c r="A142" s="29" t="s">
        <v>1113</v>
      </c>
    </row>
    <row r="143" spans="1:24">
      <c r="A143" s="29" t="s">
        <v>1114</v>
      </c>
    </row>
    <row r="144" spans="1:24">
      <c r="A144" s="2" t="s">
        <v>468</v>
      </c>
    </row>
    <row r="146" spans="1:24" ht="30">
      <c r="B146" s="15" t="s">
        <v>148</v>
      </c>
      <c r="C146" s="15" t="s">
        <v>333</v>
      </c>
      <c r="D146" s="15" t="s">
        <v>334</v>
      </c>
      <c r="E146" s="15" t="s">
        <v>335</v>
      </c>
      <c r="F146" s="15" t="s">
        <v>336</v>
      </c>
      <c r="G146" s="15" t="s">
        <v>337</v>
      </c>
      <c r="H146" s="15" t="s">
        <v>338</v>
      </c>
      <c r="I146" s="15" t="s">
        <v>339</v>
      </c>
      <c r="J146" s="15" t="s">
        <v>340</v>
      </c>
      <c r="K146" s="15" t="s">
        <v>491</v>
      </c>
      <c r="L146" s="15" t="s">
        <v>503</v>
      </c>
      <c r="M146" s="15" t="s">
        <v>321</v>
      </c>
      <c r="N146" s="15" t="s">
        <v>909</v>
      </c>
      <c r="O146" s="15" t="s">
        <v>910</v>
      </c>
      <c r="P146" s="15" t="s">
        <v>911</v>
      </c>
      <c r="Q146" s="15" t="s">
        <v>912</v>
      </c>
      <c r="R146" s="15" t="s">
        <v>913</v>
      </c>
      <c r="S146" s="15" t="s">
        <v>914</v>
      </c>
      <c r="T146" s="15" t="s">
        <v>915</v>
      </c>
      <c r="U146" s="15" t="s">
        <v>916</v>
      </c>
      <c r="V146" s="15" t="s">
        <v>917</v>
      </c>
      <c r="W146" s="15" t="s">
        <v>918</v>
      </c>
    </row>
    <row r="147" spans="1:24">
      <c r="A147" s="4" t="s">
        <v>180</v>
      </c>
      <c r="B147" s="35">
        <f>AggCap!$B$89</f>
        <v>0</v>
      </c>
      <c r="C147" s="35">
        <f>AggCap!$C$89</f>
        <v>0</v>
      </c>
      <c r="D147" s="35">
        <f>AggCap!$D$89</f>
        <v>0</v>
      </c>
      <c r="E147" s="35">
        <f>AggCap!$E$89</f>
        <v>0</v>
      </c>
      <c r="F147" s="35">
        <f>AggCap!$F$89</f>
        <v>0</v>
      </c>
      <c r="G147" s="35">
        <f>AggCap!$G$89</f>
        <v>0</v>
      </c>
      <c r="H147" s="35">
        <f>AggCap!$H$89</f>
        <v>0</v>
      </c>
      <c r="I147" s="35">
        <f>AggCap!$I$89</f>
        <v>0</v>
      </c>
      <c r="J147" s="35">
        <f>AggCap!$J$89</f>
        <v>3.833111014469965E-2</v>
      </c>
      <c r="K147" s="35">
        <f>SM!$B$118</f>
        <v>0</v>
      </c>
      <c r="L147" s="35">
        <f>SM!$C$118</f>
        <v>0</v>
      </c>
      <c r="M147" s="35">
        <f>AggCap!$K$89</f>
        <v>0</v>
      </c>
      <c r="N147" s="35">
        <f>AggCap!$L$89</f>
        <v>0</v>
      </c>
      <c r="O147" s="35">
        <f>AggCap!$M$89</f>
        <v>0</v>
      </c>
      <c r="P147" s="35">
        <f>AggCap!$N$89</f>
        <v>0</v>
      </c>
      <c r="Q147" s="35">
        <f>AggCap!$O$89</f>
        <v>0</v>
      </c>
      <c r="R147" s="35">
        <f>AggCap!$P$89</f>
        <v>0</v>
      </c>
      <c r="S147" s="35">
        <f>AggCap!$Q$89</f>
        <v>0</v>
      </c>
      <c r="T147" s="35">
        <f>AggCap!$R$89</f>
        <v>0</v>
      </c>
      <c r="U147" s="35">
        <f>AggCap!$S$89</f>
        <v>0.5032376530907513</v>
      </c>
      <c r="V147" s="35">
        <f>Otex!$B$121</f>
        <v>2.9888206560198993</v>
      </c>
      <c r="W147" s="35">
        <f>Otex!$C$121</f>
        <v>0</v>
      </c>
      <c r="X147" s="17"/>
    </row>
    <row r="148" spans="1:24">
      <c r="A148" s="4" t="s">
        <v>181</v>
      </c>
      <c r="B148" s="35">
        <f>AggCap!$B$90</f>
        <v>0</v>
      </c>
      <c r="C148" s="35">
        <f>AggCap!$C$90</f>
        <v>0</v>
      </c>
      <c r="D148" s="35">
        <f>AggCap!$D$90</f>
        <v>0</v>
      </c>
      <c r="E148" s="35">
        <f>AggCap!$E$90</f>
        <v>0</v>
      </c>
      <c r="F148" s="35">
        <f>AggCap!$F$90</f>
        <v>0</v>
      </c>
      <c r="G148" s="35">
        <f>AggCap!$G$90</f>
        <v>0</v>
      </c>
      <c r="H148" s="35">
        <f>AggCap!$H$90</f>
        <v>0</v>
      </c>
      <c r="I148" s="35">
        <f>AggCap!$I$90</f>
        <v>0</v>
      </c>
      <c r="J148" s="35">
        <f>AggCap!$J$90</f>
        <v>3.833111014469965E-2</v>
      </c>
      <c r="K148" s="35">
        <f>SM!$B$119</f>
        <v>0</v>
      </c>
      <c r="L148" s="35">
        <f>SM!$C$119</f>
        <v>0</v>
      </c>
      <c r="M148" s="35">
        <f>AggCap!$K$90</f>
        <v>0</v>
      </c>
      <c r="N148" s="35">
        <f>AggCap!$L$90</f>
        <v>0</v>
      </c>
      <c r="O148" s="35">
        <f>AggCap!$M$90</f>
        <v>0</v>
      </c>
      <c r="P148" s="35">
        <f>AggCap!$N$90</f>
        <v>0</v>
      </c>
      <c r="Q148" s="35">
        <f>AggCap!$O$90</f>
        <v>0</v>
      </c>
      <c r="R148" s="35">
        <f>AggCap!$P$90</f>
        <v>0</v>
      </c>
      <c r="S148" s="35">
        <f>AggCap!$Q$90</f>
        <v>0</v>
      </c>
      <c r="T148" s="35">
        <f>AggCap!$R$90</f>
        <v>0</v>
      </c>
      <c r="U148" s="35">
        <f>AggCap!$S$90</f>
        <v>0.5032376530907513</v>
      </c>
      <c r="V148" s="35">
        <f>Otex!$B$122</f>
        <v>2.9888206560198993</v>
      </c>
      <c r="W148" s="35">
        <f>Otex!$C$122</f>
        <v>0</v>
      </c>
      <c r="X148" s="17"/>
    </row>
    <row r="149" spans="1:24">
      <c r="A149" s="4" t="s">
        <v>226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7"/>
    </row>
    <row r="150" spans="1:24">
      <c r="A150" s="4" t="s">
        <v>182</v>
      </c>
      <c r="B150" s="35">
        <f>AggCap!$B$91</f>
        <v>0</v>
      </c>
      <c r="C150" s="35">
        <f>AggCap!$C$91</f>
        <v>0</v>
      </c>
      <c r="D150" s="35">
        <f>AggCap!$D$91</f>
        <v>0</v>
      </c>
      <c r="E150" s="35">
        <f>AggCap!$E$91</f>
        <v>0</v>
      </c>
      <c r="F150" s="35">
        <f>AggCap!$F$91</f>
        <v>0</v>
      </c>
      <c r="G150" s="35">
        <f>AggCap!$G$91</f>
        <v>0</v>
      </c>
      <c r="H150" s="35">
        <f>AggCap!$H$91</f>
        <v>0</v>
      </c>
      <c r="I150" s="35">
        <f>AggCap!$I$91</f>
        <v>0</v>
      </c>
      <c r="J150" s="35">
        <f>AggCap!$J$91</f>
        <v>3.833111014469965E-2</v>
      </c>
      <c r="K150" s="35">
        <f>SM!$B$121</f>
        <v>0</v>
      </c>
      <c r="L150" s="35">
        <f>SM!$C$121</f>
        <v>0</v>
      </c>
      <c r="M150" s="35">
        <f>AggCap!$K$91</f>
        <v>0</v>
      </c>
      <c r="N150" s="35">
        <f>AggCap!$L$91</f>
        <v>0</v>
      </c>
      <c r="O150" s="35">
        <f>AggCap!$M$91</f>
        <v>0</v>
      </c>
      <c r="P150" s="35">
        <f>AggCap!$N$91</f>
        <v>0</v>
      </c>
      <c r="Q150" s="35">
        <f>AggCap!$O$91</f>
        <v>0</v>
      </c>
      <c r="R150" s="35">
        <f>AggCap!$P$91</f>
        <v>0</v>
      </c>
      <c r="S150" s="35">
        <f>AggCap!$Q$91</f>
        <v>0</v>
      </c>
      <c r="T150" s="35">
        <f>AggCap!$R$91</f>
        <v>0</v>
      </c>
      <c r="U150" s="35">
        <f>AggCap!$S$91</f>
        <v>0.5032376530907513</v>
      </c>
      <c r="V150" s="35">
        <f>Otex!$B$124</f>
        <v>2.9888206560198993</v>
      </c>
      <c r="W150" s="35">
        <f>Otex!$C$124</f>
        <v>0</v>
      </c>
      <c r="X150" s="17"/>
    </row>
    <row r="151" spans="1:24">
      <c r="A151" s="4" t="s">
        <v>183</v>
      </c>
      <c r="B151" s="35">
        <f>AggCap!$B$92</f>
        <v>0</v>
      </c>
      <c r="C151" s="35">
        <f>AggCap!$C$92</f>
        <v>0</v>
      </c>
      <c r="D151" s="35">
        <f>AggCap!$D$92</f>
        <v>0</v>
      </c>
      <c r="E151" s="35">
        <f>AggCap!$E$92</f>
        <v>0</v>
      </c>
      <c r="F151" s="35">
        <f>AggCap!$F$92</f>
        <v>0</v>
      </c>
      <c r="G151" s="35">
        <f>AggCap!$G$92</f>
        <v>0</v>
      </c>
      <c r="H151" s="35">
        <f>AggCap!$H$92</f>
        <v>0</v>
      </c>
      <c r="I151" s="35">
        <f>AggCap!$I$92</f>
        <v>0</v>
      </c>
      <c r="J151" s="35">
        <f>AggCap!$J$92</f>
        <v>3.833111014469965E-2</v>
      </c>
      <c r="K151" s="35">
        <f>SM!$B$122</f>
        <v>0</v>
      </c>
      <c r="L151" s="35">
        <f>SM!$C$122</f>
        <v>0</v>
      </c>
      <c r="M151" s="35">
        <f>AggCap!$K$92</f>
        <v>0</v>
      </c>
      <c r="N151" s="35">
        <f>AggCap!$L$92</f>
        <v>0</v>
      </c>
      <c r="O151" s="35">
        <f>AggCap!$M$92</f>
        <v>0</v>
      </c>
      <c r="P151" s="35">
        <f>AggCap!$N$92</f>
        <v>0</v>
      </c>
      <c r="Q151" s="35">
        <f>AggCap!$O$92</f>
        <v>0</v>
      </c>
      <c r="R151" s="35">
        <f>AggCap!$P$92</f>
        <v>0</v>
      </c>
      <c r="S151" s="35">
        <f>AggCap!$Q$92</f>
        <v>0</v>
      </c>
      <c r="T151" s="35">
        <f>AggCap!$R$92</f>
        <v>0</v>
      </c>
      <c r="U151" s="35">
        <f>AggCap!$S$92</f>
        <v>0.5032376530907513</v>
      </c>
      <c r="V151" s="35">
        <f>Otex!$B$125</f>
        <v>2.9888206560198993</v>
      </c>
      <c r="W151" s="35">
        <f>Otex!$C$125</f>
        <v>0</v>
      </c>
      <c r="X151" s="17"/>
    </row>
    <row r="152" spans="1:24">
      <c r="A152" s="4" t="s">
        <v>227</v>
      </c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7"/>
    </row>
    <row r="153" spans="1:24">
      <c r="A153" s="4" t="s">
        <v>184</v>
      </c>
      <c r="B153" s="35">
        <f>AggCap!$B$93</f>
        <v>0</v>
      </c>
      <c r="C153" s="35">
        <f>AggCap!$C$93</f>
        <v>0</v>
      </c>
      <c r="D153" s="35">
        <f>AggCap!$D$93</f>
        <v>0</v>
      </c>
      <c r="E153" s="35">
        <f>AggCap!$E$93</f>
        <v>0</v>
      </c>
      <c r="F153" s="35">
        <f>AggCap!$F$93</f>
        <v>0</v>
      </c>
      <c r="G153" s="35">
        <f>AggCap!$G$93</f>
        <v>0</v>
      </c>
      <c r="H153" s="35">
        <f>AggCap!$H$93</f>
        <v>0</v>
      </c>
      <c r="I153" s="35">
        <f>AggCap!$I$93</f>
        <v>0</v>
      </c>
      <c r="J153" s="35">
        <f>AggCap!$J$93</f>
        <v>0.47330969513416726</v>
      </c>
      <c r="K153" s="35">
        <f>SM!$B$124</f>
        <v>0</v>
      </c>
      <c r="L153" s="35">
        <f>SM!$C$124</f>
        <v>0</v>
      </c>
      <c r="M153" s="35">
        <f>AggCap!$K$93</f>
        <v>0</v>
      </c>
      <c r="N153" s="35">
        <f>AggCap!$L$93</f>
        <v>0</v>
      </c>
      <c r="O153" s="35">
        <f>AggCap!$M$93</f>
        <v>0</v>
      </c>
      <c r="P153" s="35">
        <f>AggCap!$N$93</f>
        <v>0</v>
      </c>
      <c r="Q153" s="35">
        <f>AggCap!$O$93</f>
        <v>0</v>
      </c>
      <c r="R153" s="35">
        <f>AggCap!$P$93</f>
        <v>0</v>
      </c>
      <c r="S153" s="35">
        <f>AggCap!$Q$93</f>
        <v>0</v>
      </c>
      <c r="T153" s="35">
        <f>AggCap!$R$93</f>
        <v>0</v>
      </c>
      <c r="U153" s="35">
        <f>AggCap!$S$93</f>
        <v>6.2139410850680354</v>
      </c>
      <c r="V153" s="35">
        <f>Otex!$B$127</f>
        <v>11.405697703635974</v>
      </c>
      <c r="W153" s="35">
        <f>Otex!$C$127</f>
        <v>0</v>
      </c>
      <c r="X153" s="17"/>
    </row>
    <row r="154" spans="1:24">
      <c r="A154" s="4" t="s">
        <v>185</v>
      </c>
      <c r="B154" s="35">
        <f>AggCap!$B$94</f>
        <v>0</v>
      </c>
      <c r="C154" s="35">
        <f>AggCap!$C$94</f>
        <v>0</v>
      </c>
      <c r="D154" s="35">
        <f>AggCap!$D$94</f>
        <v>0</v>
      </c>
      <c r="E154" s="35">
        <f>AggCap!$E$94</f>
        <v>0</v>
      </c>
      <c r="F154" s="35">
        <f>AggCap!$F$94</f>
        <v>0</v>
      </c>
      <c r="G154" s="35">
        <f>AggCap!$G$94</f>
        <v>0</v>
      </c>
      <c r="H154" s="35">
        <f>AggCap!$H$94</f>
        <v>0</v>
      </c>
      <c r="I154" s="35">
        <f>AggCap!$I$94</f>
        <v>6.1356728015637225</v>
      </c>
      <c r="J154" s="35">
        <f>AggCap!$J$94</f>
        <v>0</v>
      </c>
      <c r="K154" s="35">
        <f>SM!$B$125</f>
        <v>0</v>
      </c>
      <c r="L154" s="35">
        <f>SM!$C$125</f>
        <v>0</v>
      </c>
      <c r="M154" s="35">
        <f>AggCap!$K$94</f>
        <v>0</v>
      </c>
      <c r="N154" s="35">
        <f>AggCap!$L$94</f>
        <v>0</v>
      </c>
      <c r="O154" s="35">
        <f>AggCap!$M$94</f>
        <v>0</v>
      </c>
      <c r="P154" s="35">
        <f>AggCap!$N$94</f>
        <v>0</v>
      </c>
      <c r="Q154" s="35">
        <f>AggCap!$O$94</f>
        <v>0</v>
      </c>
      <c r="R154" s="35">
        <f>AggCap!$P$94</f>
        <v>0</v>
      </c>
      <c r="S154" s="35">
        <f>AggCap!$Q$94</f>
        <v>0</v>
      </c>
      <c r="T154" s="35">
        <f>AggCap!$R$94</f>
        <v>80.553408683850591</v>
      </c>
      <c r="U154" s="35">
        <f>AggCap!$S$94</f>
        <v>0</v>
      </c>
      <c r="V154" s="35">
        <f>Otex!$B$128</f>
        <v>45.106413068356694</v>
      </c>
      <c r="W154" s="35">
        <f>Otex!$C$128</f>
        <v>0</v>
      </c>
      <c r="X154" s="17"/>
    </row>
    <row r="155" spans="1:24">
      <c r="A155" s="4" t="s">
        <v>205</v>
      </c>
      <c r="B155" s="35">
        <f>AggCap!$B$95</f>
        <v>0</v>
      </c>
      <c r="C155" s="35">
        <f>AggCap!$C$95</f>
        <v>0</v>
      </c>
      <c r="D155" s="35">
        <f>AggCap!$D$95</f>
        <v>0</v>
      </c>
      <c r="E155" s="35">
        <f>AggCap!$E$95</f>
        <v>175.74571374391957</v>
      </c>
      <c r="F155" s="35">
        <f>AggCap!$F$95</f>
        <v>238.35113543752311</v>
      </c>
      <c r="G155" s="35">
        <f>AggCap!$G$95</f>
        <v>0</v>
      </c>
      <c r="H155" s="35">
        <f>AggCap!$H$95</f>
        <v>73.098951543433486</v>
      </c>
      <c r="I155" s="35">
        <f>AggCap!$I$95</f>
        <v>0</v>
      </c>
      <c r="J155" s="35">
        <f>AggCap!$J$95</f>
        <v>0</v>
      </c>
      <c r="K155" s="35">
        <f>SM!$B$126</f>
        <v>0</v>
      </c>
      <c r="L155" s="35">
        <f>SM!$C$126</f>
        <v>0</v>
      </c>
      <c r="M155" s="35">
        <f>AggCap!$K$95</f>
        <v>0</v>
      </c>
      <c r="N155" s="35">
        <f>AggCap!$L$95</f>
        <v>0</v>
      </c>
      <c r="O155" s="35">
        <f>AggCap!$M$95</f>
        <v>0</v>
      </c>
      <c r="P155" s="35">
        <f>AggCap!$N$95</f>
        <v>69.219383569676253</v>
      </c>
      <c r="Q155" s="35">
        <f>AggCap!$O$95</f>
        <v>218.31911144813142</v>
      </c>
      <c r="R155" s="35">
        <f>AggCap!$P$95</f>
        <v>0</v>
      </c>
      <c r="S155" s="35">
        <f>AggCap!$Q$95</f>
        <v>319.89807303818952</v>
      </c>
      <c r="T155" s="35">
        <f>AggCap!$R$95</f>
        <v>0</v>
      </c>
      <c r="U155" s="35">
        <f>AggCap!$S$95</f>
        <v>0</v>
      </c>
      <c r="V155" s="35">
        <f>Otex!$B$129</f>
        <v>0</v>
      </c>
      <c r="W155" s="35">
        <f>Otex!$C$129</f>
        <v>99.182988171499503</v>
      </c>
      <c r="X155" s="17"/>
    </row>
    <row r="156" spans="1:24">
      <c r="A156" s="4" t="s">
        <v>186</v>
      </c>
      <c r="B156" s="35">
        <f>AggCap!$B$96</f>
        <v>0</v>
      </c>
      <c r="C156" s="35">
        <f>AggCap!$C$96</f>
        <v>0</v>
      </c>
      <c r="D156" s="35">
        <f>AggCap!$D$96</f>
        <v>0</v>
      </c>
      <c r="E156" s="35">
        <f>AggCap!$E$96</f>
        <v>0</v>
      </c>
      <c r="F156" s="35">
        <f>AggCap!$F$96</f>
        <v>0</v>
      </c>
      <c r="G156" s="35">
        <f>AggCap!$G$96</f>
        <v>0</v>
      </c>
      <c r="H156" s="35">
        <f>AggCap!$H$96</f>
        <v>0</v>
      </c>
      <c r="I156" s="35">
        <f>AggCap!$I$96</f>
        <v>0</v>
      </c>
      <c r="J156" s="35">
        <f>AggCap!$J$96</f>
        <v>3.833111014469965E-2</v>
      </c>
      <c r="K156" s="35">
        <f>SM!$B$127</f>
        <v>0</v>
      </c>
      <c r="L156" s="35">
        <f>SM!$C$127</f>
        <v>0</v>
      </c>
      <c r="M156" s="35">
        <f>AggCap!$K$96</f>
        <v>0</v>
      </c>
      <c r="N156" s="35">
        <f>AggCap!$L$96</f>
        <v>0</v>
      </c>
      <c r="O156" s="35">
        <f>AggCap!$M$96</f>
        <v>0</v>
      </c>
      <c r="P156" s="35">
        <f>AggCap!$N$96</f>
        <v>0</v>
      </c>
      <c r="Q156" s="35">
        <f>AggCap!$O$96</f>
        <v>0</v>
      </c>
      <c r="R156" s="35">
        <f>AggCap!$P$96</f>
        <v>0</v>
      </c>
      <c r="S156" s="35">
        <f>AggCap!$Q$96</f>
        <v>0</v>
      </c>
      <c r="T156" s="35">
        <f>AggCap!$R$96</f>
        <v>0</v>
      </c>
      <c r="U156" s="35">
        <f>AggCap!$S$96</f>
        <v>0.5032376530907513</v>
      </c>
      <c r="V156" s="35">
        <f>Otex!$B$130</f>
        <v>2.9888206560198993</v>
      </c>
      <c r="W156" s="35">
        <f>Otex!$C$130</f>
        <v>0</v>
      </c>
      <c r="X156" s="17"/>
    </row>
    <row r="157" spans="1:24">
      <c r="A157" s="4" t="s">
        <v>187</v>
      </c>
      <c r="B157" s="35">
        <f>AggCap!$B$97</f>
        <v>0</v>
      </c>
      <c r="C157" s="35">
        <f>AggCap!$C$97</f>
        <v>0</v>
      </c>
      <c r="D157" s="35">
        <f>AggCap!$D$97</f>
        <v>0</v>
      </c>
      <c r="E157" s="35">
        <f>AggCap!$E$97</f>
        <v>0</v>
      </c>
      <c r="F157" s="35">
        <f>AggCap!$F$97</f>
        <v>0</v>
      </c>
      <c r="G157" s="35">
        <f>AggCap!$G$97</f>
        <v>0</v>
      </c>
      <c r="H157" s="35">
        <f>AggCap!$H$97</f>
        <v>0</v>
      </c>
      <c r="I157" s="35">
        <f>AggCap!$I$97</f>
        <v>0</v>
      </c>
      <c r="J157" s="35">
        <f>AggCap!$J$97</f>
        <v>3.833111014469965E-2</v>
      </c>
      <c r="K157" s="35">
        <f>SM!$B$128</f>
        <v>0</v>
      </c>
      <c r="L157" s="35">
        <f>SM!$C$128</f>
        <v>0</v>
      </c>
      <c r="M157" s="35">
        <f>AggCap!$K$97</f>
        <v>0</v>
      </c>
      <c r="N157" s="35">
        <f>AggCap!$L$97</f>
        <v>0</v>
      </c>
      <c r="O157" s="35">
        <f>AggCap!$M$97</f>
        <v>0</v>
      </c>
      <c r="P157" s="35">
        <f>AggCap!$N$97</f>
        <v>0</v>
      </c>
      <c r="Q157" s="35">
        <f>AggCap!$O$97</f>
        <v>0</v>
      </c>
      <c r="R157" s="35">
        <f>AggCap!$P$97</f>
        <v>0</v>
      </c>
      <c r="S157" s="35">
        <f>AggCap!$Q$97</f>
        <v>0</v>
      </c>
      <c r="T157" s="35">
        <f>AggCap!$R$97</f>
        <v>0</v>
      </c>
      <c r="U157" s="35">
        <f>AggCap!$S$97</f>
        <v>0.5032376530907513</v>
      </c>
      <c r="V157" s="35">
        <f>Otex!$B$131</f>
        <v>2.9888206560198993</v>
      </c>
      <c r="W157" s="35">
        <f>Otex!$C$131</f>
        <v>0</v>
      </c>
      <c r="X157" s="17"/>
    </row>
    <row r="158" spans="1:24">
      <c r="A158" s="4" t="s">
        <v>188</v>
      </c>
      <c r="B158" s="10"/>
      <c r="C158" s="10"/>
      <c r="D158" s="10"/>
      <c r="E158" s="10"/>
      <c r="F158" s="10"/>
      <c r="G158" s="10"/>
      <c r="H158" s="10"/>
      <c r="I158" s="10"/>
      <c r="J158" s="10"/>
      <c r="K158" s="35">
        <f>SM!$B$129</f>
        <v>0</v>
      </c>
      <c r="L158" s="35">
        <f>SM!$C$129</f>
        <v>0</v>
      </c>
      <c r="M158" s="10"/>
      <c r="N158" s="10"/>
      <c r="O158" s="10"/>
      <c r="P158" s="10"/>
      <c r="Q158" s="10"/>
      <c r="R158" s="10"/>
      <c r="S158" s="10"/>
      <c r="T158" s="10"/>
      <c r="U158" s="10"/>
      <c r="V158" s="35">
        <f>Otex!$B$132</f>
        <v>14.051320860512647</v>
      </c>
      <c r="W158" s="35">
        <f>Otex!$C$132</f>
        <v>0</v>
      </c>
      <c r="X158" s="17"/>
    </row>
    <row r="159" spans="1:24">
      <c r="A159" s="4" t="s">
        <v>189</v>
      </c>
      <c r="B159" s="10"/>
      <c r="C159" s="10"/>
      <c r="D159" s="10"/>
      <c r="E159" s="10"/>
      <c r="F159" s="10"/>
      <c r="G159" s="10"/>
      <c r="H159" s="10"/>
      <c r="I159" s="10"/>
      <c r="J159" s="10"/>
      <c r="K159" s="35">
        <f>SM!$B$130</f>
        <v>0</v>
      </c>
      <c r="L159" s="35">
        <f>SM!$C$130</f>
        <v>0</v>
      </c>
      <c r="M159" s="10"/>
      <c r="N159" s="10"/>
      <c r="O159" s="10"/>
      <c r="P159" s="10"/>
      <c r="Q159" s="10"/>
      <c r="R159" s="10"/>
      <c r="S159" s="10"/>
      <c r="T159" s="10"/>
      <c r="U159" s="10"/>
      <c r="V159" s="35">
        <f>Otex!$B$133</f>
        <v>45.106413068356694</v>
      </c>
      <c r="W159" s="35">
        <f>Otex!$C$133</f>
        <v>0</v>
      </c>
      <c r="X159" s="17"/>
    </row>
    <row r="160" spans="1:24">
      <c r="A160" s="4" t="s">
        <v>206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35">
        <f>SM!$B$131</f>
        <v>0</v>
      </c>
      <c r="L160" s="35">
        <f>SM!$C$131</f>
        <v>0</v>
      </c>
      <c r="M160" s="10"/>
      <c r="N160" s="10"/>
      <c r="O160" s="10"/>
      <c r="P160" s="10"/>
      <c r="Q160" s="10"/>
      <c r="R160" s="10"/>
      <c r="S160" s="10"/>
      <c r="T160" s="10"/>
      <c r="U160" s="10"/>
      <c r="V160" s="35">
        <f>Otex!$B$134</f>
        <v>0</v>
      </c>
      <c r="W160" s="35">
        <f>Otex!$C$134</f>
        <v>99.182988171499503</v>
      </c>
      <c r="X160" s="17"/>
    </row>
    <row r="161" spans="1:24">
      <c r="A161" s="4" t="s">
        <v>228</v>
      </c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7"/>
    </row>
    <row r="162" spans="1:24">
      <c r="A162" s="4" t="s">
        <v>229</v>
      </c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7"/>
    </row>
    <row r="163" spans="1:24">
      <c r="A163" s="4" t="s">
        <v>230</v>
      </c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7"/>
    </row>
    <row r="164" spans="1:24">
      <c r="A164" s="4" t="s">
        <v>231</v>
      </c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7"/>
    </row>
    <row r="165" spans="1:24">
      <c r="A165" s="4" t="s">
        <v>232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7"/>
    </row>
    <row r="166" spans="1:24">
      <c r="A166" s="4" t="s">
        <v>190</v>
      </c>
      <c r="B166" s="10"/>
      <c r="C166" s="10"/>
      <c r="D166" s="10"/>
      <c r="E166" s="10"/>
      <c r="F166" s="10"/>
      <c r="G166" s="10"/>
      <c r="H166" s="10"/>
      <c r="I166" s="10"/>
      <c r="J166" s="10"/>
      <c r="K166" s="35">
        <f>SM!$B$137</f>
        <v>0</v>
      </c>
      <c r="L166" s="35">
        <f>SM!$C$137</f>
        <v>0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35">
        <f>Otex!$B$140</f>
        <v>0</v>
      </c>
      <c r="W166" s="35">
        <f>Otex!$C$140</f>
        <v>0</v>
      </c>
      <c r="X166" s="17"/>
    </row>
    <row r="167" spans="1:24">
      <c r="A167" s="4" t="s">
        <v>191</v>
      </c>
      <c r="B167" s="10"/>
      <c r="C167" s="10"/>
      <c r="D167" s="10"/>
      <c r="E167" s="10"/>
      <c r="F167" s="10"/>
      <c r="G167" s="10"/>
      <c r="H167" s="10"/>
      <c r="I167" s="10"/>
      <c r="J167" s="10"/>
      <c r="K167" s="35">
        <f>SM!$B$138</f>
        <v>0</v>
      </c>
      <c r="L167" s="35">
        <f>SM!$C$138</f>
        <v>0</v>
      </c>
      <c r="M167" s="10"/>
      <c r="N167" s="10"/>
      <c r="O167" s="10"/>
      <c r="P167" s="10"/>
      <c r="Q167" s="10"/>
      <c r="R167" s="10"/>
      <c r="S167" s="10"/>
      <c r="T167" s="10"/>
      <c r="U167" s="10"/>
      <c r="V167" s="35">
        <f>Otex!$B$141</f>
        <v>0</v>
      </c>
      <c r="W167" s="35">
        <f>Otex!$C$141</f>
        <v>0</v>
      </c>
      <c r="X167" s="17"/>
    </row>
    <row r="168" spans="1:24">
      <c r="A168" s="4" t="s">
        <v>192</v>
      </c>
      <c r="B168" s="10"/>
      <c r="C168" s="10"/>
      <c r="D168" s="10"/>
      <c r="E168" s="10"/>
      <c r="F168" s="10"/>
      <c r="G168" s="10"/>
      <c r="H168" s="10"/>
      <c r="I168" s="10"/>
      <c r="J168" s="10"/>
      <c r="K168" s="35">
        <f>SM!$B$139</f>
        <v>0</v>
      </c>
      <c r="L168" s="35">
        <f>SM!$C$139</f>
        <v>0</v>
      </c>
      <c r="M168" s="10"/>
      <c r="N168" s="10"/>
      <c r="O168" s="10"/>
      <c r="P168" s="10"/>
      <c r="Q168" s="10"/>
      <c r="R168" s="10"/>
      <c r="S168" s="10"/>
      <c r="T168" s="10"/>
      <c r="U168" s="10"/>
      <c r="V168" s="35">
        <f>Otex!$B$142</f>
        <v>0</v>
      </c>
      <c r="W168" s="35">
        <f>Otex!$C$142</f>
        <v>0</v>
      </c>
      <c r="X168" s="17"/>
    </row>
    <row r="169" spans="1:24">
      <c r="A169" s="4" t="s">
        <v>193</v>
      </c>
      <c r="B169" s="10"/>
      <c r="C169" s="10"/>
      <c r="D169" s="10"/>
      <c r="E169" s="10"/>
      <c r="F169" s="10"/>
      <c r="G169" s="10"/>
      <c r="H169" s="10"/>
      <c r="I169" s="10"/>
      <c r="J169" s="10"/>
      <c r="K169" s="35">
        <f>SM!$B$140</f>
        <v>0</v>
      </c>
      <c r="L169" s="35">
        <f>SM!$C$140</f>
        <v>0</v>
      </c>
      <c r="M169" s="10"/>
      <c r="N169" s="10"/>
      <c r="O169" s="10"/>
      <c r="P169" s="10"/>
      <c r="Q169" s="10"/>
      <c r="R169" s="10"/>
      <c r="S169" s="10"/>
      <c r="T169" s="10"/>
      <c r="U169" s="10"/>
      <c r="V169" s="35">
        <f>Otex!$B$143</f>
        <v>0</v>
      </c>
      <c r="W169" s="35">
        <f>Otex!$C$143</f>
        <v>0</v>
      </c>
      <c r="X169" s="17"/>
    </row>
    <row r="170" spans="1:24">
      <c r="A170" s="4" t="s">
        <v>194</v>
      </c>
      <c r="B170" s="10"/>
      <c r="C170" s="10"/>
      <c r="D170" s="10"/>
      <c r="E170" s="10"/>
      <c r="F170" s="10"/>
      <c r="G170" s="10"/>
      <c r="H170" s="10"/>
      <c r="I170" s="10"/>
      <c r="J170" s="10"/>
      <c r="K170" s="35">
        <f>SM!$B$141</f>
        <v>0</v>
      </c>
      <c r="L170" s="35">
        <f>SM!$C$141</f>
        <v>0</v>
      </c>
      <c r="M170" s="10"/>
      <c r="N170" s="10"/>
      <c r="O170" s="10"/>
      <c r="P170" s="10"/>
      <c r="Q170" s="10"/>
      <c r="R170" s="10"/>
      <c r="S170" s="10"/>
      <c r="T170" s="10"/>
      <c r="U170" s="10"/>
      <c r="V170" s="35">
        <f>Otex!$B$144</f>
        <v>0</v>
      </c>
      <c r="W170" s="35">
        <f>Otex!$C$144</f>
        <v>0</v>
      </c>
      <c r="X170" s="17"/>
    </row>
    <row r="171" spans="1:24">
      <c r="A171" s="4" t="s">
        <v>195</v>
      </c>
      <c r="B171" s="10"/>
      <c r="C171" s="10"/>
      <c r="D171" s="10"/>
      <c r="E171" s="10"/>
      <c r="F171" s="10"/>
      <c r="G171" s="10"/>
      <c r="H171" s="10"/>
      <c r="I171" s="10"/>
      <c r="J171" s="10"/>
      <c r="K171" s="35">
        <f>SM!$B$142</f>
        <v>0</v>
      </c>
      <c r="L171" s="35">
        <f>SM!$C$142</f>
        <v>0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35">
        <f>Otex!$B$145</f>
        <v>0</v>
      </c>
      <c r="W171" s="35">
        <f>Otex!$C$145</f>
        <v>0</v>
      </c>
      <c r="X171" s="17"/>
    </row>
    <row r="172" spans="1:24">
      <c r="A172" s="4" t="s">
        <v>196</v>
      </c>
      <c r="B172" s="10"/>
      <c r="C172" s="10"/>
      <c r="D172" s="10"/>
      <c r="E172" s="10"/>
      <c r="F172" s="10"/>
      <c r="G172" s="10"/>
      <c r="H172" s="10"/>
      <c r="I172" s="10"/>
      <c r="J172" s="10"/>
      <c r="K172" s="35">
        <f>SM!$B$143</f>
        <v>0</v>
      </c>
      <c r="L172" s="35">
        <f>SM!$C$143</f>
        <v>0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35">
        <f>Otex!$B$146</f>
        <v>0</v>
      </c>
      <c r="W172" s="35">
        <f>Otex!$C$146</f>
        <v>0</v>
      </c>
      <c r="X172" s="17"/>
    </row>
    <row r="173" spans="1:24">
      <c r="A173" s="4" t="s">
        <v>197</v>
      </c>
      <c r="B173" s="10"/>
      <c r="C173" s="10"/>
      <c r="D173" s="10"/>
      <c r="E173" s="10"/>
      <c r="F173" s="10"/>
      <c r="G173" s="10"/>
      <c r="H173" s="10"/>
      <c r="I173" s="10"/>
      <c r="J173" s="10"/>
      <c r="K173" s="35">
        <f>SM!$B$144</f>
        <v>0</v>
      </c>
      <c r="L173" s="35">
        <f>SM!$C$144</f>
        <v>0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35">
        <f>Otex!$B$147</f>
        <v>0</v>
      </c>
      <c r="W173" s="35">
        <f>Otex!$C$147</f>
        <v>0</v>
      </c>
      <c r="X173" s="17"/>
    </row>
    <row r="174" spans="1:24">
      <c r="A174" s="4" t="s">
        <v>198</v>
      </c>
      <c r="B174" s="10"/>
      <c r="C174" s="10"/>
      <c r="D174" s="10"/>
      <c r="E174" s="10"/>
      <c r="F174" s="10"/>
      <c r="G174" s="10"/>
      <c r="H174" s="10"/>
      <c r="I174" s="10"/>
      <c r="J174" s="10"/>
      <c r="K174" s="35">
        <f>SM!$B$145</f>
        <v>0</v>
      </c>
      <c r="L174" s="35">
        <f>SM!$C$145</f>
        <v>0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35">
        <f>Otex!$B$148</f>
        <v>0</v>
      </c>
      <c r="W174" s="35">
        <f>Otex!$C$148</f>
        <v>0</v>
      </c>
      <c r="X174" s="17"/>
    </row>
    <row r="175" spans="1:24">
      <c r="A175" s="4" t="s">
        <v>199</v>
      </c>
      <c r="B175" s="10"/>
      <c r="C175" s="10"/>
      <c r="D175" s="10"/>
      <c r="E175" s="10"/>
      <c r="F175" s="10"/>
      <c r="G175" s="10"/>
      <c r="H175" s="10"/>
      <c r="I175" s="10"/>
      <c r="J175" s="10"/>
      <c r="K175" s="35">
        <f>SM!$B$146</f>
        <v>0</v>
      </c>
      <c r="L175" s="35">
        <f>SM!$C$146</f>
        <v>0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35">
        <f>Otex!$B$149</f>
        <v>0</v>
      </c>
      <c r="W175" s="35">
        <f>Otex!$C$149</f>
        <v>0</v>
      </c>
      <c r="X175" s="17"/>
    </row>
    <row r="176" spans="1:24">
      <c r="A176" s="4" t="s">
        <v>207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35">
        <f>SM!$B$147</f>
        <v>0</v>
      </c>
      <c r="L176" s="35">
        <f>SM!$C$147</f>
        <v>0</v>
      </c>
      <c r="M176" s="10"/>
      <c r="N176" s="10"/>
      <c r="O176" s="10"/>
      <c r="P176" s="10"/>
      <c r="Q176" s="10"/>
      <c r="R176" s="10"/>
      <c r="S176" s="10"/>
      <c r="T176" s="10"/>
      <c r="U176" s="10"/>
      <c r="V176" s="35">
        <f>Otex!$B$150</f>
        <v>0</v>
      </c>
      <c r="W176" s="35">
        <f>Otex!$C$150</f>
        <v>6.6786577800535563</v>
      </c>
      <c r="X176" s="17"/>
    </row>
    <row r="177" spans="1:24">
      <c r="A177" s="4" t="s">
        <v>208</v>
      </c>
      <c r="B177" s="10"/>
      <c r="C177" s="10"/>
      <c r="D177" s="10"/>
      <c r="E177" s="10"/>
      <c r="F177" s="10"/>
      <c r="G177" s="10"/>
      <c r="H177" s="10"/>
      <c r="I177" s="10"/>
      <c r="J177" s="10"/>
      <c r="K177" s="35">
        <f>SM!$B$148</f>
        <v>0</v>
      </c>
      <c r="L177" s="35">
        <f>SM!$C$148</f>
        <v>0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35">
        <f>Otex!$B$151</f>
        <v>0</v>
      </c>
      <c r="W177" s="35">
        <f>Otex!$C$151</f>
        <v>6.6786577800535563</v>
      </c>
      <c r="X177" s="17"/>
    </row>
    <row r="178" spans="1:24">
      <c r="A178" s="4" t="s">
        <v>209</v>
      </c>
      <c r="B178" s="10"/>
      <c r="C178" s="10"/>
      <c r="D178" s="10"/>
      <c r="E178" s="10"/>
      <c r="F178" s="10"/>
      <c r="G178" s="10"/>
      <c r="H178" s="10"/>
      <c r="I178" s="10"/>
      <c r="J178" s="10"/>
      <c r="K178" s="35">
        <f>SM!$B$149</f>
        <v>0</v>
      </c>
      <c r="L178" s="35">
        <f>SM!$C$149</f>
        <v>0</v>
      </c>
      <c r="M178" s="10"/>
      <c r="N178" s="10"/>
      <c r="O178" s="10"/>
      <c r="P178" s="10"/>
      <c r="Q178" s="10"/>
      <c r="R178" s="10"/>
      <c r="S178" s="10"/>
      <c r="T178" s="10"/>
      <c r="U178" s="10"/>
      <c r="V178" s="35">
        <f>Otex!$B$152</f>
        <v>0</v>
      </c>
      <c r="W178" s="35">
        <f>Otex!$C$152</f>
        <v>6.6786577800535563</v>
      </c>
      <c r="X178" s="17"/>
    </row>
    <row r="179" spans="1:24">
      <c r="A179" s="4" t="s">
        <v>210</v>
      </c>
      <c r="B179" s="10"/>
      <c r="C179" s="10"/>
      <c r="D179" s="10"/>
      <c r="E179" s="10"/>
      <c r="F179" s="10"/>
      <c r="G179" s="10"/>
      <c r="H179" s="10"/>
      <c r="I179" s="10"/>
      <c r="J179" s="10"/>
      <c r="K179" s="35">
        <f>SM!$B$150</f>
        <v>0</v>
      </c>
      <c r="L179" s="35">
        <f>SM!$C$150</f>
        <v>0</v>
      </c>
      <c r="M179" s="10"/>
      <c r="N179" s="10"/>
      <c r="O179" s="10"/>
      <c r="P179" s="10"/>
      <c r="Q179" s="10"/>
      <c r="R179" s="10"/>
      <c r="S179" s="10"/>
      <c r="T179" s="10"/>
      <c r="U179" s="10"/>
      <c r="V179" s="35">
        <f>Otex!$B$153</f>
        <v>0</v>
      </c>
      <c r="W179" s="35">
        <f>Otex!$C$153</f>
        <v>6.6786577800535563</v>
      </c>
      <c r="X179" s="17"/>
    </row>
    <row r="181" spans="1:24" ht="21" customHeight="1">
      <c r="A181" s="1" t="s">
        <v>1115</v>
      </c>
    </row>
    <row r="182" spans="1:24">
      <c r="A182" s="2" t="s">
        <v>379</v>
      </c>
    </row>
    <row r="183" spans="1:24">
      <c r="A183" s="29" t="s">
        <v>1116</v>
      </c>
    </row>
    <row r="184" spans="1:24">
      <c r="A184" s="2" t="s">
        <v>665</v>
      </c>
    </row>
    <row r="186" spans="1:24" ht="30">
      <c r="B186" s="15" t="s">
        <v>148</v>
      </c>
      <c r="C186" s="15" t="s">
        <v>333</v>
      </c>
      <c r="D186" s="15" t="s">
        <v>334</v>
      </c>
      <c r="E186" s="15" t="s">
        <v>335</v>
      </c>
      <c r="F186" s="15" t="s">
        <v>336</v>
      </c>
      <c r="G186" s="15" t="s">
        <v>337</v>
      </c>
      <c r="H186" s="15" t="s">
        <v>338</v>
      </c>
      <c r="I186" s="15" t="s">
        <v>339</v>
      </c>
      <c r="J186" s="15" t="s">
        <v>340</v>
      </c>
      <c r="K186" s="15" t="s">
        <v>491</v>
      </c>
      <c r="L186" s="15" t="s">
        <v>503</v>
      </c>
      <c r="M186" s="15" t="s">
        <v>321</v>
      </c>
      <c r="N186" s="15" t="s">
        <v>909</v>
      </c>
      <c r="O186" s="15" t="s">
        <v>910</v>
      </c>
      <c r="P186" s="15" t="s">
        <v>911</v>
      </c>
      <c r="Q186" s="15" t="s">
        <v>912</v>
      </c>
      <c r="R186" s="15" t="s">
        <v>913</v>
      </c>
      <c r="S186" s="15" t="s">
        <v>914</v>
      </c>
      <c r="T186" s="15" t="s">
        <v>915</v>
      </c>
      <c r="U186" s="15" t="s">
        <v>916</v>
      </c>
      <c r="V186" s="15" t="s">
        <v>917</v>
      </c>
      <c r="W186" s="15" t="s">
        <v>918</v>
      </c>
    </row>
    <row r="187" spans="1:24">
      <c r="A187" s="4" t="s">
        <v>180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7"/>
    </row>
    <row r="188" spans="1:24">
      <c r="A188" s="4" t="s">
        <v>181</v>
      </c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7"/>
    </row>
    <row r="189" spans="1:24">
      <c r="A189" s="4" t="s">
        <v>226</v>
      </c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7"/>
    </row>
    <row r="190" spans="1:24">
      <c r="A190" s="4" t="s">
        <v>182</v>
      </c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7"/>
    </row>
    <row r="191" spans="1:24">
      <c r="A191" s="4" t="s">
        <v>183</v>
      </c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7"/>
    </row>
    <row r="192" spans="1:24">
      <c r="A192" s="4" t="s">
        <v>227</v>
      </c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7"/>
    </row>
    <row r="193" spans="1:24">
      <c r="A193" s="4" t="s">
        <v>184</v>
      </c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7"/>
    </row>
    <row r="194" spans="1:24">
      <c r="A194" s="4" t="s">
        <v>185</v>
      </c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7"/>
    </row>
    <row r="195" spans="1:24">
      <c r="A195" s="4" t="s">
        <v>205</v>
      </c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7"/>
    </row>
    <row r="196" spans="1:24">
      <c r="A196" s="4" t="s">
        <v>186</v>
      </c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7"/>
    </row>
    <row r="197" spans="1:24">
      <c r="A197" s="4" t="s">
        <v>187</v>
      </c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7"/>
    </row>
    <row r="198" spans="1:24">
      <c r="A198" s="4" t="s">
        <v>188</v>
      </c>
      <c r="B198" s="35">
        <f>Standing!$B$36</f>
        <v>0</v>
      </c>
      <c r="C198" s="35">
        <f>Standing!$C$36</f>
        <v>0</v>
      </c>
      <c r="D198" s="35">
        <f>Standing!$D$36</f>
        <v>0</v>
      </c>
      <c r="E198" s="35">
        <f>Standing!$E$36</f>
        <v>0</v>
      </c>
      <c r="F198" s="35">
        <f>Standing!$F$36</f>
        <v>0</v>
      </c>
      <c r="G198" s="35">
        <f>Standing!$G$36</f>
        <v>0</v>
      </c>
      <c r="H198" s="35">
        <f>Standing!$H$36</f>
        <v>0.3239413840786855</v>
      </c>
      <c r="I198" s="35">
        <f>Standing!$I$36</f>
        <v>1.470564958672355</v>
      </c>
      <c r="J198" s="35">
        <f>Standing!$J$36</f>
        <v>3.1919872405664552E-2</v>
      </c>
      <c r="K198" s="10"/>
      <c r="L198" s="10"/>
      <c r="M198" s="35">
        <f>Standing!$K$36</f>
        <v>0</v>
      </c>
      <c r="N198" s="35">
        <f>Standing!$L$36</f>
        <v>0</v>
      </c>
      <c r="O198" s="35">
        <f>Standing!$M$36</f>
        <v>0</v>
      </c>
      <c r="P198" s="35">
        <f>Standing!$N$36</f>
        <v>0</v>
      </c>
      <c r="Q198" s="35">
        <f>Standing!$O$36</f>
        <v>0</v>
      </c>
      <c r="R198" s="35">
        <f>Standing!$P$36</f>
        <v>0</v>
      </c>
      <c r="S198" s="35">
        <f>Standing!$Q$36</f>
        <v>0.18226839904863187</v>
      </c>
      <c r="T198" s="35">
        <f>Standing!$R$36</f>
        <v>0.8274259908981596</v>
      </c>
      <c r="U198" s="35">
        <f>Standing!$S$36</f>
        <v>0.41906643495959539</v>
      </c>
      <c r="V198" s="10"/>
      <c r="W198" s="10"/>
      <c r="X198" s="17"/>
    </row>
    <row r="199" spans="1:24">
      <c r="A199" s="4" t="s">
        <v>189</v>
      </c>
      <c r="B199" s="35">
        <f>Standing!$B$37</f>
        <v>0</v>
      </c>
      <c r="C199" s="35">
        <f>Standing!$C$37</f>
        <v>0</v>
      </c>
      <c r="D199" s="35">
        <f>Standing!$D$37</f>
        <v>0</v>
      </c>
      <c r="E199" s="35">
        <f>Standing!$E$37</f>
        <v>0</v>
      </c>
      <c r="F199" s="35">
        <f>Standing!$F$37</f>
        <v>0</v>
      </c>
      <c r="G199" s="35">
        <f>Standing!$G$37</f>
        <v>0</v>
      </c>
      <c r="H199" s="35">
        <f>Standing!$H$37</f>
        <v>1.5402027075957141</v>
      </c>
      <c r="I199" s="35">
        <f>Standing!$I$37</f>
        <v>5.9930634077545196E-2</v>
      </c>
      <c r="J199" s="35">
        <f>Standing!$J$37</f>
        <v>0</v>
      </c>
      <c r="K199" s="10"/>
      <c r="L199" s="10"/>
      <c r="M199" s="35">
        <f>Standing!$K$37</f>
        <v>0</v>
      </c>
      <c r="N199" s="35">
        <f>Standing!$L$37</f>
        <v>0</v>
      </c>
      <c r="O199" s="35">
        <f>Standing!$M$37</f>
        <v>0</v>
      </c>
      <c r="P199" s="35">
        <f>Standing!$N$37</f>
        <v>0</v>
      </c>
      <c r="Q199" s="35">
        <f>Standing!$O$37</f>
        <v>0</v>
      </c>
      <c r="R199" s="35">
        <f>Standing!$P$37</f>
        <v>0</v>
      </c>
      <c r="S199" s="35">
        <f>Standing!$Q$37</f>
        <v>0.86660826779590916</v>
      </c>
      <c r="T199" s="35">
        <f>Standing!$R$37</f>
        <v>0.78681132708061718</v>
      </c>
      <c r="U199" s="35">
        <f>Standing!$S$37</f>
        <v>0</v>
      </c>
      <c r="V199" s="10"/>
      <c r="W199" s="10"/>
      <c r="X199" s="17"/>
    </row>
    <row r="200" spans="1:24">
      <c r="A200" s="4" t="s">
        <v>206</v>
      </c>
      <c r="B200" s="35">
        <f>Standing!$B$38</f>
        <v>0</v>
      </c>
      <c r="C200" s="35">
        <f>Standing!$C$38</f>
        <v>0</v>
      </c>
      <c r="D200" s="35">
        <f>Standing!$D$38</f>
        <v>0</v>
      </c>
      <c r="E200" s="35">
        <f>Standing!$E$38</f>
        <v>0.46983433569050798</v>
      </c>
      <c r="F200" s="35">
        <f>Standing!$F$38</f>
        <v>0.63720215414494819</v>
      </c>
      <c r="G200" s="35">
        <f>Standing!$G$38</f>
        <v>0</v>
      </c>
      <c r="H200" s="35">
        <f>Standing!$H$38</f>
        <v>0.19542096706907566</v>
      </c>
      <c r="I200" s="35">
        <f>Standing!$I$38</f>
        <v>0</v>
      </c>
      <c r="J200" s="35">
        <f>Standing!$J$38</f>
        <v>0</v>
      </c>
      <c r="K200" s="10"/>
      <c r="L200" s="10"/>
      <c r="M200" s="35">
        <f>Standing!$K$38</f>
        <v>0</v>
      </c>
      <c r="N200" s="35">
        <f>Standing!$L$38</f>
        <v>0</v>
      </c>
      <c r="O200" s="35">
        <f>Standing!$M$38</f>
        <v>0</v>
      </c>
      <c r="P200" s="35">
        <f>Standing!$N$38</f>
        <v>0.18504942398625349</v>
      </c>
      <c r="Q200" s="35">
        <f>Standing!$O$38</f>
        <v>0.58364902625867676</v>
      </c>
      <c r="R200" s="35">
        <f>Standing!$P$38</f>
        <v>0</v>
      </c>
      <c r="S200" s="35">
        <f>Standing!$Q$38</f>
        <v>0.85520776258346398</v>
      </c>
      <c r="T200" s="35">
        <f>Standing!$R$38</f>
        <v>0</v>
      </c>
      <c r="U200" s="35">
        <f>Standing!$S$38</f>
        <v>0</v>
      </c>
      <c r="V200" s="10"/>
      <c r="W200" s="10"/>
      <c r="X200" s="17"/>
    </row>
    <row r="201" spans="1:24">
      <c r="A201" s="4" t="s">
        <v>228</v>
      </c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7"/>
    </row>
    <row r="202" spans="1:24">
      <c r="A202" s="4" t="s">
        <v>229</v>
      </c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7"/>
    </row>
    <row r="203" spans="1:24">
      <c r="A203" s="4" t="s">
        <v>230</v>
      </c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7"/>
    </row>
    <row r="204" spans="1:24">
      <c r="A204" s="4" t="s">
        <v>231</v>
      </c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7"/>
    </row>
    <row r="205" spans="1:24">
      <c r="A205" s="4" t="s">
        <v>232</v>
      </c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7"/>
    </row>
    <row r="206" spans="1:24">
      <c r="A206" s="4" t="s">
        <v>190</v>
      </c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7"/>
    </row>
    <row r="207" spans="1:24">
      <c r="A207" s="4" t="s">
        <v>191</v>
      </c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7"/>
    </row>
    <row r="208" spans="1:24">
      <c r="A208" s="4" t="s">
        <v>192</v>
      </c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7"/>
    </row>
    <row r="209" spans="1:24">
      <c r="A209" s="4" t="s">
        <v>193</v>
      </c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7"/>
    </row>
    <row r="210" spans="1:24">
      <c r="A210" s="4" t="s">
        <v>194</v>
      </c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7"/>
    </row>
    <row r="211" spans="1:24">
      <c r="A211" s="4" t="s">
        <v>195</v>
      </c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7"/>
    </row>
    <row r="212" spans="1:24">
      <c r="A212" s="4" t="s">
        <v>196</v>
      </c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7"/>
    </row>
    <row r="213" spans="1:24">
      <c r="A213" s="4" t="s">
        <v>197</v>
      </c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7"/>
    </row>
    <row r="214" spans="1:24">
      <c r="A214" s="4" t="s">
        <v>198</v>
      </c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7"/>
    </row>
    <row r="215" spans="1:24">
      <c r="A215" s="4" t="s">
        <v>199</v>
      </c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7"/>
    </row>
    <row r="216" spans="1:24">
      <c r="A216" s="4" t="s">
        <v>207</v>
      </c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7"/>
    </row>
    <row r="217" spans="1:24">
      <c r="A217" s="4" t="s">
        <v>208</v>
      </c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7"/>
    </row>
    <row r="218" spans="1:24">
      <c r="A218" s="4" t="s">
        <v>209</v>
      </c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7"/>
    </row>
    <row r="219" spans="1:24">
      <c r="A219" s="4" t="s">
        <v>210</v>
      </c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7"/>
    </row>
    <row r="221" spans="1:24" ht="21" customHeight="1">
      <c r="A221" s="1" t="s">
        <v>1117</v>
      </c>
    </row>
    <row r="222" spans="1:24">
      <c r="A222" s="2" t="s">
        <v>379</v>
      </c>
    </row>
    <row r="223" spans="1:24">
      <c r="A223" s="29" t="s">
        <v>1118</v>
      </c>
    </row>
    <row r="224" spans="1:24">
      <c r="A224" s="2" t="s">
        <v>665</v>
      </c>
    </row>
    <row r="226" spans="1:24" ht="30">
      <c r="B226" s="15" t="s">
        <v>148</v>
      </c>
      <c r="C226" s="15" t="s">
        <v>333</v>
      </c>
      <c r="D226" s="15" t="s">
        <v>334</v>
      </c>
      <c r="E226" s="15" t="s">
        <v>335</v>
      </c>
      <c r="F226" s="15" t="s">
        <v>336</v>
      </c>
      <c r="G226" s="15" t="s">
        <v>337</v>
      </c>
      <c r="H226" s="15" t="s">
        <v>338</v>
      </c>
      <c r="I226" s="15" t="s">
        <v>339</v>
      </c>
      <c r="J226" s="15" t="s">
        <v>340</v>
      </c>
      <c r="K226" s="15" t="s">
        <v>491</v>
      </c>
      <c r="L226" s="15" t="s">
        <v>503</v>
      </c>
      <c r="M226" s="15" t="s">
        <v>321</v>
      </c>
      <c r="N226" s="15" t="s">
        <v>909</v>
      </c>
      <c r="O226" s="15" t="s">
        <v>910</v>
      </c>
      <c r="P226" s="15" t="s">
        <v>911</v>
      </c>
      <c r="Q226" s="15" t="s">
        <v>912</v>
      </c>
      <c r="R226" s="15" t="s">
        <v>913</v>
      </c>
      <c r="S226" s="15" t="s">
        <v>914</v>
      </c>
      <c r="T226" s="15" t="s">
        <v>915</v>
      </c>
      <c r="U226" s="15" t="s">
        <v>916</v>
      </c>
      <c r="V226" s="15" t="s">
        <v>917</v>
      </c>
      <c r="W226" s="15" t="s">
        <v>918</v>
      </c>
    </row>
    <row r="227" spans="1:24">
      <c r="A227" s="4" t="s">
        <v>180</v>
      </c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7"/>
    </row>
    <row r="228" spans="1:24">
      <c r="A228" s="4" t="s">
        <v>181</v>
      </c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7"/>
    </row>
    <row r="229" spans="1:24">
      <c r="A229" s="4" t="s">
        <v>226</v>
      </c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7"/>
    </row>
    <row r="230" spans="1:24">
      <c r="A230" s="4" t="s">
        <v>182</v>
      </c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7"/>
    </row>
    <row r="231" spans="1:24">
      <c r="A231" s="4" t="s">
        <v>183</v>
      </c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7"/>
    </row>
    <row r="232" spans="1:24">
      <c r="A232" s="4" t="s">
        <v>227</v>
      </c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7"/>
    </row>
    <row r="233" spans="1:24">
      <c r="A233" s="4" t="s">
        <v>184</v>
      </c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7"/>
    </row>
    <row r="234" spans="1:24">
      <c r="A234" s="4" t="s">
        <v>185</v>
      </c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7"/>
    </row>
    <row r="235" spans="1:24">
      <c r="A235" s="4" t="s">
        <v>205</v>
      </c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7"/>
    </row>
    <row r="236" spans="1:24">
      <c r="A236" s="4" t="s">
        <v>186</v>
      </c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7"/>
    </row>
    <row r="237" spans="1:24">
      <c r="A237" s="4" t="s">
        <v>187</v>
      </c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7"/>
    </row>
    <row r="238" spans="1:24">
      <c r="A238" s="4" t="s">
        <v>188</v>
      </c>
      <c r="B238" s="35">
        <f>Standing!$B$153</f>
        <v>0</v>
      </c>
      <c r="C238" s="35">
        <f>Standing!$C$153</f>
        <v>0</v>
      </c>
      <c r="D238" s="35">
        <f>Standing!$D$153</f>
        <v>0</v>
      </c>
      <c r="E238" s="35">
        <f>Standing!$E$153</f>
        <v>0</v>
      </c>
      <c r="F238" s="35">
        <f>Standing!$F$153</f>
        <v>0</v>
      </c>
      <c r="G238" s="35">
        <f>Standing!$G$153</f>
        <v>0</v>
      </c>
      <c r="H238" s="35">
        <f>Standing!$H$153</f>
        <v>0.46277340582669363</v>
      </c>
      <c r="I238" s="35">
        <f>Standing!$I$153</f>
        <v>2.1008070838176502</v>
      </c>
      <c r="J238" s="35">
        <f>Standing!$J$153</f>
        <v>1.0639957468554841</v>
      </c>
      <c r="K238" s="10"/>
      <c r="L238" s="10"/>
      <c r="M238" s="35">
        <f>Standing!$K$153</f>
        <v>0</v>
      </c>
      <c r="N238" s="35">
        <f>Standing!$L$153</f>
        <v>0</v>
      </c>
      <c r="O238" s="35">
        <f>Standing!$M$153</f>
        <v>0</v>
      </c>
      <c r="P238" s="35">
        <f>Standing!$N$153</f>
        <v>0</v>
      </c>
      <c r="Q238" s="35">
        <f>Standing!$O$153</f>
        <v>0</v>
      </c>
      <c r="R238" s="35">
        <f>Standing!$P$153</f>
        <v>0</v>
      </c>
      <c r="S238" s="35">
        <f>Standing!$Q$153</f>
        <v>0.18226839904863187</v>
      </c>
      <c r="T238" s="35">
        <f>Standing!$R$153</f>
        <v>0.8274259908981596</v>
      </c>
      <c r="U238" s="35">
        <f>Standing!$S$153</f>
        <v>0.41906643495959539</v>
      </c>
      <c r="V238" s="10"/>
      <c r="W238" s="10"/>
      <c r="X238" s="17"/>
    </row>
    <row r="239" spans="1:24">
      <c r="A239" s="4" t="s">
        <v>189</v>
      </c>
      <c r="B239" s="35">
        <f>Standing!$B$154</f>
        <v>0</v>
      </c>
      <c r="C239" s="35">
        <f>Standing!$C$154</f>
        <v>0</v>
      </c>
      <c r="D239" s="35">
        <f>Standing!$D$154</f>
        <v>0</v>
      </c>
      <c r="E239" s="35">
        <f>Standing!$E$154</f>
        <v>0</v>
      </c>
      <c r="F239" s="35">
        <f>Standing!$F$154</f>
        <v>0</v>
      </c>
      <c r="G239" s="35">
        <f>Standing!$G$154</f>
        <v>0</v>
      </c>
      <c r="H239" s="35">
        <f>Standing!$H$154</f>
        <v>2.2002895822795918</v>
      </c>
      <c r="I239" s="35">
        <f>Standing!$I$154</f>
        <v>1.9976878025848381</v>
      </c>
      <c r="J239" s="35">
        <f>Standing!$J$154</f>
        <v>0</v>
      </c>
      <c r="K239" s="10"/>
      <c r="L239" s="10"/>
      <c r="M239" s="35">
        <f>Standing!$K$154</f>
        <v>0</v>
      </c>
      <c r="N239" s="35">
        <f>Standing!$L$154</f>
        <v>0</v>
      </c>
      <c r="O239" s="35">
        <f>Standing!$M$154</f>
        <v>0</v>
      </c>
      <c r="P239" s="35">
        <f>Standing!$N$154</f>
        <v>0</v>
      </c>
      <c r="Q239" s="35">
        <f>Standing!$O$154</f>
        <v>0</v>
      </c>
      <c r="R239" s="35">
        <f>Standing!$P$154</f>
        <v>0</v>
      </c>
      <c r="S239" s="35">
        <f>Standing!$Q$154</f>
        <v>0.86660826779590916</v>
      </c>
      <c r="T239" s="35">
        <f>Standing!$R$154</f>
        <v>0.78681132708061718</v>
      </c>
      <c r="U239" s="35">
        <f>Standing!$S$154</f>
        <v>0</v>
      </c>
      <c r="V239" s="10"/>
      <c r="W239" s="10"/>
      <c r="X239" s="17"/>
    </row>
    <row r="240" spans="1:24">
      <c r="A240" s="4" t="s">
        <v>206</v>
      </c>
      <c r="B240" s="35">
        <f>Standing!$B$155</f>
        <v>0</v>
      </c>
      <c r="C240" s="35">
        <f>Standing!$C$155</f>
        <v>0</v>
      </c>
      <c r="D240" s="35">
        <f>Standing!$D$155</f>
        <v>0</v>
      </c>
      <c r="E240" s="35">
        <f>Standing!$E$155</f>
        <v>0.46983433569050798</v>
      </c>
      <c r="F240" s="35">
        <f>Standing!$F$155</f>
        <v>1.4818654747556934</v>
      </c>
      <c r="G240" s="35">
        <f>Standing!$G$155</f>
        <v>0</v>
      </c>
      <c r="H240" s="35">
        <f>Standing!$H$155</f>
        <v>2.1713440785452858</v>
      </c>
      <c r="I240" s="35">
        <f>Standing!$I$155</f>
        <v>0</v>
      </c>
      <c r="J240" s="35">
        <f>Standing!$J$155</f>
        <v>0</v>
      </c>
      <c r="K240" s="10"/>
      <c r="L240" s="10"/>
      <c r="M240" s="35">
        <f>Standing!$K$155</f>
        <v>0</v>
      </c>
      <c r="N240" s="35">
        <f>Standing!$L$155</f>
        <v>0</v>
      </c>
      <c r="O240" s="35">
        <f>Standing!$M$155</f>
        <v>0</v>
      </c>
      <c r="P240" s="35">
        <f>Standing!$N$155</f>
        <v>0.18504942398625349</v>
      </c>
      <c r="Q240" s="35">
        <f>Standing!$O$155</f>
        <v>0.58364902625867676</v>
      </c>
      <c r="R240" s="35">
        <f>Standing!$P$155</f>
        <v>0</v>
      </c>
      <c r="S240" s="35">
        <f>Standing!$Q$155</f>
        <v>0.85520776258346398</v>
      </c>
      <c r="T240" s="35">
        <f>Standing!$R$155</f>
        <v>0</v>
      </c>
      <c r="U240" s="35">
        <f>Standing!$S$155</f>
        <v>0</v>
      </c>
      <c r="V240" s="10"/>
      <c r="W240" s="10"/>
      <c r="X240" s="17"/>
    </row>
    <row r="241" spans="1:24">
      <c r="A241" s="4" t="s">
        <v>228</v>
      </c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7"/>
    </row>
    <row r="242" spans="1:24">
      <c r="A242" s="4" t="s">
        <v>229</v>
      </c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7"/>
    </row>
    <row r="243" spans="1:24">
      <c r="A243" s="4" t="s">
        <v>230</v>
      </c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7"/>
    </row>
    <row r="244" spans="1:24">
      <c r="A244" s="4" t="s">
        <v>231</v>
      </c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7"/>
    </row>
    <row r="245" spans="1:24">
      <c r="A245" s="4" t="s">
        <v>232</v>
      </c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7"/>
    </row>
    <row r="246" spans="1:24">
      <c r="A246" s="4" t="s">
        <v>190</v>
      </c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7"/>
    </row>
    <row r="247" spans="1:24">
      <c r="A247" s="4" t="s">
        <v>191</v>
      </c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7"/>
    </row>
    <row r="248" spans="1:24">
      <c r="A248" s="4" t="s">
        <v>192</v>
      </c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7"/>
    </row>
    <row r="249" spans="1:24">
      <c r="A249" s="4" t="s">
        <v>193</v>
      </c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7"/>
    </row>
    <row r="250" spans="1:24">
      <c r="A250" s="4" t="s">
        <v>194</v>
      </c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7"/>
    </row>
    <row r="251" spans="1:24">
      <c r="A251" s="4" t="s">
        <v>195</v>
      </c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7"/>
    </row>
    <row r="252" spans="1:24">
      <c r="A252" s="4" t="s">
        <v>196</v>
      </c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7"/>
    </row>
    <row r="253" spans="1:24">
      <c r="A253" s="4" t="s">
        <v>197</v>
      </c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7"/>
    </row>
    <row r="254" spans="1:24">
      <c r="A254" s="4" t="s">
        <v>198</v>
      </c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7"/>
    </row>
    <row r="255" spans="1:24">
      <c r="A255" s="4" t="s">
        <v>199</v>
      </c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7"/>
    </row>
    <row r="256" spans="1:24">
      <c r="A256" s="4" t="s">
        <v>207</v>
      </c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7"/>
    </row>
    <row r="257" spans="1:24">
      <c r="A257" s="4" t="s">
        <v>208</v>
      </c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7"/>
    </row>
    <row r="258" spans="1:24">
      <c r="A258" s="4" t="s">
        <v>209</v>
      </c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7"/>
    </row>
    <row r="259" spans="1:24">
      <c r="A259" s="4" t="s">
        <v>210</v>
      </c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7"/>
    </row>
    <row r="261" spans="1:24" ht="21" customHeight="1">
      <c r="A261" s="1" t="s">
        <v>1119</v>
      </c>
    </row>
    <row r="262" spans="1:24">
      <c r="A262" s="2" t="s">
        <v>379</v>
      </c>
    </row>
    <row r="263" spans="1:24">
      <c r="A263" s="29" t="s">
        <v>1120</v>
      </c>
    </row>
    <row r="264" spans="1:24">
      <c r="A264" s="29" t="s">
        <v>1121</v>
      </c>
    </row>
    <row r="265" spans="1:24">
      <c r="A265" s="2" t="s">
        <v>397</v>
      </c>
    </row>
    <row r="267" spans="1:24" ht="30">
      <c r="B267" s="15" t="s">
        <v>148</v>
      </c>
      <c r="C267" s="15" t="s">
        <v>333</v>
      </c>
      <c r="D267" s="15" t="s">
        <v>334</v>
      </c>
      <c r="E267" s="15" t="s">
        <v>335</v>
      </c>
      <c r="F267" s="15" t="s">
        <v>336</v>
      </c>
      <c r="G267" s="15" t="s">
        <v>337</v>
      </c>
      <c r="H267" s="15" t="s">
        <v>338</v>
      </c>
      <c r="I267" s="15" t="s">
        <v>339</v>
      </c>
      <c r="J267" s="15" t="s">
        <v>340</v>
      </c>
      <c r="K267" s="15" t="s">
        <v>491</v>
      </c>
      <c r="L267" s="15" t="s">
        <v>503</v>
      </c>
      <c r="M267" s="15" t="s">
        <v>321</v>
      </c>
      <c r="N267" s="15" t="s">
        <v>909</v>
      </c>
      <c r="O267" s="15" t="s">
        <v>910</v>
      </c>
      <c r="P267" s="15" t="s">
        <v>911</v>
      </c>
      <c r="Q267" s="15" t="s">
        <v>912</v>
      </c>
      <c r="R267" s="15" t="s">
        <v>913</v>
      </c>
      <c r="S267" s="15" t="s">
        <v>914</v>
      </c>
      <c r="T267" s="15" t="s">
        <v>915</v>
      </c>
      <c r="U267" s="15" t="s">
        <v>916</v>
      </c>
      <c r="V267" s="15" t="s">
        <v>917</v>
      </c>
      <c r="W267" s="15" t="s">
        <v>918</v>
      </c>
    </row>
    <row r="268" spans="1:24">
      <c r="A268" s="4" t="s">
        <v>180</v>
      </c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7"/>
    </row>
    <row r="269" spans="1:24">
      <c r="A269" s="4" t="s">
        <v>181</v>
      </c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7"/>
    </row>
    <row r="270" spans="1:24">
      <c r="A270" s="4" t="s">
        <v>226</v>
      </c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7"/>
    </row>
    <row r="271" spans="1:24">
      <c r="A271" s="4" t="s">
        <v>182</v>
      </c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7"/>
    </row>
    <row r="272" spans="1:24">
      <c r="A272" s="4" t="s">
        <v>183</v>
      </c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7"/>
    </row>
    <row r="273" spans="1:24">
      <c r="A273" s="4" t="s">
        <v>227</v>
      </c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7"/>
    </row>
    <row r="274" spans="1:24">
      <c r="A274" s="4" t="s">
        <v>184</v>
      </c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7"/>
    </row>
    <row r="275" spans="1:24">
      <c r="A275" s="4" t="s">
        <v>185</v>
      </c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7"/>
    </row>
    <row r="276" spans="1:24">
      <c r="A276" s="4" t="s">
        <v>205</v>
      </c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7"/>
    </row>
    <row r="277" spans="1:24">
      <c r="A277" s="4" t="s">
        <v>186</v>
      </c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7"/>
    </row>
    <row r="278" spans="1:24">
      <c r="A278" s="4" t="s">
        <v>187</v>
      </c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7"/>
    </row>
    <row r="279" spans="1:24">
      <c r="A279" s="4" t="s">
        <v>188</v>
      </c>
      <c r="B279" s="35">
        <f>Reactive!$B$33</f>
        <v>0</v>
      </c>
      <c r="C279" s="35">
        <f>Reactive!$C$33</f>
        <v>3.0606991323989589E-2</v>
      </c>
      <c r="D279" s="35">
        <f>Reactive!$D$33</f>
        <v>8.8152585896421626E-3</v>
      </c>
      <c r="E279" s="35">
        <f>Reactive!$E$33</f>
        <v>2.2259123925964693E-2</v>
      </c>
      <c r="F279" s="35">
        <f>Reactive!$F$33</f>
        <v>1.4937920239954968E-2</v>
      </c>
      <c r="G279" s="35">
        <f>Reactive!$G$33</f>
        <v>0</v>
      </c>
      <c r="H279" s="35">
        <f>Reactive!$H$33</f>
        <v>1.5186923065525802E-2</v>
      </c>
      <c r="I279" s="35">
        <f>Reactive!$I$33</f>
        <v>0</v>
      </c>
      <c r="J279" s="35">
        <f>Reactive!$J$33</f>
        <v>0</v>
      </c>
      <c r="K279" s="10"/>
      <c r="L279" s="10"/>
      <c r="M279" s="35">
        <f>Reactive!$K$33</f>
        <v>1.7173223844978384E-2</v>
      </c>
      <c r="N279" s="35">
        <f>Reactive!$L$33</f>
        <v>1.2054900385542336E-2</v>
      </c>
      <c r="O279" s="35">
        <f>Reactive!$M$33</f>
        <v>3.471986613974735E-3</v>
      </c>
      <c r="P279" s="35">
        <f>Reactive!$N$33</f>
        <v>8.7670009363719978E-3</v>
      </c>
      <c r="Q279" s="35">
        <f>Reactive!$O$33</f>
        <v>5.8834642893727338E-3</v>
      </c>
      <c r="R279" s="35">
        <f>Reactive!$P$33</f>
        <v>0</v>
      </c>
      <c r="S279" s="35">
        <f>Reactive!$Q$33</f>
        <v>8.54505256097738E-3</v>
      </c>
      <c r="T279" s="35">
        <f>Reactive!$R$33</f>
        <v>0</v>
      </c>
      <c r="U279" s="35">
        <f>Reactive!$S$33</f>
        <v>0</v>
      </c>
      <c r="V279" s="10"/>
      <c r="W279" s="10"/>
      <c r="X279" s="17"/>
    </row>
    <row r="280" spans="1:24">
      <c r="A280" s="4" t="s">
        <v>189</v>
      </c>
      <c r="B280" s="35">
        <f>Reactive!$B$34</f>
        <v>0</v>
      </c>
      <c r="C280" s="35">
        <f>Reactive!$C$34</f>
        <v>2.728472518719894E-2</v>
      </c>
      <c r="D280" s="35">
        <f>Reactive!$D$34</f>
        <v>7.8583976296932416E-3</v>
      </c>
      <c r="E280" s="35">
        <f>Reactive!$E$34</f>
        <v>1.984298531008262E-2</v>
      </c>
      <c r="F280" s="35">
        <f>Reactive!$F$34</f>
        <v>1.3316468917217996E-2</v>
      </c>
      <c r="G280" s="35">
        <f>Reactive!$G$34</f>
        <v>0</v>
      </c>
      <c r="H280" s="35">
        <f>Reactive!$H$34</f>
        <v>0</v>
      </c>
      <c r="I280" s="35">
        <f>Reactive!$I$34</f>
        <v>0</v>
      </c>
      <c r="J280" s="35">
        <f>Reactive!$J$34</f>
        <v>0</v>
      </c>
      <c r="K280" s="10"/>
      <c r="L280" s="10"/>
      <c r="M280" s="35">
        <f>Reactive!$K$34</f>
        <v>1.5309139282214498E-2</v>
      </c>
      <c r="N280" s="35">
        <f>Reactive!$L$34</f>
        <v>1.0746389303569989E-2</v>
      </c>
      <c r="O280" s="35">
        <f>Reactive!$M$34</f>
        <v>3.095116393935901E-3</v>
      </c>
      <c r="P280" s="35">
        <f>Reactive!$N$34</f>
        <v>7.8153781511134095E-3</v>
      </c>
      <c r="Q280" s="35">
        <f>Reactive!$O$34</f>
        <v>5.244837840641078E-3</v>
      </c>
      <c r="R280" s="35">
        <f>Reactive!$P$34</f>
        <v>0</v>
      </c>
      <c r="S280" s="35">
        <f>Reactive!$Q$34</f>
        <v>0</v>
      </c>
      <c r="T280" s="35">
        <f>Reactive!$R$34</f>
        <v>0</v>
      </c>
      <c r="U280" s="35">
        <f>Reactive!$S$34</f>
        <v>0</v>
      </c>
      <c r="V280" s="10"/>
      <c r="W280" s="10"/>
      <c r="X280" s="17"/>
    </row>
    <row r="281" spans="1:24">
      <c r="A281" s="4" t="s">
        <v>206</v>
      </c>
      <c r="B281" s="35">
        <f>Reactive!$B$35</f>
        <v>0</v>
      </c>
      <c r="C281" s="35">
        <f>Reactive!$C$35</f>
        <v>2.335284222962326E-2</v>
      </c>
      <c r="D281" s="35">
        <f>Reactive!$D$35</f>
        <v>6.7259581602812334E-3</v>
      </c>
      <c r="E281" s="35">
        <f>Reactive!$E$35</f>
        <v>1.3586799269753995E-2</v>
      </c>
      <c r="F281" s="35">
        <f>Reactive!$F$35</f>
        <v>0</v>
      </c>
      <c r="G281" s="35">
        <f>Reactive!$G$35</f>
        <v>0</v>
      </c>
      <c r="H281" s="35">
        <f>Reactive!$H$35</f>
        <v>0</v>
      </c>
      <c r="I281" s="35">
        <f>Reactive!$I$35</f>
        <v>0</v>
      </c>
      <c r="J281" s="35">
        <f>Reactive!$J$35</f>
        <v>0</v>
      </c>
      <c r="K281" s="10"/>
      <c r="L281" s="10"/>
      <c r="M281" s="35">
        <f>Reactive!$K$35</f>
        <v>1.3103005871454236E-2</v>
      </c>
      <c r="N281" s="35">
        <f>Reactive!$L$35</f>
        <v>9.1977739274472226E-3</v>
      </c>
      <c r="O281" s="35">
        <f>Reactive!$M$35</f>
        <v>2.6490926455736024E-3</v>
      </c>
      <c r="P281" s="35">
        <f>Reactive!$N$35</f>
        <v>5.3513104251729565E-3</v>
      </c>
      <c r="Q281" s="35">
        <f>Reactive!$O$35</f>
        <v>0</v>
      </c>
      <c r="R281" s="35">
        <f>Reactive!$P$35</f>
        <v>0</v>
      </c>
      <c r="S281" s="35">
        <f>Reactive!$Q$35</f>
        <v>0</v>
      </c>
      <c r="T281" s="35">
        <f>Reactive!$R$35</f>
        <v>0</v>
      </c>
      <c r="U281" s="35">
        <f>Reactive!$S$35</f>
        <v>0</v>
      </c>
      <c r="V281" s="10"/>
      <c r="W281" s="10"/>
      <c r="X281" s="17"/>
    </row>
    <row r="282" spans="1:24">
      <c r="A282" s="4" t="s">
        <v>228</v>
      </c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7"/>
    </row>
    <row r="283" spans="1:24">
      <c r="A283" s="4" t="s">
        <v>229</v>
      </c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7"/>
    </row>
    <row r="284" spans="1:24">
      <c r="A284" s="4" t="s">
        <v>230</v>
      </c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7"/>
    </row>
    <row r="285" spans="1:24">
      <c r="A285" s="4" t="s">
        <v>231</v>
      </c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7"/>
    </row>
    <row r="286" spans="1:24">
      <c r="A286" s="4" t="s">
        <v>232</v>
      </c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7"/>
    </row>
    <row r="287" spans="1:24">
      <c r="A287" s="4" t="s">
        <v>190</v>
      </c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7"/>
    </row>
    <row r="288" spans="1:24">
      <c r="A288" s="4" t="s">
        <v>191</v>
      </c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7"/>
    </row>
    <row r="289" spans="1:24">
      <c r="A289" s="4" t="s">
        <v>192</v>
      </c>
      <c r="B289" s="35">
        <f>Reactive!$B$77</f>
        <v>0</v>
      </c>
      <c r="C289" s="35">
        <f>Reactive!$C$77</f>
        <v>2.1056191636467263E-2</v>
      </c>
      <c r="D289" s="35">
        <f>Reactive!$D$77</f>
        <v>6.0644893914494277E-3</v>
      </c>
      <c r="E289" s="35">
        <f>Reactive!$E$77</f>
        <v>1.5313245724927805E-2</v>
      </c>
      <c r="F289" s="35">
        <f>Reactive!$F$77</f>
        <v>1.0276596869429095E-2</v>
      </c>
      <c r="G289" s="35">
        <f>Reactive!$G$77</f>
        <v>0</v>
      </c>
      <c r="H289" s="35">
        <f>Reactive!$H$77</f>
        <v>1.3059874092612759E-2</v>
      </c>
      <c r="I289" s="35">
        <f>Reactive!$I$77</f>
        <v>1.1857326139351336E-2</v>
      </c>
      <c r="J289" s="35">
        <f>Reactive!$J$77</f>
        <v>2.8171061069784918E-4</v>
      </c>
      <c r="K289" s="10"/>
      <c r="L289" s="10"/>
      <c r="M289" s="35">
        <f>Reactive!$K$77</f>
        <v>1.1814382160862443E-2</v>
      </c>
      <c r="N289" s="35">
        <f>Reactive!$L$77</f>
        <v>8.2932128149934108E-3</v>
      </c>
      <c r="O289" s="35">
        <f>Reactive!$M$77</f>
        <v>2.3885658910159004E-3</v>
      </c>
      <c r="P289" s="35">
        <f>Reactive!$N$77</f>
        <v>6.0312903623639938E-3</v>
      </c>
      <c r="Q289" s="35">
        <f>Reactive!$O$77</f>
        <v>4.0475507785779951E-3</v>
      </c>
      <c r="R289" s="35">
        <f>Reactive!$P$77</f>
        <v>0</v>
      </c>
      <c r="S289" s="35">
        <f>Reactive!$Q$77</f>
        <v>7.348250207077682E-3</v>
      </c>
      <c r="T289" s="35">
        <f>Reactive!$R$77</f>
        <v>6.6716262837603459E-3</v>
      </c>
      <c r="U289" s="35">
        <f>Reactive!$S$77</f>
        <v>3.6984941485695838E-3</v>
      </c>
      <c r="V289" s="10"/>
      <c r="W289" s="10"/>
      <c r="X289" s="17"/>
    </row>
    <row r="290" spans="1:24">
      <c r="A290" s="4" t="s">
        <v>193</v>
      </c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7"/>
    </row>
    <row r="291" spans="1:24">
      <c r="A291" s="4" t="s">
        <v>194</v>
      </c>
      <c r="B291" s="35">
        <f>Reactive!$B$78</f>
        <v>0</v>
      </c>
      <c r="C291" s="35">
        <f>Reactive!$C$78</f>
        <v>2.1056191636467263E-2</v>
      </c>
      <c r="D291" s="35">
        <f>Reactive!$D$78</f>
        <v>6.0644893914494277E-3</v>
      </c>
      <c r="E291" s="35">
        <f>Reactive!$E$78</f>
        <v>1.5313245724927805E-2</v>
      </c>
      <c r="F291" s="35">
        <f>Reactive!$F$78</f>
        <v>1.0276596869429095E-2</v>
      </c>
      <c r="G291" s="35">
        <f>Reactive!$G$78</f>
        <v>0</v>
      </c>
      <c r="H291" s="35">
        <f>Reactive!$H$78</f>
        <v>1.3059874092612759E-2</v>
      </c>
      <c r="I291" s="35">
        <f>Reactive!$I$78</f>
        <v>1.1857326139351336E-2</v>
      </c>
      <c r="J291" s="35">
        <f>Reactive!$J$78</f>
        <v>2.8171061069784918E-4</v>
      </c>
      <c r="K291" s="10"/>
      <c r="L291" s="10"/>
      <c r="M291" s="35">
        <f>Reactive!$K$78</f>
        <v>1.1814382160862443E-2</v>
      </c>
      <c r="N291" s="35">
        <f>Reactive!$L$78</f>
        <v>8.2932128149934108E-3</v>
      </c>
      <c r="O291" s="35">
        <f>Reactive!$M$78</f>
        <v>2.3885658910159004E-3</v>
      </c>
      <c r="P291" s="35">
        <f>Reactive!$N$78</f>
        <v>6.0312903623639938E-3</v>
      </c>
      <c r="Q291" s="35">
        <f>Reactive!$O$78</f>
        <v>4.0475507785779951E-3</v>
      </c>
      <c r="R291" s="35">
        <f>Reactive!$P$78</f>
        <v>0</v>
      </c>
      <c r="S291" s="35">
        <f>Reactive!$Q$78</f>
        <v>7.348250207077682E-3</v>
      </c>
      <c r="T291" s="35">
        <f>Reactive!$R$78</f>
        <v>6.6716262837603459E-3</v>
      </c>
      <c r="U291" s="35">
        <f>Reactive!$S$78</f>
        <v>3.6984941485695838E-3</v>
      </c>
      <c r="V291" s="10"/>
      <c r="W291" s="10"/>
      <c r="X291" s="17"/>
    </row>
    <row r="292" spans="1:24">
      <c r="A292" s="4" t="s">
        <v>195</v>
      </c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7"/>
    </row>
    <row r="293" spans="1:24">
      <c r="A293" s="4" t="s">
        <v>196</v>
      </c>
      <c r="B293" s="35">
        <f>Reactive!$B$79</f>
        <v>0</v>
      </c>
      <c r="C293" s="35">
        <f>Reactive!$C$79</f>
        <v>2.0022636788057713E-2</v>
      </c>
      <c r="D293" s="35">
        <f>Reactive!$D$79</f>
        <v>5.7668105651033901E-3</v>
      </c>
      <c r="E293" s="35">
        <f>Reactive!$E$79</f>
        <v>1.4561586562761231E-2</v>
      </c>
      <c r="F293" s="35">
        <f>Reactive!$F$79</f>
        <v>9.7721644106575131E-3</v>
      </c>
      <c r="G293" s="35">
        <f>Reactive!$G$79</f>
        <v>0</v>
      </c>
      <c r="H293" s="35">
        <f>Reactive!$H$79</f>
        <v>1.2418822927184499E-2</v>
      </c>
      <c r="I293" s="35">
        <f>Reactive!$I$79</f>
        <v>4.8322725888772086E-4</v>
      </c>
      <c r="J293" s="35">
        <f>Reactive!$J$79</f>
        <v>0</v>
      </c>
      <c r="K293" s="10"/>
      <c r="L293" s="10"/>
      <c r="M293" s="35">
        <f>Reactive!$K$79</f>
        <v>1.1234466657900611E-2</v>
      </c>
      <c r="N293" s="35">
        <f>Reactive!$L$79</f>
        <v>7.8861358629113594E-3</v>
      </c>
      <c r="O293" s="35">
        <f>Reactive!$M$79</f>
        <v>2.2713218090837438E-3</v>
      </c>
      <c r="P293" s="35">
        <f>Reactive!$N$79</f>
        <v>5.7352411287793685E-3</v>
      </c>
      <c r="Q293" s="35">
        <f>Reactive!$O$79</f>
        <v>3.8488745030383132E-3</v>
      </c>
      <c r="R293" s="35">
        <f>Reactive!$P$79</f>
        <v>0</v>
      </c>
      <c r="S293" s="35">
        <f>Reactive!$Q$79</f>
        <v>6.9875572688685656E-3</v>
      </c>
      <c r="T293" s="35">
        <f>Reactive!$R$79</f>
        <v>6.3441458062168769E-3</v>
      </c>
      <c r="U293" s="35">
        <f>Reactive!$S$79</f>
        <v>0</v>
      </c>
      <c r="V293" s="10"/>
      <c r="W293" s="10"/>
      <c r="X293" s="17"/>
    </row>
    <row r="294" spans="1:24">
      <c r="A294" s="4" t="s">
        <v>197</v>
      </c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7"/>
    </row>
    <row r="295" spans="1:24">
      <c r="A295" s="4" t="s">
        <v>198</v>
      </c>
      <c r="B295" s="35">
        <f>Reactive!$B$80</f>
        <v>0</v>
      </c>
      <c r="C295" s="35">
        <f>Reactive!$C$80</f>
        <v>2.0022636788057713E-2</v>
      </c>
      <c r="D295" s="35">
        <f>Reactive!$D$80</f>
        <v>5.7668105651033901E-3</v>
      </c>
      <c r="E295" s="35">
        <f>Reactive!$E$80</f>
        <v>1.4561586562761231E-2</v>
      </c>
      <c r="F295" s="35">
        <f>Reactive!$F$80</f>
        <v>9.7721644106575131E-3</v>
      </c>
      <c r="G295" s="35">
        <f>Reactive!$G$80</f>
        <v>0</v>
      </c>
      <c r="H295" s="35">
        <f>Reactive!$H$80</f>
        <v>1.2418822927184499E-2</v>
      </c>
      <c r="I295" s="35">
        <f>Reactive!$I$80</f>
        <v>4.8322725888772086E-4</v>
      </c>
      <c r="J295" s="35">
        <f>Reactive!$J$80</f>
        <v>0</v>
      </c>
      <c r="K295" s="10"/>
      <c r="L295" s="10"/>
      <c r="M295" s="35">
        <f>Reactive!$K$80</f>
        <v>1.1234466657900611E-2</v>
      </c>
      <c r="N295" s="35">
        <f>Reactive!$L$80</f>
        <v>7.8861358629113594E-3</v>
      </c>
      <c r="O295" s="35">
        <f>Reactive!$M$80</f>
        <v>2.2713218090837438E-3</v>
      </c>
      <c r="P295" s="35">
        <f>Reactive!$N$80</f>
        <v>5.7352411287793685E-3</v>
      </c>
      <c r="Q295" s="35">
        <f>Reactive!$O$80</f>
        <v>3.8488745030383132E-3</v>
      </c>
      <c r="R295" s="35">
        <f>Reactive!$P$80</f>
        <v>0</v>
      </c>
      <c r="S295" s="35">
        <f>Reactive!$Q$80</f>
        <v>6.9875572688685656E-3</v>
      </c>
      <c r="T295" s="35">
        <f>Reactive!$R$80</f>
        <v>6.3441458062168769E-3</v>
      </c>
      <c r="U295" s="35">
        <f>Reactive!$S$80</f>
        <v>0</v>
      </c>
      <c r="V295" s="10"/>
      <c r="W295" s="10"/>
      <c r="X295" s="17"/>
    </row>
    <row r="296" spans="1:24">
      <c r="A296" s="4" t="s">
        <v>199</v>
      </c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7"/>
    </row>
    <row r="297" spans="1:24">
      <c r="A297" s="4" t="s">
        <v>207</v>
      </c>
      <c r="B297" s="35">
        <f>Reactive!$B$81</f>
        <v>0</v>
      </c>
      <c r="C297" s="35">
        <f>Reactive!$C$81</f>
        <v>1.9759232683167607E-2</v>
      </c>
      <c r="D297" s="35">
        <f>Reactive!$D$81</f>
        <v>5.690946352459935E-3</v>
      </c>
      <c r="E297" s="35">
        <f>Reactive!$E$81</f>
        <v>1.4370024296764795E-2</v>
      </c>
      <c r="F297" s="35">
        <f>Reactive!$F$81</f>
        <v>4.1467516568603358E-3</v>
      </c>
      <c r="G297" s="35">
        <f>Reactive!$G$81</f>
        <v>0</v>
      </c>
      <c r="H297" s="35">
        <f>Reactive!$H$81</f>
        <v>1.575700636235368E-3</v>
      </c>
      <c r="I297" s="35">
        <f>Reactive!$I$81</f>
        <v>0</v>
      </c>
      <c r="J297" s="35">
        <f>Reactive!$J$81</f>
        <v>0</v>
      </c>
      <c r="K297" s="10"/>
      <c r="L297" s="10"/>
      <c r="M297" s="35">
        <f>Reactive!$K$81</f>
        <v>1.1086673704092097E-2</v>
      </c>
      <c r="N297" s="35">
        <f>Reactive!$L$81</f>
        <v>7.7823912572432957E-3</v>
      </c>
      <c r="O297" s="35">
        <f>Reactive!$M$81</f>
        <v>2.241441853992319E-3</v>
      </c>
      <c r="P297" s="35">
        <f>Reactive!$N$81</f>
        <v>5.6597922220321777E-3</v>
      </c>
      <c r="Q297" s="35">
        <f>Reactive!$O$81</f>
        <v>3.7982413444769066E-3</v>
      </c>
      <c r="R297" s="35">
        <f>Reactive!$P$81</f>
        <v>0</v>
      </c>
      <c r="S297" s="35">
        <f>Reactive!$Q$81</f>
        <v>6.8956337481426416E-3</v>
      </c>
      <c r="T297" s="35">
        <f>Reactive!$R$81</f>
        <v>0</v>
      </c>
      <c r="U297" s="35">
        <f>Reactive!$S$81</f>
        <v>0</v>
      </c>
      <c r="V297" s="10"/>
      <c r="W297" s="10"/>
      <c r="X297" s="17"/>
    </row>
    <row r="298" spans="1:24">
      <c r="A298" s="4" t="s">
        <v>208</v>
      </c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7"/>
    </row>
    <row r="299" spans="1:24">
      <c r="A299" s="4" t="s">
        <v>209</v>
      </c>
      <c r="B299" s="35">
        <f>Reactive!$B$82</f>
        <v>0</v>
      </c>
      <c r="C299" s="35">
        <f>Reactive!$C$82</f>
        <v>1.9759232683167607E-2</v>
      </c>
      <c r="D299" s="35">
        <f>Reactive!$D$82</f>
        <v>5.690946352459935E-3</v>
      </c>
      <c r="E299" s="35">
        <f>Reactive!$E$82</f>
        <v>1.4370024296764795E-2</v>
      </c>
      <c r="F299" s="35">
        <f>Reactive!$F$82</f>
        <v>4.1467516568603358E-3</v>
      </c>
      <c r="G299" s="35">
        <f>Reactive!$G$82</f>
        <v>0</v>
      </c>
      <c r="H299" s="35">
        <f>Reactive!$H$82</f>
        <v>1.575700636235368E-3</v>
      </c>
      <c r="I299" s="35">
        <f>Reactive!$I$82</f>
        <v>0</v>
      </c>
      <c r="J299" s="35">
        <f>Reactive!$J$82</f>
        <v>0</v>
      </c>
      <c r="K299" s="10"/>
      <c r="L299" s="10"/>
      <c r="M299" s="35">
        <f>Reactive!$K$82</f>
        <v>1.1086673704092097E-2</v>
      </c>
      <c r="N299" s="35">
        <f>Reactive!$L$82</f>
        <v>7.7823912572432957E-3</v>
      </c>
      <c r="O299" s="35">
        <f>Reactive!$M$82</f>
        <v>2.241441853992319E-3</v>
      </c>
      <c r="P299" s="35">
        <f>Reactive!$N$82</f>
        <v>5.6597922220321777E-3</v>
      </c>
      <c r="Q299" s="35">
        <f>Reactive!$O$82</f>
        <v>3.7982413444769066E-3</v>
      </c>
      <c r="R299" s="35">
        <f>Reactive!$P$82</f>
        <v>0</v>
      </c>
      <c r="S299" s="35">
        <f>Reactive!$Q$82</f>
        <v>6.8956337481426416E-3</v>
      </c>
      <c r="T299" s="35">
        <f>Reactive!$R$82</f>
        <v>0</v>
      </c>
      <c r="U299" s="35">
        <f>Reactive!$S$82</f>
        <v>0</v>
      </c>
      <c r="V299" s="10"/>
      <c r="W299" s="10"/>
      <c r="X299" s="17"/>
    </row>
    <row r="300" spans="1:24">
      <c r="A300" s="4" t="s">
        <v>210</v>
      </c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7"/>
    </row>
    <row r="302" spans="1:24" ht="21" customHeight="1">
      <c r="A302" s="1" t="s">
        <v>1122</v>
      </c>
    </row>
    <row r="303" spans="1:24">
      <c r="A303" s="2" t="s">
        <v>379</v>
      </c>
    </row>
    <row r="304" spans="1:24">
      <c r="A304" s="29" t="s">
        <v>1123</v>
      </c>
    </row>
    <row r="305" spans="1:9">
      <c r="A305" s="29" t="s">
        <v>1124</v>
      </c>
    </row>
    <row r="306" spans="1:9">
      <c r="A306" s="29" t="s">
        <v>1125</v>
      </c>
    </row>
    <row r="307" spans="1:9">
      <c r="A307" s="29" t="s">
        <v>1126</v>
      </c>
    </row>
    <row r="308" spans="1:9">
      <c r="A308" s="29" t="s">
        <v>1127</v>
      </c>
    </row>
    <row r="309" spans="1:9">
      <c r="A309" s="29" t="s">
        <v>1128</v>
      </c>
    </row>
    <row r="310" spans="1:9">
      <c r="A310" s="29" t="s">
        <v>1129</v>
      </c>
    </row>
    <row r="311" spans="1:9">
      <c r="A311" s="30" t="s">
        <v>382</v>
      </c>
      <c r="B311" s="30" t="s">
        <v>513</v>
      </c>
      <c r="C311" s="30" t="s">
        <v>513</v>
      </c>
      <c r="D311" s="30" t="s">
        <v>513</v>
      </c>
      <c r="E311" s="30" t="s">
        <v>513</v>
      </c>
      <c r="F311" s="30" t="s">
        <v>513</v>
      </c>
      <c r="G311" s="30" t="s">
        <v>513</v>
      </c>
      <c r="H311" s="30" t="s">
        <v>513</v>
      </c>
    </row>
    <row r="312" spans="1:9">
      <c r="A312" s="30" t="s">
        <v>385</v>
      </c>
      <c r="B312" s="30" t="s">
        <v>566</v>
      </c>
      <c r="C312" s="30" t="s">
        <v>567</v>
      </c>
      <c r="D312" s="30" t="s">
        <v>568</v>
      </c>
      <c r="E312" s="30" t="s">
        <v>569</v>
      </c>
      <c r="F312" s="30" t="s">
        <v>515</v>
      </c>
      <c r="G312" s="30" t="s">
        <v>570</v>
      </c>
      <c r="H312" s="30" t="s">
        <v>571</v>
      </c>
    </row>
    <row r="314" spans="1:9" ht="45">
      <c r="B314" s="15" t="s">
        <v>1130</v>
      </c>
      <c r="C314" s="15" t="s">
        <v>1131</v>
      </c>
      <c r="D314" s="15" t="s">
        <v>1132</v>
      </c>
      <c r="E314" s="15" t="s">
        <v>1133</v>
      </c>
      <c r="F314" s="15" t="s">
        <v>1134</v>
      </c>
      <c r="G314" s="15" t="s">
        <v>1135</v>
      </c>
      <c r="H314" s="15" t="s">
        <v>1136</v>
      </c>
    </row>
    <row r="315" spans="1:9">
      <c r="A315" s="4" t="s">
        <v>180</v>
      </c>
      <c r="B315" s="34">
        <f t="shared" ref="B315:B347" si="0">SUM($B15:$W15)</f>
        <v>1.8151550409631754</v>
      </c>
      <c r="C315" s="34">
        <f t="shared" ref="C315:C347" si="1">SUM($B59:$W59)</f>
        <v>0</v>
      </c>
      <c r="D315" s="34">
        <f t="shared" ref="D315:D347" si="2">SUM($B103:$W103)</f>
        <v>0</v>
      </c>
      <c r="E315" s="34">
        <f t="shared" ref="E315:E347" si="3">SUM($B147:$W147)</f>
        <v>3.5303894192553504</v>
      </c>
      <c r="F315" s="34">
        <f t="shared" ref="F315:F347" si="4">SUM($B187:$W187)</f>
        <v>0</v>
      </c>
      <c r="G315" s="34">
        <f t="shared" ref="G315:G347" si="5">SUM($B227:$W227)</f>
        <v>0</v>
      </c>
      <c r="H315" s="34">
        <f t="shared" ref="H315:H347" si="6">SUM($B268:$W268)</f>
        <v>0</v>
      </c>
      <c r="I315" s="17"/>
    </row>
    <row r="316" spans="1:9">
      <c r="A316" s="4" t="s">
        <v>181</v>
      </c>
      <c r="B316" s="34">
        <f t="shared" si="0"/>
        <v>2.2193186163990717</v>
      </c>
      <c r="C316" s="34">
        <f t="shared" si="1"/>
        <v>0.2008712209572372</v>
      </c>
      <c r="D316" s="34">
        <f t="shared" si="2"/>
        <v>0</v>
      </c>
      <c r="E316" s="34">
        <f t="shared" si="3"/>
        <v>3.5303894192553504</v>
      </c>
      <c r="F316" s="34">
        <f t="shared" si="4"/>
        <v>0</v>
      </c>
      <c r="G316" s="34">
        <f t="shared" si="5"/>
        <v>0</v>
      </c>
      <c r="H316" s="34">
        <f t="shared" si="6"/>
        <v>0</v>
      </c>
      <c r="I316" s="17"/>
    </row>
    <row r="317" spans="1:9">
      <c r="A317" s="4" t="s">
        <v>226</v>
      </c>
      <c r="B317" s="34">
        <f t="shared" si="0"/>
        <v>0.24710033759447372</v>
      </c>
      <c r="C317" s="34">
        <f t="shared" si="1"/>
        <v>0</v>
      </c>
      <c r="D317" s="34">
        <f t="shared" si="2"/>
        <v>0</v>
      </c>
      <c r="E317" s="34">
        <f t="shared" si="3"/>
        <v>0</v>
      </c>
      <c r="F317" s="34">
        <f t="shared" si="4"/>
        <v>0</v>
      </c>
      <c r="G317" s="34">
        <f t="shared" si="5"/>
        <v>0</v>
      </c>
      <c r="H317" s="34">
        <f t="shared" si="6"/>
        <v>0</v>
      </c>
      <c r="I317" s="17"/>
    </row>
    <row r="318" spans="1:9">
      <c r="A318" s="4" t="s">
        <v>182</v>
      </c>
      <c r="B318" s="34">
        <f t="shared" si="0"/>
        <v>1.6777230699964825</v>
      </c>
      <c r="C318" s="34">
        <f t="shared" si="1"/>
        <v>0</v>
      </c>
      <c r="D318" s="34">
        <f t="shared" si="2"/>
        <v>0</v>
      </c>
      <c r="E318" s="34">
        <f t="shared" si="3"/>
        <v>3.5303894192553504</v>
      </c>
      <c r="F318" s="34">
        <f t="shared" si="4"/>
        <v>0</v>
      </c>
      <c r="G318" s="34">
        <f t="shared" si="5"/>
        <v>0</v>
      </c>
      <c r="H318" s="34">
        <f t="shared" si="6"/>
        <v>0</v>
      </c>
      <c r="I318" s="17"/>
    </row>
    <row r="319" spans="1:9">
      <c r="A319" s="4" t="s">
        <v>183</v>
      </c>
      <c r="B319" s="34">
        <f t="shared" si="0"/>
        <v>1.7812850702773817</v>
      </c>
      <c r="C319" s="34">
        <f t="shared" si="1"/>
        <v>0.16044698460645673</v>
      </c>
      <c r="D319" s="34">
        <f t="shared" si="2"/>
        <v>0</v>
      </c>
      <c r="E319" s="34">
        <f t="shared" si="3"/>
        <v>3.5303894192553504</v>
      </c>
      <c r="F319" s="34">
        <f t="shared" si="4"/>
        <v>0</v>
      </c>
      <c r="G319" s="34">
        <f t="shared" si="5"/>
        <v>0</v>
      </c>
      <c r="H319" s="34">
        <f t="shared" si="6"/>
        <v>0</v>
      </c>
      <c r="I319" s="17"/>
    </row>
    <row r="320" spans="1:9">
      <c r="A320" s="4" t="s">
        <v>227</v>
      </c>
      <c r="B320" s="34">
        <f t="shared" si="0"/>
        <v>0.18360256433692124</v>
      </c>
      <c r="C320" s="34">
        <f t="shared" si="1"/>
        <v>0</v>
      </c>
      <c r="D320" s="34">
        <f t="shared" si="2"/>
        <v>0</v>
      </c>
      <c r="E320" s="34">
        <f t="shared" si="3"/>
        <v>0</v>
      </c>
      <c r="F320" s="34">
        <f t="shared" si="4"/>
        <v>0</v>
      </c>
      <c r="G320" s="34">
        <f t="shared" si="5"/>
        <v>0</v>
      </c>
      <c r="H320" s="34">
        <f t="shared" si="6"/>
        <v>0</v>
      </c>
      <c r="I320" s="17"/>
    </row>
    <row r="321" spans="1:9">
      <c r="A321" s="4" t="s">
        <v>184</v>
      </c>
      <c r="B321" s="34">
        <f t="shared" si="0"/>
        <v>1.6224831809566633</v>
      </c>
      <c r="C321" s="34">
        <f t="shared" si="1"/>
        <v>0.13715932044850415</v>
      </c>
      <c r="D321" s="34">
        <f t="shared" si="2"/>
        <v>0</v>
      </c>
      <c r="E321" s="34">
        <f t="shared" si="3"/>
        <v>18.092948483838178</v>
      </c>
      <c r="F321" s="34">
        <f t="shared" si="4"/>
        <v>0</v>
      </c>
      <c r="G321" s="34">
        <f t="shared" si="5"/>
        <v>0</v>
      </c>
      <c r="H321" s="34">
        <f t="shared" si="6"/>
        <v>0</v>
      </c>
      <c r="I321" s="17"/>
    </row>
    <row r="322" spans="1:9">
      <c r="A322" s="4" t="s">
        <v>185</v>
      </c>
      <c r="B322" s="34">
        <f t="shared" si="0"/>
        <v>3.3824925732772391</v>
      </c>
      <c r="C322" s="34">
        <f t="shared" si="1"/>
        <v>0.28393845327056189</v>
      </c>
      <c r="D322" s="34">
        <f t="shared" si="2"/>
        <v>0</v>
      </c>
      <c r="E322" s="34">
        <f t="shared" si="3"/>
        <v>131.79549455377102</v>
      </c>
      <c r="F322" s="34">
        <f t="shared" si="4"/>
        <v>0</v>
      </c>
      <c r="G322" s="34">
        <f t="shared" si="5"/>
        <v>0</v>
      </c>
      <c r="H322" s="34">
        <f t="shared" si="6"/>
        <v>0</v>
      </c>
      <c r="I322" s="17"/>
    </row>
    <row r="323" spans="1:9">
      <c r="A323" s="4" t="s">
        <v>205</v>
      </c>
      <c r="B323" s="34">
        <f t="shared" si="0"/>
        <v>2.4370983043969154</v>
      </c>
      <c r="C323" s="34">
        <f t="shared" si="1"/>
        <v>0.19279108124085576</v>
      </c>
      <c r="D323" s="34">
        <f t="shared" si="2"/>
        <v>0</v>
      </c>
      <c r="E323" s="34">
        <f t="shared" si="3"/>
        <v>1193.8153569523729</v>
      </c>
      <c r="F323" s="34">
        <f t="shared" si="4"/>
        <v>0</v>
      </c>
      <c r="G323" s="34">
        <f t="shared" si="5"/>
        <v>0</v>
      </c>
      <c r="H323" s="34">
        <f t="shared" si="6"/>
        <v>0</v>
      </c>
      <c r="I323" s="17"/>
    </row>
    <row r="324" spans="1:9">
      <c r="A324" s="4" t="s">
        <v>186</v>
      </c>
      <c r="B324" s="34">
        <f t="shared" si="0"/>
        <v>9.7966903208606375</v>
      </c>
      <c r="C324" s="34">
        <f t="shared" si="1"/>
        <v>1.50624575326778</v>
      </c>
      <c r="D324" s="34">
        <f t="shared" si="2"/>
        <v>0.17933769051958989</v>
      </c>
      <c r="E324" s="34">
        <f t="shared" si="3"/>
        <v>3.5303894192553504</v>
      </c>
      <c r="F324" s="34">
        <f t="shared" si="4"/>
        <v>0</v>
      </c>
      <c r="G324" s="34">
        <f t="shared" si="5"/>
        <v>0</v>
      </c>
      <c r="H324" s="34">
        <f t="shared" si="6"/>
        <v>0</v>
      </c>
      <c r="I324" s="17"/>
    </row>
    <row r="325" spans="1:9">
      <c r="A325" s="4" t="s">
        <v>187</v>
      </c>
      <c r="B325" s="34">
        <f t="shared" si="0"/>
        <v>8.9519049483494104</v>
      </c>
      <c r="C325" s="34">
        <f t="shared" si="1"/>
        <v>1.3762671121001446</v>
      </c>
      <c r="D325" s="34">
        <f t="shared" si="2"/>
        <v>0.16386076485250511</v>
      </c>
      <c r="E325" s="34">
        <f t="shared" si="3"/>
        <v>3.5303894192553504</v>
      </c>
      <c r="F325" s="34">
        <f t="shared" si="4"/>
        <v>0</v>
      </c>
      <c r="G325" s="34">
        <f t="shared" si="5"/>
        <v>0</v>
      </c>
      <c r="H325" s="34">
        <f t="shared" si="6"/>
        <v>0</v>
      </c>
      <c r="I325" s="17"/>
    </row>
    <row r="326" spans="1:9">
      <c r="A326" s="4" t="s">
        <v>188</v>
      </c>
      <c r="B326" s="34">
        <f t="shared" si="0"/>
        <v>6.6072456334949372</v>
      </c>
      <c r="C326" s="34">
        <f t="shared" si="1"/>
        <v>0.95933415245418296</v>
      </c>
      <c r="D326" s="34">
        <f t="shared" si="2"/>
        <v>0.11640029751666903</v>
      </c>
      <c r="E326" s="34">
        <f t="shared" si="3"/>
        <v>14.051320860512647</v>
      </c>
      <c r="F326" s="34">
        <f t="shared" si="4"/>
        <v>3.2551870400630918</v>
      </c>
      <c r="G326" s="34">
        <f t="shared" si="5"/>
        <v>5.0563370614062153</v>
      </c>
      <c r="H326" s="34">
        <f t="shared" si="6"/>
        <v>0.14770184577629475</v>
      </c>
      <c r="I326" s="17"/>
    </row>
    <row r="327" spans="1:9">
      <c r="A327" s="4" t="s">
        <v>189</v>
      </c>
      <c r="B327" s="34">
        <f t="shared" si="0"/>
        <v>5.2056369596081922</v>
      </c>
      <c r="C327" s="34">
        <f t="shared" si="1"/>
        <v>0.70958979917964948</v>
      </c>
      <c r="D327" s="34">
        <f t="shared" si="2"/>
        <v>8.7987141573976371E-2</v>
      </c>
      <c r="E327" s="34">
        <f t="shared" si="3"/>
        <v>45.106413068356694</v>
      </c>
      <c r="F327" s="34">
        <f t="shared" si="4"/>
        <v>3.2535529365497853</v>
      </c>
      <c r="G327" s="34">
        <f t="shared" si="5"/>
        <v>5.8513969797409562</v>
      </c>
      <c r="H327" s="34">
        <f t="shared" si="6"/>
        <v>0.11051343801566767</v>
      </c>
      <c r="I327" s="17"/>
    </row>
    <row r="328" spans="1:9">
      <c r="A328" s="4" t="s">
        <v>206</v>
      </c>
      <c r="B328" s="34">
        <f t="shared" si="0"/>
        <v>3.6696031930532165</v>
      </c>
      <c r="C328" s="34">
        <f t="shared" si="1"/>
        <v>0.44357757639731277</v>
      </c>
      <c r="D328" s="34">
        <f t="shared" si="2"/>
        <v>5.7467333456118902E-2</v>
      </c>
      <c r="E328" s="34">
        <f t="shared" si="3"/>
        <v>99.182988171499503</v>
      </c>
      <c r="F328" s="34">
        <f t="shared" si="4"/>
        <v>2.9263636697329258</v>
      </c>
      <c r="G328" s="34">
        <f t="shared" si="5"/>
        <v>5.7469501018198814</v>
      </c>
      <c r="H328" s="34">
        <f t="shared" si="6"/>
        <v>7.3966782529306496E-2</v>
      </c>
      <c r="I328" s="17"/>
    </row>
    <row r="329" spans="1:9">
      <c r="A329" s="4" t="s">
        <v>228</v>
      </c>
      <c r="B329" s="34">
        <f t="shared" si="0"/>
        <v>2.964302670937772</v>
      </c>
      <c r="C329" s="34">
        <f t="shared" si="1"/>
        <v>0</v>
      </c>
      <c r="D329" s="34">
        <f t="shared" si="2"/>
        <v>0</v>
      </c>
      <c r="E329" s="34">
        <f t="shared" si="3"/>
        <v>0</v>
      </c>
      <c r="F329" s="34">
        <f t="shared" si="4"/>
        <v>0</v>
      </c>
      <c r="G329" s="34">
        <f t="shared" si="5"/>
        <v>0</v>
      </c>
      <c r="H329" s="34">
        <f t="shared" si="6"/>
        <v>0</v>
      </c>
      <c r="I329" s="17"/>
    </row>
    <row r="330" spans="1:9">
      <c r="A330" s="4" t="s">
        <v>229</v>
      </c>
      <c r="B330" s="34">
        <f t="shared" si="0"/>
        <v>3.1771039301761101</v>
      </c>
      <c r="C330" s="34">
        <f t="shared" si="1"/>
        <v>0</v>
      </c>
      <c r="D330" s="34">
        <f t="shared" si="2"/>
        <v>0</v>
      </c>
      <c r="E330" s="34">
        <f t="shared" si="3"/>
        <v>0</v>
      </c>
      <c r="F330" s="34">
        <f t="shared" si="4"/>
        <v>0</v>
      </c>
      <c r="G330" s="34">
        <f t="shared" si="5"/>
        <v>0</v>
      </c>
      <c r="H330" s="34">
        <f t="shared" si="6"/>
        <v>0</v>
      </c>
      <c r="I330" s="17"/>
    </row>
    <row r="331" spans="1:9">
      <c r="A331" s="4" t="s">
        <v>230</v>
      </c>
      <c r="B331" s="34">
        <f t="shared" si="0"/>
        <v>4.3776855310613998</v>
      </c>
      <c r="C331" s="34">
        <f t="shared" si="1"/>
        <v>0</v>
      </c>
      <c r="D331" s="34">
        <f t="shared" si="2"/>
        <v>0</v>
      </c>
      <c r="E331" s="34">
        <f t="shared" si="3"/>
        <v>0</v>
      </c>
      <c r="F331" s="34">
        <f t="shared" si="4"/>
        <v>0</v>
      </c>
      <c r="G331" s="34">
        <f t="shared" si="5"/>
        <v>0</v>
      </c>
      <c r="H331" s="34">
        <f t="shared" si="6"/>
        <v>0</v>
      </c>
      <c r="I331" s="17"/>
    </row>
    <row r="332" spans="1:9">
      <c r="A332" s="4" t="s">
        <v>231</v>
      </c>
      <c r="B332" s="34">
        <f t="shared" si="0"/>
        <v>2.8872333135278971</v>
      </c>
      <c r="C332" s="34">
        <f t="shared" si="1"/>
        <v>0</v>
      </c>
      <c r="D332" s="34">
        <f t="shared" si="2"/>
        <v>0</v>
      </c>
      <c r="E332" s="34">
        <f t="shared" si="3"/>
        <v>0</v>
      </c>
      <c r="F332" s="34">
        <f t="shared" si="4"/>
        <v>0</v>
      </c>
      <c r="G332" s="34">
        <f t="shared" si="5"/>
        <v>0</v>
      </c>
      <c r="H332" s="34">
        <f t="shared" si="6"/>
        <v>0</v>
      </c>
      <c r="I332" s="17"/>
    </row>
    <row r="333" spans="1:9">
      <c r="A333" s="4" t="s">
        <v>232</v>
      </c>
      <c r="B333" s="34">
        <f t="shared" si="0"/>
        <v>26.255278302013448</v>
      </c>
      <c r="C333" s="34">
        <f t="shared" si="1"/>
        <v>2.9400448047014889</v>
      </c>
      <c r="D333" s="34">
        <f t="shared" si="2"/>
        <v>1.8840205079208321</v>
      </c>
      <c r="E333" s="34">
        <f t="shared" si="3"/>
        <v>0</v>
      </c>
      <c r="F333" s="34">
        <f t="shared" si="4"/>
        <v>0</v>
      </c>
      <c r="G333" s="34">
        <f t="shared" si="5"/>
        <v>0</v>
      </c>
      <c r="H333" s="34">
        <f t="shared" si="6"/>
        <v>0</v>
      </c>
      <c r="I333" s="17"/>
    </row>
    <row r="334" spans="1:9">
      <c r="A334" s="4" t="s">
        <v>190</v>
      </c>
      <c r="B334" s="34">
        <f t="shared" si="0"/>
        <v>-0.97652180328586424</v>
      </c>
      <c r="C334" s="34">
        <f t="shared" si="1"/>
        <v>0</v>
      </c>
      <c r="D334" s="34">
        <f t="shared" si="2"/>
        <v>0</v>
      </c>
      <c r="E334" s="34">
        <f t="shared" si="3"/>
        <v>0</v>
      </c>
      <c r="F334" s="34">
        <f t="shared" si="4"/>
        <v>0</v>
      </c>
      <c r="G334" s="34">
        <f t="shared" si="5"/>
        <v>0</v>
      </c>
      <c r="H334" s="34">
        <f t="shared" si="6"/>
        <v>0</v>
      </c>
      <c r="I334" s="17"/>
    </row>
    <row r="335" spans="1:9">
      <c r="A335" s="4" t="s">
        <v>191</v>
      </c>
      <c r="B335" s="34">
        <f t="shared" si="0"/>
        <v>-0.78134038241603021</v>
      </c>
      <c r="C335" s="34">
        <f t="shared" si="1"/>
        <v>0</v>
      </c>
      <c r="D335" s="34">
        <f t="shared" si="2"/>
        <v>0</v>
      </c>
      <c r="E335" s="34">
        <f t="shared" si="3"/>
        <v>0</v>
      </c>
      <c r="F335" s="34">
        <f t="shared" si="4"/>
        <v>0</v>
      </c>
      <c r="G335" s="34">
        <f t="shared" si="5"/>
        <v>0</v>
      </c>
      <c r="H335" s="34">
        <f t="shared" si="6"/>
        <v>0</v>
      </c>
      <c r="I335" s="17"/>
    </row>
    <row r="336" spans="1:9">
      <c r="A336" s="4" t="s">
        <v>192</v>
      </c>
      <c r="B336" s="34">
        <f t="shared" si="0"/>
        <v>-0.97652180328586424</v>
      </c>
      <c r="C336" s="34">
        <f t="shared" si="1"/>
        <v>0</v>
      </c>
      <c r="D336" s="34">
        <f t="shared" si="2"/>
        <v>0</v>
      </c>
      <c r="E336" s="34">
        <f t="shared" si="3"/>
        <v>0</v>
      </c>
      <c r="F336" s="34">
        <f t="shared" si="4"/>
        <v>0</v>
      </c>
      <c r="G336" s="34">
        <f t="shared" si="5"/>
        <v>0</v>
      </c>
      <c r="H336" s="34">
        <f t="shared" si="6"/>
        <v>0.1282028071121569</v>
      </c>
      <c r="I336" s="17"/>
    </row>
    <row r="337" spans="1:9">
      <c r="A337" s="4" t="s">
        <v>193</v>
      </c>
      <c r="B337" s="34">
        <f t="shared" si="0"/>
        <v>-0.97652180328586424</v>
      </c>
      <c r="C337" s="34">
        <f t="shared" si="1"/>
        <v>0</v>
      </c>
      <c r="D337" s="34">
        <f t="shared" si="2"/>
        <v>0</v>
      </c>
      <c r="E337" s="34">
        <f t="shared" si="3"/>
        <v>0</v>
      </c>
      <c r="F337" s="34">
        <f t="shared" si="4"/>
        <v>0</v>
      </c>
      <c r="G337" s="34">
        <f t="shared" si="5"/>
        <v>0</v>
      </c>
      <c r="H337" s="34">
        <f t="shared" si="6"/>
        <v>0</v>
      </c>
      <c r="I337" s="17"/>
    </row>
    <row r="338" spans="1:9">
      <c r="A338" s="4" t="s">
        <v>194</v>
      </c>
      <c r="B338" s="34">
        <f t="shared" si="0"/>
        <v>-6.7208912071231417</v>
      </c>
      <c r="C338" s="34">
        <f t="shared" si="1"/>
        <v>-1.0332984711496851</v>
      </c>
      <c r="D338" s="34">
        <f t="shared" si="2"/>
        <v>-0.12302660066224436</v>
      </c>
      <c r="E338" s="34">
        <f t="shared" si="3"/>
        <v>0</v>
      </c>
      <c r="F338" s="34">
        <f t="shared" si="4"/>
        <v>0</v>
      </c>
      <c r="G338" s="34">
        <f t="shared" si="5"/>
        <v>0</v>
      </c>
      <c r="H338" s="34">
        <f t="shared" si="6"/>
        <v>0.1282028071121569</v>
      </c>
      <c r="I338" s="17"/>
    </row>
    <row r="339" spans="1:9">
      <c r="A339" s="4" t="s">
        <v>195</v>
      </c>
      <c r="B339" s="34">
        <f t="shared" si="0"/>
        <v>-6.7208912071231417</v>
      </c>
      <c r="C339" s="34">
        <f t="shared" si="1"/>
        <v>-1.0332984711496851</v>
      </c>
      <c r="D339" s="34">
        <f t="shared" si="2"/>
        <v>-0.12302660066224436</v>
      </c>
      <c r="E339" s="34">
        <f t="shared" si="3"/>
        <v>0</v>
      </c>
      <c r="F339" s="34">
        <f t="shared" si="4"/>
        <v>0</v>
      </c>
      <c r="G339" s="34">
        <f t="shared" si="5"/>
        <v>0</v>
      </c>
      <c r="H339" s="34">
        <f t="shared" si="6"/>
        <v>0</v>
      </c>
      <c r="I339" s="17"/>
    </row>
    <row r="340" spans="1:9">
      <c r="A340" s="4" t="s">
        <v>196</v>
      </c>
      <c r="B340" s="34">
        <f t="shared" si="0"/>
        <v>-0.78134038241603021</v>
      </c>
      <c r="C340" s="34">
        <f t="shared" si="1"/>
        <v>0</v>
      </c>
      <c r="D340" s="34">
        <f t="shared" si="2"/>
        <v>0</v>
      </c>
      <c r="E340" s="34">
        <f t="shared" si="3"/>
        <v>0</v>
      </c>
      <c r="F340" s="34">
        <f t="shared" si="4"/>
        <v>0</v>
      </c>
      <c r="G340" s="34">
        <f t="shared" si="5"/>
        <v>0</v>
      </c>
      <c r="H340" s="34">
        <f t="shared" si="6"/>
        <v>0.10733299154945089</v>
      </c>
      <c r="I340" s="17"/>
    </row>
    <row r="341" spans="1:9">
      <c r="A341" s="4" t="s">
        <v>197</v>
      </c>
      <c r="B341" s="34">
        <f t="shared" si="0"/>
        <v>-0.78134038241603021</v>
      </c>
      <c r="C341" s="34">
        <f t="shared" si="1"/>
        <v>0</v>
      </c>
      <c r="D341" s="34">
        <f t="shared" si="2"/>
        <v>0</v>
      </c>
      <c r="E341" s="34">
        <f t="shared" si="3"/>
        <v>0</v>
      </c>
      <c r="F341" s="34">
        <f t="shared" si="4"/>
        <v>0</v>
      </c>
      <c r="G341" s="34">
        <f t="shared" si="5"/>
        <v>0</v>
      </c>
      <c r="H341" s="34">
        <f t="shared" si="6"/>
        <v>0</v>
      </c>
      <c r="I341" s="17"/>
    </row>
    <row r="342" spans="1:9">
      <c r="A342" s="4" t="s">
        <v>198</v>
      </c>
      <c r="B342" s="34">
        <f t="shared" si="0"/>
        <v>-5.4635494100859852</v>
      </c>
      <c r="C342" s="34">
        <f t="shared" si="1"/>
        <v>-0.80314008942444881</v>
      </c>
      <c r="D342" s="34">
        <f t="shared" si="2"/>
        <v>-9.7045502063775199E-2</v>
      </c>
      <c r="E342" s="34">
        <f t="shared" si="3"/>
        <v>0</v>
      </c>
      <c r="F342" s="34">
        <f t="shared" si="4"/>
        <v>0</v>
      </c>
      <c r="G342" s="34">
        <f t="shared" si="5"/>
        <v>0</v>
      </c>
      <c r="H342" s="34">
        <f t="shared" si="6"/>
        <v>0.10733299154945089</v>
      </c>
      <c r="I342" s="17"/>
    </row>
    <row r="343" spans="1:9">
      <c r="A343" s="4" t="s">
        <v>199</v>
      </c>
      <c r="B343" s="34">
        <f t="shared" si="0"/>
        <v>-5.4635494100859852</v>
      </c>
      <c r="C343" s="34">
        <f t="shared" si="1"/>
        <v>-0.80314008942444881</v>
      </c>
      <c r="D343" s="34">
        <f t="shared" si="2"/>
        <v>-9.7045502063775199E-2</v>
      </c>
      <c r="E343" s="34">
        <f t="shared" si="3"/>
        <v>0</v>
      </c>
      <c r="F343" s="34">
        <f t="shared" si="4"/>
        <v>0</v>
      </c>
      <c r="G343" s="34">
        <f t="shared" si="5"/>
        <v>0</v>
      </c>
      <c r="H343" s="34">
        <f t="shared" si="6"/>
        <v>0</v>
      </c>
      <c r="I343" s="17"/>
    </row>
    <row r="344" spans="1:9">
      <c r="A344" s="4" t="s">
        <v>207</v>
      </c>
      <c r="B344" s="34">
        <f t="shared" si="0"/>
        <v>-0.5650751662588146</v>
      </c>
      <c r="C344" s="34">
        <f t="shared" si="1"/>
        <v>0</v>
      </c>
      <c r="D344" s="34">
        <f t="shared" si="2"/>
        <v>0</v>
      </c>
      <c r="E344" s="34">
        <f t="shared" si="3"/>
        <v>6.6786577800535563</v>
      </c>
      <c r="F344" s="34">
        <f t="shared" si="4"/>
        <v>0</v>
      </c>
      <c r="G344" s="34">
        <f t="shared" si="5"/>
        <v>0</v>
      </c>
      <c r="H344" s="34">
        <f t="shared" si="6"/>
        <v>8.3006829755467484E-2</v>
      </c>
      <c r="I344" s="17"/>
    </row>
    <row r="345" spans="1:9">
      <c r="A345" s="4" t="s">
        <v>208</v>
      </c>
      <c r="B345" s="34">
        <f t="shared" si="0"/>
        <v>-0.5650751662588146</v>
      </c>
      <c r="C345" s="34">
        <f t="shared" si="1"/>
        <v>0</v>
      </c>
      <c r="D345" s="34">
        <f t="shared" si="2"/>
        <v>0</v>
      </c>
      <c r="E345" s="34">
        <f t="shared" si="3"/>
        <v>6.6786577800535563</v>
      </c>
      <c r="F345" s="34">
        <f t="shared" si="4"/>
        <v>0</v>
      </c>
      <c r="G345" s="34">
        <f t="shared" si="5"/>
        <v>0</v>
      </c>
      <c r="H345" s="34">
        <f t="shared" si="6"/>
        <v>0</v>
      </c>
      <c r="I345" s="17"/>
    </row>
    <row r="346" spans="1:9">
      <c r="A346" s="4" t="s">
        <v>209</v>
      </c>
      <c r="B346" s="34">
        <f t="shared" si="0"/>
        <v>-4.0942695886567257</v>
      </c>
      <c r="C346" s="34">
        <f t="shared" si="1"/>
        <v>-0.54155726428187634</v>
      </c>
      <c r="D346" s="34">
        <f t="shared" si="2"/>
        <v>-6.7871491064582692E-2</v>
      </c>
      <c r="E346" s="34">
        <f t="shared" si="3"/>
        <v>6.6786577800535563</v>
      </c>
      <c r="F346" s="34">
        <f t="shared" si="4"/>
        <v>0</v>
      </c>
      <c r="G346" s="34">
        <f t="shared" si="5"/>
        <v>0</v>
      </c>
      <c r="H346" s="34">
        <f t="shared" si="6"/>
        <v>8.3006829755467484E-2</v>
      </c>
      <c r="I346" s="17"/>
    </row>
    <row r="347" spans="1:9">
      <c r="A347" s="4" t="s">
        <v>210</v>
      </c>
      <c r="B347" s="34">
        <f t="shared" si="0"/>
        <v>-4.0942695886567257</v>
      </c>
      <c r="C347" s="34">
        <f t="shared" si="1"/>
        <v>-0.54155726428187634</v>
      </c>
      <c r="D347" s="34">
        <f t="shared" si="2"/>
        <v>-6.7871491064582692E-2</v>
      </c>
      <c r="E347" s="34">
        <f t="shared" si="3"/>
        <v>6.6786577800535563</v>
      </c>
      <c r="F347" s="34">
        <f t="shared" si="4"/>
        <v>0</v>
      </c>
      <c r="G347" s="34">
        <f t="shared" si="5"/>
        <v>0</v>
      </c>
      <c r="H347" s="34">
        <f t="shared" si="6"/>
        <v>0</v>
      </c>
      <c r="I347" s="17"/>
    </row>
  </sheetData>
  <sheetProtection sheet="1" objects="1" scenarios="1"/>
  <hyperlinks>
    <hyperlink ref="A6" location="'Standing'!B78" display="x1 = 3004. Unit rate 1 total p/kWh (taking account of standing charges) — for Tariffs with Unit rate 1 p/kWh from Standard 1 kWh"/>
    <hyperlink ref="A7" location="'Yard'!B66" display="x2 = 2903. Pay-as-you-go unit rate 1 (p/kWh) — for Tariffs with Unit rate 1 p/kWh from PAYG 1 kWh"/>
    <hyperlink ref="A8" location="'Yard'!B66" display="x3 = 2903. Pay-as-you-go unit rate 1 (p/kWh) — for Tariffs with Unit rate 1 p/kWh from PAYG 1 kWh &amp; customer"/>
    <hyperlink ref="A9" location="'Yard'!B22" display="x4 = 2902. Pay-as-you-go yardstick unit rate (p/kWh) — for Tariffs with Unit rate 1 p/kWh from PAYG yardstick kWh"/>
    <hyperlink ref="A10" location="'SM'!B48" display="x5 = 2203. LV unmetered service model asset charge (p/kWh) — for Tariffs with Unit rate 1 p/kWh from PAYG 1 kWh &amp; customer"/>
    <hyperlink ref="A11" location="'Otex'!B161" display="x6 = 2712. Operating expenditure for unmetered customer assets (p/kWh) — for Tariffs with Unit rate 1 p/kWh from PAYG 1 kWh &amp; customer"/>
    <hyperlink ref="A51" location="'Standing'!B105" display="x1 = 3005. Unit rate 2 total p/kWh (taking account of standing charges) — for Tariffs with Unit rate 2 p/kWh from Standard 2 kWh"/>
    <hyperlink ref="A52" location="'Yard'!B102" display="x2 = 2904. Pay-as-you-go unit rate 2 (p/kWh) — for Tariffs with Unit rate 2 p/kWh from PAYG 2 kWh"/>
    <hyperlink ref="A53" location="'Yard'!B102" display="x3 = 2904. Pay-as-you-go unit rate 2 (p/kWh) — for Tariffs with Unit rate 2 p/kWh from PAYG 2 kWh &amp; customer"/>
    <hyperlink ref="A54" location="'SM'!B48" display="x4 = 2203. LV unmetered service model asset charge (p/kWh) — for Tariffs with Unit rate 2 p/kWh from PAYG 2 kWh &amp; customer"/>
    <hyperlink ref="A55" location="'Otex'!B161" display="x5 = 2712. Operating expenditure for unmetered customer assets (p/kWh) — for Tariffs with Unit rate 2 p/kWh from PAYG 2 kWh &amp; customer"/>
    <hyperlink ref="A95" location="'Standing'!B124" display="x1 = 3006. Unit rate 3 total p/kWh (taking account of standing charges) — for Tariffs with Unit rate 3 p/kWh from Standard 3 kWh"/>
    <hyperlink ref="A96" location="'Yard'!B130" display="x2 = 2905. Pay-as-you-go unit rate 3 (p/kWh) — for Tariffs with Unit rate 3 p/kWh from PAYG 3 kWh"/>
    <hyperlink ref="A97" location="'Yard'!B130" display="x3 = 2905. Pay-as-you-go unit rate 3 (p/kWh) — for Tariffs with Unit rate 3 p/kWh from PAYG 3 kWh &amp; customer"/>
    <hyperlink ref="A98" location="'SM'!B48" display="x4 = 2203. LV unmetered service model asset charge (p/kWh) — for Tariffs with Unit rate 3 p/kWh from PAYG 3 kWh &amp; customer"/>
    <hyperlink ref="A99" location="'Otex'!B161" display="x5 = 2712. Operating expenditure for unmetered customer assets (p/kWh) — for Tariffs with Unit rate 3 p/kWh from PAYG 3 kWh &amp; customer"/>
    <hyperlink ref="A139" location="'AggCap'!B88" display="x1 = 3107. Fixed charge from standing charges factors p/MPAN/day — for Tariffs with Fixed charge p/MPAN/day from Fixed from network &amp; customer"/>
    <hyperlink ref="A140" location="'SM'!B117" display="x2 = 2206. Service model p/MPAN/day (in Replacement annuities for service models) — for Tariffs with Fixed charge p/MPAN/day from Customer"/>
    <hyperlink ref="A141" location="'SM'!B117" display="x3 = 2206. Service model p/MPAN/day (in Replacement annuities for service models) — for Tariffs with Fixed charge p/MPAN/day from Fixed from network &amp; customer"/>
    <hyperlink ref="A142" location="'Otex'!B120" display="x4 = 2711. Operating expenditure for customer assets p/MPAN/day total (in Operating expenditure for customer assets p/MPAN/day) — for Tariffs with Fixed charge p/MPAN/day from Customer"/>
    <hyperlink ref="A143" location="'Otex'!B120" display="x5 = 2711. Operating expenditure for customer assets p/MPAN/day total (in Operating expenditure for customer assets p/MPAN/day) — for Tariffs with Fixed charge p/MPAN/day from Fixed from network &amp; customer"/>
    <hyperlink ref="A183" location="'Standing'!B24" display="x1 = 3002. Capacity charge p/kVA/day — for Tariffs with Capacity charge p/kVA/day from Capacity"/>
    <hyperlink ref="A223" location="'Standing'!B141" display="x1 = 3007. Exceeded capacity charge p/kVA/day — for Tariffs with Exceeded capacity charge p/kVA/day from Capacity"/>
    <hyperlink ref="A263" location="'Reactive'!B76" display="x1 = 3206. Pay-as-you-go reactive p/kVArh"/>
    <hyperlink ref="A264" location="'Reactive'!B32" display="x2 = 3203. Standard reactive p/kVArh"/>
    <hyperlink ref="A304" location="'Aggreg'!B14" display="x1 = 3301. Unit rate 1 p/kWh (elements)"/>
    <hyperlink ref="A305" location="'Aggreg'!B58" display="x2 = 3302. Unit rate 2 p/kWh (elements)"/>
    <hyperlink ref="A306" location="'Aggreg'!B102" display="x3 = 3303. Unit rate 3 p/kWh (elements)"/>
    <hyperlink ref="A307" location="'Aggreg'!B146" display="x4 = 3304. Fixed charge p/MPAN/day (elements)"/>
    <hyperlink ref="A308" location="'Aggreg'!B186" display="x5 = 3305. Capacity charge p/kVA/day (elements)"/>
    <hyperlink ref="A309" location="'Aggreg'!B226" display="x6 = 3306. Exceeded capacity charge p/kVA/day (elements)"/>
    <hyperlink ref="A310" location="'Aggreg'!B267" display="x7 = 3307. Reactive power charge p/kVArh (element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50.7109375" customWidth="1"/>
    <col min="2" max="251" width="21.7109375" customWidth="1"/>
  </cols>
  <sheetData>
    <row r="1" spans="1:1" ht="21" customHeight="1">
      <c r="A1" s="1" t="str">
        <f>"Revenue shortfall or surplus for "&amp;Input!B7&amp;" in "&amp;Input!C7&amp;" ("&amp;Input!D7&amp;")"</f>
        <v>Revenue shortfall or surplus for Electricity North West in 2019/20 (Version 1)</v>
      </c>
    </row>
    <row r="3" spans="1:1" ht="21" customHeight="1">
      <c r="A3" s="1" t="s">
        <v>1137</v>
      </c>
    </row>
    <row r="4" spans="1:1">
      <c r="A4" s="2" t="s">
        <v>379</v>
      </c>
    </row>
    <row r="5" spans="1:1">
      <c r="A5" s="29" t="s">
        <v>508</v>
      </c>
    </row>
    <row r="6" spans="1:1">
      <c r="A6" s="29" t="s">
        <v>1138</v>
      </c>
    </row>
    <row r="7" spans="1:1">
      <c r="A7" s="29" t="s">
        <v>1139</v>
      </c>
    </row>
    <row r="8" spans="1:1">
      <c r="A8" s="29" t="s">
        <v>1140</v>
      </c>
    </row>
    <row r="9" spans="1:1">
      <c r="A9" s="29" t="s">
        <v>1141</v>
      </c>
    </row>
    <row r="10" spans="1:1">
      <c r="A10" s="29" t="s">
        <v>1142</v>
      </c>
    </row>
    <row r="11" spans="1:1">
      <c r="A11" s="29" t="s">
        <v>1143</v>
      </c>
    </row>
    <row r="12" spans="1:1">
      <c r="A12" s="29" t="s">
        <v>1144</v>
      </c>
    </row>
    <row r="13" spans="1:1">
      <c r="A13" s="29" t="s">
        <v>1145</v>
      </c>
    </row>
    <row r="14" spans="1:1">
      <c r="A14" s="29" t="s">
        <v>1146</v>
      </c>
    </row>
    <row r="15" spans="1:1">
      <c r="A15" s="29" t="s">
        <v>1147</v>
      </c>
    </row>
    <row r="16" spans="1:1">
      <c r="A16" s="29" t="s">
        <v>1148</v>
      </c>
    </row>
    <row r="17" spans="1:3">
      <c r="A17" s="29" t="s">
        <v>1149</v>
      </c>
    </row>
    <row r="18" spans="1:3">
      <c r="A18" s="29" t="s">
        <v>1150</v>
      </c>
    </row>
    <row r="19" spans="1:3">
      <c r="A19" s="29" t="s">
        <v>1151</v>
      </c>
    </row>
    <row r="20" spans="1:3">
      <c r="A20" s="2" t="s">
        <v>1152</v>
      </c>
    </row>
    <row r="22" spans="1:3">
      <c r="B22" s="15" t="s">
        <v>1153</v>
      </c>
    </row>
    <row r="23" spans="1:3">
      <c r="A23" s="4" t="s">
        <v>180</v>
      </c>
      <c r="B23" s="39">
        <f>0.01*Input!F$60*(Aggreg!E315*Loads!E334+Aggreg!F315*Loads!F334+Aggreg!G315*Loads!G334)+10*(Aggreg!B315*Loads!B334+Aggreg!C315*Loads!C334+Aggreg!D315*Loads!D334+Aggreg!H315*Loads!H334)</f>
        <v>145492579.80866069</v>
      </c>
      <c r="C23" s="17"/>
    </row>
    <row r="24" spans="1:3">
      <c r="A24" s="4" t="s">
        <v>181</v>
      </c>
      <c r="B24" s="39">
        <f>0.01*Input!F$60*(Aggreg!E316*Loads!E335+Aggreg!F316*Loads!F335+Aggreg!G316*Loads!G335)+10*(Aggreg!B316*Loads!B335+Aggreg!C316*Loads!C335+Aggreg!D316*Loads!D335+Aggreg!H316*Loads!H335)</f>
        <v>13720108.21548355</v>
      </c>
      <c r="C24" s="17"/>
    </row>
    <row r="25" spans="1:3">
      <c r="A25" s="4" t="s">
        <v>226</v>
      </c>
      <c r="B25" s="39">
        <f>0.01*Input!F$60*(Aggreg!E317*Loads!E336+Aggreg!F317*Loads!F336+Aggreg!G317*Loads!G336)+10*(Aggreg!B317*Loads!B336+Aggreg!C317*Loads!C336+Aggreg!D317*Loads!D336+Aggreg!H317*Loads!H336)</f>
        <v>35284.697882019223</v>
      </c>
      <c r="C25" s="17"/>
    </row>
    <row r="26" spans="1:3">
      <c r="A26" s="4" t="s">
        <v>182</v>
      </c>
      <c r="B26" s="39">
        <f>0.01*Input!F$60*(Aggreg!E318*Loads!E337+Aggreg!F318*Loads!F337+Aggreg!G318*Loads!G337)+10*(Aggreg!B318*Loads!B337+Aggreg!C318*Loads!C337+Aggreg!D318*Loads!D337+Aggreg!H318*Loads!H337)</f>
        <v>26771030.442728736</v>
      </c>
      <c r="C26" s="17"/>
    </row>
    <row r="27" spans="1:3">
      <c r="A27" s="4" t="s">
        <v>183</v>
      </c>
      <c r="B27" s="39">
        <f>0.01*Input!F$60*(Aggreg!E319*Loads!E338+Aggreg!F319*Loads!F338+Aggreg!G319*Loads!G338)+10*(Aggreg!B319*Loads!B338+Aggreg!C319*Loads!C338+Aggreg!D319*Loads!D338+Aggreg!H319*Loads!H338)</f>
        <v>10231375.320522046</v>
      </c>
      <c r="C27" s="17"/>
    </row>
    <row r="28" spans="1:3">
      <c r="A28" s="4" t="s">
        <v>227</v>
      </c>
      <c r="B28" s="39">
        <f>0.01*Input!F$60*(Aggreg!E320*Loads!E339+Aggreg!F320*Loads!F339+Aggreg!G320*Loads!G339)+10*(Aggreg!B320*Loads!B339+Aggreg!C320*Loads!C339+Aggreg!D320*Loads!D339+Aggreg!H320*Loads!H339)</f>
        <v>37165.98614057443</v>
      </c>
      <c r="C28" s="17"/>
    </row>
    <row r="29" spans="1:3">
      <c r="A29" s="4" t="s">
        <v>184</v>
      </c>
      <c r="B29" s="39">
        <f>0.01*Input!F$60*(Aggreg!E321*Loads!E340+Aggreg!F321*Loads!F340+Aggreg!G321*Loads!G340)+10*(Aggreg!B321*Loads!B340+Aggreg!C321*Loads!C340+Aggreg!D321*Loads!D340+Aggreg!H321*Loads!H340)</f>
        <v>1206.1247270026829</v>
      </c>
      <c r="C29" s="17"/>
    </row>
    <row r="30" spans="1:3">
      <c r="A30" s="4" t="s">
        <v>185</v>
      </c>
      <c r="B30" s="39">
        <f>0.01*Input!F$60*(Aggreg!E322*Loads!E341+Aggreg!F322*Loads!F341+Aggreg!G322*Loads!G341)+10*(Aggreg!B322*Loads!B341+Aggreg!C322*Loads!C341+Aggreg!D322*Loads!D341+Aggreg!H322*Loads!H341)</f>
        <v>5.8991628646422143</v>
      </c>
      <c r="C30" s="17"/>
    </row>
    <row r="31" spans="1:3">
      <c r="A31" s="4" t="s">
        <v>205</v>
      </c>
      <c r="B31" s="39">
        <f>0.01*Input!F$60*(Aggreg!E323*Loads!E342+Aggreg!F323*Loads!F342+Aggreg!G323*Loads!G342)+10*(Aggreg!B323*Loads!B342+Aggreg!C323*Loads!C342+Aggreg!D323*Loads!D342+Aggreg!H323*Loads!H342)</f>
        <v>17.634155970770223</v>
      </c>
      <c r="C31" s="17"/>
    </row>
    <row r="32" spans="1:3">
      <c r="A32" s="4" t="s">
        <v>186</v>
      </c>
      <c r="B32" s="39">
        <f>0.01*Input!F$60*(Aggreg!E324*Loads!E343+Aggreg!F324*Loads!F343+Aggreg!G324*Loads!G343)+10*(Aggreg!B324*Loads!B343+Aggreg!C324*Loads!C343+Aggreg!D324*Loads!D343+Aggreg!H324*Loads!H343)</f>
        <v>14932.396482550459</v>
      </c>
      <c r="C32" s="17"/>
    </row>
    <row r="33" spans="1:3">
      <c r="A33" s="4" t="s">
        <v>187</v>
      </c>
      <c r="B33" s="39">
        <f>0.01*Input!F$60*(Aggreg!E325*Loads!E344+Aggreg!F325*Loads!F344+Aggreg!G325*Loads!G344)+10*(Aggreg!B325*Loads!B344+Aggreg!C325*Loads!C344+Aggreg!D325*Loads!D344+Aggreg!H325*Loads!H344)</f>
        <v>3349069.9646784426</v>
      </c>
      <c r="C33" s="17"/>
    </row>
    <row r="34" spans="1:3">
      <c r="A34" s="4" t="s">
        <v>188</v>
      </c>
      <c r="B34" s="39">
        <f>0.01*Input!F$60*(Aggreg!E326*Loads!E345+Aggreg!F326*Loads!F345+Aggreg!G326*Loads!G345)+10*(Aggreg!B326*Loads!B345+Aggreg!C326*Loads!C345+Aggreg!D326*Loads!D345+Aggreg!H326*Loads!H345)</f>
        <v>44549313.677049994</v>
      </c>
      <c r="C34" s="17"/>
    </row>
    <row r="35" spans="1:3">
      <c r="A35" s="4" t="s">
        <v>189</v>
      </c>
      <c r="B35" s="39">
        <f>0.01*Input!F$60*(Aggreg!E327*Loads!E346+Aggreg!F327*Loads!F346+Aggreg!G327*Loads!G346)+10*(Aggreg!B327*Loads!B346+Aggreg!C327*Loads!C346+Aggreg!D327*Loads!D346+Aggreg!H327*Loads!H346)</f>
        <v>18865393.721232984</v>
      </c>
      <c r="C35" s="17"/>
    </row>
    <row r="36" spans="1:3">
      <c r="A36" s="4" t="s">
        <v>206</v>
      </c>
      <c r="B36" s="39">
        <f>0.01*Input!F$60*(Aggreg!E328*Loads!E347+Aggreg!F328*Loads!F347+Aggreg!G328*Loads!G347)+10*(Aggreg!B328*Loads!B347+Aggreg!C328*Loads!C347+Aggreg!D328*Loads!D347+Aggreg!H328*Loads!H347)</f>
        <v>46405297.963967234</v>
      </c>
      <c r="C36" s="17"/>
    </row>
    <row r="37" spans="1:3">
      <c r="A37" s="4" t="s">
        <v>228</v>
      </c>
      <c r="B37" s="39">
        <f>0.01*Input!F$60*(Aggreg!E329*Loads!E348+Aggreg!F329*Loads!F348+Aggreg!G329*Loads!G348)+10*(Aggreg!B329*Loads!B348+Aggreg!C329*Loads!C348+Aggreg!D329*Loads!D348+Aggreg!H329*Loads!H348)</f>
        <v>517756.86939779914</v>
      </c>
      <c r="C37" s="17"/>
    </row>
    <row r="38" spans="1:3">
      <c r="A38" s="4" t="s">
        <v>229</v>
      </c>
      <c r="B38" s="39">
        <f>0.01*Input!F$60*(Aggreg!E330*Loads!E349+Aggreg!F330*Loads!F349+Aggreg!G330*Loads!G349)+10*(Aggreg!B330*Loads!B349+Aggreg!C330*Loads!C349+Aggreg!D330*Loads!D349+Aggreg!H330*Loads!H349)</f>
        <v>296180.60449711722</v>
      </c>
      <c r="C38" s="17"/>
    </row>
    <row r="39" spans="1:3">
      <c r="A39" s="4" t="s">
        <v>230</v>
      </c>
      <c r="B39" s="39">
        <f>0.01*Input!F$60*(Aggreg!E331*Loads!E350+Aggreg!F331*Loads!F350+Aggreg!G331*Loads!G350)+10*(Aggreg!B331*Loads!B350+Aggreg!C331*Loads!C350+Aggreg!D331*Loads!D350+Aggreg!H331*Loads!H350)</f>
        <v>18003.097366817175</v>
      </c>
      <c r="C39" s="17"/>
    </row>
    <row r="40" spans="1:3">
      <c r="A40" s="4" t="s">
        <v>231</v>
      </c>
      <c r="B40" s="39">
        <f>0.01*Input!F$60*(Aggreg!E332*Loads!E351+Aggreg!F332*Loads!F351+Aggreg!G332*Loads!G351)+10*(Aggreg!B332*Loads!B351+Aggreg!C332*Loads!C351+Aggreg!D332*Loads!D351+Aggreg!H332*Loads!H351)</f>
        <v>1.484207296736725</v>
      </c>
      <c r="C40" s="17"/>
    </row>
    <row r="41" spans="1:3">
      <c r="A41" s="4" t="s">
        <v>232</v>
      </c>
      <c r="B41" s="39">
        <f>0.01*Input!F$60*(Aggreg!E333*Loads!E352+Aggreg!F333*Loads!F352+Aggreg!G333*Loads!G352)+10*(Aggreg!B333*Loads!B352+Aggreg!C333*Loads!C352+Aggreg!D333*Loads!D352+Aggreg!H333*Loads!H352)</f>
        <v>6940314.1168609122</v>
      </c>
      <c r="C41" s="17"/>
    </row>
    <row r="42" spans="1:3">
      <c r="A42" s="4" t="s">
        <v>190</v>
      </c>
      <c r="B42" s="39">
        <f>0.01*Input!F$60*(Aggreg!E334*Loads!E353+Aggreg!F334*Loads!F353+Aggreg!G334*Loads!G353)+10*(Aggreg!B334*Loads!B353+Aggreg!C334*Loads!C353+Aggreg!D334*Loads!D353+Aggreg!H334*Loads!H353)</f>
        <v>-31833.334891805494</v>
      </c>
      <c r="C42" s="17"/>
    </row>
    <row r="43" spans="1:3">
      <c r="A43" s="4" t="s">
        <v>191</v>
      </c>
      <c r="B43" s="39">
        <f>0.01*Input!F$60*(Aggreg!E335*Loads!E354+Aggreg!F335*Loads!F354+Aggreg!G335*Loads!G354)+10*(Aggreg!B335*Loads!B354+Aggreg!C335*Loads!C354+Aggreg!D335*Loads!D354+Aggreg!H335*Loads!H354)</f>
        <v>-7.4994165125476107</v>
      </c>
      <c r="C43" s="17"/>
    </row>
    <row r="44" spans="1:3">
      <c r="A44" s="4" t="s">
        <v>192</v>
      </c>
      <c r="B44" s="39">
        <f>0.01*Input!F$60*(Aggreg!E336*Loads!E355+Aggreg!F336*Loads!F355+Aggreg!G336*Loads!G355)+10*(Aggreg!B336*Loads!B355+Aggreg!C336*Loads!C355+Aggreg!D336*Loads!D355+Aggreg!H336*Loads!H355)</f>
        <v>-199693.44382582098</v>
      </c>
      <c r="C44" s="17"/>
    </row>
    <row r="45" spans="1:3">
      <c r="A45" s="4" t="s">
        <v>193</v>
      </c>
      <c r="B45" s="39">
        <f>0.01*Input!F$60*(Aggreg!E337*Loads!E356+Aggreg!F337*Loads!F356+Aggreg!G337*Loads!G356)+10*(Aggreg!B337*Loads!B356+Aggreg!C337*Loads!C356+Aggreg!D337*Loads!D356+Aggreg!H337*Loads!H356)</f>
        <v>0</v>
      </c>
      <c r="C45" s="17"/>
    </row>
    <row r="46" spans="1:3">
      <c r="A46" s="4" t="s">
        <v>194</v>
      </c>
      <c r="B46" s="39">
        <f>0.01*Input!F$60*(Aggreg!E338*Loads!E357+Aggreg!F338*Loads!F357+Aggreg!G338*Loads!G357)+10*(Aggreg!B338*Loads!B357+Aggreg!C338*Loads!C357+Aggreg!D338*Loads!D357+Aggreg!H338*Loads!H357)</f>
        <v>-55000.184685563661</v>
      </c>
      <c r="C46" s="17"/>
    </row>
    <row r="47" spans="1:3">
      <c r="A47" s="4" t="s">
        <v>195</v>
      </c>
      <c r="B47" s="39">
        <f>0.01*Input!F$60*(Aggreg!E339*Loads!E358+Aggreg!F339*Loads!F358+Aggreg!G339*Loads!G358)+10*(Aggreg!B339*Loads!B358+Aggreg!C339*Loads!C358+Aggreg!D339*Loads!D358+Aggreg!H339*Loads!H358)</f>
        <v>0</v>
      </c>
      <c r="C47" s="17"/>
    </row>
    <row r="48" spans="1:3">
      <c r="A48" s="4" t="s">
        <v>196</v>
      </c>
      <c r="B48" s="39">
        <f>0.01*Input!F$60*(Aggreg!E340*Loads!E359+Aggreg!F340*Loads!F359+Aggreg!G340*Loads!G359)+10*(Aggreg!B340*Loads!B359+Aggreg!C340*Loads!C359+Aggreg!D340*Loads!D359+Aggreg!H340*Loads!H359)</f>
        <v>-32434.994905451138</v>
      </c>
      <c r="C48" s="17"/>
    </row>
    <row r="49" spans="1:3">
      <c r="A49" s="4" t="s">
        <v>197</v>
      </c>
      <c r="B49" s="39">
        <f>0.01*Input!F$60*(Aggreg!E341*Loads!E360+Aggreg!F341*Loads!F360+Aggreg!G341*Loads!G360)+10*(Aggreg!B341*Loads!B360+Aggreg!C341*Loads!C360+Aggreg!D341*Loads!D360+Aggreg!H341*Loads!H360)</f>
        <v>0</v>
      </c>
      <c r="C49" s="17"/>
    </row>
    <row r="50" spans="1:3">
      <c r="A50" s="4" t="s">
        <v>198</v>
      </c>
      <c r="B50" s="39">
        <f>0.01*Input!F$60*(Aggreg!E342*Loads!E361+Aggreg!F342*Loads!F361+Aggreg!G342*Loads!G361)+10*(Aggreg!B342*Loads!B361+Aggreg!C342*Loads!C361+Aggreg!D342*Loads!D361+Aggreg!H342*Loads!H361)</f>
        <v>-12873.041475012866</v>
      </c>
      <c r="C50" s="17"/>
    </row>
    <row r="51" spans="1:3">
      <c r="A51" s="4" t="s">
        <v>199</v>
      </c>
      <c r="B51" s="39">
        <f>0.01*Input!F$60*(Aggreg!E343*Loads!E362+Aggreg!F343*Loads!F362+Aggreg!G343*Loads!G362)+10*(Aggreg!B343*Loads!B362+Aggreg!C343*Loads!C362+Aggreg!D343*Loads!D362+Aggreg!H343*Loads!H362)</f>
        <v>0</v>
      </c>
      <c r="C51" s="17"/>
    </row>
    <row r="52" spans="1:3">
      <c r="A52" s="4" t="s">
        <v>207</v>
      </c>
      <c r="B52" s="39">
        <f>0.01*Input!F$60*(Aggreg!E344*Loads!E363+Aggreg!F344*Loads!F363+Aggreg!G344*Loads!G363)+10*(Aggreg!B344*Loads!B363+Aggreg!C344*Loads!C363+Aggreg!D344*Loads!D363+Aggreg!H344*Loads!H363)</f>
        <v>-2279654.3804867533</v>
      </c>
      <c r="C52" s="17"/>
    </row>
    <row r="53" spans="1:3">
      <c r="A53" s="4" t="s">
        <v>208</v>
      </c>
      <c r="B53" s="39">
        <f>0.01*Input!F$60*(Aggreg!E345*Loads!E364+Aggreg!F345*Loads!F364+Aggreg!G345*Loads!G364)+10*(Aggreg!B345*Loads!B364+Aggreg!C345*Loads!C364+Aggreg!D345*Loads!D364+Aggreg!H345*Loads!H364)</f>
        <v>0</v>
      </c>
      <c r="C53" s="17"/>
    </row>
    <row r="54" spans="1:3">
      <c r="A54" s="4" t="s">
        <v>209</v>
      </c>
      <c r="B54" s="39">
        <f>0.01*Input!F$60*(Aggreg!E346*Loads!E365+Aggreg!F346*Loads!F365+Aggreg!G346*Loads!G365)+10*(Aggreg!B346*Loads!B365+Aggreg!C346*Loads!C365+Aggreg!D346*Loads!D365+Aggreg!H346*Loads!H365)</f>
        <v>-3089778.8383083679</v>
      </c>
      <c r="C54" s="17"/>
    </row>
    <row r="55" spans="1:3">
      <c r="A55" s="4" t="s">
        <v>210</v>
      </c>
      <c r="B55" s="39">
        <f>0.01*Input!F$60*(Aggreg!E347*Loads!E366+Aggreg!F347*Loads!F366+Aggreg!G347*Loads!G366)+10*(Aggreg!B347*Loads!B366+Aggreg!C347*Loads!C366+Aggreg!D347*Loads!D366+Aggreg!H347*Loads!H366)</f>
        <v>0</v>
      </c>
      <c r="C55" s="17"/>
    </row>
    <row r="57" spans="1:3" ht="21" customHeight="1">
      <c r="A57" s="1" t="s">
        <v>1154</v>
      </c>
    </row>
    <row r="58" spans="1:3">
      <c r="A58" s="2" t="s">
        <v>379</v>
      </c>
    </row>
    <row r="59" spans="1:3">
      <c r="A59" s="29" t="s">
        <v>1155</v>
      </c>
    </row>
    <row r="60" spans="1:3">
      <c r="A60" s="29" t="s">
        <v>1156</v>
      </c>
    </row>
    <row r="61" spans="1:3">
      <c r="A61" s="29" t="s">
        <v>1157</v>
      </c>
    </row>
    <row r="62" spans="1:3">
      <c r="A62" s="30" t="s">
        <v>382</v>
      </c>
      <c r="B62" s="30" t="s">
        <v>450</v>
      </c>
      <c r="C62" s="30" t="s">
        <v>512</v>
      </c>
    </row>
    <row r="63" spans="1:3">
      <c r="A63" s="30" t="s">
        <v>385</v>
      </c>
      <c r="B63" s="30" t="s">
        <v>1158</v>
      </c>
      <c r="C63" s="30" t="s">
        <v>1159</v>
      </c>
    </row>
    <row r="65" spans="1:4" ht="30">
      <c r="B65" s="15" t="s">
        <v>1160</v>
      </c>
      <c r="C65" s="15" t="s">
        <v>1161</v>
      </c>
    </row>
    <row r="66" spans="1:4">
      <c r="A66" s="4" t="s">
        <v>50</v>
      </c>
      <c r="B66" s="39">
        <f>(Input!E12+Input!E13+Input!E14)*Input!E15+Input!E17+Input!E18+Input!E19+Input!E20+Input!E21+Input!E22+Input!E23+Input!E25+Input!E26+Input!E27+Input!E28+Input!E29+Input!E30+Input!E31+Input!E32+Input!E33+Input!E34+Input!E35+Input!E37+Input!E39+Input!E40+Input!E41+Input!E42+Input!E43-Input!E46-Input!E47-Input!E48-Input!E49</f>
        <v>417793785.39198166</v>
      </c>
      <c r="C66" s="39">
        <f>B66-Input!F$51</f>
        <v>0</v>
      </c>
      <c r="D66" s="17"/>
    </row>
    <row r="68" spans="1:4" ht="21" customHeight="1">
      <c r="A68" s="1" t="s">
        <v>1162</v>
      </c>
    </row>
    <row r="69" spans="1:4">
      <c r="A69" s="2" t="s">
        <v>379</v>
      </c>
    </row>
    <row r="70" spans="1:4">
      <c r="A70" s="29" t="s">
        <v>1163</v>
      </c>
    </row>
    <row r="71" spans="1:4">
      <c r="A71" s="29" t="s">
        <v>1164</v>
      </c>
    </row>
    <row r="72" spans="1:4">
      <c r="A72" s="29" t="s">
        <v>1165</v>
      </c>
    </row>
    <row r="73" spans="1:4">
      <c r="A73" s="30" t="s">
        <v>382</v>
      </c>
      <c r="B73" s="30" t="s">
        <v>513</v>
      </c>
      <c r="C73" s="30" t="s">
        <v>512</v>
      </c>
    </row>
    <row r="74" spans="1:4">
      <c r="A74" s="30" t="s">
        <v>385</v>
      </c>
      <c r="B74" s="30" t="s">
        <v>566</v>
      </c>
      <c r="C74" s="30" t="s">
        <v>1159</v>
      </c>
    </row>
    <row r="76" spans="1:4" ht="30">
      <c r="B76" s="15" t="s">
        <v>1166</v>
      </c>
      <c r="C76" s="15" t="s">
        <v>1167</v>
      </c>
    </row>
    <row r="77" spans="1:4">
      <c r="A77" s="4" t="s">
        <v>1168</v>
      </c>
      <c r="B77" s="39">
        <f>SUM(B$23:B$55)</f>
        <v>311543762.30720925</v>
      </c>
      <c r="C77" s="39">
        <f>B$66-B77</f>
        <v>106250023.08477241</v>
      </c>
      <c r="D77" s="17"/>
    </row>
  </sheetData>
  <sheetProtection sheet="1" objects="1" scenarios="1"/>
  <hyperlinks>
    <hyperlink ref="A5" location="'Input'!F59" display="x1 = 1010. Days in the charging year (in Financial and general assumptions)"/>
    <hyperlink ref="A6" location="'Aggreg'!E314" display="x2 = 3308. Fixed charge p/MPAN/day (total) (in Summary of charges before revenue matching)"/>
    <hyperlink ref="A7" location="'Loads'!E333" display="x3 = 2305. MPANs (in Equivalent volume for each end user)"/>
    <hyperlink ref="A8" location="'Aggreg'!F314" display="x4 = 3308. Capacity charge p/kVA/day (total) (in Summary of charges before revenue matching)"/>
    <hyperlink ref="A9" location="'Loads'!F333" display="x5 = 2305. Import capacity (kVA) (in Equivalent volume for each end user)"/>
    <hyperlink ref="A10" location="'Aggreg'!G314" display="x6 = 3308. Exceeded capacity charge p/kVA/day (total) (in Summary of charges before revenue matching)"/>
    <hyperlink ref="A11" location="'Loads'!G333" display="x7 = 2305. Exceeded capacity (kVA) (in Equivalent volume for each end user)"/>
    <hyperlink ref="A12" location="'Aggreg'!B314" display="x8 = 3308. Unit rate 1 p/kWh (total) (in Summary of charges before revenue matching)"/>
    <hyperlink ref="A13" location="'Loads'!B333" display="x9 = 2305. Rate 1 units (MWh) (in Equivalent volume for each end user)"/>
    <hyperlink ref="A14" location="'Aggreg'!C314" display="x10 = 3308. Unit rate 2 p/kWh (total) (in Summary of charges before revenue matching)"/>
    <hyperlink ref="A15" location="'Loads'!C333" display="x11 = 2305. Rate 2 units (MWh) (in Equivalent volume for each end user)"/>
    <hyperlink ref="A16" location="'Aggreg'!D314" display="x12 = 3308. Unit rate 3 p/kWh (total) (in Summary of charges before revenue matching)"/>
    <hyperlink ref="A17" location="'Loads'!D333" display="x13 = 2305. Rate 3 units (MWh) (in Equivalent volume for each end user)"/>
    <hyperlink ref="A18" location="'Aggreg'!H314" display="x14 = 3308. Reactive power charge p/kVArh (in Summary of charges before revenue matching)"/>
    <hyperlink ref="A19" location="'Loads'!H333" display="x15 = 2305. Reactive power units (MVArh) (in Equivalent volume for each end user)"/>
    <hyperlink ref="A59" location="'Input'!E11" display="x1 = 1001. Value (in CDCM target revenue (£ unless otherwise stated))"/>
    <hyperlink ref="A60" location="'Revenue'!B65" display="x2 = Target CDCM revenue (£/year) (in Target CDCM revenue)"/>
    <hyperlink ref="A61" location="'Input'!F11" display="x3 = 1001. Calculations (£/year) (in CDCM target revenue (£ unless otherwise stated))"/>
    <hyperlink ref="A70" location="'Revenue'!B22" display="x1 = 3401. Net revenues by tariff before matching (£)"/>
    <hyperlink ref="A71" location="'Revenue'!B65" display="x2 = 3402. Target CDCM revenue (£/year) (in Target CDCM revenue)"/>
    <hyperlink ref="A72" location="'Revenue'!B76" display="x3 = Total net revenues before matching (£) (in Revenue surplus or shortfall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50.7109375" customWidth="1"/>
    <col min="2" max="251" width="21.7109375" customWidth="1"/>
  </cols>
  <sheetData>
    <row r="1" spans="1:5" ht="21" customHeight="1">
      <c r="A1" s="1" t="str">
        <f>"Adder for "&amp;Input!B7&amp;" in "&amp;Input!C7&amp;" ("&amp;Input!D7&amp;")"</f>
        <v>Adder for Electricity North West in 2019/20 (Version 1)</v>
      </c>
    </row>
    <row r="3" spans="1:5" ht="21" customHeight="1">
      <c r="A3" s="1" t="s">
        <v>1169</v>
      </c>
    </row>
    <row r="4" spans="1:5">
      <c r="A4" s="2" t="s">
        <v>379</v>
      </c>
    </row>
    <row r="5" spans="1:5">
      <c r="A5" s="29" t="s">
        <v>1170</v>
      </c>
    </row>
    <row r="6" spans="1:5">
      <c r="A6" s="29" t="s">
        <v>1171</v>
      </c>
    </row>
    <row r="7" spans="1:5">
      <c r="A7" s="29" t="s">
        <v>1172</v>
      </c>
    </row>
    <row r="8" spans="1:5">
      <c r="A8" s="30" t="s">
        <v>382</v>
      </c>
      <c r="B8" s="30" t="s">
        <v>512</v>
      </c>
      <c r="C8" s="30" t="s">
        <v>512</v>
      </c>
      <c r="D8" s="30" t="s">
        <v>512</v>
      </c>
    </row>
    <row r="9" spans="1:5">
      <c r="A9" s="30" t="s">
        <v>385</v>
      </c>
      <c r="B9" s="30" t="s">
        <v>1173</v>
      </c>
      <c r="C9" s="30" t="s">
        <v>1174</v>
      </c>
      <c r="D9" s="30" t="s">
        <v>1175</v>
      </c>
    </row>
    <row r="11" spans="1:5" ht="30">
      <c r="B11" s="15" t="s">
        <v>1176</v>
      </c>
      <c r="C11" s="15" t="s">
        <v>1177</v>
      </c>
      <c r="D11" s="15" t="s">
        <v>1178</v>
      </c>
    </row>
    <row r="12" spans="1:5">
      <c r="A12" s="4" t="s">
        <v>180</v>
      </c>
      <c r="B12" s="34">
        <f>0-Aggreg!B315</f>
        <v>-1.8151550409631754</v>
      </c>
      <c r="C12" s="10"/>
      <c r="D12" s="10"/>
      <c r="E12" s="17"/>
    </row>
    <row r="13" spans="1:5">
      <c r="A13" s="4" t="s">
        <v>181</v>
      </c>
      <c r="B13" s="34">
        <f>0-Aggreg!B316</f>
        <v>-2.2193186163990717</v>
      </c>
      <c r="C13" s="34">
        <f>0-Aggreg!C316</f>
        <v>-0.2008712209572372</v>
      </c>
      <c r="D13" s="10"/>
      <c r="E13" s="17"/>
    </row>
    <row r="14" spans="1:5">
      <c r="A14" s="4" t="s">
        <v>226</v>
      </c>
      <c r="B14" s="34">
        <f>0-Aggreg!B317</f>
        <v>-0.24710033759447372</v>
      </c>
      <c r="C14" s="10"/>
      <c r="D14" s="10"/>
      <c r="E14" s="17"/>
    </row>
    <row r="15" spans="1:5">
      <c r="A15" s="4" t="s">
        <v>182</v>
      </c>
      <c r="B15" s="34">
        <f>0-Aggreg!B318</f>
        <v>-1.6777230699964825</v>
      </c>
      <c r="C15" s="10"/>
      <c r="D15" s="10"/>
      <c r="E15" s="17"/>
    </row>
    <row r="16" spans="1:5">
      <c r="A16" s="4" t="s">
        <v>183</v>
      </c>
      <c r="B16" s="34">
        <f>0-Aggreg!B319</f>
        <v>-1.7812850702773817</v>
      </c>
      <c r="C16" s="34">
        <f>0-Aggreg!C319</f>
        <v>-0.16044698460645673</v>
      </c>
      <c r="D16" s="10"/>
      <c r="E16" s="17"/>
    </row>
    <row r="17" spans="1:5">
      <c r="A17" s="4" t="s">
        <v>227</v>
      </c>
      <c r="B17" s="34">
        <f>0-Aggreg!B320</f>
        <v>-0.18360256433692124</v>
      </c>
      <c r="C17" s="10"/>
      <c r="D17" s="10"/>
      <c r="E17" s="17"/>
    </row>
    <row r="18" spans="1:5">
      <c r="A18" s="4" t="s">
        <v>184</v>
      </c>
      <c r="B18" s="34">
        <f>0-Aggreg!B321</f>
        <v>-1.6224831809566633</v>
      </c>
      <c r="C18" s="34">
        <f>0-Aggreg!C321</f>
        <v>-0.13715932044850415</v>
      </c>
      <c r="D18" s="10"/>
      <c r="E18" s="17"/>
    </row>
    <row r="19" spans="1:5">
      <c r="A19" s="4" t="s">
        <v>185</v>
      </c>
      <c r="B19" s="34">
        <f>0-Aggreg!B322</f>
        <v>-3.3824925732772391</v>
      </c>
      <c r="C19" s="34">
        <f>0-Aggreg!C322</f>
        <v>-0.28393845327056189</v>
      </c>
      <c r="D19" s="10"/>
      <c r="E19" s="17"/>
    </row>
    <row r="20" spans="1:5">
      <c r="A20" s="4" t="s">
        <v>205</v>
      </c>
      <c r="B20" s="34">
        <f>0-Aggreg!B323</f>
        <v>-2.4370983043969154</v>
      </c>
      <c r="C20" s="34">
        <f>0-Aggreg!C323</f>
        <v>-0.19279108124085576</v>
      </c>
      <c r="D20" s="10"/>
      <c r="E20" s="17"/>
    </row>
    <row r="21" spans="1:5">
      <c r="A21" s="4" t="s">
        <v>186</v>
      </c>
      <c r="B21" s="34">
        <f>0-Aggreg!B324</f>
        <v>-9.7966903208606375</v>
      </c>
      <c r="C21" s="34">
        <f>0-Aggreg!C324</f>
        <v>-1.50624575326778</v>
      </c>
      <c r="D21" s="34">
        <f>0-Aggreg!D324</f>
        <v>-0.17933769051958989</v>
      </c>
      <c r="E21" s="17"/>
    </row>
    <row r="22" spans="1:5">
      <c r="A22" s="4" t="s">
        <v>187</v>
      </c>
      <c r="B22" s="34">
        <f>0-Aggreg!B325</f>
        <v>-8.9519049483494104</v>
      </c>
      <c r="C22" s="34">
        <f>0-Aggreg!C325</f>
        <v>-1.3762671121001446</v>
      </c>
      <c r="D22" s="34">
        <f>0-Aggreg!D325</f>
        <v>-0.16386076485250511</v>
      </c>
      <c r="E22" s="17"/>
    </row>
    <row r="23" spans="1:5">
      <c r="A23" s="4" t="s">
        <v>188</v>
      </c>
      <c r="B23" s="34">
        <f>0-Aggreg!B326</f>
        <v>-6.6072456334949372</v>
      </c>
      <c r="C23" s="34">
        <f>0-Aggreg!C326</f>
        <v>-0.95933415245418296</v>
      </c>
      <c r="D23" s="34">
        <f>0-Aggreg!D326</f>
        <v>-0.11640029751666903</v>
      </c>
      <c r="E23" s="17"/>
    </row>
    <row r="24" spans="1:5">
      <c r="A24" s="4" t="s">
        <v>189</v>
      </c>
      <c r="B24" s="34">
        <f>0-Aggreg!B327</f>
        <v>-5.2056369596081922</v>
      </c>
      <c r="C24" s="34">
        <f>0-Aggreg!C327</f>
        <v>-0.70958979917964948</v>
      </c>
      <c r="D24" s="34">
        <f>0-Aggreg!D327</f>
        <v>-8.7987141573976371E-2</v>
      </c>
      <c r="E24" s="17"/>
    </row>
    <row r="25" spans="1:5">
      <c r="A25" s="4" t="s">
        <v>206</v>
      </c>
      <c r="B25" s="34">
        <f>0-Aggreg!B328</f>
        <v>-3.6696031930532165</v>
      </c>
      <c r="C25" s="34">
        <f>0-Aggreg!C328</f>
        <v>-0.44357757639731277</v>
      </c>
      <c r="D25" s="34">
        <f>0-Aggreg!D328</f>
        <v>-5.7467333456118902E-2</v>
      </c>
      <c r="E25" s="17"/>
    </row>
    <row r="26" spans="1:5">
      <c r="A26" s="4" t="s">
        <v>228</v>
      </c>
      <c r="B26" s="34">
        <f>0-Aggreg!B329</f>
        <v>-2.964302670937772</v>
      </c>
      <c r="C26" s="10"/>
      <c r="D26" s="10"/>
      <c r="E26" s="17"/>
    </row>
    <row r="27" spans="1:5">
      <c r="A27" s="4" t="s">
        <v>229</v>
      </c>
      <c r="B27" s="34">
        <f>0-Aggreg!B330</f>
        <v>-3.1771039301761101</v>
      </c>
      <c r="C27" s="10"/>
      <c r="D27" s="10"/>
      <c r="E27" s="17"/>
    </row>
    <row r="28" spans="1:5">
      <c r="A28" s="4" t="s">
        <v>230</v>
      </c>
      <c r="B28" s="34">
        <f>0-Aggreg!B331</f>
        <v>-4.3776855310613998</v>
      </c>
      <c r="C28" s="10"/>
      <c r="D28" s="10"/>
      <c r="E28" s="17"/>
    </row>
    <row r="29" spans="1:5">
      <c r="A29" s="4" t="s">
        <v>231</v>
      </c>
      <c r="B29" s="34">
        <f>0-Aggreg!B332</f>
        <v>-2.8872333135278971</v>
      </c>
      <c r="C29" s="10"/>
      <c r="D29" s="10"/>
      <c r="E29" s="17"/>
    </row>
    <row r="30" spans="1:5">
      <c r="A30" s="4" t="s">
        <v>232</v>
      </c>
      <c r="B30" s="34">
        <f>0-Aggreg!B333</f>
        <v>-26.255278302013448</v>
      </c>
      <c r="C30" s="34">
        <f>0-Aggreg!C333</f>
        <v>-2.9400448047014889</v>
      </c>
      <c r="D30" s="34">
        <f>0-Aggreg!D333</f>
        <v>-1.8840205079208321</v>
      </c>
      <c r="E30" s="17"/>
    </row>
    <row r="31" spans="1:5">
      <c r="A31" s="4" t="s">
        <v>190</v>
      </c>
      <c r="B31" s="34">
        <f>0-Aggreg!B334</f>
        <v>0.97652180328586424</v>
      </c>
      <c r="C31" s="10"/>
      <c r="D31" s="10"/>
      <c r="E31" s="17"/>
    </row>
    <row r="32" spans="1:5">
      <c r="A32" s="4" t="s">
        <v>191</v>
      </c>
      <c r="B32" s="34">
        <f>0-Aggreg!B335</f>
        <v>0.78134038241603021</v>
      </c>
      <c r="C32" s="10"/>
      <c r="D32" s="10"/>
      <c r="E32" s="17"/>
    </row>
    <row r="33" spans="1:5">
      <c r="A33" s="4" t="s">
        <v>192</v>
      </c>
      <c r="B33" s="34">
        <f>0-Aggreg!B336</f>
        <v>0.97652180328586424</v>
      </c>
      <c r="C33" s="10"/>
      <c r="D33" s="10"/>
      <c r="E33" s="17"/>
    </row>
    <row r="34" spans="1:5">
      <c r="A34" s="4" t="s">
        <v>193</v>
      </c>
      <c r="B34" s="34">
        <f>0-Aggreg!B337</f>
        <v>0.97652180328586424</v>
      </c>
      <c r="C34" s="10"/>
      <c r="D34" s="10"/>
      <c r="E34" s="17"/>
    </row>
    <row r="35" spans="1:5">
      <c r="A35" s="4" t="s">
        <v>194</v>
      </c>
      <c r="B35" s="34">
        <f>0-Aggreg!B338</f>
        <v>6.7208912071231417</v>
      </c>
      <c r="C35" s="34">
        <f>0-Aggreg!C338</f>
        <v>1.0332984711496851</v>
      </c>
      <c r="D35" s="34">
        <f>0-Aggreg!D338</f>
        <v>0.12302660066224436</v>
      </c>
      <c r="E35" s="17"/>
    </row>
    <row r="36" spans="1:5">
      <c r="A36" s="4" t="s">
        <v>195</v>
      </c>
      <c r="B36" s="34">
        <f>0-Aggreg!B339</f>
        <v>6.7208912071231417</v>
      </c>
      <c r="C36" s="34">
        <f>0-Aggreg!C339</f>
        <v>1.0332984711496851</v>
      </c>
      <c r="D36" s="34">
        <f>0-Aggreg!D339</f>
        <v>0.12302660066224436</v>
      </c>
      <c r="E36" s="17"/>
    </row>
    <row r="37" spans="1:5">
      <c r="A37" s="4" t="s">
        <v>196</v>
      </c>
      <c r="B37" s="34">
        <f>0-Aggreg!B340</f>
        <v>0.78134038241603021</v>
      </c>
      <c r="C37" s="10"/>
      <c r="D37" s="10"/>
      <c r="E37" s="17"/>
    </row>
    <row r="38" spans="1:5">
      <c r="A38" s="4" t="s">
        <v>197</v>
      </c>
      <c r="B38" s="34">
        <f>0-Aggreg!B341</f>
        <v>0.78134038241603021</v>
      </c>
      <c r="C38" s="10"/>
      <c r="D38" s="10"/>
      <c r="E38" s="17"/>
    </row>
    <row r="39" spans="1:5">
      <c r="A39" s="4" t="s">
        <v>198</v>
      </c>
      <c r="B39" s="34">
        <f>0-Aggreg!B342</f>
        <v>5.4635494100859852</v>
      </c>
      <c r="C39" s="34">
        <f>0-Aggreg!C342</f>
        <v>0.80314008942444881</v>
      </c>
      <c r="D39" s="34">
        <f>0-Aggreg!D342</f>
        <v>9.7045502063775199E-2</v>
      </c>
      <c r="E39" s="17"/>
    </row>
    <row r="40" spans="1:5">
      <c r="A40" s="4" t="s">
        <v>199</v>
      </c>
      <c r="B40" s="34">
        <f>0-Aggreg!B343</f>
        <v>5.4635494100859852</v>
      </c>
      <c r="C40" s="34">
        <f>0-Aggreg!C343</f>
        <v>0.80314008942444881</v>
      </c>
      <c r="D40" s="34">
        <f>0-Aggreg!D343</f>
        <v>9.7045502063775199E-2</v>
      </c>
      <c r="E40" s="17"/>
    </row>
    <row r="41" spans="1:5">
      <c r="A41" s="4" t="s">
        <v>207</v>
      </c>
      <c r="B41" s="34">
        <f>0-Aggreg!B344</f>
        <v>0.5650751662588146</v>
      </c>
      <c r="C41" s="10"/>
      <c r="D41" s="10"/>
      <c r="E41" s="17"/>
    </row>
    <row r="42" spans="1:5">
      <c r="A42" s="4" t="s">
        <v>208</v>
      </c>
      <c r="B42" s="34">
        <f>0-Aggreg!B345</f>
        <v>0.5650751662588146</v>
      </c>
      <c r="C42" s="10"/>
      <c r="D42" s="10"/>
      <c r="E42" s="17"/>
    </row>
    <row r="43" spans="1:5">
      <c r="A43" s="4" t="s">
        <v>209</v>
      </c>
      <c r="B43" s="34">
        <f>0-Aggreg!B346</f>
        <v>4.0942695886567257</v>
      </c>
      <c r="C43" s="34">
        <f>0-Aggreg!C346</f>
        <v>0.54155726428187634</v>
      </c>
      <c r="D43" s="34">
        <f>0-Aggreg!D346</f>
        <v>6.7871491064582692E-2</v>
      </c>
      <c r="E43" s="17"/>
    </row>
    <row r="44" spans="1:5">
      <c r="A44" s="4" t="s">
        <v>210</v>
      </c>
      <c r="B44" s="34">
        <f>0-Aggreg!B347</f>
        <v>4.0942695886567257</v>
      </c>
      <c r="C44" s="34">
        <f>0-Aggreg!C347</f>
        <v>0.54155726428187634</v>
      </c>
      <c r="D44" s="34">
        <f>0-Aggreg!D347</f>
        <v>6.7871491064582692E-2</v>
      </c>
      <c r="E44" s="17"/>
    </row>
    <row r="46" spans="1:5" ht="21" customHeight="1">
      <c r="A46" s="1" t="s">
        <v>1179</v>
      </c>
    </row>
    <row r="47" spans="1:5">
      <c r="A47" s="2" t="s">
        <v>379</v>
      </c>
    </row>
    <row r="48" spans="1:5">
      <c r="A48" s="29" t="s">
        <v>1078</v>
      </c>
    </row>
    <row r="49" spans="1:5">
      <c r="A49" s="29" t="s">
        <v>607</v>
      </c>
    </row>
    <row r="50" spans="1:5">
      <c r="A50" s="29" t="s">
        <v>831</v>
      </c>
    </row>
    <row r="51" spans="1:5">
      <c r="A51" s="29" t="s">
        <v>1180</v>
      </c>
    </row>
    <row r="52" spans="1:5">
      <c r="A52" s="30" t="s">
        <v>382</v>
      </c>
      <c r="B52" s="30" t="s">
        <v>512</v>
      </c>
      <c r="C52" s="30" t="s">
        <v>512</v>
      </c>
      <c r="D52" s="30" t="s">
        <v>512</v>
      </c>
    </row>
    <row r="53" spans="1:5">
      <c r="A53" s="30" t="s">
        <v>385</v>
      </c>
      <c r="B53" s="30" t="s">
        <v>1181</v>
      </c>
      <c r="C53" s="30" t="s">
        <v>1182</v>
      </c>
      <c r="D53" s="30" t="s">
        <v>1183</v>
      </c>
    </row>
    <row r="55" spans="1:5" ht="30">
      <c r="B55" s="15" t="s">
        <v>1184</v>
      </c>
      <c r="C55" s="15" t="s">
        <v>1185</v>
      </c>
      <c r="D55" s="15" t="s">
        <v>1186</v>
      </c>
    </row>
    <row r="56" spans="1:5">
      <c r="A56" s="4" t="s">
        <v>180</v>
      </c>
      <c r="B56" s="34">
        <f>IF(Loads!B46&lt;0,0,Loads!B334*10)</f>
        <v>65453649.635519527</v>
      </c>
      <c r="C56" s="34">
        <f>IF(Loads!B46&lt;0,0,Loads!C334*10)</f>
        <v>0</v>
      </c>
      <c r="D56" s="34">
        <f>IF(Loads!B46&lt;0,0,Loads!D334*10)</f>
        <v>0</v>
      </c>
      <c r="E56" s="17"/>
    </row>
    <row r="57" spans="1:5">
      <c r="A57" s="4" t="s">
        <v>181</v>
      </c>
      <c r="B57" s="34">
        <f>IF(Loads!B47&lt;0,0,Loads!B335*10)</f>
        <v>4715670.6951320572</v>
      </c>
      <c r="C57" s="34">
        <f>IF(Loads!B47&lt;0,0,Loads!C335*10)</f>
        <v>4672935.8719008286</v>
      </c>
      <c r="D57" s="34">
        <f>IF(Loads!B47&lt;0,0,Loads!D335*10)</f>
        <v>0</v>
      </c>
      <c r="E57" s="17"/>
    </row>
    <row r="58" spans="1:5">
      <c r="A58" s="4" t="s">
        <v>226</v>
      </c>
      <c r="B58" s="34">
        <f>IF(Loads!B48&lt;0,0,Loads!B336*10)</f>
        <v>142795.02094378503</v>
      </c>
      <c r="C58" s="34">
        <f>IF(Loads!B48&lt;0,0,Loads!C336*10)</f>
        <v>0</v>
      </c>
      <c r="D58" s="34">
        <f>IF(Loads!B48&lt;0,0,Loads!D336*10)</f>
        <v>0</v>
      </c>
      <c r="E58" s="17"/>
    </row>
    <row r="59" spans="1:5">
      <c r="A59" s="4" t="s">
        <v>182</v>
      </c>
      <c r="B59" s="34">
        <f>IF(Loads!B49&lt;0,0,Loads!B337*10)</f>
        <v>15015031.89157428</v>
      </c>
      <c r="C59" s="34">
        <f>IF(Loads!B49&lt;0,0,Loads!C337*10)</f>
        <v>0</v>
      </c>
      <c r="D59" s="34">
        <f>IF(Loads!B49&lt;0,0,Loads!D337*10)</f>
        <v>0</v>
      </c>
      <c r="E59" s="17"/>
    </row>
    <row r="60" spans="1:5">
      <c r="A60" s="4" t="s">
        <v>183</v>
      </c>
      <c r="B60" s="34">
        <f>IF(Loads!B50&lt;0,0,Loads!B338*10)</f>
        <v>5319473.5459341761</v>
      </c>
      <c r="C60" s="34">
        <f>IF(Loads!B50&lt;0,0,Loads!C338*10)</f>
        <v>1957291.7539193409</v>
      </c>
      <c r="D60" s="34">
        <f>IF(Loads!B50&lt;0,0,Loads!D338*10)</f>
        <v>0</v>
      </c>
      <c r="E60" s="17"/>
    </row>
    <row r="61" spans="1:5">
      <c r="A61" s="4" t="s">
        <v>227</v>
      </c>
      <c r="B61" s="34">
        <f>IF(Loads!B51&lt;0,0,Loads!B339*10)</f>
        <v>202426.29112942406</v>
      </c>
      <c r="C61" s="34">
        <f>IF(Loads!B51&lt;0,0,Loads!C339*10)</f>
        <v>0</v>
      </c>
      <c r="D61" s="34">
        <f>IF(Loads!B51&lt;0,0,Loads!D339*10)</f>
        <v>0</v>
      </c>
      <c r="E61" s="17"/>
    </row>
    <row r="62" spans="1:5">
      <c r="A62" s="4" t="s">
        <v>184</v>
      </c>
      <c r="B62" s="34">
        <f>IF(Loads!B52&lt;0,0,Loads!B340*10)</f>
        <v>679.54143903877082</v>
      </c>
      <c r="C62" s="34">
        <f>IF(Loads!B52&lt;0,0,Loads!C340*10)</f>
        <v>134.16646792536798</v>
      </c>
      <c r="D62" s="34">
        <f>IF(Loads!B52&lt;0,0,Loads!D340*10)</f>
        <v>0</v>
      </c>
      <c r="E62" s="17"/>
    </row>
    <row r="63" spans="1:5">
      <c r="A63" s="4" t="s">
        <v>185</v>
      </c>
      <c r="B63" s="34">
        <f>IF(Loads!B53&lt;0,0,Loads!B341*10)</f>
        <v>1.3596319903118672</v>
      </c>
      <c r="C63" s="34">
        <f>IF(Loads!B53&lt;0,0,Loads!C341*10)</f>
        <v>2.8803645139816729</v>
      </c>
      <c r="D63" s="34">
        <f>IF(Loads!B53&lt;0,0,Loads!D341*10)</f>
        <v>0</v>
      </c>
      <c r="E63" s="17"/>
    </row>
    <row r="64" spans="1:5">
      <c r="A64" s="4" t="s">
        <v>205</v>
      </c>
      <c r="B64" s="34">
        <f>IF(Loads!B54&lt;0,0,Loads!B342*10)</f>
        <v>4.5301947902899675</v>
      </c>
      <c r="C64" s="34">
        <f>IF(Loads!B54&lt;0,0,Loads!C342*10)</f>
        <v>11.537160889420644</v>
      </c>
      <c r="D64" s="34">
        <f>IF(Loads!B54&lt;0,0,Loads!D342*10)</f>
        <v>0</v>
      </c>
      <c r="E64" s="17"/>
    </row>
    <row r="65" spans="1:5">
      <c r="A65" s="4" t="s">
        <v>186</v>
      </c>
      <c r="B65" s="34">
        <f>IF(Loads!B55&lt;0,0,Loads!B343*10)</f>
        <v>688.64270450400318</v>
      </c>
      <c r="C65" s="34">
        <f>IF(Loads!B55&lt;0,0,Loads!C343*10)</f>
        <v>2065.9970904609158</v>
      </c>
      <c r="D65" s="34">
        <f>IF(Loads!B55&lt;0,0,Loads!D343*10)</f>
        <v>3810.7054134295922</v>
      </c>
      <c r="E65" s="17"/>
    </row>
    <row r="66" spans="1:5">
      <c r="A66" s="4" t="s">
        <v>187</v>
      </c>
      <c r="B66" s="34">
        <f>IF(Loads!B56&lt;0,0,Loads!B344*10)</f>
        <v>224359.64946164947</v>
      </c>
      <c r="C66" s="34">
        <f>IF(Loads!B56&lt;0,0,Loads!C344*10)</f>
        <v>805971.04471233906</v>
      </c>
      <c r="D66" s="34">
        <f>IF(Loads!B56&lt;0,0,Loads!D344*10)</f>
        <v>1130299.9064230963</v>
      </c>
      <c r="E66" s="17"/>
    </row>
    <row r="67" spans="1:5">
      <c r="A67" s="4" t="s">
        <v>188</v>
      </c>
      <c r="B67" s="34">
        <f>IF(Loads!B57&lt;0,0,Loads!B345*10)</f>
        <v>2661056.6927676704</v>
      </c>
      <c r="C67" s="34">
        <f>IF(Loads!B57&lt;0,0,Loads!C345*10)</f>
        <v>9505007.2443122081</v>
      </c>
      <c r="D67" s="34">
        <f>IF(Loads!B57&lt;0,0,Loads!D345*10)</f>
        <v>12275065.275575314</v>
      </c>
      <c r="E67" s="17"/>
    </row>
    <row r="68" spans="1:5">
      <c r="A68" s="4" t="s">
        <v>189</v>
      </c>
      <c r="B68" s="34">
        <f>IF(Loads!B58&lt;0,0,Loads!B346*10)</f>
        <v>1270172.6508282502</v>
      </c>
      <c r="C68" s="34">
        <f>IF(Loads!B58&lt;0,0,Loads!C346*10)</f>
        <v>4652204.798846269</v>
      </c>
      <c r="D68" s="34">
        <f>IF(Loads!B58&lt;0,0,Loads!D346*10)</f>
        <v>6285073.2185137216</v>
      </c>
      <c r="E68" s="17"/>
    </row>
    <row r="69" spans="1:5">
      <c r="A69" s="4" t="s">
        <v>206</v>
      </c>
      <c r="B69" s="34">
        <f>IF(Loads!B59&lt;0,0,Loads!B347*10)</f>
        <v>4597089.0735710496</v>
      </c>
      <c r="C69" s="34">
        <f>IF(Loads!B59&lt;0,0,Loads!C347*10)</f>
        <v>15722206.520611718</v>
      </c>
      <c r="D69" s="34">
        <f>IF(Loads!B59&lt;0,0,Loads!D347*10)</f>
        <v>25893774.736740164</v>
      </c>
      <c r="E69" s="17"/>
    </row>
    <row r="70" spans="1:5">
      <c r="A70" s="4" t="s">
        <v>228</v>
      </c>
      <c r="B70" s="34">
        <f>IF(Loads!B60&lt;0,0,Loads!B348*10)</f>
        <v>174663.968856461</v>
      </c>
      <c r="C70" s="34">
        <f>IF(Loads!B60&lt;0,0,Loads!C348*10)</f>
        <v>0</v>
      </c>
      <c r="D70" s="34">
        <f>IF(Loads!B60&lt;0,0,Loads!D348*10)</f>
        <v>0</v>
      </c>
      <c r="E70" s="17"/>
    </row>
    <row r="71" spans="1:5">
      <c r="A71" s="4" t="s">
        <v>229</v>
      </c>
      <c r="B71" s="34">
        <f>IF(Loads!B61&lt;0,0,Loads!B349*10)</f>
        <v>93223.454758277192</v>
      </c>
      <c r="C71" s="34">
        <f>IF(Loads!B61&lt;0,0,Loads!C349*10)</f>
        <v>0</v>
      </c>
      <c r="D71" s="34">
        <f>IF(Loads!B61&lt;0,0,Loads!D349*10)</f>
        <v>0</v>
      </c>
      <c r="E71" s="17"/>
    </row>
    <row r="72" spans="1:5">
      <c r="A72" s="4" t="s">
        <v>230</v>
      </c>
      <c r="B72" s="34">
        <f>IF(Loads!B62&lt;0,0,Loads!B350*10)</f>
        <v>4112.4693034888232</v>
      </c>
      <c r="C72" s="34">
        <f>IF(Loads!B62&lt;0,0,Loads!C350*10)</f>
        <v>0</v>
      </c>
      <c r="D72" s="34">
        <f>IF(Loads!B62&lt;0,0,Loads!D350*10)</f>
        <v>0</v>
      </c>
      <c r="E72" s="17"/>
    </row>
    <row r="73" spans="1:5">
      <c r="A73" s="4" t="s">
        <v>231</v>
      </c>
      <c r="B73" s="34">
        <f>IF(Loads!B63&lt;0,0,Loads!B351*10)</f>
        <v>0.51405866293610303</v>
      </c>
      <c r="C73" s="34">
        <f>IF(Loads!B63&lt;0,0,Loads!C351*10)</f>
        <v>0</v>
      </c>
      <c r="D73" s="34">
        <f>IF(Loads!B63&lt;0,0,Loads!D351*10)</f>
        <v>0</v>
      </c>
      <c r="E73" s="17"/>
    </row>
    <row r="74" spans="1:5">
      <c r="A74" s="4" t="s">
        <v>232</v>
      </c>
      <c r="B74" s="34">
        <f>IF(Loads!B64&lt;0,0,Loads!B352*10)</f>
        <v>105607.06473771854</v>
      </c>
      <c r="C74" s="34">
        <f>IF(Loads!B64&lt;0,0,Loads!C352*10)</f>
        <v>283875.18136671791</v>
      </c>
      <c r="D74" s="34">
        <f>IF(Loads!B64&lt;0,0,Loads!D352*10)</f>
        <v>1769070.7056212695</v>
      </c>
      <c r="E74" s="17"/>
    </row>
    <row r="75" spans="1:5">
      <c r="A75" s="4" t="s">
        <v>190</v>
      </c>
      <c r="B75" s="34">
        <f>IF(Loads!B65&lt;0,0,Loads!B353*10)</f>
        <v>0</v>
      </c>
      <c r="C75" s="34">
        <f>IF(Loads!B65&lt;0,0,Loads!C353*10)</f>
        <v>0</v>
      </c>
      <c r="D75" s="34">
        <f>IF(Loads!B65&lt;0,0,Loads!D353*10)</f>
        <v>0</v>
      </c>
      <c r="E75" s="17"/>
    </row>
    <row r="76" spans="1:5">
      <c r="A76" s="4" t="s">
        <v>191</v>
      </c>
      <c r="B76" s="34">
        <f>IF(Loads!B66&lt;0,0,Loads!B354*10)</f>
        <v>0</v>
      </c>
      <c r="C76" s="34">
        <f>IF(Loads!B66&lt;0,0,Loads!C354*10)</f>
        <v>0</v>
      </c>
      <c r="D76" s="34">
        <f>IF(Loads!B66&lt;0,0,Loads!D354*10)</f>
        <v>0</v>
      </c>
      <c r="E76" s="17"/>
    </row>
    <row r="77" spans="1:5">
      <c r="A77" s="4" t="s">
        <v>192</v>
      </c>
      <c r="B77" s="34">
        <f>IF(Loads!B67&lt;0,0,Loads!B355*10)</f>
        <v>0</v>
      </c>
      <c r="C77" s="34">
        <f>IF(Loads!B67&lt;0,0,Loads!C355*10)</f>
        <v>0</v>
      </c>
      <c r="D77" s="34">
        <f>IF(Loads!B67&lt;0,0,Loads!D355*10)</f>
        <v>0</v>
      </c>
      <c r="E77" s="17"/>
    </row>
    <row r="78" spans="1:5">
      <c r="A78" s="4" t="s">
        <v>193</v>
      </c>
      <c r="B78" s="34">
        <f>IF(Loads!B68&lt;0,0,Loads!B356*10)</f>
        <v>0</v>
      </c>
      <c r="C78" s="34">
        <f>IF(Loads!B68&lt;0,0,Loads!C356*10)</f>
        <v>0</v>
      </c>
      <c r="D78" s="34">
        <f>IF(Loads!B68&lt;0,0,Loads!D356*10)</f>
        <v>0</v>
      </c>
      <c r="E78" s="17"/>
    </row>
    <row r="79" spans="1:5">
      <c r="A79" s="4" t="s">
        <v>194</v>
      </c>
      <c r="B79" s="34">
        <f>IF(Loads!B69&lt;0,0,Loads!B357*10)</f>
        <v>0</v>
      </c>
      <c r="C79" s="34">
        <f>IF(Loads!B69&lt;0,0,Loads!C357*10)</f>
        <v>0</v>
      </c>
      <c r="D79" s="34">
        <f>IF(Loads!B69&lt;0,0,Loads!D357*10)</f>
        <v>0</v>
      </c>
      <c r="E79" s="17"/>
    </row>
    <row r="80" spans="1:5">
      <c r="A80" s="4" t="s">
        <v>195</v>
      </c>
      <c r="B80" s="34">
        <f>IF(Loads!B70&lt;0,0,Loads!B358*10)</f>
        <v>0</v>
      </c>
      <c r="C80" s="34">
        <f>IF(Loads!B70&lt;0,0,Loads!C358*10)</f>
        <v>0</v>
      </c>
      <c r="D80" s="34">
        <f>IF(Loads!B70&lt;0,0,Loads!D358*10)</f>
        <v>0</v>
      </c>
      <c r="E80" s="17"/>
    </row>
    <row r="81" spans="1:5">
      <c r="A81" s="4" t="s">
        <v>196</v>
      </c>
      <c r="B81" s="34">
        <f>IF(Loads!B71&lt;0,0,Loads!B359*10)</f>
        <v>0</v>
      </c>
      <c r="C81" s="34">
        <f>IF(Loads!B71&lt;0,0,Loads!C359*10)</f>
        <v>0</v>
      </c>
      <c r="D81" s="34">
        <f>IF(Loads!B71&lt;0,0,Loads!D359*10)</f>
        <v>0</v>
      </c>
      <c r="E81" s="17"/>
    </row>
    <row r="82" spans="1:5">
      <c r="A82" s="4" t="s">
        <v>197</v>
      </c>
      <c r="B82" s="34">
        <f>IF(Loads!B72&lt;0,0,Loads!B360*10)</f>
        <v>0</v>
      </c>
      <c r="C82" s="34">
        <f>IF(Loads!B72&lt;0,0,Loads!C360*10)</f>
        <v>0</v>
      </c>
      <c r="D82" s="34">
        <f>IF(Loads!B72&lt;0,0,Loads!D360*10)</f>
        <v>0</v>
      </c>
      <c r="E82" s="17"/>
    </row>
    <row r="83" spans="1:5">
      <c r="A83" s="4" t="s">
        <v>198</v>
      </c>
      <c r="B83" s="34">
        <f>IF(Loads!B73&lt;0,0,Loads!B361*10)</f>
        <v>0</v>
      </c>
      <c r="C83" s="34">
        <f>IF(Loads!B73&lt;0,0,Loads!C361*10)</f>
        <v>0</v>
      </c>
      <c r="D83" s="34">
        <f>IF(Loads!B73&lt;0,0,Loads!D361*10)</f>
        <v>0</v>
      </c>
      <c r="E83" s="17"/>
    </row>
    <row r="84" spans="1:5">
      <c r="A84" s="4" t="s">
        <v>199</v>
      </c>
      <c r="B84" s="34">
        <f>IF(Loads!B74&lt;0,0,Loads!B362*10)</f>
        <v>0</v>
      </c>
      <c r="C84" s="34">
        <f>IF(Loads!B74&lt;0,0,Loads!C362*10)</f>
        <v>0</v>
      </c>
      <c r="D84" s="34">
        <f>IF(Loads!B74&lt;0,0,Loads!D362*10)</f>
        <v>0</v>
      </c>
      <c r="E84" s="17"/>
    </row>
    <row r="85" spans="1:5">
      <c r="A85" s="4" t="s">
        <v>207</v>
      </c>
      <c r="B85" s="34">
        <f>IF(Loads!B75&lt;0,0,Loads!B363*10)</f>
        <v>0</v>
      </c>
      <c r="C85" s="34">
        <f>IF(Loads!B75&lt;0,0,Loads!C363*10)</f>
        <v>0</v>
      </c>
      <c r="D85" s="34">
        <f>IF(Loads!B75&lt;0,0,Loads!D363*10)</f>
        <v>0</v>
      </c>
      <c r="E85" s="17"/>
    </row>
    <row r="86" spans="1:5">
      <c r="A86" s="4" t="s">
        <v>208</v>
      </c>
      <c r="B86" s="34">
        <f>IF(Loads!B76&lt;0,0,Loads!B364*10)</f>
        <v>0</v>
      </c>
      <c r="C86" s="34">
        <f>IF(Loads!B76&lt;0,0,Loads!C364*10)</f>
        <v>0</v>
      </c>
      <c r="D86" s="34">
        <f>IF(Loads!B76&lt;0,0,Loads!D364*10)</f>
        <v>0</v>
      </c>
      <c r="E86" s="17"/>
    </row>
    <row r="87" spans="1:5">
      <c r="A87" s="4" t="s">
        <v>209</v>
      </c>
      <c r="B87" s="34">
        <f>IF(Loads!B77&lt;0,0,Loads!B365*10)</f>
        <v>0</v>
      </c>
      <c r="C87" s="34">
        <f>IF(Loads!B77&lt;0,0,Loads!C365*10)</f>
        <v>0</v>
      </c>
      <c r="D87" s="34">
        <f>IF(Loads!B77&lt;0,0,Loads!D365*10)</f>
        <v>0</v>
      </c>
      <c r="E87" s="17"/>
    </row>
    <row r="88" spans="1:5">
      <c r="A88" s="4" t="s">
        <v>210</v>
      </c>
      <c r="B88" s="34">
        <f>IF(Loads!B78&lt;0,0,Loads!B366*10)</f>
        <v>0</v>
      </c>
      <c r="C88" s="34">
        <f>IF(Loads!B78&lt;0,0,Loads!C366*10)</f>
        <v>0</v>
      </c>
      <c r="D88" s="34">
        <f>IF(Loads!B78&lt;0,0,Loads!D366*10)</f>
        <v>0</v>
      </c>
      <c r="E88" s="17"/>
    </row>
    <row r="90" spans="1:5" ht="21" customHeight="1">
      <c r="A90" s="1" t="s">
        <v>1187</v>
      </c>
    </row>
    <row r="91" spans="1:5">
      <c r="A91" s="2" t="s">
        <v>379</v>
      </c>
    </row>
    <row r="92" spans="1:5">
      <c r="A92" s="29" t="s">
        <v>1188</v>
      </c>
    </row>
    <row r="93" spans="1:5">
      <c r="A93" s="29" t="s">
        <v>1189</v>
      </c>
    </row>
    <row r="94" spans="1:5">
      <c r="A94" s="29" t="s">
        <v>1190</v>
      </c>
    </row>
    <row r="95" spans="1:5">
      <c r="A95" s="29" t="s">
        <v>1191</v>
      </c>
    </row>
    <row r="96" spans="1:5">
      <c r="A96" s="2" t="s">
        <v>1192</v>
      </c>
    </row>
    <row r="98" spans="1:3" ht="30">
      <c r="B98" s="15" t="s">
        <v>1193</v>
      </c>
    </row>
    <row r="99" spans="1:3">
      <c r="A99" s="4" t="s">
        <v>1193</v>
      </c>
      <c r="B99" s="34">
        <f>Revenue!C77/SUM($B$56:$B$88,$C$56:$C$88,$D$56:$D$88)</f>
        <v>0.57451230457623881</v>
      </c>
      <c r="C99" s="17"/>
    </row>
    <row r="101" spans="1:3" ht="21" customHeight="1">
      <c r="A101" s="1" t="s">
        <v>1194</v>
      </c>
    </row>
    <row r="102" spans="1:3">
      <c r="A102" s="2" t="s">
        <v>379</v>
      </c>
    </row>
    <row r="103" spans="1:3">
      <c r="A103" s="29" t="s">
        <v>1195</v>
      </c>
    </row>
    <row r="104" spans="1:3">
      <c r="A104" s="29" t="s">
        <v>1196</v>
      </c>
    </row>
    <row r="105" spans="1:3">
      <c r="A105" s="29" t="s">
        <v>1197</v>
      </c>
    </row>
    <row r="106" spans="1:3">
      <c r="A106" s="29" t="s">
        <v>1198</v>
      </c>
    </row>
    <row r="107" spans="1:3">
      <c r="A107" s="2" t="s">
        <v>1199</v>
      </c>
    </row>
    <row r="109" spans="1:3">
      <c r="B109" s="15" t="s">
        <v>1200</v>
      </c>
    </row>
    <row r="110" spans="1:3">
      <c r="A110" s="4" t="s">
        <v>1200</v>
      </c>
      <c r="B110" s="34">
        <f>MIN(B99,$B$12:$B$44,$C$12:$C$44,$D$12:$D$44)</f>
        <v>-26.255278302013448</v>
      </c>
      <c r="C110" s="17"/>
    </row>
    <row r="112" spans="1:3" ht="21" customHeight="1">
      <c r="A112" s="1" t="s">
        <v>1201</v>
      </c>
    </row>
    <row r="113" spans="1:1">
      <c r="A113" s="2" t="s">
        <v>379</v>
      </c>
    </row>
    <row r="114" spans="1:1">
      <c r="A114" s="29" t="s">
        <v>1202</v>
      </c>
    </row>
    <row r="115" spans="1:1">
      <c r="A115" s="29" t="s">
        <v>1196</v>
      </c>
    </row>
    <row r="116" spans="1:1">
      <c r="A116" s="29" t="s">
        <v>1197</v>
      </c>
    </row>
    <row r="117" spans="1:1">
      <c r="A117" s="29" t="s">
        <v>1198</v>
      </c>
    </row>
    <row r="118" spans="1:1">
      <c r="A118" s="29" t="s">
        <v>1203</v>
      </c>
    </row>
    <row r="119" spans="1:1">
      <c r="A119" s="29" t="s">
        <v>1204</v>
      </c>
    </row>
    <row r="120" spans="1:1">
      <c r="A120" s="29" t="s">
        <v>1205</v>
      </c>
    </row>
    <row r="121" spans="1:1">
      <c r="A121" s="29" t="s">
        <v>1206</v>
      </c>
    </row>
    <row r="122" spans="1:1">
      <c r="A122" s="29" t="s">
        <v>1207</v>
      </c>
    </row>
    <row r="123" spans="1:1">
      <c r="A123" s="29" t="s">
        <v>1208</v>
      </c>
    </row>
    <row r="124" spans="1:1">
      <c r="A124" s="29" t="s">
        <v>1209</v>
      </c>
    </row>
    <row r="125" spans="1:1">
      <c r="A125" s="29" t="s">
        <v>1210</v>
      </c>
    </row>
    <row r="126" spans="1:1">
      <c r="A126" s="29" t="s">
        <v>1211</v>
      </c>
    </row>
    <row r="127" spans="1:1">
      <c r="A127" s="29" t="s">
        <v>1212</v>
      </c>
    </row>
    <row r="128" spans="1:1">
      <c r="A128" s="29" t="s">
        <v>1213</v>
      </c>
    </row>
    <row r="129" spans="1:15">
      <c r="A129" s="29" t="s">
        <v>1214</v>
      </c>
    </row>
    <row r="130" spans="1:15">
      <c r="A130" s="29" t="s">
        <v>1215</v>
      </c>
    </row>
    <row r="131" spans="1:15">
      <c r="A131" s="29" t="s">
        <v>1216</v>
      </c>
    </row>
    <row r="132" spans="1:15">
      <c r="A132" s="29" t="s">
        <v>1217</v>
      </c>
    </row>
    <row r="133" spans="1:15">
      <c r="A133" s="29" t="s">
        <v>1218</v>
      </c>
    </row>
    <row r="134" spans="1:15">
      <c r="A134" s="29" t="s">
        <v>1219</v>
      </c>
    </row>
    <row r="135" spans="1:15">
      <c r="A135" s="30" t="s">
        <v>382</v>
      </c>
      <c r="B135" s="30" t="s">
        <v>450</v>
      </c>
      <c r="C135" s="30" t="s">
        <v>450</v>
      </c>
      <c r="D135" s="30" t="s">
        <v>450</v>
      </c>
      <c r="E135" s="30" t="s">
        <v>450</v>
      </c>
      <c r="F135" s="30" t="s">
        <v>450</v>
      </c>
      <c r="G135" s="30" t="s">
        <v>383</v>
      </c>
      <c r="H135" s="30" t="s">
        <v>512</v>
      </c>
      <c r="I135" s="30" t="s">
        <v>450</v>
      </c>
      <c r="J135" s="30" t="s">
        <v>450</v>
      </c>
      <c r="K135" s="30" t="s">
        <v>450</v>
      </c>
      <c r="L135" s="30" t="s">
        <v>450</v>
      </c>
      <c r="M135" s="30" t="s">
        <v>450</v>
      </c>
      <c r="N135" s="30" t="s">
        <v>450</v>
      </c>
    </row>
    <row r="136" spans="1:15" ht="30">
      <c r="A136" s="30" t="s">
        <v>385</v>
      </c>
      <c r="B136" s="30" t="s">
        <v>1220</v>
      </c>
      <c r="C136" s="30" t="s">
        <v>450</v>
      </c>
      <c r="D136" s="30" t="s">
        <v>1221</v>
      </c>
      <c r="E136" s="30" t="s">
        <v>1222</v>
      </c>
      <c r="F136" s="30" t="s">
        <v>1223</v>
      </c>
      <c r="G136" s="30" t="s">
        <v>386</v>
      </c>
      <c r="H136" s="30" t="s">
        <v>1224</v>
      </c>
      <c r="I136" s="30" t="s">
        <v>1225</v>
      </c>
      <c r="J136" s="30" t="s">
        <v>1226</v>
      </c>
      <c r="K136" s="30" t="s">
        <v>1227</v>
      </c>
      <c r="L136" s="30" t="s">
        <v>450</v>
      </c>
      <c r="M136" s="30" t="s">
        <v>450</v>
      </c>
      <c r="N136" s="30" t="s">
        <v>450</v>
      </c>
    </row>
    <row r="138" spans="1:15" ht="30">
      <c r="B138" s="15" t="s">
        <v>1228</v>
      </c>
      <c r="C138" s="15" t="s">
        <v>1229</v>
      </c>
      <c r="D138" s="15" t="s">
        <v>1230</v>
      </c>
      <c r="E138" s="15" t="s">
        <v>1231</v>
      </c>
      <c r="F138" s="15" t="s">
        <v>1232</v>
      </c>
      <c r="G138" s="15" t="s">
        <v>1233</v>
      </c>
      <c r="H138" s="15" t="s">
        <v>1234</v>
      </c>
      <c r="I138" s="15" t="s">
        <v>1235</v>
      </c>
      <c r="J138" s="15" t="s">
        <v>1236</v>
      </c>
      <c r="K138" s="15" t="s">
        <v>1237</v>
      </c>
      <c r="L138" s="15" t="s">
        <v>1238</v>
      </c>
      <c r="M138" s="15" t="s">
        <v>9</v>
      </c>
      <c r="N138" s="15" t="s">
        <v>1239</v>
      </c>
    </row>
    <row r="139" spans="1:15">
      <c r="A139" s="4" t="s">
        <v>1200</v>
      </c>
      <c r="B139" s="34">
        <f>B110</f>
        <v>-26.255278302013448</v>
      </c>
      <c r="C139" s="10"/>
      <c r="D139" s="10"/>
      <c r="E139" s="10"/>
      <c r="F139" s="10"/>
      <c r="G139" s="33">
        <v>0</v>
      </c>
      <c r="H139" s="39">
        <f t="shared" ref="H139:H170" si="0">F139*99+G139</f>
        <v>0</v>
      </c>
      <c r="I139" s="10"/>
      <c r="J139" s="10"/>
      <c r="K139" s="34">
        <f>B139</f>
        <v>-26.255278302013448</v>
      </c>
      <c r="L139" s="34">
        <f>SUM(D$140:D$238)</f>
        <v>0</v>
      </c>
      <c r="M139" s="34">
        <f>SUM($E$140:$E$238)-Revenue!$C$77</f>
        <v>-346529994.868258</v>
      </c>
      <c r="N139" s="34" t="str">
        <f>IF(M$139&gt;0,K139,IF(M$238&gt;0,"",$B$99))</f>
        <v/>
      </c>
      <c r="O139" s="17"/>
    </row>
    <row r="140" spans="1:15">
      <c r="A140" s="4" t="s">
        <v>1240</v>
      </c>
      <c r="B140" s="34">
        <f t="shared" ref="B140:B172" si="1">B12</f>
        <v>-1.8151550409631754</v>
      </c>
      <c r="C140" s="34">
        <f t="shared" ref="C140:C172" si="2">B56</f>
        <v>65453649.635519527</v>
      </c>
      <c r="D140" s="34">
        <f t="shared" ref="D140:D171" si="3">IF(ISERROR(B140),C140,0)</f>
        <v>0</v>
      </c>
      <c r="E140" s="34">
        <f t="shared" ref="E140:E171" si="4">MAX($B$110,B140)*C140</f>
        <v>-118808522.08535078</v>
      </c>
      <c r="F140" s="39">
        <f t="shared" ref="F140:F171" si="5">RANK(B140,B$140:B$238,1)</f>
        <v>16</v>
      </c>
      <c r="G140" s="33">
        <v>1</v>
      </c>
      <c r="H140" s="39">
        <f t="shared" si="0"/>
        <v>1585</v>
      </c>
      <c r="I140" s="39">
        <f t="shared" ref="I140:I171" si="6">RANK(H140,H$140:H$238,1)</f>
        <v>16</v>
      </c>
      <c r="J140" s="39">
        <f t="shared" ref="J140:J171" si="7">MATCH(G140,I$140:I$238,0)</f>
        <v>19</v>
      </c>
      <c r="K140" s="34">
        <f t="shared" ref="K140:K171" si="8">INDEX(B$140:B$238,J140,1)</f>
        <v>-26.255278302013448</v>
      </c>
      <c r="L140" s="34">
        <f t="shared" ref="L140:L171" si="9">L139+INDEX(C$140:C$238,J140,1)</f>
        <v>105607.06473771854</v>
      </c>
      <c r="M140" s="34">
        <f t="shared" ref="M140:M171" si="10">M139+(K140-K139)*L139</f>
        <v>-346529994.868258</v>
      </c>
      <c r="N140" s="34" t="str">
        <f t="shared" ref="N140:N171" si="11">IF((M139&gt;0)=(M140&gt;0),"",K140-M140/L139)</f>
        <v/>
      </c>
      <c r="O140" s="17"/>
    </row>
    <row r="141" spans="1:15">
      <c r="A141" s="4" t="s">
        <v>1241</v>
      </c>
      <c r="B141" s="34">
        <f t="shared" si="1"/>
        <v>-2.2193186163990717</v>
      </c>
      <c r="C141" s="34">
        <f t="shared" si="2"/>
        <v>4715670.6951320572</v>
      </c>
      <c r="D141" s="34">
        <f t="shared" si="3"/>
        <v>0</v>
      </c>
      <c r="E141" s="34">
        <f t="shared" si="4"/>
        <v>-10465575.762514126</v>
      </c>
      <c r="F141" s="39">
        <f t="shared" si="5"/>
        <v>14</v>
      </c>
      <c r="G141" s="33">
        <v>2</v>
      </c>
      <c r="H141" s="39">
        <f t="shared" si="0"/>
        <v>1388</v>
      </c>
      <c r="I141" s="39">
        <f t="shared" si="6"/>
        <v>14</v>
      </c>
      <c r="J141" s="39">
        <f t="shared" si="7"/>
        <v>10</v>
      </c>
      <c r="K141" s="34">
        <f t="shared" si="8"/>
        <v>-9.7966903208606375</v>
      </c>
      <c r="L141" s="34">
        <f t="shared" si="9"/>
        <v>106295.70744222254</v>
      </c>
      <c r="M141" s="34">
        <f t="shared" si="10"/>
        <v>-344791851.70184094</v>
      </c>
      <c r="N141" s="34" t="str">
        <f t="shared" si="11"/>
        <v/>
      </c>
      <c r="O141" s="17"/>
    </row>
    <row r="142" spans="1:15">
      <c r="A142" s="4" t="s">
        <v>1242</v>
      </c>
      <c r="B142" s="34">
        <f t="shared" si="1"/>
        <v>-0.24710033759447372</v>
      </c>
      <c r="C142" s="34">
        <f t="shared" si="2"/>
        <v>142795.02094378503</v>
      </c>
      <c r="D142" s="34">
        <f t="shared" si="3"/>
        <v>0</v>
      </c>
      <c r="E142" s="34">
        <f t="shared" si="4"/>
        <v>-35284.697882019223</v>
      </c>
      <c r="F142" s="39">
        <f t="shared" si="5"/>
        <v>26</v>
      </c>
      <c r="G142" s="33">
        <v>3</v>
      </c>
      <c r="H142" s="39">
        <f t="shared" si="0"/>
        <v>2577</v>
      </c>
      <c r="I142" s="39">
        <f t="shared" si="6"/>
        <v>26</v>
      </c>
      <c r="J142" s="39">
        <f t="shared" si="7"/>
        <v>11</v>
      </c>
      <c r="K142" s="34">
        <f t="shared" si="8"/>
        <v>-8.9519049483494104</v>
      </c>
      <c r="L142" s="34">
        <f t="shared" si="9"/>
        <v>330655.35690387199</v>
      </c>
      <c r="M142" s="34">
        <f t="shared" si="10"/>
        <v>-344702054.64303303</v>
      </c>
      <c r="N142" s="34" t="str">
        <f t="shared" si="11"/>
        <v/>
      </c>
      <c r="O142" s="17"/>
    </row>
    <row r="143" spans="1:15">
      <c r="A143" s="4" t="s">
        <v>1243</v>
      </c>
      <c r="B143" s="34">
        <f t="shared" si="1"/>
        <v>-1.6777230699964825</v>
      </c>
      <c r="C143" s="34">
        <f t="shared" si="2"/>
        <v>15015031.89157428</v>
      </c>
      <c r="D143" s="34">
        <f t="shared" si="3"/>
        <v>0</v>
      </c>
      <c r="E143" s="34">
        <f t="shared" si="4"/>
        <v>-25191065.401227094</v>
      </c>
      <c r="F143" s="39">
        <f t="shared" si="5"/>
        <v>18</v>
      </c>
      <c r="G143" s="33">
        <v>4</v>
      </c>
      <c r="H143" s="39">
        <f t="shared" si="0"/>
        <v>1786</v>
      </c>
      <c r="I143" s="39">
        <f t="shared" si="6"/>
        <v>18</v>
      </c>
      <c r="J143" s="39">
        <f t="shared" si="7"/>
        <v>12</v>
      </c>
      <c r="K143" s="34">
        <f t="shared" si="8"/>
        <v>-6.6072456334949372</v>
      </c>
      <c r="L143" s="34">
        <f t="shared" si="9"/>
        <v>2991712.0496715424</v>
      </c>
      <c r="M143" s="34">
        <f t="shared" si="10"/>
        <v>-343926780.48046184</v>
      </c>
      <c r="N143" s="34" t="str">
        <f t="shared" si="11"/>
        <v/>
      </c>
      <c r="O143" s="17"/>
    </row>
    <row r="144" spans="1:15">
      <c r="A144" s="4" t="s">
        <v>1244</v>
      </c>
      <c r="B144" s="34">
        <f t="shared" si="1"/>
        <v>-1.7812850702773817</v>
      </c>
      <c r="C144" s="34">
        <f t="shared" si="2"/>
        <v>5319473.5459341761</v>
      </c>
      <c r="D144" s="34">
        <f t="shared" si="3"/>
        <v>0</v>
      </c>
      <c r="E144" s="34">
        <f t="shared" si="4"/>
        <v>-9475498.8091080319</v>
      </c>
      <c r="F144" s="39">
        <f t="shared" si="5"/>
        <v>17</v>
      </c>
      <c r="G144" s="33">
        <v>5</v>
      </c>
      <c r="H144" s="39">
        <f t="shared" si="0"/>
        <v>1688</v>
      </c>
      <c r="I144" s="39">
        <f t="shared" si="6"/>
        <v>17</v>
      </c>
      <c r="J144" s="39">
        <f t="shared" si="7"/>
        <v>13</v>
      </c>
      <c r="K144" s="34">
        <f t="shared" si="8"/>
        <v>-5.2056369596081922</v>
      </c>
      <c r="L144" s="34">
        <f t="shared" si="9"/>
        <v>4261884.7004997926</v>
      </c>
      <c r="M144" s="34">
        <f t="shared" si="10"/>
        <v>-339733570.92187071</v>
      </c>
      <c r="N144" s="34" t="str">
        <f t="shared" si="11"/>
        <v/>
      </c>
      <c r="O144" s="17"/>
    </row>
    <row r="145" spans="1:15">
      <c r="A145" s="4" t="s">
        <v>1245</v>
      </c>
      <c r="B145" s="34">
        <f t="shared" si="1"/>
        <v>-0.18360256433692124</v>
      </c>
      <c r="C145" s="34">
        <f t="shared" si="2"/>
        <v>202426.29112942406</v>
      </c>
      <c r="D145" s="34">
        <f t="shared" si="3"/>
        <v>0</v>
      </c>
      <c r="E145" s="34">
        <f t="shared" si="4"/>
        <v>-37165.98614057443</v>
      </c>
      <c r="F145" s="39">
        <f t="shared" si="5"/>
        <v>29</v>
      </c>
      <c r="G145" s="33">
        <v>6</v>
      </c>
      <c r="H145" s="39">
        <f t="shared" si="0"/>
        <v>2877</v>
      </c>
      <c r="I145" s="39">
        <f t="shared" si="6"/>
        <v>29</v>
      </c>
      <c r="J145" s="39">
        <f t="shared" si="7"/>
        <v>17</v>
      </c>
      <c r="K145" s="34">
        <f t="shared" si="8"/>
        <v>-4.3776855310613998</v>
      </c>
      <c r="L145" s="34">
        <f t="shared" si="9"/>
        <v>4265997.1698032813</v>
      </c>
      <c r="M145" s="34">
        <f t="shared" si="10"/>
        <v>-336204937.39579016</v>
      </c>
      <c r="N145" s="34" t="str">
        <f t="shared" si="11"/>
        <v/>
      </c>
      <c r="O145" s="17"/>
    </row>
    <row r="146" spans="1:15">
      <c r="A146" s="4" t="s">
        <v>1246</v>
      </c>
      <c r="B146" s="34">
        <f t="shared" si="1"/>
        <v>-1.6224831809566633</v>
      </c>
      <c r="C146" s="34">
        <f t="shared" si="2"/>
        <v>679.54143903877082</v>
      </c>
      <c r="D146" s="34">
        <f t="shared" si="3"/>
        <v>0</v>
      </c>
      <c r="E146" s="34">
        <f t="shared" si="4"/>
        <v>-1102.5445556034933</v>
      </c>
      <c r="F146" s="39">
        <f t="shared" si="5"/>
        <v>19</v>
      </c>
      <c r="G146" s="33">
        <v>7</v>
      </c>
      <c r="H146" s="39">
        <f t="shared" si="0"/>
        <v>1888</v>
      </c>
      <c r="I146" s="39">
        <f t="shared" si="6"/>
        <v>19</v>
      </c>
      <c r="J146" s="39">
        <f t="shared" si="7"/>
        <v>14</v>
      </c>
      <c r="K146" s="34">
        <f t="shared" si="8"/>
        <v>-3.6696031930532165</v>
      </c>
      <c r="L146" s="34">
        <f t="shared" si="9"/>
        <v>8863086.2433743309</v>
      </c>
      <c r="M146" s="34">
        <f t="shared" si="10"/>
        <v>-333184260.14585954</v>
      </c>
      <c r="N146" s="34" t="str">
        <f t="shared" si="11"/>
        <v/>
      </c>
      <c r="O146" s="17"/>
    </row>
    <row r="147" spans="1:15">
      <c r="A147" s="4" t="s">
        <v>1247</v>
      </c>
      <c r="B147" s="34">
        <f t="shared" si="1"/>
        <v>-3.3824925732772391</v>
      </c>
      <c r="C147" s="34">
        <f t="shared" si="2"/>
        <v>1.3596319903118672</v>
      </c>
      <c r="D147" s="34">
        <f t="shared" si="3"/>
        <v>0</v>
      </c>
      <c r="E147" s="34">
        <f t="shared" si="4"/>
        <v>-4.5989451096200415</v>
      </c>
      <c r="F147" s="39">
        <f t="shared" si="5"/>
        <v>8</v>
      </c>
      <c r="G147" s="33">
        <v>8</v>
      </c>
      <c r="H147" s="39">
        <f t="shared" si="0"/>
        <v>800</v>
      </c>
      <c r="I147" s="39">
        <f t="shared" si="6"/>
        <v>8</v>
      </c>
      <c r="J147" s="39">
        <f t="shared" si="7"/>
        <v>8</v>
      </c>
      <c r="K147" s="34">
        <f t="shared" si="8"/>
        <v>-3.3824925732772391</v>
      </c>
      <c r="L147" s="34">
        <f t="shared" si="9"/>
        <v>8863087.6030063219</v>
      </c>
      <c r="M147" s="34">
        <f t="shared" si="10"/>
        <v>-330639573.9613964</v>
      </c>
      <c r="N147" s="34" t="str">
        <f t="shared" si="11"/>
        <v/>
      </c>
      <c r="O147" s="17"/>
    </row>
    <row r="148" spans="1:15">
      <c r="A148" s="4" t="s">
        <v>1248</v>
      </c>
      <c r="B148" s="34">
        <f t="shared" si="1"/>
        <v>-2.4370983043969154</v>
      </c>
      <c r="C148" s="34">
        <f t="shared" si="2"/>
        <v>4.5301947902899675</v>
      </c>
      <c r="D148" s="34">
        <f t="shared" si="3"/>
        <v>0</v>
      </c>
      <c r="E148" s="34">
        <f t="shared" si="4"/>
        <v>-11.04053004200342</v>
      </c>
      <c r="F148" s="39">
        <f t="shared" si="5"/>
        <v>13</v>
      </c>
      <c r="G148" s="33">
        <v>9</v>
      </c>
      <c r="H148" s="39">
        <f t="shared" si="0"/>
        <v>1296</v>
      </c>
      <c r="I148" s="39">
        <f t="shared" si="6"/>
        <v>13</v>
      </c>
      <c r="J148" s="39">
        <f t="shared" si="7"/>
        <v>16</v>
      </c>
      <c r="K148" s="34">
        <f t="shared" si="8"/>
        <v>-3.1771039301761101</v>
      </c>
      <c r="L148" s="34">
        <f t="shared" si="9"/>
        <v>8956311.0577645991</v>
      </c>
      <c r="M148" s="34">
        <f t="shared" si="10"/>
        <v>-328819196.42492849</v>
      </c>
      <c r="N148" s="34" t="str">
        <f t="shared" si="11"/>
        <v/>
      </c>
      <c r="O148" s="17"/>
    </row>
    <row r="149" spans="1:15">
      <c r="A149" s="4" t="s">
        <v>1249</v>
      </c>
      <c r="B149" s="34">
        <f t="shared" si="1"/>
        <v>-9.7966903208606375</v>
      </c>
      <c r="C149" s="34">
        <f t="shared" si="2"/>
        <v>688.64270450400318</v>
      </c>
      <c r="D149" s="34">
        <f t="shared" si="3"/>
        <v>0</v>
      </c>
      <c r="E149" s="34">
        <f t="shared" si="4"/>
        <v>-6746.41931774566</v>
      </c>
      <c r="F149" s="39">
        <f t="shared" si="5"/>
        <v>2</v>
      </c>
      <c r="G149" s="33">
        <v>10</v>
      </c>
      <c r="H149" s="39">
        <f t="shared" si="0"/>
        <v>208</v>
      </c>
      <c r="I149" s="39">
        <f t="shared" si="6"/>
        <v>2</v>
      </c>
      <c r="J149" s="39">
        <f t="shared" si="7"/>
        <v>15</v>
      </c>
      <c r="K149" s="34">
        <f t="shared" si="8"/>
        <v>-2.964302670937772</v>
      </c>
      <c r="L149" s="34">
        <f t="shared" si="9"/>
        <v>9130975.0266210604</v>
      </c>
      <c r="M149" s="34">
        <f t="shared" si="10"/>
        <v>-326913282.15370595</v>
      </c>
      <c r="N149" s="34" t="str">
        <f t="shared" si="11"/>
        <v/>
      </c>
      <c r="O149" s="17"/>
    </row>
    <row r="150" spans="1:15">
      <c r="A150" s="4" t="s">
        <v>1250</v>
      </c>
      <c r="B150" s="34">
        <f t="shared" si="1"/>
        <v>-8.9519049483494104</v>
      </c>
      <c r="C150" s="34">
        <f t="shared" si="2"/>
        <v>224359.64946164947</v>
      </c>
      <c r="D150" s="34">
        <f t="shared" si="3"/>
        <v>0</v>
      </c>
      <c r="E150" s="34">
        <f t="shared" si="4"/>
        <v>-2008446.2562256791</v>
      </c>
      <c r="F150" s="39">
        <f t="shared" si="5"/>
        <v>3</v>
      </c>
      <c r="G150" s="33">
        <v>11</v>
      </c>
      <c r="H150" s="39">
        <f t="shared" si="0"/>
        <v>308</v>
      </c>
      <c r="I150" s="39">
        <f t="shared" si="6"/>
        <v>3</v>
      </c>
      <c r="J150" s="39">
        <f t="shared" si="7"/>
        <v>52</v>
      </c>
      <c r="K150" s="34">
        <f t="shared" si="8"/>
        <v>-2.9400448047014889</v>
      </c>
      <c r="L150" s="34">
        <f t="shared" si="9"/>
        <v>9414850.2079877779</v>
      </c>
      <c r="M150" s="34">
        <f t="shared" si="10"/>
        <v>-326691784.18290335</v>
      </c>
      <c r="N150" s="34" t="str">
        <f t="shared" si="11"/>
        <v/>
      </c>
      <c r="O150" s="17"/>
    </row>
    <row r="151" spans="1:15">
      <c r="A151" s="4" t="s">
        <v>1251</v>
      </c>
      <c r="B151" s="34">
        <f t="shared" si="1"/>
        <v>-6.6072456334949372</v>
      </c>
      <c r="C151" s="34">
        <f t="shared" si="2"/>
        <v>2661056.6927676704</v>
      </c>
      <c r="D151" s="34">
        <f t="shared" si="3"/>
        <v>0</v>
      </c>
      <c r="E151" s="34">
        <f t="shared" si="4"/>
        <v>-17582255.213771667</v>
      </c>
      <c r="F151" s="39">
        <f t="shared" si="5"/>
        <v>4</v>
      </c>
      <c r="G151" s="33">
        <v>12</v>
      </c>
      <c r="H151" s="39">
        <f t="shared" si="0"/>
        <v>408</v>
      </c>
      <c r="I151" s="39">
        <f t="shared" si="6"/>
        <v>4</v>
      </c>
      <c r="J151" s="39">
        <f t="shared" si="7"/>
        <v>18</v>
      </c>
      <c r="K151" s="34">
        <f t="shared" si="8"/>
        <v>-2.8872333135278971</v>
      </c>
      <c r="L151" s="34">
        <f t="shared" si="9"/>
        <v>9414850.7220464405</v>
      </c>
      <c r="M151" s="34">
        <f t="shared" si="10"/>
        <v>-326194571.90424353</v>
      </c>
      <c r="N151" s="34" t="str">
        <f t="shared" si="11"/>
        <v/>
      </c>
      <c r="O151" s="17"/>
    </row>
    <row r="152" spans="1:15">
      <c r="A152" s="4" t="s">
        <v>1252</v>
      </c>
      <c r="B152" s="34">
        <f t="shared" si="1"/>
        <v>-5.2056369596081922</v>
      </c>
      <c r="C152" s="34">
        <f t="shared" si="2"/>
        <v>1270172.6508282502</v>
      </c>
      <c r="D152" s="34">
        <f t="shared" si="3"/>
        <v>0</v>
      </c>
      <c r="E152" s="34">
        <f t="shared" si="4"/>
        <v>-6612057.6962350504</v>
      </c>
      <c r="F152" s="39">
        <f t="shared" si="5"/>
        <v>5</v>
      </c>
      <c r="G152" s="33">
        <v>13</v>
      </c>
      <c r="H152" s="39">
        <f t="shared" si="0"/>
        <v>508</v>
      </c>
      <c r="I152" s="39">
        <f t="shared" si="6"/>
        <v>5</v>
      </c>
      <c r="J152" s="39">
        <f t="shared" si="7"/>
        <v>9</v>
      </c>
      <c r="K152" s="34">
        <f t="shared" si="8"/>
        <v>-2.4370983043969154</v>
      </c>
      <c r="L152" s="34">
        <f t="shared" si="9"/>
        <v>9414855.2522412315</v>
      </c>
      <c r="M152" s="34">
        <f t="shared" si="10"/>
        <v>-321956617.98850834</v>
      </c>
      <c r="N152" s="34" t="str">
        <f t="shared" si="11"/>
        <v/>
      </c>
      <c r="O152" s="17"/>
    </row>
    <row r="153" spans="1:15">
      <c r="A153" s="4" t="s">
        <v>1253</v>
      </c>
      <c r="B153" s="34">
        <f t="shared" si="1"/>
        <v>-3.6696031930532165</v>
      </c>
      <c r="C153" s="34">
        <f t="shared" si="2"/>
        <v>4597089.0735710496</v>
      </c>
      <c r="D153" s="34">
        <f t="shared" si="3"/>
        <v>0</v>
      </c>
      <c r="E153" s="34">
        <f t="shared" si="4"/>
        <v>-16869492.743126377</v>
      </c>
      <c r="F153" s="39">
        <f t="shared" si="5"/>
        <v>7</v>
      </c>
      <c r="G153" s="33">
        <v>14</v>
      </c>
      <c r="H153" s="39">
        <f t="shared" si="0"/>
        <v>707</v>
      </c>
      <c r="I153" s="39">
        <f t="shared" si="6"/>
        <v>7</v>
      </c>
      <c r="J153" s="39">
        <f t="shared" si="7"/>
        <v>2</v>
      </c>
      <c r="K153" s="34">
        <f t="shared" si="8"/>
        <v>-2.2193186163990717</v>
      </c>
      <c r="L153" s="34">
        <f t="shared" si="9"/>
        <v>14130525.94737329</v>
      </c>
      <c r="M153" s="34">
        <f t="shared" si="10"/>
        <v>-319906253.74913037</v>
      </c>
      <c r="N153" s="34" t="str">
        <f t="shared" si="11"/>
        <v/>
      </c>
      <c r="O153" s="17"/>
    </row>
    <row r="154" spans="1:15">
      <c r="A154" s="4" t="s">
        <v>1254</v>
      </c>
      <c r="B154" s="34">
        <f t="shared" si="1"/>
        <v>-2.964302670937772</v>
      </c>
      <c r="C154" s="34">
        <f t="shared" si="2"/>
        <v>174663.968856461</v>
      </c>
      <c r="D154" s="34">
        <f t="shared" si="3"/>
        <v>0</v>
      </c>
      <c r="E154" s="34">
        <f t="shared" si="4"/>
        <v>-517756.86939779914</v>
      </c>
      <c r="F154" s="39">
        <f t="shared" si="5"/>
        <v>10</v>
      </c>
      <c r="G154" s="33">
        <v>15</v>
      </c>
      <c r="H154" s="39">
        <f t="shared" si="0"/>
        <v>1005</v>
      </c>
      <c r="I154" s="39">
        <f t="shared" si="6"/>
        <v>10</v>
      </c>
      <c r="J154" s="39">
        <f t="shared" si="7"/>
        <v>85</v>
      </c>
      <c r="K154" s="34">
        <f t="shared" si="8"/>
        <v>-1.8840205079208321</v>
      </c>
      <c r="L154" s="34">
        <f t="shared" si="9"/>
        <v>15899596.652994558</v>
      </c>
      <c r="M154" s="34">
        <f t="shared" si="10"/>
        <v>-315168315.12717342</v>
      </c>
      <c r="N154" s="34" t="str">
        <f t="shared" si="11"/>
        <v/>
      </c>
      <c r="O154" s="17"/>
    </row>
    <row r="155" spans="1:15">
      <c r="A155" s="4" t="s">
        <v>1255</v>
      </c>
      <c r="B155" s="34">
        <f t="shared" si="1"/>
        <v>-3.1771039301761101</v>
      </c>
      <c r="C155" s="34">
        <f t="shared" si="2"/>
        <v>93223.454758277192</v>
      </c>
      <c r="D155" s="34">
        <f t="shared" si="3"/>
        <v>0</v>
      </c>
      <c r="E155" s="34">
        <f t="shared" si="4"/>
        <v>-296180.60449711728</v>
      </c>
      <c r="F155" s="39">
        <f t="shared" si="5"/>
        <v>9</v>
      </c>
      <c r="G155" s="33">
        <v>16</v>
      </c>
      <c r="H155" s="39">
        <f t="shared" si="0"/>
        <v>907</v>
      </c>
      <c r="I155" s="39">
        <f t="shared" si="6"/>
        <v>9</v>
      </c>
      <c r="J155" s="39">
        <f t="shared" si="7"/>
        <v>1</v>
      </c>
      <c r="K155" s="34">
        <f t="shared" si="8"/>
        <v>-1.8151550409631754</v>
      </c>
      <c r="L155" s="34">
        <f t="shared" si="9"/>
        <v>81353246.288514078</v>
      </c>
      <c r="M155" s="34">
        <f t="shared" si="10"/>
        <v>-314073381.97922653</v>
      </c>
      <c r="N155" s="34" t="str">
        <f t="shared" si="11"/>
        <v/>
      </c>
      <c r="O155" s="17"/>
    </row>
    <row r="156" spans="1:15">
      <c r="A156" s="4" t="s">
        <v>1256</v>
      </c>
      <c r="B156" s="34">
        <f t="shared" si="1"/>
        <v>-4.3776855310613998</v>
      </c>
      <c r="C156" s="34">
        <f t="shared" si="2"/>
        <v>4112.4693034888232</v>
      </c>
      <c r="D156" s="34">
        <f t="shared" si="3"/>
        <v>0</v>
      </c>
      <c r="E156" s="34">
        <f t="shared" si="4"/>
        <v>-18003.097366817175</v>
      </c>
      <c r="F156" s="39">
        <f t="shared" si="5"/>
        <v>6</v>
      </c>
      <c r="G156" s="33">
        <v>17</v>
      </c>
      <c r="H156" s="39">
        <f t="shared" si="0"/>
        <v>611</v>
      </c>
      <c r="I156" s="39">
        <f t="shared" si="6"/>
        <v>6</v>
      </c>
      <c r="J156" s="39">
        <f t="shared" si="7"/>
        <v>5</v>
      </c>
      <c r="K156" s="34">
        <f t="shared" si="8"/>
        <v>-1.7812850702773817</v>
      </c>
      <c r="L156" s="34">
        <f t="shared" si="9"/>
        <v>86672719.834448248</v>
      </c>
      <c r="M156" s="34">
        <f t="shared" si="10"/>
        <v>-311317949.91224039</v>
      </c>
      <c r="N156" s="34" t="str">
        <f t="shared" si="11"/>
        <v/>
      </c>
      <c r="O156" s="17"/>
    </row>
    <row r="157" spans="1:15">
      <c r="A157" s="4" t="s">
        <v>1257</v>
      </c>
      <c r="B157" s="34">
        <f t="shared" si="1"/>
        <v>-2.8872333135278971</v>
      </c>
      <c r="C157" s="34">
        <f t="shared" si="2"/>
        <v>0.51405866293610303</v>
      </c>
      <c r="D157" s="34">
        <f t="shared" si="3"/>
        <v>0</v>
      </c>
      <c r="E157" s="34">
        <f t="shared" si="4"/>
        <v>-1.4842072967367252</v>
      </c>
      <c r="F157" s="39">
        <f t="shared" si="5"/>
        <v>12</v>
      </c>
      <c r="G157" s="33">
        <v>18</v>
      </c>
      <c r="H157" s="39">
        <f t="shared" si="0"/>
        <v>1206</v>
      </c>
      <c r="I157" s="39">
        <f t="shared" si="6"/>
        <v>12</v>
      </c>
      <c r="J157" s="39">
        <f t="shared" si="7"/>
        <v>4</v>
      </c>
      <c r="K157" s="34">
        <f t="shared" si="8"/>
        <v>-1.6777230699964825</v>
      </c>
      <c r="L157" s="34">
        <f t="shared" si="9"/>
        <v>101687751.72602253</v>
      </c>
      <c r="M157" s="34">
        <f t="shared" si="10"/>
        <v>-302341949.67639893</v>
      </c>
      <c r="N157" s="34" t="str">
        <f t="shared" si="11"/>
        <v/>
      </c>
      <c r="O157" s="17"/>
    </row>
    <row r="158" spans="1:15">
      <c r="A158" s="4" t="s">
        <v>1258</v>
      </c>
      <c r="B158" s="34">
        <f t="shared" si="1"/>
        <v>-26.255278302013448</v>
      </c>
      <c r="C158" s="34">
        <f t="shared" si="2"/>
        <v>105607.06473771854</v>
      </c>
      <c r="D158" s="34">
        <f t="shared" si="3"/>
        <v>0</v>
      </c>
      <c r="E158" s="34">
        <f t="shared" si="4"/>
        <v>-2772742.875347551</v>
      </c>
      <c r="F158" s="39">
        <f t="shared" si="5"/>
        <v>1</v>
      </c>
      <c r="G158" s="33">
        <v>19</v>
      </c>
      <c r="H158" s="39">
        <f t="shared" si="0"/>
        <v>118</v>
      </c>
      <c r="I158" s="39">
        <f t="shared" si="6"/>
        <v>1</v>
      </c>
      <c r="J158" s="39">
        <f t="shared" si="7"/>
        <v>7</v>
      </c>
      <c r="K158" s="34">
        <f t="shared" si="8"/>
        <v>-1.6224831809566633</v>
      </c>
      <c r="L158" s="34">
        <f t="shared" si="9"/>
        <v>101688431.26746157</v>
      </c>
      <c r="M158" s="34">
        <f t="shared" si="10"/>
        <v>-296724729.55434477</v>
      </c>
      <c r="N158" s="34" t="str">
        <f t="shared" si="11"/>
        <v/>
      </c>
      <c r="O158" s="17"/>
    </row>
    <row r="159" spans="1:15">
      <c r="A159" s="4" t="s">
        <v>1259</v>
      </c>
      <c r="B159" s="34">
        <f t="shared" si="1"/>
        <v>0.97652180328586424</v>
      </c>
      <c r="C159" s="34">
        <f t="shared" si="2"/>
        <v>0</v>
      </c>
      <c r="D159" s="34">
        <f t="shared" si="3"/>
        <v>0</v>
      </c>
      <c r="E159" s="34">
        <f t="shared" si="4"/>
        <v>0</v>
      </c>
      <c r="F159" s="39">
        <f t="shared" si="5"/>
        <v>89</v>
      </c>
      <c r="G159" s="33">
        <v>20</v>
      </c>
      <c r="H159" s="39">
        <f t="shared" si="0"/>
        <v>8831</v>
      </c>
      <c r="I159" s="39">
        <f t="shared" si="6"/>
        <v>89</v>
      </c>
      <c r="J159" s="39">
        <f t="shared" si="7"/>
        <v>43</v>
      </c>
      <c r="K159" s="34">
        <f t="shared" si="8"/>
        <v>-1.50624575326778</v>
      </c>
      <c r="L159" s="34">
        <f t="shared" si="9"/>
        <v>101690497.26455203</v>
      </c>
      <c r="M159" s="34">
        <f t="shared" si="10"/>
        <v>-284904727.87809724</v>
      </c>
      <c r="N159" s="34" t="str">
        <f t="shared" si="11"/>
        <v/>
      </c>
      <c r="O159" s="17"/>
    </row>
    <row r="160" spans="1:15">
      <c r="A160" s="4" t="s">
        <v>1260</v>
      </c>
      <c r="B160" s="34">
        <f t="shared" si="1"/>
        <v>0.78134038241603021</v>
      </c>
      <c r="C160" s="34">
        <f t="shared" si="2"/>
        <v>0</v>
      </c>
      <c r="D160" s="34">
        <f t="shared" si="3"/>
        <v>0</v>
      </c>
      <c r="E160" s="34">
        <f t="shared" si="4"/>
        <v>0</v>
      </c>
      <c r="F160" s="39">
        <f t="shared" si="5"/>
        <v>84</v>
      </c>
      <c r="G160" s="33">
        <v>21</v>
      </c>
      <c r="H160" s="39">
        <f t="shared" si="0"/>
        <v>8337</v>
      </c>
      <c r="I160" s="39">
        <f t="shared" si="6"/>
        <v>84</v>
      </c>
      <c r="J160" s="39">
        <f t="shared" si="7"/>
        <v>44</v>
      </c>
      <c r="K160" s="34">
        <f t="shared" si="8"/>
        <v>-1.3762671121001446</v>
      </c>
      <c r="L160" s="34">
        <f t="shared" si="9"/>
        <v>102496468.30926436</v>
      </c>
      <c r="M160" s="34">
        <f t="shared" si="10"/>
        <v>-271687135.22398961</v>
      </c>
      <c r="N160" s="34" t="str">
        <f t="shared" si="11"/>
        <v/>
      </c>
      <c r="O160" s="17"/>
    </row>
    <row r="161" spans="1:15">
      <c r="A161" s="4" t="s">
        <v>1261</v>
      </c>
      <c r="B161" s="34">
        <f t="shared" si="1"/>
        <v>0.97652180328586424</v>
      </c>
      <c r="C161" s="34">
        <f t="shared" si="2"/>
        <v>0</v>
      </c>
      <c r="D161" s="34">
        <f t="shared" si="3"/>
        <v>0</v>
      </c>
      <c r="E161" s="34">
        <f t="shared" si="4"/>
        <v>0</v>
      </c>
      <c r="F161" s="39">
        <f t="shared" si="5"/>
        <v>89</v>
      </c>
      <c r="G161" s="33">
        <v>22</v>
      </c>
      <c r="H161" s="39">
        <f t="shared" si="0"/>
        <v>8833</v>
      </c>
      <c r="I161" s="39">
        <f t="shared" si="6"/>
        <v>90</v>
      </c>
      <c r="J161" s="39">
        <f t="shared" si="7"/>
        <v>45</v>
      </c>
      <c r="K161" s="34">
        <f t="shared" si="8"/>
        <v>-0.95933415245418296</v>
      </c>
      <c r="L161" s="34">
        <f t="shared" si="9"/>
        <v>112001475.55357657</v>
      </c>
      <c r="M161" s="34">
        <f t="shared" si="10"/>
        <v>-228952979.33854949</v>
      </c>
      <c r="N161" s="34" t="str">
        <f t="shared" si="11"/>
        <v/>
      </c>
      <c r="O161" s="17"/>
    </row>
    <row r="162" spans="1:15">
      <c r="A162" s="4" t="s">
        <v>1262</v>
      </c>
      <c r="B162" s="34">
        <f t="shared" si="1"/>
        <v>0.97652180328586424</v>
      </c>
      <c r="C162" s="34">
        <f t="shared" si="2"/>
        <v>0</v>
      </c>
      <c r="D162" s="34">
        <f t="shared" si="3"/>
        <v>0</v>
      </c>
      <c r="E162" s="34">
        <f t="shared" si="4"/>
        <v>0</v>
      </c>
      <c r="F162" s="39">
        <f t="shared" si="5"/>
        <v>89</v>
      </c>
      <c r="G162" s="33">
        <v>23</v>
      </c>
      <c r="H162" s="39">
        <f t="shared" si="0"/>
        <v>8834</v>
      </c>
      <c r="I162" s="39">
        <f t="shared" si="6"/>
        <v>91</v>
      </c>
      <c r="J162" s="39">
        <f t="shared" si="7"/>
        <v>46</v>
      </c>
      <c r="K162" s="34">
        <f t="shared" si="8"/>
        <v>-0.70958979917964948</v>
      </c>
      <c r="L162" s="34">
        <f t="shared" si="9"/>
        <v>116653680.35242285</v>
      </c>
      <c r="M162" s="34">
        <f t="shared" si="10"/>
        <v>-200981243.26062804</v>
      </c>
      <c r="N162" s="34" t="str">
        <f t="shared" si="11"/>
        <v/>
      </c>
      <c r="O162" s="17"/>
    </row>
    <row r="163" spans="1:15">
      <c r="A163" s="4" t="s">
        <v>1263</v>
      </c>
      <c r="B163" s="34">
        <f t="shared" si="1"/>
        <v>6.7208912071231417</v>
      </c>
      <c r="C163" s="34">
        <f t="shared" si="2"/>
        <v>0</v>
      </c>
      <c r="D163" s="34">
        <f t="shared" si="3"/>
        <v>0</v>
      </c>
      <c r="E163" s="34">
        <f t="shared" si="4"/>
        <v>0</v>
      </c>
      <c r="F163" s="39">
        <f t="shared" si="5"/>
        <v>98</v>
      </c>
      <c r="G163" s="33">
        <v>24</v>
      </c>
      <c r="H163" s="39">
        <f t="shared" si="0"/>
        <v>9726</v>
      </c>
      <c r="I163" s="39">
        <f t="shared" si="6"/>
        <v>98</v>
      </c>
      <c r="J163" s="39">
        <f t="shared" si="7"/>
        <v>47</v>
      </c>
      <c r="K163" s="34">
        <f t="shared" si="8"/>
        <v>-0.44357757639731277</v>
      </c>
      <c r="L163" s="34">
        <f t="shared" si="9"/>
        <v>132375886.87303457</v>
      </c>
      <c r="M163" s="34">
        <f t="shared" si="10"/>
        <v>-169949938.45433983</v>
      </c>
      <c r="N163" s="34" t="str">
        <f t="shared" si="11"/>
        <v/>
      </c>
      <c r="O163" s="17"/>
    </row>
    <row r="164" spans="1:15">
      <c r="A164" s="4" t="s">
        <v>1264</v>
      </c>
      <c r="B164" s="34">
        <f t="shared" si="1"/>
        <v>6.7208912071231417</v>
      </c>
      <c r="C164" s="34">
        <f t="shared" si="2"/>
        <v>0</v>
      </c>
      <c r="D164" s="34">
        <f t="shared" si="3"/>
        <v>0</v>
      </c>
      <c r="E164" s="34">
        <f t="shared" si="4"/>
        <v>0</v>
      </c>
      <c r="F164" s="39">
        <f t="shared" si="5"/>
        <v>98</v>
      </c>
      <c r="G164" s="33">
        <v>25</v>
      </c>
      <c r="H164" s="39">
        <f t="shared" si="0"/>
        <v>9727</v>
      </c>
      <c r="I164" s="39">
        <f t="shared" si="6"/>
        <v>99</v>
      </c>
      <c r="J164" s="39">
        <f t="shared" si="7"/>
        <v>41</v>
      </c>
      <c r="K164" s="34">
        <f t="shared" si="8"/>
        <v>-0.28393845327056189</v>
      </c>
      <c r="L164" s="34">
        <f t="shared" si="9"/>
        <v>132375889.75339907</v>
      </c>
      <c r="M164" s="34">
        <f t="shared" si="10"/>
        <v>-148817567.95080262</v>
      </c>
      <c r="N164" s="34" t="str">
        <f t="shared" si="11"/>
        <v/>
      </c>
      <c r="O164" s="17"/>
    </row>
    <row r="165" spans="1:15">
      <c r="A165" s="4" t="s">
        <v>1265</v>
      </c>
      <c r="B165" s="34">
        <f t="shared" si="1"/>
        <v>0.78134038241603021</v>
      </c>
      <c r="C165" s="34">
        <f t="shared" si="2"/>
        <v>0</v>
      </c>
      <c r="D165" s="34">
        <f t="shared" si="3"/>
        <v>0</v>
      </c>
      <c r="E165" s="34">
        <f t="shared" si="4"/>
        <v>0</v>
      </c>
      <c r="F165" s="39">
        <f t="shared" si="5"/>
        <v>84</v>
      </c>
      <c r="G165" s="33">
        <v>26</v>
      </c>
      <c r="H165" s="39">
        <f t="shared" si="0"/>
        <v>8342</v>
      </c>
      <c r="I165" s="39">
        <f t="shared" si="6"/>
        <v>85</v>
      </c>
      <c r="J165" s="39">
        <f t="shared" si="7"/>
        <v>3</v>
      </c>
      <c r="K165" s="34">
        <f t="shared" si="8"/>
        <v>-0.24710033759447372</v>
      </c>
      <c r="L165" s="34">
        <f t="shared" si="9"/>
        <v>132518684.77434286</v>
      </c>
      <c r="M165" s="34">
        <f t="shared" si="10"/>
        <v>-143941089.6113418</v>
      </c>
      <c r="N165" s="34" t="str">
        <f t="shared" si="11"/>
        <v/>
      </c>
      <c r="O165" s="17"/>
    </row>
    <row r="166" spans="1:15">
      <c r="A166" s="4" t="s">
        <v>1266</v>
      </c>
      <c r="B166" s="34">
        <f t="shared" si="1"/>
        <v>0.78134038241603021</v>
      </c>
      <c r="C166" s="34">
        <f t="shared" si="2"/>
        <v>0</v>
      </c>
      <c r="D166" s="34">
        <f t="shared" si="3"/>
        <v>0</v>
      </c>
      <c r="E166" s="34">
        <f t="shared" si="4"/>
        <v>0</v>
      </c>
      <c r="F166" s="39">
        <f t="shared" si="5"/>
        <v>84</v>
      </c>
      <c r="G166" s="33">
        <v>27</v>
      </c>
      <c r="H166" s="39">
        <f t="shared" si="0"/>
        <v>8343</v>
      </c>
      <c r="I166" s="39">
        <f t="shared" si="6"/>
        <v>86</v>
      </c>
      <c r="J166" s="39">
        <f t="shared" si="7"/>
        <v>35</v>
      </c>
      <c r="K166" s="34">
        <f t="shared" si="8"/>
        <v>-0.2008712209572372</v>
      </c>
      <c r="L166" s="34">
        <f t="shared" si="9"/>
        <v>137191620.64624369</v>
      </c>
      <c r="M166" s="34">
        <f t="shared" si="10"/>
        <v>-137814867.87629554</v>
      </c>
      <c r="N166" s="34" t="str">
        <f t="shared" si="11"/>
        <v/>
      </c>
      <c r="O166" s="17"/>
    </row>
    <row r="167" spans="1:15">
      <c r="A167" s="4" t="s">
        <v>1267</v>
      </c>
      <c r="B167" s="34">
        <f t="shared" si="1"/>
        <v>5.4635494100859852</v>
      </c>
      <c r="C167" s="34">
        <f t="shared" si="2"/>
        <v>0</v>
      </c>
      <c r="D167" s="34">
        <f t="shared" si="3"/>
        <v>0</v>
      </c>
      <c r="E167" s="34">
        <f t="shared" si="4"/>
        <v>0</v>
      </c>
      <c r="F167" s="39">
        <f t="shared" si="5"/>
        <v>96</v>
      </c>
      <c r="G167" s="33">
        <v>28</v>
      </c>
      <c r="H167" s="39">
        <f t="shared" si="0"/>
        <v>9532</v>
      </c>
      <c r="I167" s="39">
        <f t="shared" si="6"/>
        <v>96</v>
      </c>
      <c r="J167" s="39">
        <f t="shared" si="7"/>
        <v>42</v>
      </c>
      <c r="K167" s="34">
        <f t="shared" si="8"/>
        <v>-0.19279108124085576</v>
      </c>
      <c r="L167" s="34">
        <f t="shared" si="9"/>
        <v>137191632.18340459</v>
      </c>
      <c r="M167" s="34">
        <f t="shared" si="10"/>
        <v>-136706340.41355708</v>
      </c>
      <c r="N167" s="34" t="str">
        <f t="shared" si="11"/>
        <v/>
      </c>
      <c r="O167" s="17"/>
    </row>
    <row r="168" spans="1:15">
      <c r="A168" s="4" t="s">
        <v>1268</v>
      </c>
      <c r="B168" s="34">
        <f t="shared" si="1"/>
        <v>5.4635494100859852</v>
      </c>
      <c r="C168" s="34">
        <f t="shared" si="2"/>
        <v>0</v>
      </c>
      <c r="D168" s="34">
        <f t="shared" si="3"/>
        <v>0</v>
      </c>
      <c r="E168" s="34">
        <f t="shared" si="4"/>
        <v>0</v>
      </c>
      <c r="F168" s="39">
        <f t="shared" si="5"/>
        <v>96</v>
      </c>
      <c r="G168" s="33">
        <v>29</v>
      </c>
      <c r="H168" s="39">
        <f t="shared" si="0"/>
        <v>9533</v>
      </c>
      <c r="I168" s="39">
        <f t="shared" si="6"/>
        <v>97</v>
      </c>
      <c r="J168" s="39">
        <f t="shared" si="7"/>
        <v>6</v>
      </c>
      <c r="K168" s="34">
        <f t="shared" si="8"/>
        <v>-0.18360256433692124</v>
      </c>
      <c r="L168" s="34">
        <f t="shared" si="9"/>
        <v>137394058.474534</v>
      </c>
      <c r="M168" s="34">
        <f t="shared" si="10"/>
        <v>-135445752.7821615</v>
      </c>
      <c r="N168" s="34" t="str">
        <f t="shared" si="11"/>
        <v/>
      </c>
      <c r="O168" s="17"/>
    </row>
    <row r="169" spans="1:15">
      <c r="A169" s="4" t="s">
        <v>1269</v>
      </c>
      <c r="B169" s="34">
        <f t="shared" si="1"/>
        <v>0.5650751662588146</v>
      </c>
      <c r="C169" s="34">
        <f t="shared" si="2"/>
        <v>0</v>
      </c>
      <c r="D169" s="34">
        <f t="shared" si="3"/>
        <v>0</v>
      </c>
      <c r="E169" s="34">
        <f t="shared" si="4"/>
        <v>0</v>
      </c>
      <c r="F169" s="39">
        <f t="shared" si="5"/>
        <v>82</v>
      </c>
      <c r="G169" s="33">
        <v>30</v>
      </c>
      <c r="H169" s="39">
        <f t="shared" si="0"/>
        <v>8148</v>
      </c>
      <c r="I169" s="39">
        <f t="shared" si="6"/>
        <v>82</v>
      </c>
      <c r="J169" s="39">
        <f t="shared" si="7"/>
        <v>76</v>
      </c>
      <c r="K169" s="34">
        <f t="shared" si="8"/>
        <v>-0.17933769051958989</v>
      </c>
      <c r="L169" s="34">
        <f t="shared" si="9"/>
        <v>137397869.17994744</v>
      </c>
      <c r="M169" s="34">
        <f t="shared" si="10"/>
        <v>-134859784.45951658</v>
      </c>
      <c r="N169" s="34" t="str">
        <f t="shared" si="11"/>
        <v/>
      </c>
      <c r="O169" s="17"/>
    </row>
    <row r="170" spans="1:15">
      <c r="A170" s="4" t="s">
        <v>1270</v>
      </c>
      <c r="B170" s="34">
        <f t="shared" si="1"/>
        <v>0.5650751662588146</v>
      </c>
      <c r="C170" s="34">
        <f t="shared" si="2"/>
        <v>0</v>
      </c>
      <c r="D170" s="34">
        <f t="shared" si="3"/>
        <v>0</v>
      </c>
      <c r="E170" s="34">
        <f t="shared" si="4"/>
        <v>0</v>
      </c>
      <c r="F170" s="39">
        <f t="shared" si="5"/>
        <v>82</v>
      </c>
      <c r="G170" s="33">
        <v>31</v>
      </c>
      <c r="H170" s="39">
        <f t="shared" si="0"/>
        <v>8149</v>
      </c>
      <c r="I170" s="39">
        <f t="shared" si="6"/>
        <v>83</v>
      </c>
      <c r="J170" s="39">
        <f t="shared" si="7"/>
        <v>77</v>
      </c>
      <c r="K170" s="34">
        <f t="shared" si="8"/>
        <v>-0.16386076485250511</v>
      </c>
      <c r="L170" s="34">
        <f t="shared" si="9"/>
        <v>138528169.08637053</v>
      </c>
      <c r="M170" s="34">
        <f t="shared" si="10"/>
        <v>-132733287.8514027</v>
      </c>
      <c r="N170" s="34" t="str">
        <f t="shared" si="11"/>
        <v/>
      </c>
      <c r="O170" s="17"/>
    </row>
    <row r="171" spans="1:15">
      <c r="A171" s="4" t="s">
        <v>1271</v>
      </c>
      <c r="B171" s="34">
        <f t="shared" si="1"/>
        <v>4.0942695886567257</v>
      </c>
      <c r="C171" s="34">
        <f t="shared" si="2"/>
        <v>0</v>
      </c>
      <c r="D171" s="34">
        <f t="shared" si="3"/>
        <v>0</v>
      </c>
      <c r="E171" s="34">
        <f t="shared" si="4"/>
        <v>0</v>
      </c>
      <c r="F171" s="39">
        <f t="shared" si="5"/>
        <v>94</v>
      </c>
      <c r="G171" s="33">
        <v>32</v>
      </c>
      <c r="H171" s="39">
        <f t="shared" ref="H171:H202" si="12">F171*99+G171</f>
        <v>9338</v>
      </c>
      <c r="I171" s="39">
        <f t="shared" si="6"/>
        <v>94</v>
      </c>
      <c r="J171" s="39">
        <f t="shared" si="7"/>
        <v>38</v>
      </c>
      <c r="K171" s="34">
        <f t="shared" si="8"/>
        <v>-0.16044698460645673</v>
      </c>
      <c r="L171" s="34">
        <f t="shared" si="9"/>
        <v>140485460.84028986</v>
      </c>
      <c r="M171" s="34">
        <f t="shared" si="10"/>
        <v>-132260383.12425441</v>
      </c>
      <c r="N171" s="34" t="str">
        <f t="shared" si="11"/>
        <v/>
      </c>
      <c r="O171" s="17"/>
    </row>
    <row r="172" spans="1:15">
      <c r="A172" s="4" t="s">
        <v>1272</v>
      </c>
      <c r="B172" s="34">
        <f t="shared" si="1"/>
        <v>4.0942695886567257</v>
      </c>
      <c r="C172" s="34">
        <f t="shared" si="2"/>
        <v>0</v>
      </c>
      <c r="D172" s="34">
        <f t="shared" ref="D172:D203" si="13">IF(ISERROR(B172),C172,0)</f>
        <v>0</v>
      </c>
      <c r="E172" s="34">
        <f t="shared" ref="E172:E203" si="14">MAX($B$110,B172)*C172</f>
        <v>0</v>
      </c>
      <c r="F172" s="39">
        <f t="shared" ref="F172:F203" si="15">RANK(B172,B$140:B$238,1)</f>
        <v>94</v>
      </c>
      <c r="G172" s="33">
        <v>33</v>
      </c>
      <c r="H172" s="39">
        <f t="shared" si="12"/>
        <v>9339</v>
      </c>
      <c r="I172" s="39">
        <f t="shared" ref="I172:I203" si="16">RANK(H172,H$140:H$238,1)</f>
        <v>95</v>
      </c>
      <c r="J172" s="39">
        <f t="shared" ref="J172:J203" si="17">MATCH(G172,I$140:I$238,0)</f>
        <v>40</v>
      </c>
      <c r="K172" s="34">
        <f t="shared" ref="K172:K203" si="18">INDEX(B$140:B$238,J172,1)</f>
        <v>-0.13715932044850415</v>
      </c>
      <c r="L172" s="34">
        <f t="shared" ref="L172:L203" si="19">L171+INDEX(C$140:C$238,J172,1)</f>
        <v>140485595.0067578</v>
      </c>
      <c r="M172" s="34">
        <f t="shared" ref="M172:M203" si="20">M171+(K172-K171)*L171</f>
        <v>-128988804.89313054</v>
      </c>
      <c r="N172" s="34" t="str">
        <f t="shared" ref="N172:N203" si="21">IF((M171&gt;0)=(M172&gt;0),"",K172-M172/L171)</f>
        <v/>
      </c>
      <c r="O172" s="17"/>
    </row>
    <row r="173" spans="1:15">
      <c r="A173" s="4" t="s">
        <v>1273</v>
      </c>
      <c r="B173" s="34">
        <f t="shared" ref="B173:B205" si="22">C12</f>
        <v>0</v>
      </c>
      <c r="C173" s="34">
        <f t="shared" ref="C173:C205" si="23">C56</f>
        <v>0</v>
      </c>
      <c r="D173" s="34">
        <f t="shared" si="13"/>
        <v>0</v>
      </c>
      <c r="E173" s="34">
        <f t="shared" si="14"/>
        <v>0</v>
      </c>
      <c r="F173" s="39">
        <f t="shared" si="15"/>
        <v>37</v>
      </c>
      <c r="G173" s="33">
        <v>34</v>
      </c>
      <c r="H173" s="39">
        <f t="shared" si="12"/>
        <v>3697</v>
      </c>
      <c r="I173" s="39">
        <f t="shared" si="16"/>
        <v>37</v>
      </c>
      <c r="J173" s="39">
        <f t="shared" si="17"/>
        <v>78</v>
      </c>
      <c r="K173" s="34">
        <f t="shared" si="18"/>
        <v>-0.11640029751666903</v>
      </c>
      <c r="L173" s="34">
        <f t="shared" si="19"/>
        <v>152760660.28233311</v>
      </c>
      <c r="M173" s="34">
        <f t="shared" si="20"/>
        <v>-126072461.20479275</v>
      </c>
      <c r="N173" s="34" t="str">
        <f t="shared" si="21"/>
        <v/>
      </c>
      <c r="O173" s="17"/>
    </row>
    <row r="174" spans="1:15">
      <c r="A174" s="4" t="s">
        <v>1274</v>
      </c>
      <c r="B174" s="34">
        <f t="shared" si="22"/>
        <v>-0.2008712209572372</v>
      </c>
      <c r="C174" s="34">
        <f t="shared" si="23"/>
        <v>4672935.8719008286</v>
      </c>
      <c r="D174" s="34">
        <f t="shared" si="13"/>
        <v>0</v>
      </c>
      <c r="E174" s="34">
        <f t="shared" si="14"/>
        <v>-938658.33404359117</v>
      </c>
      <c r="F174" s="39">
        <f t="shared" si="15"/>
        <v>27</v>
      </c>
      <c r="G174" s="33">
        <v>35</v>
      </c>
      <c r="H174" s="39">
        <f t="shared" si="12"/>
        <v>2708</v>
      </c>
      <c r="I174" s="39">
        <f t="shared" si="16"/>
        <v>27</v>
      </c>
      <c r="J174" s="39">
        <f t="shared" si="17"/>
        <v>79</v>
      </c>
      <c r="K174" s="34">
        <f t="shared" si="18"/>
        <v>-8.7987141573976371E-2</v>
      </c>
      <c r="L174" s="34">
        <f t="shared" si="19"/>
        <v>159045733.50084683</v>
      </c>
      <c r="M174" s="34">
        <f t="shared" si="20"/>
        <v>-121732048.74228212</v>
      </c>
      <c r="N174" s="34" t="str">
        <f t="shared" si="21"/>
        <v/>
      </c>
      <c r="O174" s="17"/>
    </row>
    <row r="175" spans="1:15">
      <c r="A175" s="4" t="s">
        <v>1275</v>
      </c>
      <c r="B175" s="34">
        <f t="shared" si="22"/>
        <v>0</v>
      </c>
      <c r="C175" s="34">
        <f t="shared" si="23"/>
        <v>0</v>
      </c>
      <c r="D175" s="34">
        <f t="shared" si="13"/>
        <v>0</v>
      </c>
      <c r="E175" s="34">
        <f t="shared" si="14"/>
        <v>0</v>
      </c>
      <c r="F175" s="39">
        <f t="shared" si="15"/>
        <v>37</v>
      </c>
      <c r="G175" s="33">
        <v>36</v>
      </c>
      <c r="H175" s="39">
        <f t="shared" si="12"/>
        <v>3699</v>
      </c>
      <c r="I175" s="39">
        <f t="shared" si="16"/>
        <v>38</v>
      </c>
      <c r="J175" s="39">
        <f t="shared" si="17"/>
        <v>80</v>
      </c>
      <c r="K175" s="34">
        <f t="shared" si="18"/>
        <v>-5.7467333456118902E-2</v>
      </c>
      <c r="L175" s="34">
        <f t="shared" si="19"/>
        <v>184939508.237587</v>
      </c>
      <c r="M175" s="34">
        <f t="shared" si="20"/>
        <v>-116878003.47387238</v>
      </c>
      <c r="N175" s="34" t="str">
        <f t="shared" si="21"/>
        <v/>
      </c>
      <c r="O175" s="17"/>
    </row>
    <row r="176" spans="1:15">
      <c r="A176" s="4" t="s">
        <v>1276</v>
      </c>
      <c r="B176" s="34">
        <f t="shared" si="22"/>
        <v>0</v>
      </c>
      <c r="C176" s="34">
        <f t="shared" si="23"/>
        <v>0</v>
      </c>
      <c r="D176" s="34">
        <f t="shared" si="13"/>
        <v>0</v>
      </c>
      <c r="E176" s="34">
        <f t="shared" si="14"/>
        <v>0</v>
      </c>
      <c r="F176" s="39">
        <f t="shared" si="15"/>
        <v>37</v>
      </c>
      <c r="G176" s="33">
        <v>37</v>
      </c>
      <c r="H176" s="39">
        <f t="shared" si="12"/>
        <v>3700</v>
      </c>
      <c r="I176" s="39">
        <f t="shared" si="16"/>
        <v>39</v>
      </c>
      <c r="J176" s="39">
        <f t="shared" si="17"/>
        <v>34</v>
      </c>
      <c r="K176" s="34">
        <f t="shared" si="18"/>
        <v>0</v>
      </c>
      <c r="L176" s="34">
        <f t="shared" si="19"/>
        <v>184939508.237587</v>
      </c>
      <c r="M176" s="34">
        <f t="shared" si="20"/>
        <v>-106250023.08477232</v>
      </c>
      <c r="N176" s="34" t="str">
        <f t="shared" si="21"/>
        <v/>
      </c>
      <c r="O176" s="17"/>
    </row>
    <row r="177" spans="1:15">
      <c r="A177" s="4" t="s">
        <v>1277</v>
      </c>
      <c r="B177" s="34">
        <f t="shared" si="22"/>
        <v>-0.16044698460645673</v>
      </c>
      <c r="C177" s="34">
        <f t="shared" si="23"/>
        <v>1957291.7539193409</v>
      </c>
      <c r="D177" s="34">
        <f t="shared" si="13"/>
        <v>0</v>
      </c>
      <c r="E177" s="34">
        <f t="shared" si="14"/>
        <v>-314041.55991144117</v>
      </c>
      <c r="F177" s="39">
        <f t="shared" si="15"/>
        <v>32</v>
      </c>
      <c r="G177" s="33">
        <v>38</v>
      </c>
      <c r="H177" s="39">
        <f t="shared" si="12"/>
        <v>3206</v>
      </c>
      <c r="I177" s="39">
        <f t="shared" si="16"/>
        <v>32</v>
      </c>
      <c r="J177" s="39">
        <f t="shared" si="17"/>
        <v>36</v>
      </c>
      <c r="K177" s="34">
        <f t="shared" si="18"/>
        <v>0</v>
      </c>
      <c r="L177" s="34">
        <f t="shared" si="19"/>
        <v>184939508.237587</v>
      </c>
      <c r="M177" s="34">
        <f t="shared" si="20"/>
        <v>-106250023.08477232</v>
      </c>
      <c r="N177" s="34" t="str">
        <f t="shared" si="21"/>
        <v/>
      </c>
      <c r="O177" s="17"/>
    </row>
    <row r="178" spans="1:15">
      <c r="A178" s="4" t="s">
        <v>1278</v>
      </c>
      <c r="B178" s="34">
        <f t="shared" si="22"/>
        <v>0</v>
      </c>
      <c r="C178" s="34">
        <f t="shared" si="23"/>
        <v>0</v>
      </c>
      <c r="D178" s="34">
        <f t="shared" si="13"/>
        <v>0</v>
      </c>
      <c r="E178" s="34">
        <f t="shared" si="14"/>
        <v>0</v>
      </c>
      <c r="F178" s="39">
        <f t="shared" si="15"/>
        <v>37</v>
      </c>
      <c r="G178" s="33">
        <v>39</v>
      </c>
      <c r="H178" s="39">
        <f t="shared" si="12"/>
        <v>3702</v>
      </c>
      <c r="I178" s="39">
        <f t="shared" si="16"/>
        <v>40</v>
      </c>
      <c r="J178" s="39">
        <f t="shared" si="17"/>
        <v>37</v>
      </c>
      <c r="K178" s="34">
        <f t="shared" si="18"/>
        <v>0</v>
      </c>
      <c r="L178" s="34">
        <f t="shared" si="19"/>
        <v>184939508.237587</v>
      </c>
      <c r="M178" s="34">
        <f t="shared" si="20"/>
        <v>-106250023.08477232</v>
      </c>
      <c r="N178" s="34" t="str">
        <f t="shared" si="21"/>
        <v/>
      </c>
      <c r="O178" s="17"/>
    </row>
    <row r="179" spans="1:15">
      <c r="A179" s="4" t="s">
        <v>1279</v>
      </c>
      <c r="B179" s="34">
        <f t="shared" si="22"/>
        <v>-0.13715932044850415</v>
      </c>
      <c r="C179" s="34">
        <f t="shared" si="23"/>
        <v>134.16646792536798</v>
      </c>
      <c r="D179" s="34">
        <f t="shared" si="13"/>
        <v>0</v>
      </c>
      <c r="E179" s="34">
        <f t="shared" si="14"/>
        <v>-18.4021815676195</v>
      </c>
      <c r="F179" s="39">
        <f t="shared" si="15"/>
        <v>33</v>
      </c>
      <c r="G179" s="33">
        <v>40</v>
      </c>
      <c r="H179" s="39">
        <f t="shared" si="12"/>
        <v>3307</v>
      </c>
      <c r="I179" s="39">
        <f t="shared" si="16"/>
        <v>33</v>
      </c>
      <c r="J179" s="39">
        <f t="shared" si="17"/>
        <v>39</v>
      </c>
      <c r="K179" s="34">
        <f t="shared" si="18"/>
        <v>0</v>
      </c>
      <c r="L179" s="34">
        <f t="shared" si="19"/>
        <v>184939508.237587</v>
      </c>
      <c r="M179" s="34">
        <f t="shared" si="20"/>
        <v>-106250023.08477232</v>
      </c>
      <c r="N179" s="34" t="str">
        <f t="shared" si="21"/>
        <v/>
      </c>
      <c r="O179" s="17"/>
    </row>
    <row r="180" spans="1:15">
      <c r="A180" s="4" t="s">
        <v>1280</v>
      </c>
      <c r="B180" s="34">
        <f t="shared" si="22"/>
        <v>-0.28393845327056189</v>
      </c>
      <c r="C180" s="34">
        <f t="shared" si="23"/>
        <v>2.8803645139816729</v>
      </c>
      <c r="D180" s="34">
        <f t="shared" si="13"/>
        <v>0</v>
      </c>
      <c r="E180" s="34">
        <f t="shared" si="14"/>
        <v>-0.81784624495536995</v>
      </c>
      <c r="F180" s="39">
        <f t="shared" si="15"/>
        <v>25</v>
      </c>
      <c r="G180" s="33">
        <v>41</v>
      </c>
      <c r="H180" s="39">
        <f t="shared" si="12"/>
        <v>2516</v>
      </c>
      <c r="I180" s="39">
        <f t="shared" si="16"/>
        <v>25</v>
      </c>
      <c r="J180" s="39">
        <f t="shared" si="17"/>
        <v>48</v>
      </c>
      <c r="K180" s="34">
        <f t="shared" si="18"/>
        <v>0</v>
      </c>
      <c r="L180" s="34">
        <f t="shared" si="19"/>
        <v>184939508.237587</v>
      </c>
      <c r="M180" s="34">
        <f t="shared" si="20"/>
        <v>-106250023.08477232</v>
      </c>
      <c r="N180" s="34" t="str">
        <f t="shared" si="21"/>
        <v/>
      </c>
      <c r="O180" s="17"/>
    </row>
    <row r="181" spans="1:15">
      <c r="A181" s="4" t="s">
        <v>1281</v>
      </c>
      <c r="B181" s="34">
        <f t="shared" si="22"/>
        <v>-0.19279108124085576</v>
      </c>
      <c r="C181" s="34">
        <f t="shared" si="23"/>
        <v>11.537160889420644</v>
      </c>
      <c r="D181" s="34">
        <f t="shared" si="13"/>
        <v>0</v>
      </c>
      <c r="E181" s="34">
        <f t="shared" si="14"/>
        <v>-2.2242617223211192</v>
      </c>
      <c r="F181" s="39">
        <f t="shared" si="15"/>
        <v>28</v>
      </c>
      <c r="G181" s="33">
        <v>42</v>
      </c>
      <c r="H181" s="39">
        <f t="shared" si="12"/>
        <v>2814</v>
      </c>
      <c r="I181" s="39">
        <f t="shared" si="16"/>
        <v>28</v>
      </c>
      <c r="J181" s="39">
        <f t="shared" si="17"/>
        <v>49</v>
      </c>
      <c r="K181" s="34">
        <f t="shared" si="18"/>
        <v>0</v>
      </c>
      <c r="L181" s="34">
        <f t="shared" si="19"/>
        <v>184939508.237587</v>
      </c>
      <c r="M181" s="34">
        <f t="shared" si="20"/>
        <v>-106250023.08477232</v>
      </c>
      <c r="N181" s="34" t="str">
        <f t="shared" si="21"/>
        <v/>
      </c>
      <c r="O181" s="17"/>
    </row>
    <row r="182" spans="1:15">
      <c r="A182" s="4" t="s">
        <v>1282</v>
      </c>
      <c r="B182" s="34">
        <f t="shared" si="22"/>
        <v>-1.50624575326778</v>
      </c>
      <c r="C182" s="34">
        <f t="shared" si="23"/>
        <v>2065.9970904609158</v>
      </c>
      <c r="D182" s="34">
        <f t="shared" si="13"/>
        <v>0</v>
      </c>
      <c r="E182" s="34">
        <f t="shared" si="14"/>
        <v>-3111.8993437703439</v>
      </c>
      <c r="F182" s="39">
        <f t="shared" si="15"/>
        <v>20</v>
      </c>
      <c r="G182" s="33">
        <v>43</v>
      </c>
      <c r="H182" s="39">
        <f t="shared" si="12"/>
        <v>2023</v>
      </c>
      <c r="I182" s="39">
        <f t="shared" si="16"/>
        <v>20</v>
      </c>
      <c r="J182" s="39">
        <f t="shared" si="17"/>
        <v>50</v>
      </c>
      <c r="K182" s="34">
        <f t="shared" si="18"/>
        <v>0</v>
      </c>
      <c r="L182" s="34">
        <f t="shared" si="19"/>
        <v>184939508.237587</v>
      </c>
      <c r="M182" s="34">
        <f t="shared" si="20"/>
        <v>-106250023.08477232</v>
      </c>
      <c r="N182" s="34" t="str">
        <f t="shared" si="21"/>
        <v/>
      </c>
      <c r="O182" s="17"/>
    </row>
    <row r="183" spans="1:15">
      <c r="A183" s="4" t="s">
        <v>1283</v>
      </c>
      <c r="B183" s="34">
        <f t="shared" si="22"/>
        <v>-1.3762671121001446</v>
      </c>
      <c r="C183" s="34">
        <f t="shared" si="23"/>
        <v>805971.04471233906</v>
      </c>
      <c r="D183" s="34">
        <f t="shared" si="13"/>
        <v>0</v>
      </c>
      <c r="E183" s="34">
        <f t="shared" si="14"/>
        <v>-1109231.4421425874</v>
      </c>
      <c r="F183" s="39">
        <f t="shared" si="15"/>
        <v>21</v>
      </c>
      <c r="G183" s="33">
        <v>44</v>
      </c>
      <c r="H183" s="39">
        <f t="shared" si="12"/>
        <v>2123</v>
      </c>
      <c r="I183" s="39">
        <f t="shared" si="16"/>
        <v>21</v>
      </c>
      <c r="J183" s="39">
        <f t="shared" si="17"/>
        <v>51</v>
      </c>
      <c r="K183" s="34">
        <f t="shared" si="18"/>
        <v>0</v>
      </c>
      <c r="L183" s="34">
        <f t="shared" si="19"/>
        <v>184939508.237587</v>
      </c>
      <c r="M183" s="34">
        <f t="shared" si="20"/>
        <v>-106250023.08477232</v>
      </c>
      <c r="N183" s="34" t="str">
        <f t="shared" si="21"/>
        <v/>
      </c>
      <c r="O183" s="17"/>
    </row>
    <row r="184" spans="1:15">
      <c r="A184" s="4" t="s">
        <v>1284</v>
      </c>
      <c r="B184" s="34">
        <f t="shared" si="22"/>
        <v>-0.95933415245418296</v>
      </c>
      <c r="C184" s="34">
        <f t="shared" si="23"/>
        <v>9505007.2443122081</v>
      </c>
      <c r="D184" s="34">
        <f t="shared" si="13"/>
        <v>0</v>
      </c>
      <c r="E184" s="34">
        <f t="shared" si="14"/>
        <v>-9118478.0687931217</v>
      </c>
      <c r="F184" s="39">
        <f t="shared" si="15"/>
        <v>22</v>
      </c>
      <c r="G184" s="33">
        <v>45</v>
      </c>
      <c r="H184" s="39">
        <f t="shared" si="12"/>
        <v>2223</v>
      </c>
      <c r="I184" s="39">
        <f t="shared" si="16"/>
        <v>22</v>
      </c>
      <c r="J184" s="39">
        <f t="shared" si="17"/>
        <v>53</v>
      </c>
      <c r="K184" s="34">
        <f t="shared" si="18"/>
        <v>0</v>
      </c>
      <c r="L184" s="34">
        <f t="shared" si="19"/>
        <v>184939508.237587</v>
      </c>
      <c r="M184" s="34">
        <f t="shared" si="20"/>
        <v>-106250023.08477232</v>
      </c>
      <c r="N184" s="34" t="str">
        <f t="shared" si="21"/>
        <v/>
      </c>
      <c r="O184" s="17"/>
    </row>
    <row r="185" spans="1:15">
      <c r="A185" s="4" t="s">
        <v>1285</v>
      </c>
      <c r="B185" s="34">
        <f t="shared" si="22"/>
        <v>-0.70958979917964948</v>
      </c>
      <c r="C185" s="34">
        <f t="shared" si="23"/>
        <v>4652204.798846269</v>
      </c>
      <c r="D185" s="34">
        <f t="shared" si="13"/>
        <v>0</v>
      </c>
      <c r="E185" s="34">
        <f t="shared" si="14"/>
        <v>-3301157.0689559258</v>
      </c>
      <c r="F185" s="39">
        <f t="shared" si="15"/>
        <v>23</v>
      </c>
      <c r="G185" s="33">
        <v>46</v>
      </c>
      <c r="H185" s="39">
        <f t="shared" si="12"/>
        <v>2323</v>
      </c>
      <c r="I185" s="39">
        <f t="shared" si="16"/>
        <v>23</v>
      </c>
      <c r="J185" s="39">
        <f t="shared" si="17"/>
        <v>54</v>
      </c>
      <c r="K185" s="34">
        <f t="shared" si="18"/>
        <v>0</v>
      </c>
      <c r="L185" s="34">
        <f t="shared" si="19"/>
        <v>184939508.237587</v>
      </c>
      <c r="M185" s="34">
        <f t="shared" si="20"/>
        <v>-106250023.08477232</v>
      </c>
      <c r="N185" s="34" t="str">
        <f t="shared" si="21"/>
        <v/>
      </c>
      <c r="O185" s="17"/>
    </row>
    <row r="186" spans="1:15">
      <c r="A186" s="4" t="s">
        <v>1286</v>
      </c>
      <c r="B186" s="34">
        <f t="shared" si="22"/>
        <v>-0.44357757639731277</v>
      </c>
      <c r="C186" s="34">
        <f t="shared" si="23"/>
        <v>15722206.520611718</v>
      </c>
      <c r="D186" s="34">
        <f t="shared" si="13"/>
        <v>0</v>
      </c>
      <c r="E186" s="34">
        <f t="shared" si="14"/>
        <v>-6974018.2640309734</v>
      </c>
      <c r="F186" s="39">
        <f t="shared" si="15"/>
        <v>24</v>
      </c>
      <c r="G186" s="33">
        <v>47</v>
      </c>
      <c r="H186" s="39">
        <f t="shared" si="12"/>
        <v>2423</v>
      </c>
      <c r="I186" s="39">
        <f t="shared" si="16"/>
        <v>24</v>
      </c>
      <c r="J186" s="39">
        <f t="shared" si="17"/>
        <v>55</v>
      </c>
      <c r="K186" s="34">
        <f t="shared" si="18"/>
        <v>0</v>
      </c>
      <c r="L186" s="34">
        <f t="shared" si="19"/>
        <v>184939508.237587</v>
      </c>
      <c r="M186" s="34">
        <f t="shared" si="20"/>
        <v>-106250023.08477232</v>
      </c>
      <c r="N186" s="34" t="str">
        <f t="shared" si="21"/>
        <v/>
      </c>
      <c r="O186" s="17"/>
    </row>
    <row r="187" spans="1:15">
      <c r="A187" s="4" t="s">
        <v>1287</v>
      </c>
      <c r="B187" s="34">
        <f t="shared" si="22"/>
        <v>0</v>
      </c>
      <c r="C187" s="34">
        <f t="shared" si="23"/>
        <v>0</v>
      </c>
      <c r="D187" s="34">
        <f t="shared" si="13"/>
        <v>0</v>
      </c>
      <c r="E187" s="34">
        <f t="shared" si="14"/>
        <v>0</v>
      </c>
      <c r="F187" s="39">
        <f t="shared" si="15"/>
        <v>37</v>
      </c>
      <c r="G187" s="33">
        <v>48</v>
      </c>
      <c r="H187" s="39">
        <f t="shared" si="12"/>
        <v>3711</v>
      </c>
      <c r="I187" s="39">
        <f t="shared" si="16"/>
        <v>41</v>
      </c>
      <c r="J187" s="39">
        <f t="shared" si="17"/>
        <v>56</v>
      </c>
      <c r="K187" s="34">
        <f t="shared" si="18"/>
        <v>0</v>
      </c>
      <c r="L187" s="34">
        <f t="shared" si="19"/>
        <v>184939508.237587</v>
      </c>
      <c r="M187" s="34">
        <f t="shared" si="20"/>
        <v>-106250023.08477232</v>
      </c>
      <c r="N187" s="34" t="str">
        <f t="shared" si="21"/>
        <v/>
      </c>
      <c r="O187" s="17"/>
    </row>
    <row r="188" spans="1:15">
      <c r="A188" s="4" t="s">
        <v>1288</v>
      </c>
      <c r="B188" s="34">
        <f t="shared" si="22"/>
        <v>0</v>
      </c>
      <c r="C188" s="34">
        <f t="shared" si="23"/>
        <v>0</v>
      </c>
      <c r="D188" s="34">
        <f t="shared" si="13"/>
        <v>0</v>
      </c>
      <c r="E188" s="34">
        <f t="shared" si="14"/>
        <v>0</v>
      </c>
      <c r="F188" s="39">
        <f t="shared" si="15"/>
        <v>37</v>
      </c>
      <c r="G188" s="33">
        <v>49</v>
      </c>
      <c r="H188" s="39">
        <f t="shared" si="12"/>
        <v>3712</v>
      </c>
      <c r="I188" s="39">
        <f t="shared" si="16"/>
        <v>42</v>
      </c>
      <c r="J188" s="39">
        <f t="shared" si="17"/>
        <v>59</v>
      </c>
      <c r="K188" s="34">
        <f t="shared" si="18"/>
        <v>0</v>
      </c>
      <c r="L188" s="34">
        <f t="shared" si="19"/>
        <v>184939508.237587</v>
      </c>
      <c r="M188" s="34">
        <f t="shared" si="20"/>
        <v>-106250023.08477232</v>
      </c>
      <c r="N188" s="34" t="str">
        <f t="shared" si="21"/>
        <v/>
      </c>
      <c r="O188" s="17"/>
    </row>
    <row r="189" spans="1:15">
      <c r="A189" s="4" t="s">
        <v>1289</v>
      </c>
      <c r="B189" s="34">
        <f t="shared" si="22"/>
        <v>0</v>
      </c>
      <c r="C189" s="34">
        <f t="shared" si="23"/>
        <v>0</v>
      </c>
      <c r="D189" s="34">
        <f t="shared" si="13"/>
        <v>0</v>
      </c>
      <c r="E189" s="34">
        <f t="shared" si="14"/>
        <v>0</v>
      </c>
      <c r="F189" s="39">
        <f t="shared" si="15"/>
        <v>37</v>
      </c>
      <c r="G189" s="33">
        <v>50</v>
      </c>
      <c r="H189" s="39">
        <f t="shared" si="12"/>
        <v>3713</v>
      </c>
      <c r="I189" s="39">
        <f t="shared" si="16"/>
        <v>43</v>
      </c>
      <c r="J189" s="39">
        <f t="shared" si="17"/>
        <v>60</v>
      </c>
      <c r="K189" s="34">
        <f t="shared" si="18"/>
        <v>0</v>
      </c>
      <c r="L189" s="34">
        <f t="shared" si="19"/>
        <v>184939508.237587</v>
      </c>
      <c r="M189" s="34">
        <f t="shared" si="20"/>
        <v>-106250023.08477232</v>
      </c>
      <c r="N189" s="34" t="str">
        <f t="shared" si="21"/>
        <v/>
      </c>
      <c r="O189" s="17"/>
    </row>
    <row r="190" spans="1:15">
      <c r="A190" s="4" t="s">
        <v>1290</v>
      </c>
      <c r="B190" s="34">
        <f t="shared" si="22"/>
        <v>0</v>
      </c>
      <c r="C190" s="34">
        <f t="shared" si="23"/>
        <v>0</v>
      </c>
      <c r="D190" s="34">
        <f t="shared" si="13"/>
        <v>0</v>
      </c>
      <c r="E190" s="34">
        <f t="shared" si="14"/>
        <v>0</v>
      </c>
      <c r="F190" s="39">
        <f t="shared" si="15"/>
        <v>37</v>
      </c>
      <c r="G190" s="33">
        <v>51</v>
      </c>
      <c r="H190" s="39">
        <f t="shared" si="12"/>
        <v>3714</v>
      </c>
      <c r="I190" s="39">
        <f t="shared" si="16"/>
        <v>44</v>
      </c>
      <c r="J190" s="39">
        <f t="shared" si="17"/>
        <v>63</v>
      </c>
      <c r="K190" s="34">
        <f t="shared" si="18"/>
        <v>0</v>
      </c>
      <c r="L190" s="34">
        <f t="shared" si="19"/>
        <v>184939508.237587</v>
      </c>
      <c r="M190" s="34">
        <f t="shared" si="20"/>
        <v>-106250023.08477232</v>
      </c>
      <c r="N190" s="34" t="str">
        <f t="shared" si="21"/>
        <v/>
      </c>
      <c r="O190" s="17"/>
    </row>
    <row r="191" spans="1:15">
      <c r="A191" s="4" t="s">
        <v>1291</v>
      </c>
      <c r="B191" s="34">
        <f t="shared" si="22"/>
        <v>-2.9400448047014889</v>
      </c>
      <c r="C191" s="34">
        <f t="shared" si="23"/>
        <v>283875.18136671791</v>
      </c>
      <c r="D191" s="34">
        <f t="shared" si="13"/>
        <v>0</v>
      </c>
      <c r="E191" s="34">
        <f t="shared" si="14"/>
        <v>-834605.75216091191</v>
      </c>
      <c r="F191" s="39">
        <f t="shared" si="15"/>
        <v>11</v>
      </c>
      <c r="G191" s="33">
        <v>52</v>
      </c>
      <c r="H191" s="39">
        <f t="shared" si="12"/>
        <v>1141</v>
      </c>
      <c r="I191" s="39">
        <f t="shared" si="16"/>
        <v>11</v>
      </c>
      <c r="J191" s="39">
        <f t="shared" si="17"/>
        <v>64</v>
      </c>
      <c r="K191" s="34">
        <f t="shared" si="18"/>
        <v>0</v>
      </c>
      <c r="L191" s="34">
        <f t="shared" si="19"/>
        <v>184939508.237587</v>
      </c>
      <c r="M191" s="34">
        <f t="shared" si="20"/>
        <v>-106250023.08477232</v>
      </c>
      <c r="N191" s="34" t="str">
        <f t="shared" si="21"/>
        <v/>
      </c>
      <c r="O191" s="17"/>
    </row>
    <row r="192" spans="1:15">
      <c r="A192" s="4" t="s">
        <v>1292</v>
      </c>
      <c r="B192" s="34">
        <f t="shared" si="22"/>
        <v>0</v>
      </c>
      <c r="C192" s="34">
        <f t="shared" si="23"/>
        <v>0</v>
      </c>
      <c r="D192" s="34">
        <f t="shared" si="13"/>
        <v>0</v>
      </c>
      <c r="E192" s="34">
        <f t="shared" si="14"/>
        <v>0</v>
      </c>
      <c r="F192" s="39">
        <f t="shared" si="15"/>
        <v>37</v>
      </c>
      <c r="G192" s="33">
        <v>53</v>
      </c>
      <c r="H192" s="39">
        <f t="shared" si="12"/>
        <v>3716</v>
      </c>
      <c r="I192" s="39">
        <f t="shared" si="16"/>
        <v>45</v>
      </c>
      <c r="J192" s="39">
        <f t="shared" si="17"/>
        <v>67</v>
      </c>
      <c r="K192" s="34">
        <f t="shared" si="18"/>
        <v>0</v>
      </c>
      <c r="L192" s="34">
        <f t="shared" si="19"/>
        <v>184939508.237587</v>
      </c>
      <c r="M192" s="34">
        <f t="shared" si="20"/>
        <v>-106250023.08477232</v>
      </c>
      <c r="N192" s="34" t="str">
        <f t="shared" si="21"/>
        <v/>
      </c>
      <c r="O192" s="17"/>
    </row>
    <row r="193" spans="1:15">
      <c r="A193" s="4" t="s">
        <v>1293</v>
      </c>
      <c r="B193" s="34">
        <f t="shared" si="22"/>
        <v>0</v>
      </c>
      <c r="C193" s="34">
        <f t="shared" si="23"/>
        <v>0</v>
      </c>
      <c r="D193" s="34">
        <f t="shared" si="13"/>
        <v>0</v>
      </c>
      <c r="E193" s="34">
        <f t="shared" si="14"/>
        <v>0</v>
      </c>
      <c r="F193" s="39">
        <f t="shared" si="15"/>
        <v>37</v>
      </c>
      <c r="G193" s="33">
        <v>54</v>
      </c>
      <c r="H193" s="39">
        <f t="shared" si="12"/>
        <v>3717</v>
      </c>
      <c r="I193" s="39">
        <f t="shared" si="16"/>
        <v>46</v>
      </c>
      <c r="J193" s="39">
        <f t="shared" si="17"/>
        <v>68</v>
      </c>
      <c r="K193" s="34">
        <f t="shared" si="18"/>
        <v>0</v>
      </c>
      <c r="L193" s="34">
        <f t="shared" si="19"/>
        <v>184939508.237587</v>
      </c>
      <c r="M193" s="34">
        <f t="shared" si="20"/>
        <v>-106250023.08477232</v>
      </c>
      <c r="N193" s="34" t="str">
        <f t="shared" si="21"/>
        <v/>
      </c>
      <c r="O193" s="17"/>
    </row>
    <row r="194" spans="1:15">
      <c r="A194" s="4" t="s">
        <v>1294</v>
      </c>
      <c r="B194" s="34">
        <f t="shared" si="22"/>
        <v>0</v>
      </c>
      <c r="C194" s="34">
        <f t="shared" si="23"/>
        <v>0</v>
      </c>
      <c r="D194" s="34">
        <f t="shared" si="13"/>
        <v>0</v>
      </c>
      <c r="E194" s="34">
        <f t="shared" si="14"/>
        <v>0</v>
      </c>
      <c r="F194" s="39">
        <f t="shared" si="15"/>
        <v>37</v>
      </c>
      <c r="G194" s="33">
        <v>55</v>
      </c>
      <c r="H194" s="39">
        <f t="shared" si="12"/>
        <v>3718</v>
      </c>
      <c r="I194" s="39">
        <f t="shared" si="16"/>
        <v>47</v>
      </c>
      <c r="J194" s="39">
        <f t="shared" si="17"/>
        <v>69</v>
      </c>
      <c r="K194" s="34">
        <f t="shared" si="18"/>
        <v>0</v>
      </c>
      <c r="L194" s="34">
        <f t="shared" si="19"/>
        <v>184939508.237587</v>
      </c>
      <c r="M194" s="34">
        <f t="shared" si="20"/>
        <v>-106250023.08477232</v>
      </c>
      <c r="N194" s="34" t="str">
        <f t="shared" si="21"/>
        <v/>
      </c>
      <c r="O194" s="17"/>
    </row>
    <row r="195" spans="1:15">
      <c r="A195" s="4" t="s">
        <v>1295</v>
      </c>
      <c r="B195" s="34">
        <f t="shared" si="22"/>
        <v>0</v>
      </c>
      <c r="C195" s="34">
        <f t="shared" si="23"/>
        <v>0</v>
      </c>
      <c r="D195" s="34">
        <f t="shared" si="13"/>
        <v>0</v>
      </c>
      <c r="E195" s="34">
        <f t="shared" si="14"/>
        <v>0</v>
      </c>
      <c r="F195" s="39">
        <f t="shared" si="15"/>
        <v>37</v>
      </c>
      <c r="G195" s="33">
        <v>56</v>
      </c>
      <c r="H195" s="39">
        <f t="shared" si="12"/>
        <v>3719</v>
      </c>
      <c r="I195" s="39">
        <f t="shared" si="16"/>
        <v>48</v>
      </c>
      <c r="J195" s="39">
        <f t="shared" si="17"/>
        <v>70</v>
      </c>
      <c r="K195" s="34">
        <f t="shared" si="18"/>
        <v>0</v>
      </c>
      <c r="L195" s="34">
        <f t="shared" si="19"/>
        <v>184939508.237587</v>
      </c>
      <c r="M195" s="34">
        <f t="shared" si="20"/>
        <v>-106250023.08477232</v>
      </c>
      <c r="N195" s="34" t="str">
        <f t="shared" si="21"/>
        <v/>
      </c>
      <c r="O195" s="17"/>
    </row>
    <row r="196" spans="1:15">
      <c r="A196" s="4" t="s">
        <v>1296</v>
      </c>
      <c r="B196" s="34">
        <f t="shared" si="22"/>
        <v>1.0332984711496851</v>
      </c>
      <c r="C196" s="34">
        <f t="shared" si="23"/>
        <v>0</v>
      </c>
      <c r="D196" s="34">
        <f t="shared" si="13"/>
        <v>0</v>
      </c>
      <c r="E196" s="34">
        <f t="shared" si="14"/>
        <v>0</v>
      </c>
      <c r="F196" s="39">
        <f t="shared" si="15"/>
        <v>92</v>
      </c>
      <c r="G196" s="33">
        <v>57</v>
      </c>
      <c r="H196" s="39">
        <f t="shared" si="12"/>
        <v>9165</v>
      </c>
      <c r="I196" s="39">
        <f t="shared" si="16"/>
        <v>92</v>
      </c>
      <c r="J196" s="39">
        <f t="shared" si="17"/>
        <v>71</v>
      </c>
      <c r="K196" s="34">
        <f t="shared" si="18"/>
        <v>0</v>
      </c>
      <c r="L196" s="34">
        <f t="shared" si="19"/>
        <v>184939508.237587</v>
      </c>
      <c r="M196" s="34">
        <f t="shared" si="20"/>
        <v>-106250023.08477232</v>
      </c>
      <c r="N196" s="34" t="str">
        <f t="shared" si="21"/>
        <v/>
      </c>
      <c r="O196" s="17"/>
    </row>
    <row r="197" spans="1:15">
      <c r="A197" s="4" t="s">
        <v>1297</v>
      </c>
      <c r="B197" s="34">
        <f t="shared" si="22"/>
        <v>1.0332984711496851</v>
      </c>
      <c r="C197" s="34">
        <f t="shared" si="23"/>
        <v>0</v>
      </c>
      <c r="D197" s="34">
        <f t="shared" si="13"/>
        <v>0</v>
      </c>
      <c r="E197" s="34">
        <f t="shared" si="14"/>
        <v>0</v>
      </c>
      <c r="F197" s="39">
        <f t="shared" si="15"/>
        <v>92</v>
      </c>
      <c r="G197" s="33">
        <v>58</v>
      </c>
      <c r="H197" s="39">
        <f t="shared" si="12"/>
        <v>9166</v>
      </c>
      <c r="I197" s="39">
        <f t="shared" si="16"/>
        <v>93</v>
      </c>
      <c r="J197" s="39">
        <f t="shared" si="17"/>
        <v>72</v>
      </c>
      <c r="K197" s="34">
        <f t="shared" si="18"/>
        <v>0</v>
      </c>
      <c r="L197" s="34">
        <f t="shared" si="19"/>
        <v>184939508.237587</v>
      </c>
      <c r="M197" s="34">
        <f t="shared" si="20"/>
        <v>-106250023.08477232</v>
      </c>
      <c r="N197" s="34" t="str">
        <f t="shared" si="21"/>
        <v/>
      </c>
      <c r="O197" s="17"/>
    </row>
    <row r="198" spans="1:15">
      <c r="A198" s="4" t="s">
        <v>1298</v>
      </c>
      <c r="B198" s="34">
        <f t="shared" si="22"/>
        <v>0</v>
      </c>
      <c r="C198" s="34">
        <f t="shared" si="23"/>
        <v>0</v>
      </c>
      <c r="D198" s="34">
        <f t="shared" si="13"/>
        <v>0</v>
      </c>
      <c r="E198" s="34">
        <f t="shared" si="14"/>
        <v>0</v>
      </c>
      <c r="F198" s="39">
        <f t="shared" si="15"/>
        <v>37</v>
      </c>
      <c r="G198" s="33">
        <v>59</v>
      </c>
      <c r="H198" s="39">
        <f t="shared" si="12"/>
        <v>3722</v>
      </c>
      <c r="I198" s="39">
        <f t="shared" si="16"/>
        <v>49</v>
      </c>
      <c r="J198" s="39">
        <f t="shared" si="17"/>
        <v>73</v>
      </c>
      <c r="K198" s="34">
        <f t="shared" si="18"/>
        <v>0</v>
      </c>
      <c r="L198" s="34">
        <f t="shared" si="19"/>
        <v>184939508.237587</v>
      </c>
      <c r="M198" s="34">
        <f t="shared" si="20"/>
        <v>-106250023.08477232</v>
      </c>
      <c r="N198" s="34" t="str">
        <f t="shared" si="21"/>
        <v/>
      </c>
      <c r="O198" s="17"/>
    </row>
    <row r="199" spans="1:15">
      <c r="A199" s="4" t="s">
        <v>1299</v>
      </c>
      <c r="B199" s="34">
        <f t="shared" si="22"/>
        <v>0</v>
      </c>
      <c r="C199" s="34">
        <f t="shared" si="23"/>
        <v>0</v>
      </c>
      <c r="D199" s="34">
        <f t="shared" si="13"/>
        <v>0</v>
      </c>
      <c r="E199" s="34">
        <f t="shared" si="14"/>
        <v>0</v>
      </c>
      <c r="F199" s="39">
        <f t="shared" si="15"/>
        <v>37</v>
      </c>
      <c r="G199" s="33">
        <v>60</v>
      </c>
      <c r="H199" s="39">
        <f t="shared" si="12"/>
        <v>3723</v>
      </c>
      <c r="I199" s="39">
        <f t="shared" si="16"/>
        <v>50</v>
      </c>
      <c r="J199" s="39">
        <f t="shared" si="17"/>
        <v>74</v>
      </c>
      <c r="K199" s="34">
        <f t="shared" si="18"/>
        <v>0</v>
      </c>
      <c r="L199" s="34">
        <f t="shared" si="19"/>
        <v>184939508.237587</v>
      </c>
      <c r="M199" s="34">
        <f t="shared" si="20"/>
        <v>-106250023.08477232</v>
      </c>
      <c r="N199" s="34" t="str">
        <f t="shared" si="21"/>
        <v/>
      </c>
      <c r="O199" s="17"/>
    </row>
    <row r="200" spans="1:15">
      <c r="A200" s="4" t="s">
        <v>1300</v>
      </c>
      <c r="B200" s="34">
        <f t="shared" si="22"/>
        <v>0.80314008942444881</v>
      </c>
      <c r="C200" s="34">
        <f t="shared" si="23"/>
        <v>0</v>
      </c>
      <c r="D200" s="34">
        <f t="shared" si="13"/>
        <v>0</v>
      </c>
      <c r="E200" s="34">
        <f t="shared" si="14"/>
        <v>0</v>
      </c>
      <c r="F200" s="39">
        <f t="shared" si="15"/>
        <v>87</v>
      </c>
      <c r="G200" s="33">
        <v>61</v>
      </c>
      <c r="H200" s="39">
        <f t="shared" si="12"/>
        <v>8674</v>
      </c>
      <c r="I200" s="39">
        <f t="shared" si="16"/>
        <v>87</v>
      </c>
      <c r="J200" s="39">
        <f t="shared" si="17"/>
        <v>75</v>
      </c>
      <c r="K200" s="34">
        <f t="shared" si="18"/>
        <v>0</v>
      </c>
      <c r="L200" s="34">
        <f t="shared" si="19"/>
        <v>184939508.237587</v>
      </c>
      <c r="M200" s="34">
        <f t="shared" si="20"/>
        <v>-106250023.08477232</v>
      </c>
      <c r="N200" s="34" t="str">
        <f t="shared" si="21"/>
        <v/>
      </c>
      <c r="O200" s="17"/>
    </row>
    <row r="201" spans="1:15">
      <c r="A201" s="4" t="s">
        <v>1301</v>
      </c>
      <c r="B201" s="34">
        <f t="shared" si="22"/>
        <v>0.80314008942444881</v>
      </c>
      <c r="C201" s="34">
        <f t="shared" si="23"/>
        <v>0</v>
      </c>
      <c r="D201" s="34">
        <f t="shared" si="13"/>
        <v>0</v>
      </c>
      <c r="E201" s="34">
        <f t="shared" si="14"/>
        <v>0</v>
      </c>
      <c r="F201" s="39">
        <f t="shared" si="15"/>
        <v>87</v>
      </c>
      <c r="G201" s="33">
        <v>62</v>
      </c>
      <c r="H201" s="39">
        <f t="shared" si="12"/>
        <v>8675</v>
      </c>
      <c r="I201" s="39">
        <f t="shared" si="16"/>
        <v>88</v>
      </c>
      <c r="J201" s="39">
        <f t="shared" si="17"/>
        <v>81</v>
      </c>
      <c r="K201" s="34">
        <f t="shared" si="18"/>
        <v>0</v>
      </c>
      <c r="L201" s="34">
        <f t="shared" si="19"/>
        <v>184939508.237587</v>
      </c>
      <c r="M201" s="34">
        <f t="shared" si="20"/>
        <v>-106250023.08477232</v>
      </c>
      <c r="N201" s="34" t="str">
        <f t="shared" si="21"/>
        <v/>
      </c>
      <c r="O201" s="17"/>
    </row>
    <row r="202" spans="1:15">
      <c r="A202" s="4" t="s">
        <v>1302</v>
      </c>
      <c r="B202" s="34">
        <f t="shared" si="22"/>
        <v>0</v>
      </c>
      <c r="C202" s="34">
        <f t="shared" si="23"/>
        <v>0</v>
      </c>
      <c r="D202" s="34">
        <f t="shared" si="13"/>
        <v>0</v>
      </c>
      <c r="E202" s="34">
        <f t="shared" si="14"/>
        <v>0</v>
      </c>
      <c r="F202" s="39">
        <f t="shared" si="15"/>
        <v>37</v>
      </c>
      <c r="G202" s="33">
        <v>63</v>
      </c>
      <c r="H202" s="39">
        <f t="shared" si="12"/>
        <v>3726</v>
      </c>
      <c r="I202" s="39">
        <f t="shared" si="16"/>
        <v>51</v>
      </c>
      <c r="J202" s="39">
        <f t="shared" si="17"/>
        <v>82</v>
      </c>
      <c r="K202" s="34">
        <f t="shared" si="18"/>
        <v>0</v>
      </c>
      <c r="L202" s="34">
        <f t="shared" si="19"/>
        <v>184939508.237587</v>
      </c>
      <c r="M202" s="34">
        <f t="shared" si="20"/>
        <v>-106250023.08477232</v>
      </c>
      <c r="N202" s="34" t="str">
        <f t="shared" si="21"/>
        <v/>
      </c>
      <c r="O202" s="17"/>
    </row>
    <row r="203" spans="1:15">
      <c r="A203" s="4" t="s">
        <v>1303</v>
      </c>
      <c r="B203" s="34">
        <f t="shared" si="22"/>
        <v>0</v>
      </c>
      <c r="C203" s="34">
        <f t="shared" si="23"/>
        <v>0</v>
      </c>
      <c r="D203" s="34">
        <f t="shared" si="13"/>
        <v>0</v>
      </c>
      <c r="E203" s="34">
        <f t="shared" si="14"/>
        <v>0</v>
      </c>
      <c r="F203" s="39">
        <f t="shared" si="15"/>
        <v>37</v>
      </c>
      <c r="G203" s="33">
        <v>64</v>
      </c>
      <c r="H203" s="39">
        <f t="shared" ref="H203:H234" si="24">F203*99+G203</f>
        <v>3727</v>
      </c>
      <c r="I203" s="39">
        <f t="shared" si="16"/>
        <v>52</v>
      </c>
      <c r="J203" s="39">
        <f t="shared" si="17"/>
        <v>83</v>
      </c>
      <c r="K203" s="34">
        <f t="shared" si="18"/>
        <v>0</v>
      </c>
      <c r="L203" s="34">
        <f t="shared" si="19"/>
        <v>184939508.237587</v>
      </c>
      <c r="M203" s="34">
        <f t="shared" si="20"/>
        <v>-106250023.08477232</v>
      </c>
      <c r="N203" s="34" t="str">
        <f t="shared" si="21"/>
        <v/>
      </c>
      <c r="O203" s="17"/>
    </row>
    <row r="204" spans="1:15">
      <c r="A204" s="4" t="s">
        <v>1304</v>
      </c>
      <c r="B204" s="34">
        <f t="shared" si="22"/>
        <v>0.54155726428187634</v>
      </c>
      <c r="C204" s="34">
        <f t="shared" si="23"/>
        <v>0</v>
      </c>
      <c r="D204" s="34">
        <f t="shared" ref="D204:D235" si="25">IF(ISERROR(B204),C204,0)</f>
        <v>0</v>
      </c>
      <c r="E204" s="34">
        <f t="shared" ref="E204:E238" si="26">MAX($B$110,B204)*C204</f>
        <v>0</v>
      </c>
      <c r="F204" s="39">
        <f t="shared" ref="F204:F238" si="27">RANK(B204,B$140:B$238,1)</f>
        <v>80</v>
      </c>
      <c r="G204" s="33">
        <v>65</v>
      </c>
      <c r="H204" s="39">
        <f t="shared" si="24"/>
        <v>7985</v>
      </c>
      <c r="I204" s="39">
        <f t="shared" ref="I204:I235" si="28">RANK(H204,H$140:H$238,1)</f>
        <v>80</v>
      </c>
      <c r="J204" s="39">
        <f t="shared" ref="J204:J235" si="29">MATCH(G204,I$140:I$238,0)</f>
        <v>84</v>
      </c>
      <c r="K204" s="34">
        <f t="shared" ref="K204:K235" si="30">INDEX(B$140:B$238,J204,1)</f>
        <v>0</v>
      </c>
      <c r="L204" s="34">
        <f t="shared" ref="L204:L238" si="31">L203+INDEX(C$140:C$238,J204,1)</f>
        <v>184939508.237587</v>
      </c>
      <c r="M204" s="34">
        <f t="shared" ref="M204:M238" si="32">M203+(K204-K203)*L203</f>
        <v>-106250023.08477232</v>
      </c>
      <c r="N204" s="34" t="str">
        <f t="shared" ref="N204:N235" si="33">IF((M203&gt;0)=(M204&gt;0),"",K204-M204/L203)</f>
        <v/>
      </c>
      <c r="O204" s="17"/>
    </row>
    <row r="205" spans="1:15">
      <c r="A205" s="4" t="s">
        <v>1305</v>
      </c>
      <c r="B205" s="34">
        <f t="shared" si="22"/>
        <v>0.54155726428187634</v>
      </c>
      <c r="C205" s="34">
        <f t="shared" si="23"/>
        <v>0</v>
      </c>
      <c r="D205" s="34">
        <f t="shared" si="25"/>
        <v>0</v>
      </c>
      <c r="E205" s="34">
        <f t="shared" si="26"/>
        <v>0</v>
      </c>
      <c r="F205" s="39">
        <f t="shared" si="27"/>
        <v>80</v>
      </c>
      <c r="G205" s="33">
        <v>66</v>
      </c>
      <c r="H205" s="39">
        <f t="shared" si="24"/>
        <v>7986</v>
      </c>
      <c r="I205" s="39">
        <f t="shared" si="28"/>
        <v>81</v>
      </c>
      <c r="J205" s="39">
        <f t="shared" si="29"/>
        <v>86</v>
      </c>
      <c r="K205" s="34">
        <f t="shared" si="30"/>
        <v>0</v>
      </c>
      <c r="L205" s="34">
        <f t="shared" si="31"/>
        <v>184939508.237587</v>
      </c>
      <c r="M205" s="34">
        <f t="shared" si="32"/>
        <v>-106250023.08477232</v>
      </c>
      <c r="N205" s="34" t="str">
        <f t="shared" si="33"/>
        <v/>
      </c>
      <c r="O205" s="17"/>
    </row>
    <row r="206" spans="1:15">
      <c r="A206" s="4" t="s">
        <v>1306</v>
      </c>
      <c r="B206" s="34">
        <f t="shared" ref="B206:B238" si="34">D12</f>
        <v>0</v>
      </c>
      <c r="C206" s="34">
        <f t="shared" ref="C206:C238" si="35">D56</f>
        <v>0</v>
      </c>
      <c r="D206" s="34">
        <f t="shared" si="25"/>
        <v>0</v>
      </c>
      <c r="E206" s="34">
        <f t="shared" si="26"/>
        <v>0</v>
      </c>
      <c r="F206" s="39">
        <f t="shared" si="27"/>
        <v>37</v>
      </c>
      <c r="G206" s="33">
        <v>67</v>
      </c>
      <c r="H206" s="39">
        <f t="shared" si="24"/>
        <v>3730</v>
      </c>
      <c r="I206" s="39">
        <f t="shared" si="28"/>
        <v>53</v>
      </c>
      <c r="J206" s="39">
        <f t="shared" si="29"/>
        <v>87</v>
      </c>
      <c r="K206" s="34">
        <f t="shared" si="30"/>
        <v>0</v>
      </c>
      <c r="L206" s="34">
        <f t="shared" si="31"/>
        <v>184939508.237587</v>
      </c>
      <c r="M206" s="34">
        <f t="shared" si="32"/>
        <v>-106250023.08477232</v>
      </c>
      <c r="N206" s="34" t="str">
        <f t="shared" si="33"/>
        <v/>
      </c>
      <c r="O206" s="17"/>
    </row>
    <row r="207" spans="1:15">
      <c r="A207" s="4" t="s">
        <v>1307</v>
      </c>
      <c r="B207" s="34">
        <f t="shared" si="34"/>
        <v>0</v>
      </c>
      <c r="C207" s="34">
        <f t="shared" si="35"/>
        <v>0</v>
      </c>
      <c r="D207" s="34">
        <f t="shared" si="25"/>
        <v>0</v>
      </c>
      <c r="E207" s="34">
        <f t="shared" si="26"/>
        <v>0</v>
      </c>
      <c r="F207" s="39">
        <f t="shared" si="27"/>
        <v>37</v>
      </c>
      <c r="G207" s="33">
        <v>68</v>
      </c>
      <c r="H207" s="39">
        <f t="shared" si="24"/>
        <v>3731</v>
      </c>
      <c r="I207" s="39">
        <f t="shared" si="28"/>
        <v>54</v>
      </c>
      <c r="J207" s="39">
        <f t="shared" si="29"/>
        <v>88</v>
      </c>
      <c r="K207" s="34">
        <f t="shared" si="30"/>
        <v>0</v>
      </c>
      <c r="L207" s="34">
        <f t="shared" si="31"/>
        <v>184939508.237587</v>
      </c>
      <c r="M207" s="34">
        <f t="shared" si="32"/>
        <v>-106250023.08477232</v>
      </c>
      <c r="N207" s="34" t="str">
        <f t="shared" si="33"/>
        <v/>
      </c>
      <c r="O207" s="17"/>
    </row>
    <row r="208" spans="1:15">
      <c r="A208" s="4" t="s">
        <v>1308</v>
      </c>
      <c r="B208" s="34">
        <f t="shared" si="34"/>
        <v>0</v>
      </c>
      <c r="C208" s="34">
        <f t="shared" si="35"/>
        <v>0</v>
      </c>
      <c r="D208" s="34">
        <f t="shared" si="25"/>
        <v>0</v>
      </c>
      <c r="E208" s="34">
        <f t="shared" si="26"/>
        <v>0</v>
      </c>
      <c r="F208" s="39">
        <f t="shared" si="27"/>
        <v>37</v>
      </c>
      <c r="G208" s="33">
        <v>69</v>
      </c>
      <c r="H208" s="39">
        <f t="shared" si="24"/>
        <v>3732</v>
      </c>
      <c r="I208" s="39">
        <f t="shared" si="28"/>
        <v>55</v>
      </c>
      <c r="J208" s="39">
        <f t="shared" si="29"/>
        <v>89</v>
      </c>
      <c r="K208" s="34">
        <f t="shared" si="30"/>
        <v>0</v>
      </c>
      <c r="L208" s="34">
        <f t="shared" si="31"/>
        <v>184939508.237587</v>
      </c>
      <c r="M208" s="34">
        <f t="shared" si="32"/>
        <v>-106250023.08477232</v>
      </c>
      <c r="N208" s="34" t="str">
        <f t="shared" si="33"/>
        <v/>
      </c>
      <c r="O208" s="17"/>
    </row>
    <row r="209" spans="1:15">
      <c r="A209" s="4" t="s">
        <v>1309</v>
      </c>
      <c r="B209" s="34">
        <f t="shared" si="34"/>
        <v>0</v>
      </c>
      <c r="C209" s="34">
        <f t="shared" si="35"/>
        <v>0</v>
      </c>
      <c r="D209" s="34">
        <f t="shared" si="25"/>
        <v>0</v>
      </c>
      <c r="E209" s="34">
        <f t="shared" si="26"/>
        <v>0</v>
      </c>
      <c r="F209" s="39">
        <f t="shared" si="27"/>
        <v>37</v>
      </c>
      <c r="G209" s="33">
        <v>70</v>
      </c>
      <c r="H209" s="39">
        <f t="shared" si="24"/>
        <v>3733</v>
      </c>
      <c r="I209" s="39">
        <f t="shared" si="28"/>
        <v>56</v>
      </c>
      <c r="J209" s="39">
        <f t="shared" si="29"/>
        <v>92</v>
      </c>
      <c r="K209" s="34">
        <f t="shared" si="30"/>
        <v>0</v>
      </c>
      <c r="L209" s="34">
        <f t="shared" si="31"/>
        <v>184939508.237587</v>
      </c>
      <c r="M209" s="34">
        <f t="shared" si="32"/>
        <v>-106250023.08477232</v>
      </c>
      <c r="N209" s="34" t="str">
        <f t="shared" si="33"/>
        <v/>
      </c>
      <c r="O209" s="17"/>
    </row>
    <row r="210" spans="1:15">
      <c r="A210" s="4" t="s">
        <v>1310</v>
      </c>
      <c r="B210" s="34">
        <f t="shared" si="34"/>
        <v>0</v>
      </c>
      <c r="C210" s="34">
        <f t="shared" si="35"/>
        <v>0</v>
      </c>
      <c r="D210" s="34">
        <f t="shared" si="25"/>
        <v>0</v>
      </c>
      <c r="E210" s="34">
        <f t="shared" si="26"/>
        <v>0</v>
      </c>
      <c r="F210" s="39">
        <f t="shared" si="27"/>
        <v>37</v>
      </c>
      <c r="G210" s="33">
        <v>71</v>
      </c>
      <c r="H210" s="39">
        <f t="shared" si="24"/>
        <v>3734</v>
      </c>
      <c r="I210" s="39">
        <f t="shared" si="28"/>
        <v>57</v>
      </c>
      <c r="J210" s="39">
        <f t="shared" si="29"/>
        <v>93</v>
      </c>
      <c r="K210" s="34">
        <f t="shared" si="30"/>
        <v>0</v>
      </c>
      <c r="L210" s="34">
        <f t="shared" si="31"/>
        <v>184939508.237587</v>
      </c>
      <c r="M210" s="34">
        <f t="shared" si="32"/>
        <v>-106250023.08477232</v>
      </c>
      <c r="N210" s="34" t="str">
        <f t="shared" si="33"/>
        <v/>
      </c>
      <c r="O210" s="17"/>
    </row>
    <row r="211" spans="1:15">
      <c r="A211" s="4" t="s">
        <v>1311</v>
      </c>
      <c r="B211" s="34">
        <f t="shared" si="34"/>
        <v>0</v>
      </c>
      <c r="C211" s="34">
        <f t="shared" si="35"/>
        <v>0</v>
      </c>
      <c r="D211" s="34">
        <f t="shared" si="25"/>
        <v>0</v>
      </c>
      <c r="E211" s="34">
        <f t="shared" si="26"/>
        <v>0</v>
      </c>
      <c r="F211" s="39">
        <f t="shared" si="27"/>
        <v>37</v>
      </c>
      <c r="G211" s="33">
        <v>72</v>
      </c>
      <c r="H211" s="39">
        <f t="shared" si="24"/>
        <v>3735</v>
      </c>
      <c r="I211" s="39">
        <f t="shared" si="28"/>
        <v>58</v>
      </c>
      <c r="J211" s="39">
        <f t="shared" si="29"/>
        <v>96</v>
      </c>
      <c r="K211" s="34">
        <f t="shared" si="30"/>
        <v>0</v>
      </c>
      <c r="L211" s="34">
        <f t="shared" si="31"/>
        <v>184939508.237587</v>
      </c>
      <c r="M211" s="34">
        <f t="shared" si="32"/>
        <v>-106250023.08477232</v>
      </c>
      <c r="N211" s="34" t="str">
        <f t="shared" si="33"/>
        <v/>
      </c>
      <c r="O211" s="17"/>
    </row>
    <row r="212" spans="1:15">
      <c r="A212" s="4" t="s">
        <v>1312</v>
      </c>
      <c r="B212" s="34">
        <f t="shared" si="34"/>
        <v>0</v>
      </c>
      <c r="C212" s="34">
        <f t="shared" si="35"/>
        <v>0</v>
      </c>
      <c r="D212" s="34">
        <f t="shared" si="25"/>
        <v>0</v>
      </c>
      <c r="E212" s="34">
        <f t="shared" si="26"/>
        <v>0</v>
      </c>
      <c r="F212" s="39">
        <f t="shared" si="27"/>
        <v>37</v>
      </c>
      <c r="G212" s="33">
        <v>73</v>
      </c>
      <c r="H212" s="39">
        <f t="shared" si="24"/>
        <v>3736</v>
      </c>
      <c r="I212" s="39">
        <f t="shared" si="28"/>
        <v>59</v>
      </c>
      <c r="J212" s="39">
        <f t="shared" si="29"/>
        <v>97</v>
      </c>
      <c r="K212" s="34">
        <f t="shared" si="30"/>
        <v>0</v>
      </c>
      <c r="L212" s="34">
        <f t="shared" si="31"/>
        <v>184939508.237587</v>
      </c>
      <c r="M212" s="34">
        <f t="shared" si="32"/>
        <v>-106250023.08477232</v>
      </c>
      <c r="N212" s="34" t="str">
        <f t="shared" si="33"/>
        <v/>
      </c>
      <c r="O212" s="17"/>
    </row>
    <row r="213" spans="1:15">
      <c r="A213" s="4" t="s">
        <v>1313</v>
      </c>
      <c r="B213" s="34">
        <f t="shared" si="34"/>
        <v>0</v>
      </c>
      <c r="C213" s="34">
        <f t="shared" si="35"/>
        <v>0</v>
      </c>
      <c r="D213" s="34">
        <f t="shared" si="25"/>
        <v>0</v>
      </c>
      <c r="E213" s="34">
        <f t="shared" si="26"/>
        <v>0</v>
      </c>
      <c r="F213" s="39">
        <f t="shared" si="27"/>
        <v>37</v>
      </c>
      <c r="G213" s="33">
        <v>74</v>
      </c>
      <c r="H213" s="39">
        <f t="shared" si="24"/>
        <v>3737</v>
      </c>
      <c r="I213" s="39">
        <f t="shared" si="28"/>
        <v>60</v>
      </c>
      <c r="J213" s="39">
        <f t="shared" si="29"/>
        <v>98</v>
      </c>
      <c r="K213" s="34">
        <f t="shared" si="30"/>
        <v>6.7871491064582692E-2</v>
      </c>
      <c r="L213" s="34">
        <f t="shared" si="31"/>
        <v>184939508.237587</v>
      </c>
      <c r="M213" s="34">
        <f t="shared" si="32"/>
        <v>-93697902.90393661</v>
      </c>
      <c r="N213" s="34" t="str">
        <f t="shared" si="33"/>
        <v/>
      </c>
      <c r="O213" s="17"/>
    </row>
    <row r="214" spans="1:15">
      <c r="A214" s="4" t="s">
        <v>1314</v>
      </c>
      <c r="B214" s="34">
        <f t="shared" si="34"/>
        <v>0</v>
      </c>
      <c r="C214" s="34">
        <f t="shared" si="35"/>
        <v>0</v>
      </c>
      <c r="D214" s="34">
        <f t="shared" si="25"/>
        <v>0</v>
      </c>
      <c r="E214" s="34">
        <f t="shared" si="26"/>
        <v>0</v>
      </c>
      <c r="F214" s="39">
        <f t="shared" si="27"/>
        <v>37</v>
      </c>
      <c r="G214" s="33">
        <v>75</v>
      </c>
      <c r="H214" s="39">
        <f t="shared" si="24"/>
        <v>3738</v>
      </c>
      <c r="I214" s="39">
        <f t="shared" si="28"/>
        <v>61</v>
      </c>
      <c r="J214" s="39">
        <f t="shared" si="29"/>
        <v>99</v>
      </c>
      <c r="K214" s="34">
        <f t="shared" si="30"/>
        <v>6.7871491064582692E-2</v>
      </c>
      <c r="L214" s="34">
        <f t="shared" si="31"/>
        <v>184939508.237587</v>
      </c>
      <c r="M214" s="34">
        <f t="shared" si="32"/>
        <v>-93697902.90393661</v>
      </c>
      <c r="N214" s="34" t="str">
        <f t="shared" si="33"/>
        <v/>
      </c>
      <c r="O214" s="17"/>
    </row>
    <row r="215" spans="1:15">
      <c r="A215" s="4" t="s">
        <v>1315</v>
      </c>
      <c r="B215" s="34">
        <f t="shared" si="34"/>
        <v>-0.17933769051958989</v>
      </c>
      <c r="C215" s="34">
        <f t="shared" si="35"/>
        <v>3810.7054134295922</v>
      </c>
      <c r="D215" s="34">
        <f t="shared" si="25"/>
        <v>0</v>
      </c>
      <c r="E215" s="34">
        <f t="shared" si="26"/>
        <v>-683.40310809496202</v>
      </c>
      <c r="F215" s="39">
        <f t="shared" si="27"/>
        <v>30</v>
      </c>
      <c r="G215" s="33">
        <v>76</v>
      </c>
      <c r="H215" s="39">
        <f t="shared" si="24"/>
        <v>3046</v>
      </c>
      <c r="I215" s="39">
        <f t="shared" si="28"/>
        <v>30</v>
      </c>
      <c r="J215" s="39">
        <f t="shared" si="29"/>
        <v>94</v>
      </c>
      <c r="K215" s="34">
        <f t="shared" si="30"/>
        <v>9.7045502063775199E-2</v>
      </c>
      <c r="L215" s="34">
        <f t="shared" si="31"/>
        <v>184939508.237587</v>
      </c>
      <c r="M215" s="34">
        <f t="shared" si="32"/>
        <v>-88302475.656427994</v>
      </c>
      <c r="N215" s="34" t="str">
        <f t="shared" si="33"/>
        <v/>
      </c>
      <c r="O215" s="17"/>
    </row>
    <row r="216" spans="1:15">
      <c r="A216" s="4" t="s">
        <v>1316</v>
      </c>
      <c r="B216" s="34">
        <f t="shared" si="34"/>
        <v>-0.16386076485250511</v>
      </c>
      <c r="C216" s="34">
        <f t="shared" si="35"/>
        <v>1130299.9064230963</v>
      </c>
      <c r="D216" s="34">
        <f t="shared" si="25"/>
        <v>0</v>
      </c>
      <c r="E216" s="34">
        <f t="shared" si="26"/>
        <v>-185211.80717920352</v>
      </c>
      <c r="F216" s="39">
        <f t="shared" si="27"/>
        <v>31</v>
      </c>
      <c r="G216" s="33">
        <v>77</v>
      </c>
      <c r="H216" s="39">
        <f t="shared" si="24"/>
        <v>3146</v>
      </c>
      <c r="I216" s="39">
        <f t="shared" si="28"/>
        <v>31</v>
      </c>
      <c r="J216" s="39">
        <f t="shared" si="29"/>
        <v>95</v>
      </c>
      <c r="K216" s="34">
        <f t="shared" si="30"/>
        <v>9.7045502063775199E-2</v>
      </c>
      <c r="L216" s="34">
        <f t="shared" si="31"/>
        <v>184939508.237587</v>
      </c>
      <c r="M216" s="34">
        <f t="shared" si="32"/>
        <v>-88302475.656427994</v>
      </c>
      <c r="N216" s="34" t="str">
        <f t="shared" si="33"/>
        <v/>
      </c>
      <c r="O216" s="17"/>
    </row>
    <row r="217" spans="1:15">
      <c r="A217" s="4" t="s">
        <v>1317</v>
      </c>
      <c r="B217" s="34">
        <f t="shared" si="34"/>
        <v>-0.11640029751666903</v>
      </c>
      <c r="C217" s="34">
        <f t="shared" si="35"/>
        <v>12275065.275575314</v>
      </c>
      <c r="D217" s="34">
        <f t="shared" si="25"/>
        <v>0</v>
      </c>
      <c r="E217" s="34">
        <f t="shared" si="26"/>
        <v>-1428821.2501134994</v>
      </c>
      <c r="F217" s="39">
        <f t="shared" si="27"/>
        <v>34</v>
      </c>
      <c r="G217" s="33">
        <v>78</v>
      </c>
      <c r="H217" s="39">
        <f t="shared" si="24"/>
        <v>3444</v>
      </c>
      <c r="I217" s="39">
        <f t="shared" si="28"/>
        <v>34</v>
      </c>
      <c r="J217" s="39">
        <f t="shared" si="29"/>
        <v>90</v>
      </c>
      <c r="K217" s="34">
        <f t="shared" si="30"/>
        <v>0.12302660066224436</v>
      </c>
      <c r="L217" s="34">
        <f t="shared" si="31"/>
        <v>184939508.237587</v>
      </c>
      <c r="M217" s="34">
        <f t="shared" si="32"/>
        <v>-83497544.058154851</v>
      </c>
      <c r="N217" s="34" t="str">
        <f t="shared" si="33"/>
        <v/>
      </c>
      <c r="O217" s="17"/>
    </row>
    <row r="218" spans="1:15">
      <c r="A218" s="4" t="s">
        <v>1318</v>
      </c>
      <c r="B218" s="34">
        <f t="shared" si="34"/>
        <v>-8.7987141573976371E-2</v>
      </c>
      <c r="C218" s="34">
        <f t="shared" si="35"/>
        <v>6285073.2185137216</v>
      </c>
      <c r="D218" s="34">
        <f t="shared" si="25"/>
        <v>0</v>
      </c>
      <c r="E218" s="34">
        <f t="shared" si="26"/>
        <v>-553005.62708017416</v>
      </c>
      <c r="F218" s="39">
        <f t="shared" si="27"/>
        <v>35</v>
      </c>
      <c r="G218" s="33">
        <v>79</v>
      </c>
      <c r="H218" s="39">
        <f t="shared" si="24"/>
        <v>3544</v>
      </c>
      <c r="I218" s="39">
        <f t="shared" si="28"/>
        <v>35</v>
      </c>
      <c r="J218" s="39">
        <f t="shared" si="29"/>
        <v>91</v>
      </c>
      <c r="K218" s="34">
        <f t="shared" si="30"/>
        <v>0.12302660066224436</v>
      </c>
      <c r="L218" s="34">
        <f t="shared" si="31"/>
        <v>184939508.237587</v>
      </c>
      <c r="M218" s="34">
        <f t="shared" si="32"/>
        <v>-83497544.058154851</v>
      </c>
      <c r="N218" s="34" t="str">
        <f t="shared" si="33"/>
        <v/>
      </c>
      <c r="O218" s="17"/>
    </row>
    <row r="219" spans="1:15">
      <c r="A219" s="4" t="s">
        <v>1319</v>
      </c>
      <c r="B219" s="34">
        <f t="shared" si="34"/>
        <v>-5.7467333456118902E-2</v>
      </c>
      <c r="C219" s="34">
        <f t="shared" si="35"/>
        <v>25893774.736740164</v>
      </c>
      <c r="D219" s="34">
        <f t="shared" si="25"/>
        <v>0</v>
      </c>
      <c r="E219" s="34">
        <f t="shared" si="26"/>
        <v>-1488046.1872338746</v>
      </c>
      <c r="F219" s="39">
        <f t="shared" si="27"/>
        <v>36</v>
      </c>
      <c r="G219" s="33">
        <v>80</v>
      </c>
      <c r="H219" s="39">
        <f t="shared" si="24"/>
        <v>3644</v>
      </c>
      <c r="I219" s="39">
        <f t="shared" si="28"/>
        <v>36</v>
      </c>
      <c r="J219" s="39">
        <f t="shared" si="29"/>
        <v>65</v>
      </c>
      <c r="K219" s="34">
        <f t="shared" si="30"/>
        <v>0.54155726428187634</v>
      </c>
      <c r="L219" s="34">
        <f t="shared" si="31"/>
        <v>184939508.237587</v>
      </c>
      <c r="M219" s="34">
        <f t="shared" si="32"/>
        <v>-6094688.9459891617</v>
      </c>
      <c r="N219" s="34" t="str">
        <f t="shared" si="33"/>
        <v/>
      </c>
      <c r="O219" s="17"/>
    </row>
    <row r="220" spans="1:15">
      <c r="A220" s="4" t="s">
        <v>1320</v>
      </c>
      <c r="B220" s="34">
        <f t="shared" si="34"/>
        <v>0</v>
      </c>
      <c r="C220" s="34">
        <f t="shared" si="35"/>
        <v>0</v>
      </c>
      <c r="D220" s="34">
        <f t="shared" si="25"/>
        <v>0</v>
      </c>
      <c r="E220" s="34">
        <f t="shared" si="26"/>
        <v>0</v>
      </c>
      <c r="F220" s="39">
        <f t="shared" si="27"/>
        <v>37</v>
      </c>
      <c r="G220" s="33">
        <v>81</v>
      </c>
      <c r="H220" s="39">
        <f t="shared" si="24"/>
        <v>3744</v>
      </c>
      <c r="I220" s="39">
        <f t="shared" si="28"/>
        <v>62</v>
      </c>
      <c r="J220" s="39">
        <f t="shared" si="29"/>
        <v>66</v>
      </c>
      <c r="K220" s="34">
        <f t="shared" si="30"/>
        <v>0.54155726428187634</v>
      </c>
      <c r="L220" s="34">
        <f t="shared" si="31"/>
        <v>184939508.237587</v>
      </c>
      <c r="M220" s="34">
        <f t="shared" si="32"/>
        <v>-6094688.9459891617</v>
      </c>
      <c r="N220" s="34" t="str">
        <f t="shared" si="33"/>
        <v/>
      </c>
      <c r="O220" s="17"/>
    </row>
    <row r="221" spans="1:15">
      <c r="A221" s="4" t="s">
        <v>1321</v>
      </c>
      <c r="B221" s="34">
        <f t="shared" si="34"/>
        <v>0</v>
      </c>
      <c r="C221" s="34">
        <f t="shared" si="35"/>
        <v>0</v>
      </c>
      <c r="D221" s="34">
        <f t="shared" si="25"/>
        <v>0</v>
      </c>
      <c r="E221" s="34">
        <f t="shared" si="26"/>
        <v>0</v>
      </c>
      <c r="F221" s="39">
        <f t="shared" si="27"/>
        <v>37</v>
      </c>
      <c r="G221" s="33">
        <v>82</v>
      </c>
      <c r="H221" s="39">
        <f t="shared" si="24"/>
        <v>3745</v>
      </c>
      <c r="I221" s="39">
        <f t="shared" si="28"/>
        <v>63</v>
      </c>
      <c r="J221" s="39">
        <f t="shared" si="29"/>
        <v>30</v>
      </c>
      <c r="K221" s="34">
        <f t="shared" si="30"/>
        <v>0.5650751662588146</v>
      </c>
      <c r="L221" s="34">
        <f t="shared" si="31"/>
        <v>184939508.237587</v>
      </c>
      <c r="M221" s="34">
        <f t="shared" si="32"/>
        <v>-1745299.7195944246</v>
      </c>
      <c r="N221" s="34" t="str">
        <f t="shared" si="33"/>
        <v/>
      </c>
      <c r="O221" s="17"/>
    </row>
    <row r="222" spans="1:15">
      <c r="A222" s="4" t="s">
        <v>1322</v>
      </c>
      <c r="B222" s="34">
        <f t="shared" si="34"/>
        <v>0</v>
      </c>
      <c r="C222" s="34">
        <f t="shared" si="35"/>
        <v>0</v>
      </c>
      <c r="D222" s="34">
        <f t="shared" si="25"/>
        <v>0</v>
      </c>
      <c r="E222" s="34">
        <f t="shared" si="26"/>
        <v>0</v>
      </c>
      <c r="F222" s="39">
        <f t="shared" si="27"/>
        <v>37</v>
      </c>
      <c r="G222" s="33">
        <v>83</v>
      </c>
      <c r="H222" s="39">
        <f t="shared" si="24"/>
        <v>3746</v>
      </c>
      <c r="I222" s="39">
        <f t="shared" si="28"/>
        <v>64</v>
      </c>
      <c r="J222" s="39">
        <f t="shared" si="29"/>
        <v>31</v>
      </c>
      <c r="K222" s="34">
        <f t="shared" si="30"/>
        <v>0.5650751662588146</v>
      </c>
      <c r="L222" s="34">
        <f t="shared" si="31"/>
        <v>184939508.237587</v>
      </c>
      <c r="M222" s="34">
        <f t="shared" si="32"/>
        <v>-1745299.7195944246</v>
      </c>
      <c r="N222" s="34" t="str">
        <f t="shared" si="33"/>
        <v/>
      </c>
      <c r="O222" s="17"/>
    </row>
    <row r="223" spans="1:15">
      <c r="A223" s="4" t="s">
        <v>1323</v>
      </c>
      <c r="B223" s="34">
        <f t="shared" si="34"/>
        <v>0</v>
      </c>
      <c r="C223" s="34">
        <f t="shared" si="35"/>
        <v>0</v>
      </c>
      <c r="D223" s="34">
        <f t="shared" si="25"/>
        <v>0</v>
      </c>
      <c r="E223" s="34">
        <f t="shared" si="26"/>
        <v>0</v>
      </c>
      <c r="F223" s="39">
        <f t="shared" si="27"/>
        <v>37</v>
      </c>
      <c r="G223" s="33">
        <v>84</v>
      </c>
      <c r="H223" s="39">
        <f t="shared" si="24"/>
        <v>3747</v>
      </c>
      <c r="I223" s="39">
        <f t="shared" si="28"/>
        <v>65</v>
      </c>
      <c r="J223" s="39">
        <f t="shared" si="29"/>
        <v>21</v>
      </c>
      <c r="K223" s="34">
        <f t="shared" si="30"/>
        <v>0.78134038241603021</v>
      </c>
      <c r="L223" s="34">
        <f t="shared" si="31"/>
        <v>184939508.237587</v>
      </c>
      <c r="M223" s="34">
        <f t="shared" si="32"/>
        <v>38250683.005416483</v>
      </c>
      <c r="N223" s="34">
        <f t="shared" si="33"/>
        <v>0.57451230457623836</v>
      </c>
      <c r="O223" s="17"/>
    </row>
    <row r="224" spans="1:15">
      <c r="A224" s="4" t="s">
        <v>1324</v>
      </c>
      <c r="B224" s="34">
        <f t="shared" si="34"/>
        <v>-1.8840205079208321</v>
      </c>
      <c r="C224" s="34">
        <f t="shared" si="35"/>
        <v>1769070.7056212695</v>
      </c>
      <c r="D224" s="34">
        <f t="shared" si="25"/>
        <v>0</v>
      </c>
      <c r="E224" s="34">
        <f t="shared" si="26"/>
        <v>-3332965.4893524488</v>
      </c>
      <c r="F224" s="39">
        <f t="shared" si="27"/>
        <v>15</v>
      </c>
      <c r="G224" s="33">
        <v>85</v>
      </c>
      <c r="H224" s="39">
        <f t="shared" si="24"/>
        <v>1570</v>
      </c>
      <c r="I224" s="39">
        <f t="shared" si="28"/>
        <v>15</v>
      </c>
      <c r="J224" s="39">
        <f t="shared" si="29"/>
        <v>26</v>
      </c>
      <c r="K224" s="34">
        <f t="shared" si="30"/>
        <v>0.78134038241603021</v>
      </c>
      <c r="L224" s="34">
        <f t="shared" si="31"/>
        <v>184939508.237587</v>
      </c>
      <c r="M224" s="34">
        <f t="shared" si="32"/>
        <v>38250683.005416483</v>
      </c>
      <c r="N224" s="34" t="str">
        <f t="shared" si="33"/>
        <v/>
      </c>
      <c r="O224" s="17"/>
    </row>
    <row r="225" spans="1:15">
      <c r="A225" s="4" t="s">
        <v>1325</v>
      </c>
      <c r="B225" s="34">
        <f t="shared" si="34"/>
        <v>0</v>
      </c>
      <c r="C225" s="34">
        <f t="shared" si="35"/>
        <v>0</v>
      </c>
      <c r="D225" s="34">
        <f t="shared" si="25"/>
        <v>0</v>
      </c>
      <c r="E225" s="34">
        <f t="shared" si="26"/>
        <v>0</v>
      </c>
      <c r="F225" s="39">
        <f t="shared" si="27"/>
        <v>37</v>
      </c>
      <c r="G225" s="33">
        <v>86</v>
      </c>
      <c r="H225" s="39">
        <f t="shared" si="24"/>
        <v>3749</v>
      </c>
      <c r="I225" s="39">
        <f t="shared" si="28"/>
        <v>66</v>
      </c>
      <c r="J225" s="39">
        <f t="shared" si="29"/>
        <v>27</v>
      </c>
      <c r="K225" s="34">
        <f t="shared" si="30"/>
        <v>0.78134038241603021</v>
      </c>
      <c r="L225" s="34">
        <f t="shared" si="31"/>
        <v>184939508.237587</v>
      </c>
      <c r="M225" s="34">
        <f t="shared" si="32"/>
        <v>38250683.005416483</v>
      </c>
      <c r="N225" s="34" t="str">
        <f t="shared" si="33"/>
        <v/>
      </c>
      <c r="O225" s="17"/>
    </row>
    <row r="226" spans="1:15">
      <c r="A226" s="4" t="s">
        <v>1326</v>
      </c>
      <c r="B226" s="34">
        <f t="shared" si="34"/>
        <v>0</v>
      </c>
      <c r="C226" s="34">
        <f t="shared" si="35"/>
        <v>0</v>
      </c>
      <c r="D226" s="34">
        <f t="shared" si="25"/>
        <v>0</v>
      </c>
      <c r="E226" s="34">
        <f t="shared" si="26"/>
        <v>0</v>
      </c>
      <c r="F226" s="39">
        <f t="shared" si="27"/>
        <v>37</v>
      </c>
      <c r="G226" s="33">
        <v>87</v>
      </c>
      <c r="H226" s="39">
        <f t="shared" si="24"/>
        <v>3750</v>
      </c>
      <c r="I226" s="39">
        <f t="shared" si="28"/>
        <v>67</v>
      </c>
      <c r="J226" s="39">
        <f t="shared" si="29"/>
        <v>61</v>
      </c>
      <c r="K226" s="34">
        <f t="shared" si="30"/>
        <v>0.80314008942444881</v>
      </c>
      <c r="L226" s="34">
        <f t="shared" si="31"/>
        <v>184939508.237587</v>
      </c>
      <c r="M226" s="34">
        <f t="shared" si="32"/>
        <v>42282310.0992769</v>
      </c>
      <c r="N226" s="34" t="str">
        <f t="shared" si="33"/>
        <v/>
      </c>
      <c r="O226" s="17"/>
    </row>
    <row r="227" spans="1:15">
      <c r="A227" s="4" t="s">
        <v>1327</v>
      </c>
      <c r="B227" s="34">
        <f t="shared" si="34"/>
        <v>0</v>
      </c>
      <c r="C227" s="34">
        <f t="shared" si="35"/>
        <v>0</v>
      </c>
      <c r="D227" s="34">
        <f t="shared" si="25"/>
        <v>0</v>
      </c>
      <c r="E227" s="34">
        <f t="shared" si="26"/>
        <v>0</v>
      </c>
      <c r="F227" s="39">
        <f t="shared" si="27"/>
        <v>37</v>
      </c>
      <c r="G227" s="33">
        <v>88</v>
      </c>
      <c r="H227" s="39">
        <f t="shared" si="24"/>
        <v>3751</v>
      </c>
      <c r="I227" s="39">
        <f t="shared" si="28"/>
        <v>68</v>
      </c>
      <c r="J227" s="39">
        <f t="shared" si="29"/>
        <v>62</v>
      </c>
      <c r="K227" s="34">
        <f t="shared" si="30"/>
        <v>0.80314008942444881</v>
      </c>
      <c r="L227" s="34">
        <f t="shared" si="31"/>
        <v>184939508.237587</v>
      </c>
      <c r="M227" s="34">
        <f t="shared" si="32"/>
        <v>42282310.0992769</v>
      </c>
      <c r="N227" s="34" t="str">
        <f t="shared" si="33"/>
        <v/>
      </c>
      <c r="O227" s="17"/>
    </row>
    <row r="228" spans="1:15">
      <c r="A228" s="4" t="s">
        <v>1328</v>
      </c>
      <c r="B228" s="34">
        <f t="shared" si="34"/>
        <v>0</v>
      </c>
      <c r="C228" s="34">
        <f t="shared" si="35"/>
        <v>0</v>
      </c>
      <c r="D228" s="34">
        <f t="shared" si="25"/>
        <v>0</v>
      </c>
      <c r="E228" s="34">
        <f t="shared" si="26"/>
        <v>0</v>
      </c>
      <c r="F228" s="39">
        <f t="shared" si="27"/>
        <v>37</v>
      </c>
      <c r="G228" s="33">
        <v>89</v>
      </c>
      <c r="H228" s="39">
        <f t="shared" si="24"/>
        <v>3752</v>
      </c>
      <c r="I228" s="39">
        <f t="shared" si="28"/>
        <v>69</v>
      </c>
      <c r="J228" s="39">
        <f t="shared" si="29"/>
        <v>20</v>
      </c>
      <c r="K228" s="34">
        <f t="shared" si="30"/>
        <v>0.97652180328586424</v>
      </c>
      <c r="L228" s="34">
        <f t="shared" si="31"/>
        <v>184939508.237587</v>
      </c>
      <c r="M228" s="34">
        <f t="shared" si="32"/>
        <v>74347438.998197094</v>
      </c>
      <c r="N228" s="34" t="str">
        <f t="shared" si="33"/>
        <v/>
      </c>
      <c r="O228" s="17"/>
    </row>
    <row r="229" spans="1:15">
      <c r="A229" s="4" t="s">
        <v>1329</v>
      </c>
      <c r="B229" s="34">
        <f t="shared" si="34"/>
        <v>0.12302660066224436</v>
      </c>
      <c r="C229" s="34">
        <f t="shared" si="35"/>
        <v>0</v>
      </c>
      <c r="D229" s="34">
        <f t="shared" si="25"/>
        <v>0</v>
      </c>
      <c r="E229" s="34">
        <f t="shared" si="26"/>
        <v>0</v>
      </c>
      <c r="F229" s="39">
        <f t="shared" si="27"/>
        <v>78</v>
      </c>
      <c r="G229" s="33">
        <v>90</v>
      </c>
      <c r="H229" s="39">
        <f t="shared" si="24"/>
        <v>7812</v>
      </c>
      <c r="I229" s="39">
        <f t="shared" si="28"/>
        <v>78</v>
      </c>
      <c r="J229" s="39">
        <f t="shared" si="29"/>
        <v>22</v>
      </c>
      <c r="K229" s="34">
        <f t="shared" si="30"/>
        <v>0.97652180328586424</v>
      </c>
      <c r="L229" s="34">
        <f t="shared" si="31"/>
        <v>184939508.237587</v>
      </c>
      <c r="M229" s="34">
        <f t="shared" si="32"/>
        <v>74347438.998197094</v>
      </c>
      <c r="N229" s="34" t="str">
        <f t="shared" si="33"/>
        <v/>
      </c>
      <c r="O229" s="17"/>
    </row>
    <row r="230" spans="1:15">
      <c r="A230" s="4" t="s">
        <v>1330</v>
      </c>
      <c r="B230" s="34">
        <f t="shared" si="34"/>
        <v>0.12302660066224436</v>
      </c>
      <c r="C230" s="34">
        <f t="shared" si="35"/>
        <v>0</v>
      </c>
      <c r="D230" s="34">
        <f t="shared" si="25"/>
        <v>0</v>
      </c>
      <c r="E230" s="34">
        <f t="shared" si="26"/>
        <v>0</v>
      </c>
      <c r="F230" s="39">
        <f t="shared" si="27"/>
        <v>78</v>
      </c>
      <c r="G230" s="33">
        <v>91</v>
      </c>
      <c r="H230" s="39">
        <f t="shared" si="24"/>
        <v>7813</v>
      </c>
      <c r="I230" s="39">
        <f t="shared" si="28"/>
        <v>79</v>
      </c>
      <c r="J230" s="39">
        <f t="shared" si="29"/>
        <v>23</v>
      </c>
      <c r="K230" s="34">
        <f t="shared" si="30"/>
        <v>0.97652180328586424</v>
      </c>
      <c r="L230" s="34">
        <f t="shared" si="31"/>
        <v>184939508.237587</v>
      </c>
      <c r="M230" s="34">
        <f t="shared" si="32"/>
        <v>74347438.998197094</v>
      </c>
      <c r="N230" s="34" t="str">
        <f t="shared" si="33"/>
        <v/>
      </c>
      <c r="O230" s="17"/>
    </row>
    <row r="231" spans="1:15">
      <c r="A231" s="4" t="s">
        <v>1331</v>
      </c>
      <c r="B231" s="34">
        <f t="shared" si="34"/>
        <v>0</v>
      </c>
      <c r="C231" s="34">
        <f t="shared" si="35"/>
        <v>0</v>
      </c>
      <c r="D231" s="34">
        <f t="shared" si="25"/>
        <v>0</v>
      </c>
      <c r="E231" s="34">
        <f t="shared" si="26"/>
        <v>0</v>
      </c>
      <c r="F231" s="39">
        <f t="shared" si="27"/>
        <v>37</v>
      </c>
      <c r="G231" s="33">
        <v>92</v>
      </c>
      <c r="H231" s="39">
        <f t="shared" si="24"/>
        <v>3755</v>
      </c>
      <c r="I231" s="39">
        <f t="shared" si="28"/>
        <v>70</v>
      </c>
      <c r="J231" s="39">
        <f t="shared" si="29"/>
        <v>57</v>
      </c>
      <c r="K231" s="34">
        <f t="shared" si="30"/>
        <v>1.0332984711496851</v>
      </c>
      <c r="L231" s="34">
        <f t="shared" si="31"/>
        <v>184939508.237587</v>
      </c>
      <c r="M231" s="34">
        <f t="shared" si="32"/>
        <v>84847688.032300934</v>
      </c>
      <c r="N231" s="34" t="str">
        <f t="shared" si="33"/>
        <v/>
      </c>
      <c r="O231" s="17"/>
    </row>
    <row r="232" spans="1:15">
      <c r="A232" s="4" t="s">
        <v>1332</v>
      </c>
      <c r="B232" s="34">
        <f t="shared" si="34"/>
        <v>0</v>
      </c>
      <c r="C232" s="34">
        <f t="shared" si="35"/>
        <v>0</v>
      </c>
      <c r="D232" s="34">
        <f t="shared" si="25"/>
        <v>0</v>
      </c>
      <c r="E232" s="34">
        <f t="shared" si="26"/>
        <v>0</v>
      </c>
      <c r="F232" s="39">
        <f t="shared" si="27"/>
        <v>37</v>
      </c>
      <c r="G232" s="33">
        <v>93</v>
      </c>
      <c r="H232" s="39">
        <f t="shared" si="24"/>
        <v>3756</v>
      </c>
      <c r="I232" s="39">
        <f t="shared" si="28"/>
        <v>71</v>
      </c>
      <c r="J232" s="39">
        <f t="shared" si="29"/>
        <v>58</v>
      </c>
      <c r="K232" s="34">
        <f t="shared" si="30"/>
        <v>1.0332984711496851</v>
      </c>
      <c r="L232" s="34">
        <f t="shared" si="31"/>
        <v>184939508.237587</v>
      </c>
      <c r="M232" s="34">
        <f t="shared" si="32"/>
        <v>84847688.032300934</v>
      </c>
      <c r="N232" s="34" t="str">
        <f t="shared" si="33"/>
        <v/>
      </c>
      <c r="O232" s="17"/>
    </row>
    <row r="233" spans="1:15">
      <c r="A233" s="4" t="s">
        <v>1333</v>
      </c>
      <c r="B233" s="34">
        <f t="shared" si="34"/>
        <v>9.7045502063775199E-2</v>
      </c>
      <c r="C233" s="34">
        <f t="shared" si="35"/>
        <v>0</v>
      </c>
      <c r="D233" s="34">
        <f t="shared" si="25"/>
        <v>0</v>
      </c>
      <c r="E233" s="34">
        <f t="shared" si="26"/>
        <v>0</v>
      </c>
      <c r="F233" s="39">
        <f t="shared" si="27"/>
        <v>76</v>
      </c>
      <c r="G233" s="33">
        <v>94</v>
      </c>
      <c r="H233" s="39">
        <f t="shared" si="24"/>
        <v>7618</v>
      </c>
      <c r="I233" s="39">
        <f t="shared" si="28"/>
        <v>76</v>
      </c>
      <c r="J233" s="39">
        <f t="shared" si="29"/>
        <v>32</v>
      </c>
      <c r="K233" s="34">
        <f t="shared" si="30"/>
        <v>4.0942695886567257</v>
      </c>
      <c r="L233" s="34">
        <f t="shared" si="31"/>
        <v>184939508.237587</v>
      </c>
      <c r="M233" s="34">
        <f t="shared" si="32"/>
        <v>650942181.23351026</v>
      </c>
      <c r="N233" s="34" t="str">
        <f t="shared" si="33"/>
        <v/>
      </c>
      <c r="O233" s="17"/>
    </row>
    <row r="234" spans="1:15">
      <c r="A234" s="4" t="s">
        <v>1334</v>
      </c>
      <c r="B234" s="34">
        <f t="shared" si="34"/>
        <v>9.7045502063775199E-2</v>
      </c>
      <c r="C234" s="34">
        <f t="shared" si="35"/>
        <v>0</v>
      </c>
      <c r="D234" s="34">
        <f t="shared" si="25"/>
        <v>0</v>
      </c>
      <c r="E234" s="34">
        <f t="shared" si="26"/>
        <v>0</v>
      </c>
      <c r="F234" s="39">
        <f t="shared" si="27"/>
        <v>76</v>
      </c>
      <c r="G234" s="33">
        <v>95</v>
      </c>
      <c r="H234" s="39">
        <f t="shared" si="24"/>
        <v>7619</v>
      </c>
      <c r="I234" s="39">
        <f t="shared" si="28"/>
        <v>77</v>
      </c>
      <c r="J234" s="39">
        <f t="shared" si="29"/>
        <v>33</v>
      </c>
      <c r="K234" s="34">
        <f t="shared" si="30"/>
        <v>4.0942695886567257</v>
      </c>
      <c r="L234" s="34">
        <f t="shared" si="31"/>
        <v>184939508.237587</v>
      </c>
      <c r="M234" s="34">
        <f t="shared" si="32"/>
        <v>650942181.23351026</v>
      </c>
      <c r="N234" s="34" t="str">
        <f t="shared" si="33"/>
        <v/>
      </c>
      <c r="O234" s="17"/>
    </row>
    <row r="235" spans="1:15">
      <c r="A235" s="4" t="s">
        <v>1335</v>
      </c>
      <c r="B235" s="34">
        <f t="shared" si="34"/>
        <v>0</v>
      </c>
      <c r="C235" s="34">
        <f t="shared" si="35"/>
        <v>0</v>
      </c>
      <c r="D235" s="34">
        <f t="shared" si="25"/>
        <v>0</v>
      </c>
      <c r="E235" s="34">
        <f t="shared" si="26"/>
        <v>0</v>
      </c>
      <c r="F235" s="39">
        <f t="shared" si="27"/>
        <v>37</v>
      </c>
      <c r="G235" s="33">
        <v>96</v>
      </c>
      <c r="H235" s="39">
        <f t="shared" ref="H235:H238" si="36">F235*99+G235</f>
        <v>3759</v>
      </c>
      <c r="I235" s="39">
        <f t="shared" si="28"/>
        <v>72</v>
      </c>
      <c r="J235" s="39">
        <f t="shared" si="29"/>
        <v>28</v>
      </c>
      <c r="K235" s="34">
        <f t="shared" si="30"/>
        <v>5.4635494100859852</v>
      </c>
      <c r="L235" s="34">
        <f t="shared" si="31"/>
        <v>184939508.237587</v>
      </c>
      <c r="M235" s="34">
        <f t="shared" si="32"/>
        <v>904176118.04828846</v>
      </c>
      <c r="N235" s="34" t="str">
        <f t="shared" si="33"/>
        <v/>
      </c>
      <c r="O235" s="17"/>
    </row>
    <row r="236" spans="1:15">
      <c r="A236" s="4" t="s">
        <v>1336</v>
      </c>
      <c r="B236" s="34">
        <f t="shared" si="34"/>
        <v>0</v>
      </c>
      <c r="C236" s="34">
        <f t="shared" si="35"/>
        <v>0</v>
      </c>
      <c r="D236" s="34">
        <f t="shared" ref="D236:D238" si="37">IF(ISERROR(B236),C236,0)</f>
        <v>0</v>
      </c>
      <c r="E236" s="34">
        <f t="shared" si="26"/>
        <v>0</v>
      </c>
      <c r="F236" s="39">
        <f t="shared" si="27"/>
        <v>37</v>
      </c>
      <c r="G236" s="33">
        <v>97</v>
      </c>
      <c r="H236" s="39">
        <f t="shared" si="36"/>
        <v>3760</v>
      </c>
      <c r="I236" s="39">
        <f t="shared" ref="I236:I238" si="38">RANK(H236,H$140:H$238,1)</f>
        <v>73</v>
      </c>
      <c r="J236" s="39">
        <f t="shared" ref="J236:J238" si="39">MATCH(G236,I$140:I$238,0)</f>
        <v>29</v>
      </c>
      <c r="K236" s="34">
        <f t="shared" ref="K236:K238" si="40">INDEX(B$140:B$238,J236,1)</f>
        <v>5.4635494100859852</v>
      </c>
      <c r="L236" s="34">
        <f t="shared" si="31"/>
        <v>184939508.237587</v>
      </c>
      <c r="M236" s="34">
        <f t="shared" si="32"/>
        <v>904176118.04828846</v>
      </c>
      <c r="N236" s="34" t="str">
        <f t="shared" ref="N236:N238" si="41">IF((M235&gt;0)=(M236&gt;0),"",K236-M236/L235)</f>
        <v/>
      </c>
      <c r="O236" s="17"/>
    </row>
    <row r="237" spans="1:15">
      <c r="A237" s="4" t="s">
        <v>1337</v>
      </c>
      <c r="B237" s="34">
        <f t="shared" si="34"/>
        <v>6.7871491064582692E-2</v>
      </c>
      <c r="C237" s="34">
        <f t="shared" si="35"/>
        <v>0</v>
      </c>
      <c r="D237" s="34">
        <f t="shared" si="37"/>
        <v>0</v>
      </c>
      <c r="E237" s="34">
        <f t="shared" si="26"/>
        <v>0</v>
      </c>
      <c r="F237" s="39">
        <f t="shared" si="27"/>
        <v>74</v>
      </c>
      <c r="G237" s="33">
        <v>98</v>
      </c>
      <c r="H237" s="39">
        <f t="shared" si="36"/>
        <v>7424</v>
      </c>
      <c r="I237" s="39">
        <f t="shared" si="38"/>
        <v>74</v>
      </c>
      <c r="J237" s="39">
        <f t="shared" si="39"/>
        <v>24</v>
      </c>
      <c r="K237" s="34">
        <f t="shared" si="40"/>
        <v>6.7208912071231417</v>
      </c>
      <c r="L237" s="34">
        <f t="shared" si="31"/>
        <v>184939508.237587</v>
      </c>
      <c r="M237" s="34">
        <f t="shared" si="32"/>
        <v>1136708291.6789041</v>
      </c>
      <c r="N237" s="34" t="str">
        <f t="shared" si="41"/>
        <v/>
      </c>
      <c r="O237" s="17"/>
    </row>
    <row r="238" spans="1:15">
      <c r="A238" s="4" t="s">
        <v>1338</v>
      </c>
      <c r="B238" s="34">
        <f t="shared" si="34"/>
        <v>6.7871491064582692E-2</v>
      </c>
      <c r="C238" s="34">
        <f t="shared" si="35"/>
        <v>0</v>
      </c>
      <c r="D238" s="34">
        <f t="shared" si="37"/>
        <v>0</v>
      </c>
      <c r="E238" s="34">
        <f t="shared" si="26"/>
        <v>0</v>
      </c>
      <c r="F238" s="39">
        <f t="shared" si="27"/>
        <v>74</v>
      </c>
      <c r="G238" s="33">
        <v>99</v>
      </c>
      <c r="H238" s="39">
        <f t="shared" si="36"/>
        <v>7425</v>
      </c>
      <c r="I238" s="39">
        <f t="shared" si="38"/>
        <v>75</v>
      </c>
      <c r="J238" s="39">
        <f t="shared" si="39"/>
        <v>25</v>
      </c>
      <c r="K238" s="34">
        <f t="shared" si="40"/>
        <v>6.7208912071231417</v>
      </c>
      <c r="L238" s="34">
        <f t="shared" si="31"/>
        <v>184939508.237587</v>
      </c>
      <c r="M238" s="34">
        <f t="shared" si="32"/>
        <v>1136708291.6789041</v>
      </c>
      <c r="N238" s="34" t="str">
        <f t="shared" si="41"/>
        <v/>
      </c>
      <c r="O238" s="17"/>
    </row>
    <row r="240" spans="1:15" ht="21" customHeight="1">
      <c r="A240" s="1" t="s">
        <v>1339</v>
      </c>
    </row>
    <row r="241" spans="1:3">
      <c r="A241" s="2" t="s">
        <v>379</v>
      </c>
    </row>
    <row r="242" spans="1:3">
      <c r="A242" s="29" t="s">
        <v>1340</v>
      </c>
    </row>
    <row r="243" spans="1:3">
      <c r="A243" s="2" t="s">
        <v>1341</v>
      </c>
    </row>
    <row r="245" spans="1:3" ht="30">
      <c r="B245" s="15" t="s">
        <v>1342</v>
      </c>
    </row>
    <row r="246" spans="1:3">
      <c r="A246" s="4" t="s">
        <v>1342</v>
      </c>
      <c r="B246" s="34">
        <f>MIN($N$139:$N$238)</f>
        <v>0.57451230457623836</v>
      </c>
      <c r="C246" s="17"/>
    </row>
    <row r="248" spans="1:3" ht="21" customHeight="1">
      <c r="A248" s="1" t="s">
        <v>1343</v>
      </c>
    </row>
    <row r="249" spans="1:3">
      <c r="A249" s="2" t="s">
        <v>379</v>
      </c>
    </row>
    <row r="250" spans="1:3">
      <c r="A250" s="29" t="s">
        <v>1078</v>
      </c>
    </row>
    <row r="251" spans="1:3">
      <c r="A251" s="29" t="s">
        <v>1344</v>
      </c>
    </row>
    <row r="252" spans="1:3">
      <c r="A252" s="29" t="s">
        <v>1345</v>
      </c>
    </row>
    <row r="253" spans="1:3">
      <c r="A253" s="29" t="s">
        <v>1346</v>
      </c>
    </row>
    <row r="254" spans="1:3">
      <c r="A254" s="29" t="s">
        <v>1347</v>
      </c>
    </row>
    <row r="255" spans="1:3">
      <c r="A255" s="29" t="s">
        <v>1348</v>
      </c>
    </row>
    <row r="256" spans="1:3">
      <c r="A256" s="29" t="s">
        <v>1349</v>
      </c>
    </row>
    <row r="257" spans="1:6">
      <c r="A257" s="29" t="s">
        <v>1350</v>
      </c>
    </row>
    <row r="258" spans="1:6">
      <c r="A258" s="29" t="s">
        <v>1351</v>
      </c>
    </row>
    <row r="259" spans="1:6">
      <c r="A259" s="29" t="s">
        <v>1352</v>
      </c>
    </row>
    <row r="260" spans="1:6">
      <c r="A260" s="29" t="s">
        <v>1353</v>
      </c>
    </row>
    <row r="261" spans="1:6">
      <c r="A261" s="30" t="s">
        <v>382</v>
      </c>
      <c r="B261" s="30" t="s">
        <v>512</v>
      </c>
      <c r="C261" s="30" t="s">
        <v>512</v>
      </c>
      <c r="D261" s="30" t="s">
        <v>512</v>
      </c>
      <c r="E261" s="30" t="s">
        <v>512</v>
      </c>
    </row>
    <row r="262" spans="1:6" ht="30">
      <c r="A262" s="30" t="s">
        <v>385</v>
      </c>
      <c r="B262" s="30" t="s">
        <v>1354</v>
      </c>
      <c r="C262" s="30" t="s">
        <v>1355</v>
      </c>
      <c r="D262" s="30" t="s">
        <v>1356</v>
      </c>
      <c r="E262" s="30" t="s">
        <v>1357</v>
      </c>
    </row>
    <row r="264" spans="1:6" ht="30">
      <c r="B264" s="15" t="s">
        <v>1358</v>
      </c>
      <c r="C264" s="15" t="s">
        <v>1359</v>
      </c>
      <c r="D264" s="15" t="s">
        <v>1360</v>
      </c>
      <c r="E264" s="15" t="s">
        <v>1361</v>
      </c>
    </row>
    <row r="265" spans="1:6">
      <c r="A265" s="4" t="s">
        <v>180</v>
      </c>
      <c r="B265" s="34">
        <f>IF(Loads!$B46&lt;0,0,MAX($B$246,$B12))</f>
        <v>0.57451230457623836</v>
      </c>
      <c r="C265" s="10"/>
      <c r="D265" s="10"/>
      <c r="E265" s="39">
        <f>0+10*($B265*Loads!B334+$C265*Loads!C334+$D265*Loads!D334)</f>
        <v>37603927.095027983</v>
      </c>
      <c r="F265" s="17"/>
    </row>
    <row r="266" spans="1:6">
      <c r="A266" s="4" t="s">
        <v>181</v>
      </c>
      <c r="B266" s="34">
        <f>IF(Loads!$B47&lt;0,0,MAX($B$246,$B13))</f>
        <v>0.57451230457623836</v>
      </c>
      <c r="C266" s="34">
        <f>IF(Loads!$B47&lt;0,0,MAX($B$246,$C13))</f>
        <v>0.57451230457623836</v>
      </c>
      <c r="D266" s="10"/>
      <c r="E266" s="39">
        <f>0+10*($B266*Loads!B335+$C266*Loads!C335+$D266*Loads!D335)</f>
        <v>5393869.9955856688</v>
      </c>
      <c r="F266" s="17"/>
    </row>
    <row r="267" spans="1:6">
      <c r="A267" s="4" t="s">
        <v>226</v>
      </c>
      <c r="B267" s="34">
        <f>IF(Loads!$B48&lt;0,0,MAX($B$246,$B14))</f>
        <v>0.57451230457623836</v>
      </c>
      <c r="C267" s="10"/>
      <c r="D267" s="10"/>
      <c r="E267" s="39">
        <f>0+10*($B267*Loads!B336+$C267*Loads!C336+$D267*Loads!D336)</f>
        <v>82037.496564426168</v>
      </c>
      <c r="F267" s="17"/>
    </row>
    <row r="268" spans="1:6">
      <c r="A268" s="4" t="s">
        <v>182</v>
      </c>
      <c r="B268" s="34">
        <f>IF(Loads!$B49&lt;0,0,MAX($B$246,$B15))</f>
        <v>0.57451230457623836</v>
      </c>
      <c r="C268" s="10"/>
      <c r="D268" s="10"/>
      <c r="E268" s="39">
        <f>0+10*($B268*Loads!B337+$C268*Loads!C337+$D268*Loads!D337)</f>
        <v>8626320.5753140543</v>
      </c>
      <c r="F268" s="17"/>
    </row>
    <row r="269" spans="1:6">
      <c r="A269" s="4" t="s">
        <v>183</v>
      </c>
      <c r="B269" s="34">
        <f>IF(Loads!$B50&lt;0,0,MAX($B$246,$B16))</f>
        <v>0.57451230457623836</v>
      </c>
      <c r="C269" s="34">
        <f>IF(Loads!$B50&lt;0,0,MAX($B$246,$C16))</f>
        <v>0.57451230457623836</v>
      </c>
      <c r="D269" s="10"/>
      <c r="E269" s="39">
        <f>0+10*($B269*Loads!B338+$C269*Loads!C338+$D269*Loads!D338)</f>
        <v>4180591.2022792459</v>
      </c>
      <c r="F269" s="17"/>
    </row>
    <row r="270" spans="1:6">
      <c r="A270" s="4" t="s">
        <v>227</v>
      </c>
      <c r="B270" s="34">
        <f>IF(Loads!$B51&lt;0,0,MAX($B$246,$B17))</f>
        <v>0.57451230457623836</v>
      </c>
      <c r="C270" s="10"/>
      <c r="D270" s="10"/>
      <c r="E270" s="39">
        <f>0+10*($B270*Loads!B339+$C270*Loads!C339+$D270*Loads!D339)</f>
        <v>116296.39502358597</v>
      </c>
      <c r="F270" s="17"/>
    </row>
    <row r="271" spans="1:6">
      <c r="A271" s="4" t="s">
        <v>184</v>
      </c>
      <c r="B271" s="34">
        <f>IF(Loads!$B52&lt;0,0,MAX($B$246,$B18))</f>
        <v>0.57451230457623836</v>
      </c>
      <c r="C271" s="34">
        <f>IF(Loads!$B52&lt;0,0,MAX($B$246,$C18))</f>
        <v>0.57451230457623836</v>
      </c>
      <c r="D271" s="10"/>
      <c r="E271" s="39">
        <f>0+10*($B271*Loads!B340+$C271*Loads!C340+$D271*Loads!D340)</f>
        <v>467.48520488187472</v>
      </c>
      <c r="F271" s="17"/>
    </row>
    <row r="272" spans="1:6">
      <c r="A272" s="4" t="s">
        <v>185</v>
      </c>
      <c r="B272" s="34">
        <f>IF(Loads!$B53&lt;0,0,MAX($B$246,$B19))</f>
        <v>0.57451230457623836</v>
      </c>
      <c r="C272" s="34">
        <f>IF(Loads!$B53&lt;0,0,MAX($B$246,$C19))</f>
        <v>0.57451230457623836</v>
      </c>
      <c r="D272" s="10"/>
      <c r="E272" s="39">
        <f>0+10*($B272*Loads!B341+$C272*Loads!C341+$D272*Loads!D341)</f>
        <v>2.4359301630768764</v>
      </c>
      <c r="F272" s="17"/>
    </row>
    <row r="273" spans="1:6">
      <c r="A273" s="4" t="s">
        <v>205</v>
      </c>
      <c r="B273" s="34">
        <f>IF(Loads!$B54&lt;0,0,MAX($B$246,$B20))</f>
        <v>0.57451230457623836</v>
      </c>
      <c r="C273" s="34">
        <f>IF(Loads!$B54&lt;0,0,MAX($B$246,$C20))</f>
        <v>0.57451230457623836</v>
      </c>
      <c r="D273" s="10"/>
      <c r="E273" s="39">
        <f>0+10*($B273*Loads!B342+$C273*Loads!C342+$D273*Loads!D342)</f>
        <v>9.2308935399966572</v>
      </c>
      <c r="F273" s="17"/>
    </row>
    <row r="274" spans="1:6">
      <c r="A274" s="4" t="s">
        <v>186</v>
      </c>
      <c r="B274" s="34">
        <f>IF(Loads!$B55&lt;0,0,MAX($B$246,$B21))</f>
        <v>0.57451230457623836</v>
      </c>
      <c r="C274" s="34">
        <f>IF(Loads!$B55&lt;0,0,MAX($B$246,$C21))</f>
        <v>0.57451230457623836</v>
      </c>
      <c r="D274" s="34">
        <f>IF(Loads!$B55&lt;0,0,MAX($B$246,$D21))</f>
        <v>0.57451230457623836</v>
      </c>
      <c r="E274" s="39">
        <f>0+10*($B274*Loads!B343+$C274*Loads!C343+$D274*Loads!D343)</f>
        <v>3771.8716060132947</v>
      </c>
      <c r="F274" s="17"/>
    </row>
    <row r="275" spans="1:6">
      <c r="A275" s="4" t="s">
        <v>187</v>
      </c>
      <c r="B275" s="34">
        <f>IF(Loads!$B56&lt;0,0,MAX($B$246,$B22))</f>
        <v>0.57451230457623836</v>
      </c>
      <c r="C275" s="34">
        <f>IF(Loads!$B56&lt;0,0,MAX($B$246,$C22))</f>
        <v>0.57451230457623836</v>
      </c>
      <c r="D275" s="34">
        <f>IF(Loads!$B56&lt;0,0,MAX($B$246,$D22))</f>
        <v>0.57451230457623836</v>
      </c>
      <c r="E275" s="39">
        <f>0+10*($B275*Loads!B344+$C275*Loads!C344+$D275*Loads!D344)</f>
        <v>1241308.8656869731</v>
      </c>
      <c r="F275" s="17"/>
    </row>
    <row r="276" spans="1:6">
      <c r="A276" s="4" t="s">
        <v>188</v>
      </c>
      <c r="B276" s="34">
        <f>IF(Loads!$B57&lt;0,0,MAX($B$246,$B23))</f>
        <v>0.57451230457623836</v>
      </c>
      <c r="C276" s="34">
        <f>IF(Loads!$B57&lt;0,0,MAX($B$246,$C23))</f>
        <v>0.57451230457623836</v>
      </c>
      <c r="D276" s="34">
        <f>IF(Loads!$B57&lt;0,0,MAX($B$246,$D23))</f>
        <v>0.57451230457623836</v>
      </c>
      <c r="E276" s="39">
        <f>0+10*($B276*Loads!B345+$C276*Loads!C345+$D276*Loads!D345)</f>
        <v>14041729.470408158</v>
      </c>
      <c r="F276" s="17"/>
    </row>
    <row r="277" spans="1:6">
      <c r="A277" s="4" t="s">
        <v>189</v>
      </c>
      <c r="B277" s="34">
        <f>IF(Loads!$B58&lt;0,0,MAX($B$246,$B24))</f>
        <v>0.57451230457623836</v>
      </c>
      <c r="C277" s="34">
        <f>IF(Loads!$B58&lt;0,0,MAX($B$246,$C24))</f>
        <v>0.57451230457623836</v>
      </c>
      <c r="D277" s="34">
        <f>IF(Loads!$B58&lt;0,0,MAX($B$246,$D24))</f>
        <v>0.57451230457623836</v>
      </c>
      <c r="E277" s="39">
        <f>0+10*($B277*Loads!B346+$C277*Loads!C346+$D277*Loads!D346)</f>
        <v>7013330.616381567</v>
      </c>
      <c r="F277" s="17"/>
    </row>
    <row r="278" spans="1:6">
      <c r="A278" s="4" t="s">
        <v>206</v>
      </c>
      <c r="B278" s="34">
        <f>IF(Loads!$B59&lt;0,0,MAX($B$246,$B25))</f>
        <v>0.57451230457623836</v>
      </c>
      <c r="C278" s="34">
        <f>IF(Loads!$B59&lt;0,0,MAX($B$246,$C25))</f>
        <v>0.57451230457623836</v>
      </c>
      <c r="D278" s="34">
        <f>IF(Loads!$B59&lt;0,0,MAX($B$246,$D25))</f>
        <v>0.57451230457623836</v>
      </c>
      <c r="E278" s="39">
        <f>0+10*($B278*Loads!B347+$C278*Loads!C347+$D278*Loads!D347)</f>
        <v>26549977.537362318</v>
      </c>
      <c r="F278" s="17"/>
    </row>
    <row r="279" spans="1:6">
      <c r="A279" s="4" t="s">
        <v>228</v>
      </c>
      <c r="B279" s="34">
        <f>IF(Loads!$B60&lt;0,0,MAX($B$246,$B26))</f>
        <v>0.57451230457623836</v>
      </c>
      <c r="C279" s="10"/>
      <c r="D279" s="10"/>
      <c r="E279" s="39">
        <f>0+10*($B279*Loads!B348+$C279*Loads!C348+$D279*Loads!D348)</f>
        <v>100346.59927415772</v>
      </c>
      <c r="F279" s="17"/>
    </row>
    <row r="280" spans="1:6">
      <c r="A280" s="4" t="s">
        <v>229</v>
      </c>
      <c r="B280" s="34">
        <f>IF(Loads!$B61&lt;0,0,MAX($B$246,$B27))</f>
        <v>0.57451230457623836</v>
      </c>
      <c r="C280" s="10"/>
      <c r="D280" s="10"/>
      <c r="E280" s="39">
        <f>0+10*($B280*Loads!B349+$C280*Loads!C349+$D280*Loads!D349)</f>
        <v>53558.021833736522</v>
      </c>
      <c r="F280" s="17"/>
    </row>
    <row r="281" spans="1:6">
      <c r="A281" s="4" t="s">
        <v>230</v>
      </c>
      <c r="B281" s="34">
        <f>IF(Loads!$B62&lt;0,0,MAX($B$246,$B28))</f>
        <v>0.57451230457623836</v>
      </c>
      <c r="C281" s="10"/>
      <c r="D281" s="10"/>
      <c r="E281" s="39">
        <f>0+10*($B281*Loads!B350+$C281*Loads!C350+$D281*Loads!D350)</f>
        <v>2362.664217046402</v>
      </c>
      <c r="F281" s="17"/>
    </row>
    <row r="282" spans="1:6">
      <c r="A282" s="4" t="s">
        <v>231</v>
      </c>
      <c r="B282" s="34">
        <f>IF(Loads!$B63&lt;0,0,MAX($B$246,$B29))</f>
        <v>0.57451230457623836</v>
      </c>
      <c r="C282" s="10"/>
      <c r="D282" s="10"/>
      <c r="E282" s="39">
        <f>0+10*($B282*Loads!B351+$C282*Loads!C351+$D282*Loads!D351)</f>
        <v>0.29533302713080023</v>
      </c>
      <c r="F282" s="17"/>
    </row>
    <row r="283" spans="1:6">
      <c r="A283" s="4" t="s">
        <v>232</v>
      </c>
      <c r="B283" s="34">
        <f>IF(Loads!$B64&lt;0,0,MAX($B$246,$B30))</f>
        <v>0.57451230457623836</v>
      </c>
      <c r="C283" s="34">
        <f>IF(Loads!$B64&lt;0,0,MAX($B$246,$C30))</f>
        <v>0.57451230457623836</v>
      </c>
      <c r="D283" s="34">
        <f>IF(Loads!$B64&lt;0,0,MAX($B$246,$D30))</f>
        <v>0.57451230457623836</v>
      </c>
      <c r="E283" s="39">
        <f>0+10*($B283*Loads!B352+$C283*Loads!C352+$D283*Loads!D352)</f>
        <v>1240115.2308457771</v>
      </c>
      <c r="F283" s="17"/>
    </row>
    <row r="284" spans="1:6">
      <c r="A284" s="4" t="s">
        <v>190</v>
      </c>
      <c r="B284" s="34">
        <f>IF(Loads!$B65&lt;0,0,MAX($B$246,$B31))</f>
        <v>0</v>
      </c>
      <c r="C284" s="10"/>
      <c r="D284" s="10"/>
      <c r="E284" s="39">
        <f>0+10*($B284*Loads!B353+$C284*Loads!C353+$D284*Loads!D353)</f>
        <v>0</v>
      </c>
      <c r="F284" s="17"/>
    </row>
    <row r="285" spans="1:6">
      <c r="A285" s="4" t="s">
        <v>191</v>
      </c>
      <c r="B285" s="34">
        <f>IF(Loads!$B66&lt;0,0,MAX($B$246,$B32))</f>
        <v>0</v>
      </c>
      <c r="C285" s="10"/>
      <c r="D285" s="10"/>
      <c r="E285" s="39">
        <f>0+10*($B285*Loads!B354+$C285*Loads!C354+$D285*Loads!D354)</f>
        <v>0</v>
      </c>
      <c r="F285" s="17"/>
    </row>
    <row r="286" spans="1:6">
      <c r="A286" s="4" t="s">
        <v>192</v>
      </c>
      <c r="B286" s="34">
        <f>IF(Loads!$B67&lt;0,0,MAX($B$246,$B33))</f>
        <v>0</v>
      </c>
      <c r="C286" s="10"/>
      <c r="D286" s="10"/>
      <c r="E286" s="39">
        <f>0+10*($B286*Loads!B355+$C286*Loads!C355+$D286*Loads!D355)</f>
        <v>0</v>
      </c>
      <c r="F286" s="17"/>
    </row>
    <row r="287" spans="1:6">
      <c r="A287" s="4" t="s">
        <v>193</v>
      </c>
      <c r="B287" s="34">
        <f>IF(Loads!$B68&lt;0,0,MAX($B$246,$B34))</f>
        <v>0</v>
      </c>
      <c r="C287" s="10"/>
      <c r="D287" s="10"/>
      <c r="E287" s="39">
        <f>0+10*($B287*Loads!B356+$C287*Loads!C356+$D287*Loads!D356)</f>
        <v>0</v>
      </c>
      <c r="F287" s="17"/>
    </row>
    <row r="288" spans="1:6">
      <c r="A288" s="4" t="s">
        <v>194</v>
      </c>
      <c r="B288" s="34">
        <f>IF(Loads!$B69&lt;0,0,MAX($B$246,$B35))</f>
        <v>0</v>
      </c>
      <c r="C288" s="34">
        <f>IF(Loads!$B69&lt;0,0,MAX($B$246,$C35))</f>
        <v>0</v>
      </c>
      <c r="D288" s="34">
        <f>IF(Loads!$B69&lt;0,0,MAX($B$246,$D35))</f>
        <v>0</v>
      </c>
      <c r="E288" s="39">
        <f>0+10*($B288*Loads!B357+$C288*Loads!C357+$D288*Loads!D357)</f>
        <v>0</v>
      </c>
      <c r="F288" s="17"/>
    </row>
    <row r="289" spans="1:6">
      <c r="A289" s="4" t="s">
        <v>195</v>
      </c>
      <c r="B289" s="34">
        <f>IF(Loads!$B70&lt;0,0,MAX($B$246,$B36))</f>
        <v>0</v>
      </c>
      <c r="C289" s="34">
        <f>IF(Loads!$B70&lt;0,0,MAX($B$246,$C36))</f>
        <v>0</v>
      </c>
      <c r="D289" s="34">
        <f>IF(Loads!$B70&lt;0,0,MAX($B$246,$D36))</f>
        <v>0</v>
      </c>
      <c r="E289" s="39">
        <f>0+10*($B289*Loads!B358+$C289*Loads!C358+$D289*Loads!D358)</f>
        <v>0</v>
      </c>
      <c r="F289" s="17"/>
    </row>
    <row r="290" spans="1:6">
      <c r="A290" s="4" t="s">
        <v>196</v>
      </c>
      <c r="B290" s="34">
        <f>IF(Loads!$B71&lt;0,0,MAX($B$246,$B37))</f>
        <v>0</v>
      </c>
      <c r="C290" s="10"/>
      <c r="D290" s="10"/>
      <c r="E290" s="39">
        <f>0+10*($B290*Loads!B359+$C290*Loads!C359+$D290*Loads!D359)</f>
        <v>0</v>
      </c>
      <c r="F290" s="17"/>
    </row>
    <row r="291" spans="1:6">
      <c r="A291" s="4" t="s">
        <v>197</v>
      </c>
      <c r="B291" s="34">
        <f>IF(Loads!$B72&lt;0,0,MAX($B$246,$B38))</f>
        <v>0</v>
      </c>
      <c r="C291" s="10"/>
      <c r="D291" s="10"/>
      <c r="E291" s="39">
        <f>0+10*($B291*Loads!B360+$C291*Loads!C360+$D291*Loads!D360)</f>
        <v>0</v>
      </c>
      <c r="F291" s="17"/>
    </row>
    <row r="292" spans="1:6">
      <c r="A292" s="4" t="s">
        <v>198</v>
      </c>
      <c r="B292" s="34">
        <f>IF(Loads!$B73&lt;0,0,MAX($B$246,$B39))</f>
        <v>0</v>
      </c>
      <c r="C292" s="34">
        <f>IF(Loads!$B73&lt;0,0,MAX($B$246,$C39))</f>
        <v>0</v>
      </c>
      <c r="D292" s="34">
        <f>IF(Loads!$B73&lt;0,0,MAX($B$246,$D39))</f>
        <v>0</v>
      </c>
      <c r="E292" s="39">
        <f>0+10*($B292*Loads!B361+$C292*Loads!C361+$D292*Loads!D361)</f>
        <v>0</v>
      </c>
      <c r="F292" s="17"/>
    </row>
    <row r="293" spans="1:6">
      <c r="A293" s="4" t="s">
        <v>199</v>
      </c>
      <c r="B293" s="34">
        <f>IF(Loads!$B74&lt;0,0,MAX($B$246,$B40))</f>
        <v>0</v>
      </c>
      <c r="C293" s="34">
        <f>IF(Loads!$B74&lt;0,0,MAX($B$246,$C40))</f>
        <v>0</v>
      </c>
      <c r="D293" s="34">
        <f>IF(Loads!$B74&lt;0,0,MAX($B$246,$D40))</f>
        <v>0</v>
      </c>
      <c r="E293" s="39">
        <f>0+10*($B293*Loads!B362+$C293*Loads!C362+$D293*Loads!D362)</f>
        <v>0</v>
      </c>
      <c r="F293" s="17"/>
    </row>
    <row r="294" spans="1:6">
      <c r="A294" s="4" t="s">
        <v>207</v>
      </c>
      <c r="B294" s="34">
        <f>IF(Loads!$B75&lt;0,0,MAX($B$246,$B41))</f>
        <v>0</v>
      </c>
      <c r="C294" s="10"/>
      <c r="D294" s="10"/>
      <c r="E294" s="39">
        <f>0+10*($B294*Loads!B363+$C294*Loads!C363+$D294*Loads!D363)</f>
        <v>0</v>
      </c>
      <c r="F294" s="17"/>
    </row>
    <row r="295" spans="1:6">
      <c r="A295" s="4" t="s">
        <v>208</v>
      </c>
      <c r="B295" s="34">
        <f>IF(Loads!$B76&lt;0,0,MAX($B$246,$B42))</f>
        <v>0</v>
      </c>
      <c r="C295" s="10"/>
      <c r="D295" s="10"/>
      <c r="E295" s="39">
        <f>0+10*($B295*Loads!B364+$C295*Loads!C364+$D295*Loads!D364)</f>
        <v>0</v>
      </c>
      <c r="F295" s="17"/>
    </row>
    <row r="296" spans="1:6">
      <c r="A296" s="4" t="s">
        <v>209</v>
      </c>
      <c r="B296" s="34">
        <f>IF(Loads!$B77&lt;0,0,MAX($B$246,$B43))</f>
        <v>0</v>
      </c>
      <c r="C296" s="34">
        <f>IF(Loads!$B77&lt;0,0,MAX($B$246,$C43))</f>
        <v>0</v>
      </c>
      <c r="D296" s="34">
        <f>IF(Loads!$B77&lt;0,0,MAX($B$246,$D43))</f>
        <v>0</v>
      </c>
      <c r="E296" s="39">
        <f>0+10*($B296*Loads!B365+$C296*Loads!C365+$D296*Loads!D365)</f>
        <v>0</v>
      </c>
      <c r="F296" s="17"/>
    </row>
    <row r="297" spans="1:6">
      <c r="A297" s="4" t="s">
        <v>210</v>
      </c>
      <c r="B297" s="34">
        <f>IF(Loads!$B78&lt;0,0,MAX($B$246,$B44))</f>
        <v>0</v>
      </c>
      <c r="C297" s="34">
        <f>IF(Loads!$B78&lt;0,0,MAX($B$246,$C44))</f>
        <v>0</v>
      </c>
      <c r="D297" s="34">
        <f>IF(Loads!$B78&lt;0,0,MAX($B$246,$D44))</f>
        <v>0</v>
      </c>
      <c r="E297" s="39">
        <f>0+10*($B297*Loads!B366+$C297*Loads!C366+$D297*Loads!D366)</f>
        <v>0</v>
      </c>
      <c r="F297" s="17"/>
    </row>
  </sheetData>
  <sheetProtection sheet="1" objects="1" scenarios="1"/>
  <hyperlinks>
    <hyperlink ref="A5" location="'Aggreg'!B314" display="x1 = 3308. Unit rate 1 p/kWh (total) (in Summary of charges before revenue matching)"/>
    <hyperlink ref="A6" location="'Aggreg'!C314" display="x2 = 3308. Unit rate 2 p/kWh (total) (in Summary of charges before revenue matching)"/>
    <hyperlink ref="A7" location="'Aggreg'!D314" display="x3 = 3308. Unit rate 3 p/kWh (total) (in Summary of charges before revenue matching)"/>
    <hyperlink ref="A48" location="'Loads'!B45" display="x1 = 2302. Load coefficient"/>
    <hyperlink ref="A49" location="'Loads'!B333" display="x2 = 2305. Rate 1 units (MWh) (in Equivalent volume for each end user)"/>
    <hyperlink ref="A50" location="'Loads'!C333" display="x3 = 2305. Rate 2 units (MWh) (in Equivalent volume for each end user)"/>
    <hyperlink ref="A51" location="'Loads'!D333" display="x4 = 2305. Rate 3 units (MWh) (in Equivalent volume for each end user)"/>
    <hyperlink ref="A92" location="'Revenue'!C76" display="x1 = 3403. Revenue shortfall (surplus) £ (in Revenue surplus or shortfall)"/>
    <hyperlink ref="A93" location="'Adder'!B55" display="x2 = 3502. Effect through Unit rate 1 p/kWh (in Marginal revenue effect of adder)"/>
    <hyperlink ref="A94" location="'Adder'!C55" display="x3 = 3502. Effect through Unit rate 2 p/kWh (in Marginal revenue effect of adder)"/>
    <hyperlink ref="A95" location="'Adder'!D55" display="x4 = 3502. Effect through Unit rate 3 p/kWh (in Marginal revenue effect of adder)"/>
    <hyperlink ref="A103" location="'Adder'!B98" display="x1 = 3503. Constraint-free solution"/>
    <hyperlink ref="A104" location="'Adder'!B11" display="x2 = 3501. Adder threshold for Unit rate 1 p/kWh (in Adder value at which the minimum is breached)"/>
    <hyperlink ref="A105" location="'Adder'!C11" display="x3 = 3501. Adder threshold for Unit rate 2 p/kWh (in Adder value at which the minimum is breached)"/>
    <hyperlink ref="A106" location="'Adder'!D11" display="x4 = 3501. Adder threshold for Unit rate 3 p/kWh (in Adder value at which the minimum is breached)"/>
    <hyperlink ref="A114" location="'Adder'!B109" display="x1 = 3504. Starting point"/>
    <hyperlink ref="A115" location="'Adder'!B11" display="x2 = 3501. Adder threshold for Unit rate 1 p/kWh (in Adder value at which the minimum is breached)"/>
    <hyperlink ref="A116" location="'Adder'!C11" display="x3 = 3501. Adder threshold for Unit rate 2 p/kWh (in Adder value at which the minimum is breached)"/>
    <hyperlink ref="A117" location="'Adder'!D11" display="x4 = 3501. Adder threshold for Unit rate 3 p/kWh (in Adder value at which the minimum is breached)"/>
    <hyperlink ref="A118" location="'Adder'!B55" display="x5 = 3502. Effect through Unit rate 1 p/kWh (in Marginal revenue effect of adder)"/>
    <hyperlink ref="A119" location="'Adder'!C55" display="x6 = 3502. Effect through Unit rate 2 p/kWh (in Marginal revenue effect of adder)"/>
    <hyperlink ref="A120" location="'Adder'!D55" display="x7 = 3502. Effect through Unit rate 3 p/kWh (in Marginal revenue effect of adder)"/>
    <hyperlink ref="A121" location="'Adder'!B138" display="x8 = Location (in Solve for General adder rate (p/kWh))"/>
    <hyperlink ref="A122" location="'Adder'!C138" display="x9 = Kink (in Solve for General adder rate (p/kWh))"/>
    <hyperlink ref="A123" location="'Adder'!F138" display="x10 = Ranking before tie break (in Solve for General adder rate (p/kWh))"/>
    <hyperlink ref="A124" location="'Adder'!G138" display="x11 = Counter (in Solve for General adder rate (p/kWh))"/>
    <hyperlink ref="A125" location="'Adder'!H138" display="x12 = Tie breaker (in Solve for General adder rate (p/kWh))"/>
    <hyperlink ref="A126" location="'Adder'!I138" display="x13 = Ranking (in Solve for General adder rate (p/kWh))"/>
    <hyperlink ref="A127" location="'Adder'!J138" display="x14 = Kink reordering (in Solve for General adder rate (p/kWh))"/>
    <hyperlink ref="A128" location="'Adder'!D138" display="x15 = Starting slope contributions (in Solve for General adder rate (p/kWh))"/>
    <hyperlink ref="A129" location="'Adder'!L138" display="x16 = New slope (in Solve for General adder rate (p/kWh))"/>
    <hyperlink ref="A130" location="'Adder'!K138" display="x17 = Location (ordered) (in Solve for General adder rate (p/kWh))"/>
    <hyperlink ref="A131" location="'Adder'!E138" display="x18 = Starting values (in Solve for General adder rate (p/kWh))"/>
    <hyperlink ref="A132" location="'Revenue'!C76" display="x19 = 3403. Revenue shortfall (surplus) £ (in Revenue surplus or shortfall)"/>
    <hyperlink ref="A133" location="'Adder'!B98" display="x20 = 3503. Constraint-free solution"/>
    <hyperlink ref="A134" location="'Adder'!M138" display="x21 = Value (in Solve for General adder rate (p/kWh))"/>
    <hyperlink ref="A242" location="'Adder'!N138" display="x1 = 3505. Root (in Solve for General adder rate (p/kWh))"/>
    <hyperlink ref="A250" location="'Loads'!B45" display="x1 = 2302. Load coefficient"/>
    <hyperlink ref="A251" location="'Adder'!B245" display="x2 = 3506. General adder rate (p/kWh)"/>
    <hyperlink ref="A252" location="'Adder'!B11" display="x3 = 3501. Adder threshold for Unit rate 1 p/kWh (in Adder value at which the minimum is breached)"/>
    <hyperlink ref="A253" location="'Adder'!C11" display="x4 = 3501. Adder threshold for Unit rate 2 p/kWh (in Adder value at which the minimum is breached)"/>
    <hyperlink ref="A254" location="'Adder'!D11" display="x5 = 3501. Adder threshold for Unit rate 3 p/kWh (in Adder value at which the minimum is breached)"/>
    <hyperlink ref="A255" location="'Adder'!B264" display="x6 = Adder on Unit rate 1 p/kWh (in Adder)"/>
    <hyperlink ref="A256" location="'Loads'!B333" display="x7 = 2305. Rate 1 units (MWh) (in Equivalent volume for each end user)"/>
    <hyperlink ref="A257" location="'Adder'!C264" display="x8 = Adder on Unit rate 2 p/kWh (in Adder)"/>
    <hyperlink ref="A258" location="'Loads'!C333" display="x9 = 2305. Rate 2 units (MWh) (in Equivalent volume for each end user)"/>
    <hyperlink ref="A259" location="'Adder'!D264" display="x10 = Adder on Unit rate 3 p/kWh (in Adder)"/>
    <hyperlink ref="A260" location="'Loads'!D333" display="x11 = 2305. Rate 3 units (MWh) (in Equivalent volume for each end user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9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50.7109375" customWidth="1"/>
    <col min="2" max="251" width="28.7109375" customWidth="1"/>
  </cols>
  <sheetData>
    <row r="1" spans="1:8" ht="21" customHeight="1">
      <c r="A1" s="1" t="str">
        <f>"Tariff component adjustment and rounding for "&amp;Input!B7&amp;" in "&amp;Input!C7&amp;" ("&amp;Input!D7&amp;")"</f>
        <v>Tariff component adjustment and rounding for Electricity North West in 2019/20 (Version 1)</v>
      </c>
    </row>
    <row r="3" spans="1:8" ht="21" customHeight="1">
      <c r="A3" s="1" t="s">
        <v>1362</v>
      </c>
    </row>
    <row r="4" spans="1:8">
      <c r="A4" s="2" t="s">
        <v>379</v>
      </c>
    </row>
    <row r="5" spans="1:8">
      <c r="A5" s="29" t="s">
        <v>1170</v>
      </c>
    </row>
    <row r="6" spans="1:8">
      <c r="A6" s="29" t="s">
        <v>1363</v>
      </c>
    </row>
    <row r="7" spans="1:8">
      <c r="A7" s="29" t="s">
        <v>1364</v>
      </c>
    </row>
    <row r="8" spans="1:8">
      <c r="A8" s="29" t="s">
        <v>1365</v>
      </c>
    </row>
    <row r="9" spans="1:8">
      <c r="A9" s="29" t="s">
        <v>1366</v>
      </c>
    </row>
    <row r="10" spans="1:8">
      <c r="A10" s="29" t="s">
        <v>1367</v>
      </c>
    </row>
    <row r="11" spans="1:8">
      <c r="A11" s="29" t="s">
        <v>1368</v>
      </c>
    </row>
    <row r="12" spans="1:8">
      <c r="A12" s="29" t="s">
        <v>1369</v>
      </c>
    </row>
    <row r="13" spans="1:8">
      <c r="A13" s="29" t="s">
        <v>1370</v>
      </c>
    </row>
    <row r="14" spans="1:8">
      <c r="A14" s="29" t="s">
        <v>1371</v>
      </c>
    </row>
    <row r="15" spans="1:8">
      <c r="A15" s="30" t="s">
        <v>382</v>
      </c>
      <c r="B15" s="30" t="s">
        <v>512</v>
      </c>
      <c r="C15" s="30" t="s">
        <v>512</v>
      </c>
      <c r="D15" s="30" t="s">
        <v>512</v>
      </c>
      <c r="E15" s="30" t="s">
        <v>441</v>
      </c>
      <c r="F15" s="30" t="s">
        <v>441</v>
      </c>
      <c r="G15" s="30" t="s">
        <v>441</v>
      </c>
      <c r="H15" s="30" t="s">
        <v>441</v>
      </c>
    </row>
    <row r="16" spans="1:8">
      <c r="A16" s="30" t="s">
        <v>385</v>
      </c>
      <c r="B16" s="30" t="s">
        <v>1372</v>
      </c>
      <c r="C16" s="30" t="s">
        <v>1373</v>
      </c>
      <c r="D16" s="30" t="s">
        <v>1374</v>
      </c>
      <c r="E16" s="30" t="s">
        <v>1375</v>
      </c>
      <c r="F16" s="30" t="s">
        <v>1376</v>
      </c>
      <c r="G16" s="30" t="s">
        <v>1377</v>
      </c>
      <c r="H16" s="30" t="s">
        <v>1378</v>
      </c>
    </row>
    <row r="18" spans="1:9" ht="30">
      <c r="B18" s="15" t="s">
        <v>1379</v>
      </c>
      <c r="C18" s="15" t="s">
        <v>1380</v>
      </c>
      <c r="D18" s="15" t="s">
        <v>1381</v>
      </c>
      <c r="E18" s="15" t="s">
        <v>1382</v>
      </c>
      <c r="F18" s="15" t="s">
        <v>1383</v>
      </c>
      <c r="G18" s="15" t="s">
        <v>1384</v>
      </c>
      <c r="H18" s="15" t="s">
        <v>1136</v>
      </c>
    </row>
    <row r="19" spans="1:9">
      <c r="A19" s="4" t="s">
        <v>180</v>
      </c>
      <c r="B19" s="42">
        <f>Aggreg!$B315+Adder!$B265</f>
        <v>2.3896673455394137</v>
      </c>
      <c r="C19" s="10"/>
      <c r="D19" s="10"/>
      <c r="E19" s="42">
        <f>Aggreg!$E315</f>
        <v>3.5303894192553504</v>
      </c>
      <c r="F19" s="10"/>
      <c r="G19" s="10"/>
      <c r="H19" s="10"/>
      <c r="I19" s="17"/>
    </row>
    <row r="20" spans="1:9">
      <c r="A20" s="4" t="s">
        <v>181</v>
      </c>
      <c r="B20" s="42">
        <f>Aggreg!$B316+Adder!$B266</f>
        <v>2.7938309209753101</v>
      </c>
      <c r="C20" s="42">
        <f>Aggreg!$C316+Adder!$C266</f>
        <v>0.77538352553347556</v>
      </c>
      <c r="D20" s="10"/>
      <c r="E20" s="42">
        <f>Aggreg!$E316</f>
        <v>3.5303894192553504</v>
      </c>
      <c r="F20" s="10"/>
      <c r="G20" s="10"/>
      <c r="H20" s="10"/>
      <c r="I20" s="17"/>
    </row>
    <row r="21" spans="1:9">
      <c r="A21" s="4" t="s">
        <v>226</v>
      </c>
      <c r="B21" s="42">
        <f>Aggreg!$B317+Adder!$B267</f>
        <v>0.82161264217071206</v>
      </c>
      <c r="C21" s="10"/>
      <c r="D21" s="10"/>
      <c r="E21" s="10"/>
      <c r="F21" s="10"/>
      <c r="G21" s="10"/>
      <c r="H21" s="10"/>
      <c r="I21" s="17"/>
    </row>
    <row r="22" spans="1:9">
      <c r="A22" s="4" t="s">
        <v>182</v>
      </c>
      <c r="B22" s="42">
        <f>Aggreg!$B318+Adder!$B268</f>
        <v>2.252235374572721</v>
      </c>
      <c r="C22" s="10"/>
      <c r="D22" s="10"/>
      <c r="E22" s="42">
        <f>Aggreg!$E318</f>
        <v>3.5303894192553504</v>
      </c>
      <c r="F22" s="10"/>
      <c r="G22" s="10"/>
      <c r="H22" s="10"/>
      <c r="I22" s="17"/>
    </row>
    <row r="23" spans="1:9">
      <c r="A23" s="4" t="s">
        <v>183</v>
      </c>
      <c r="B23" s="42">
        <f>Aggreg!$B319+Adder!$B269</f>
        <v>2.3557973748536201</v>
      </c>
      <c r="C23" s="42">
        <f>Aggreg!$C319+Adder!$C269</f>
        <v>0.73495928918269504</v>
      </c>
      <c r="D23" s="10"/>
      <c r="E23" s="42">
        <f>Aggreg!$E319</f>
        <v>3.5303894192553504</v>
      </c>
      <c r="F23" s="10"/>
      <c r="G23" s="10"/>
      <c r="H23" s="10"/>
      <c r="I23" s="17"/>
    </row>
    <row r="24" spans="1:9">
      <c r="A24" s="4" t="s">
        <v>227</v>
      </c>
      <c r="B24" s="42">
        <f>Aggreg!$B320+Adder!$B270</f>
        <v>0.7581148689131596</v>
      </c>
      <c r="C24" s="10"/>
      <c r="D24" s="10"/>
      <c r="E24" s="10"/>
      <c r="F24" s="10"/>
      <c r="G24" s="10"/>
      <c r="H24" s="10"/>
      <c r="I24" s="17"/>
    </row>
    <row r="25" spans="1:9">
      <c r="A25" s="4" t="s">
        <v>184</v>
      </c>
      <c r="B25" s="42">
        <f>Aggreg!$B321+Adder!$B271</f>
        <v>2.1969954855329017</v>
      </c>
      <c r="C25" s="42">
        <f>Aggreg!$C321+Adder!$C271</f>
        <v>0.71167162502474257</v>
      </c>
      <c r="D25" s="10"/>
      <c r="E25" s="42">
        <f>Aggreg!$E321</f>
        <v>18.092948483838178</v>
      </c>
      <c r="F25" s="10"/>
      <c r="G25" s="10"/>
      <c r="H25" s="10"/>
      <c r="I25" s="17"/>
    </row>
    <row r="26" spans="1:9">
      <c r="A26" s="4" t="s">
        <v>185</v>
      </c>
      <c r="B26" s="42">
        <f>Aggreg!$B322+Adder!$B272</f>
        <v>3.9570048778534774</v>
      </c>
      <c r="C26" s="42">
        <f>Aggreg!$C322+Adder!$C272</f>
        <v>0.85845075784680025</v>
      </c>
      <c r="D26" s="10"/>
      <c r="E26" s="42">
        <f>Aggreg!$E322</f>
        <v>131.79549455377102</v>
      </c>
      <c r="F26" s="10"/>
      <c r="G26" s="10"/>
      <c r="H26" s="10"/>
      <c r="I26" s="17"/>
    </row>
    <row r="27" spans="1:9">
      <c r="A27" s="4" t="s">
        <v>205</v>
      </c>
      <c r="B27" s="42">
        <f>Aggreg!$B323+Adder!$B273</f>
        <v>3.0116106089731538</v>
      </c>
      <c r="C27" s="42">
        <f>Aggreg!$C323+Adder!$C273</f>
        <v>0.76730338581709412</v>
      </c>
      <c r="D27" s="10"/>
      <c r="E27" s="42">
        <f>Aggreg!$E323</f>
        <v>1193.8153569523729</v>
      </c>
      <c r="F27" s="10"/>
      <c r="G27" s="10"/>
      <c r="H27" s="10"/>
      <c r="I27" s="17"/>
    </row>
    <row r="28" spans="1:9">
      <c r="A28" s="4" t="s">
        <v>186</v>
      </c>
      <c r="B28" s="42">
        <f>Aggreg!$B324+Adder!$B274</f>
        <v>10.371202625436876</v>
      </c>
      <c r="C28" s="42">
        <f>Aggreg!$C324+Adder!$C274</f>
        <v>2.0807580578440183</v>
      </c>
      <c r="D28" s="42">
        <f>Aggreg!$D324+Adder!$D274</f>
        <v>0.75384999509582828</v>
      </c>
      <c r="E28" s="42">
        <f>Aggreg!$E324</f>
        <v>3.5303894192553504</v>
      </c>
      <c r="F28" s="10"/>
      <c r="G28" s="10"/>
      <c r="H28" s="10"/>
      <c r="I28" s="17"/>
    </row>
    <row r="29" spans="1:9">
      <c r="A29" s="4" t="s">
        <v>187</v>
      </c>
      <c r="B29" s="42">
        <f>Aggreg!$B325+Adder!$B275</f>
        <v>9.5264172529256488</v>
      </c>
      <c r="C29" s="42">
        <f>Aggreg!$C325+Adder!$C275</f>
        <v>1.950779416676383</v>
      </c>
      <c r="D29" s="42">
        <f>Aggreg!$D325+Adder!$D275</f>
        <v>0.73837306942874348</v>
      </c>
      <c r="E29" s="42">
        <f>Aggreg!$E325</f>
        <v>3.5303894192553504</v>
      </c>
      <c r="F29" s="10"/>
      <c r="G29" s="10"/>
      <c r="H29" s="10"/>
      <c r="I29" s="17"/>
    </row>
    <row r="30" spans="1:9">
      <c r="A30" s="4" t="s">
        <v>188</v>
      </c>
      <c r="B30" s="42">
        <f>Aggreg!$B326+Adder!$B276</f>
        <v>7.1817579380711756</v>
      </c>
      <c r="C30" s="42">
        <f>Aggreg!$C326+Adder!$C276</f>
        <v>1.5338464570304213</v>
      </c>
      <c r="D30" s="42">
        <f>Aggreg!$D326+Adder!$D276</f>
        <v>0.69091260209290739</v>
      </c>
      <c r="E30" s="42">
        <f>Aggreg!$E326</f>
        <v>14.051320860512647</v>
      </c>
      <c r="F30" s="42">
        <f>Aggreg!$F326</f>
        <v>3.2551870400630918</v>
      </c>
      <c r="G30" s="42">
        <f>Aggreg!$G326</f>
        <v>5.0563370614062153</v>
      </c>
      <c r="H30" s="42">
        <f>Aggreg!$H326</f>
        <v>0.14770184577629475</v>
      </c>
      <c r="I30" s="17"/>
    </row>
    <row r="31" spans="1:9">
      <c r="A31" s="4" t="s">
        <v>189</v>
      </c>
      <c r="B31" s="42">
        <f>Aggreg!$B327+Adder!$B277</f>
        <v>5.7801492641844305</v>
      </c>
      <c r="C31" s="42">
        <f>Aggreg!$C327+Adder!$C277</f>
        <v>1.2841021037558877</v>
      </c>
      <c r="D31" s="42">
        <f>Aggreg!$D327+Adder!$D277</f>
        <v>0.66249944615021472</v>
      </c>
      <c r="E31" s="42">
        <f>Aggreg!$E327</f>
        <v>45.106413068356694</v>
      </c>
      <c r="F31" s="42">
        <f>Aggreg!$F327</f>
        <v>3.2535529365497853</v>
      </c>
      <c r="G31" s="42">
        <f>Aggreg!$G327</f>
        <v>5.8513969797409562</v>
      </c>
      <c r="H31" s="42">
        <f>Aggreg!$H327</f>
        <v>0.11051343801566767</v>
      </c>
      <c r="I31" s="17"/>
    </row>
    <row r="32" spans="1:9">
      <c r="A32" s="4" t="s">
        <v>206</v>
      </c>
      <c r="B32" s="42">
        <f>Aggreg!$B328+Adder!$B278</f>
        <v>4.2441154976294548</v>
      </c>
      <c r="C32" s="42">
        <f>Aggreg!$C328+Adder!$C278</f>
        <v>1.0180898809735512</v>
      </c>
      <c r="D32" s="42">
        <f>Aggreg!$D328+Adder!$D278</f>
        <v>0.63197963803235724</v>
      </c>
      <c r="E32" s="42">
        <f>Aggreg!$E328</f>
        <v>99.182988171499503</v>
      </c>
      <c r="F32" s="42">
        <f>Aggreg!$F328</f>
        <v>2.9263636697329258</v>
      </c>
      <c r="G32" s="42">
        <f>Aggreg!$G328</f>
        <v>5.7469501018198814</v>
      </c>
      <c r="H32" s="42">
        <f>Aggreg!$H328</f>
        <v>7.3966782529306496E-2</v>
      </c>
      <c r="I32" s="17"/>
    </row>
    <row r="33" spans="1:9">
      <c r="A33" s="4" t="s">
        <v>228</v>
      </c>
      <c r="B33" s="42">
        <f>Aggreg!$B329+Adder!$B279</f>
        <v>3.5388149755140104</v>
      </c>
      <c r="C33" s="10"/>
      <c r="D33" s="10"/>
      <c r="E33" s="10"/>
      <c r="F33" s="10"/>
      <c r="G33" s="10"/>
      <c r="H33" s="10"/>
      <c r="I33" s="17"/>
    </row>
    <row r="34" spans="1:9">
      <c r="A34" s="4" t="s">
        <v>229</v>
      </c>
      <c r="B34" s="42">
        <f>Aggreg!$B330+Adder!$B280</f>
        <v>3.7516162347523485</v>
      </c>
      <c r="C34" s="10"/>
      <c r="D34" s="10"/>
      <c r="E34" s="10"/>
      <c r="F34" s="10"/>
      <c r="G34" s="10"/>
      <c r="H34" s="10"/>
      <c r="I34" s="17"/>
    </row>
    <row r="35" spans="1:9">
      <c r="A35" s="4" t="s">
        <v>230</v>
      </c>
      <c r="B35" s="42">
        <f>Aggreg!$B331+Adder!$B281</f>
        <v>4.9521978356376382</v>
      </c>
      <c r="C35" s="10"/>
      <c r="D35" s="10"/>
      <c r="E35" s="10"/>
      <c r="F35" s="10"/>
      <c r="G35" s="10"/>
      <c r="H35" s="10"/>
      <c r="I35" s="17"/>
    </row>
    <row r="36" spans="1:9">
      <c r="A36" s="4" t="s">
        <v>231</v>
      </c>
      <c r="B36" s="42">
        <f>Aggreg!$B332+Adder!$B282</f>
        <v>3.4617456181041355</v>
      </c>
      <c r="C36" s="10"/>
      <c r="D36" s="10"/>
      <c r="E36" s="10"/>
      <c r="F36" s="10"/>
      <c r="G36" s="10"/>
      <c r="H36" s="10"/>
      <c r="I36" s="17"/>
    </row>
    <row r="37" spans="1:9">
      <c r="A37" s="4" t="s">
        <v>232</v>
      </c>
      <c r="B37" s="42">
        <f>Aggreg!$B333+Adder!$B283</f>
        <v>26.829790606589686</v>
      </c>
      <c r="C37" s="42">
        <f>Aggreg!$C333+Adder!$C283</f>
        <v>3.5145571092777272</v>
      </c>
      <c r="D37" s="42">
        <f>Aggreg!$D333+Adder!$D283</f>
        <v>2.4585328124970705</v>
      </c>
      <c r="E37" s="10"/>
      <c r="F37" s="10"/>
      <c r="G37" s="10"/>
      <c r="H37" s="10"/>
      <c r="I37" s="17"/>
    </row>
    <row r="38" spans="1:9">
      <c r="A38" s="4" t="s">
        <v>190</v>
      </c>
      <c r="B38" s="42">
        <f>Aggreg!$B334+Adder!$B284</f>
        <v>-0.97652180328586424</v>
      </c>
      <c r="C38" s="10"/>
      <c r="D38" s="10"/>
      <c r="E38" s="42">
        <f>Aggreg!$E334</f>
        <v>0</v>
      </c>
      <c r="F38" s="10"/>
      <c r="G38" s="10"/>
      <c r="H38" s="10"/>
      <c r="I38" s="17"/>
    </row>
    <row r="39" spans="1:9">
      <c r="A39" s="4" t="s">
        <v>191</v>
      </c>
      <c r="B39" s="42">
        <f>Aggreg!$B335+Adder!$B285</f>
        <v>-0.78134038241603021</v>
      </c>
      <c r="C39" s="10"/>
      <c r="D39" s="10"/>
      <c r="E39" s="42">
        <f>Aggreg!$E335</f>
        <v>0</v>
      </c>
      <c r="F39" s="10"/>
      <c r="G39" s="10"/>
      <c r="H39" s="10"/>
      <c r="I39" s="17"/>
    </row>
    <row r="40" spans="1:9">
      <c r="A40" s="4" t="s">
        <v>192</v>
      </c>
      <c r="B40" s="42">
        <f>Aggreg!$B336+Adder!$B286</f>
        <v>-0.97652180328586424</v>
      </c>
      <c r="C40" s="10"/>
      <c r="D40" s="10"/>
      <c r="E40" s="42">
        <f>Aggreg!$E336</f>
        <v>0</v>
      </c>
      <c r="F40" s="10"/>
      <c r="G40" s="10"/>
      <c r="H40" s="42">
        <f>Aggreg!$H336</f>
        <v>0.1282028071121569</v>
      </c>
      <c r="I40" s="17"/>
    </row>
    <row r="41" spans="1:9">
      <c r="A41" s="4" t="s">
        <v>193</v>
      </c>
      <c r="B41" s="42">
        <f>Aggreg!$B337+Adder!$B287</f>
        <v>-0.97652180328586424</v>
      </c>
      <c r="C41" s="10"/>
      <c r="D41" s="10"/>
      <c r="E41" s="42">
        <f>Aggreg!$E337</f>
        <v>0</v>
      </c>
      <c r="F41" s="10"/>
      <c r="G41" s="10"/>
      <c r="H41" s="10"/>
      <c r="I41" s="17"/>
    </row>
    <row r="42" spans="1:9">
      <c r="A42" s="4" t="s">
        <v>194</v>
      </c>
      <c r="B42" s="42">
        <f>Aggreg!$B338+Adder!$B288</f>
        <v>-6.7208912071231417</v>
      </c>
      <c r="C42" s="42">
        <f>Aggreg!$C338+Adder!$C288</f>
        <v>-1.0332984711496851</v>
      </c>
      <c r="D42" s="42">
        <f>Aggreg!$D338+Adder!$D288</f>
        <v>-0.12302660066224436</v>
      </c>
      <c r="E42" s="42">
        <f>Aggreg!$E338</f>
        <v>0</v>
      </c>
      <c r="F42" s="10"/>
      <c r="G42" s="10"/>
      <c r="H42" s="42">
        <f>Aggreg!$H338</f>
        <v>0.1282028071121569</v>
      </c>
      <c r="I42" s="17"/>
    </row>
    <row r="43" spans="1:9">
      <c r="A43" s="4" t="s">
        <v>195</v>
      </c>
      <c r="B43" s="42">
        <f>Aggreg!$B339+Adder!$B289</f>
        <v>-6.7208912071231417</v>
      </c>
      <c r="C43" s="42">
        <f>Aggreg!$C339+Adder!$C289</f>
        <v>-1.0332984711496851</v>
      </c>
      <c r="D43" s="42">
        <f>Aggreg!$D339+Adder!$D289</f>
        <v>-0.12302660066224436</v>
      </c>
      <c r="E43" s="42">
        <f>Aggreg!$E339</f>
        <v>0</v>
      </c>
      <c r="F43" s="10"/>
      <c r="G43" s="10"/>
      <c r="H43" s="10"/>
      <c r="I43" s="17"/>
    </row>
    <row r="44" spans="1:9">
      <c r="A44" s="4" t="s">
        <v>196</v>
      </c>
      <c r="B44" s="42">
        <f>Aggreg!$B340+Adder!$B290</f>
        <v>-0.78134038241603021</v>
      </c>
      <c r="C44" s="10"/>
      <c r="D44" s="10"/>
      <c r="E44" s="42">
        <f>Aggreg!$E340</f>
        <v>0</v>
      </c>
      <c r="F44" s="10"/>
      <c r="G44" s="10"/>
      <c r="H44" s="42">
        <f>Aggreg!$H340</f>
        <v>0.10733299154945089</v>
      </c>
      <c r="I44" s="17"/>
    </row>
    <row r="45" spans="1:9">
      <c r="A45" s="4" t="s">
        <v>197</v>
      </c>
      <c r="B45" s="42">
        <f>Aggreg!$B341+Adder!$B291</f>
        <v>-0.78134038241603021</v>
      </c>
      <c r="C45" s="10"/>
      <c r="D45" s="10"/>
      <c r="E45" s="42">
        <f>Aggreg!$E341</f>
        <v>0</v>
      </c>
      <c r="F45" s="10"/>
      <c r="G45" s="10"/>
      <c r="H45" s="10"/>
      <c r="I45" s="17"/>
    </row>
    <row r="46" spans="1:9">
      <c r="A46" s="4" t="s">
        <v>198</v>
      </c>
      <c r="B46" s="42">
        <f>Aggreg!$B342+Adder!$B292</f>
        <v>-5.4635494100859852</v>
      </c>
      <c r="C46" s="42">
        <f>Aggreg!$C342+Adder!$C292</f>
        <v>-0.80314008942444881</v>
      </c>
      <c r="D46" s="42">
        <f>Aggreg!$D342+Adder!$D292</f>
        <v>-9.7045502063775199E-2</v>
      </c>
      <c r="E46" s="42">
        <f>Aggreg!$E342</f>
        <v>0</v>
      </c>
      <c r="F46" s="10"/>
      <c r="G46" s="10"/>
      <c r="H46" s="42">
        <f>Aggreg!$H342</f>
        <v>0.10733299154945089</v>
      </c>
      <c r="I46" s="17"/>
    </row>
    <row r="47" spans="1:9">
      <c r="A47" s="4" t="s">
        <v>199</v>
      </c>
      <c r="B47" s="42">
        <f>Aggreg!$B343+Adder!$B293</f>
        <v>-5.4635494100859852</v>
      </c>
      <c r="C47" s="42">
        <f>Aggreg!$C343+Adder!$C293</f>
        <v>-0.80314008942444881</v>
      </c>
      <c r="D47" s="42">
        <f>Aggreg!$D343+Adder!$D293</f>
        <v>-9.7045502063775199E-2</v>
      </c>
      <c r="E47" s="42">
        <f>Aggreg!$E343</f>
        <v>0</v>
      </c>
      <c r="F47" s="10"/>
      <c r="G47" s="10"/>
      <c r="H47" s="10"/>
      <c r="I47" s="17"/>
    </row>
    <row r="48" spans="1:9">
      <c r="A48" s="4" t="s">
        <v>207</v>
      </c>
      <c r="B48" s="42">
        <f>Aggreg!$B344+Adder!$B294</f>
        <v>-0.5650751662588146</v>
      </c>
      <c r="C48" s="10"/>
      <c r="D48" s="10"/>
      <c r="E48" s="42">
        <f>Aggreg!$E344</f>
        <v>6.6786577800535563</v>
      </c>
      <c r="F48" s="10"/>
      <c r="G48" s="10"/>
      <c r="H48" s="42">
        <f>Aggreg!$H344</f>
        <v>8.3006829755467484E-2</v>
      </c>
      <c r="I48" s="17"/>
    </row>
    <row r="49" spans="1:9">
      <c r="A49" s="4" t="s">
        <v>208</v>
      </c>
      <c r="B49" s="42">
        <f>Aggreg!$B345+Adder!$B295</f>
        <v>-0.5650751662588146</v>
      </c>
      <c r="C49" s="10"/>
      <c r="D49" s="10"/>
      <c r="E49" s="42">
        <f>Aggreg!$E345</f>
        <v>6.6786577800535563</v>
      </c>
      <c r="F49" s="10"/>
      <c r="G49" s="10"/>
      <c r="H49" s="10"/>
      <c r="I49" s="17"/>
    </row>
    <row r="50" spans="1:9">
      <c r="A50" s="4" t="s">
        <v>209</v>
      </c>
      <c r="B50" s="42">
        <f>Aggreg!$B346+Adder!$B296</f>
        <v>-4.0942695886567257</v>
      </c>
      <c r="C50" s="42">
        <f>Aggreg!$C346+Adder!$C296</f>
        <v>-0.54155726428187634</v>
      </c>
      <c r="D50" s="42">
        <f>Aggreg!$D346+Adder!$D296</f>
        <v>-6.7871491064582692E-2</v>
      </c>
      <c r="E50" s="42">
        <f>Aggreg!$E346</f>
        <v>6.6786577800535563</v>
      </c>
      <c r="F50" s="10"/>
      <c r="G50" s="10"/>
      <c r="H50" s="42">
        <f>Aggreg!$H346</f>
        <v>8.3006829755467484E-2</v>
      </c>
      <c r="I50" s="17"/>
    </row>
    <row r="51" spans="1:9">
      <c r="A51" s="4" t="s">
        <v>210</v>
      </c>
      <c r="B51" s="42">
        <f>Aggreg!$B347+Adder!$B297</f>
        <v>-4.0942695886567257</v>
      </c>
      <c r="C51" s="42">
        <f>Aggreg!$C347+Adder!$C297</f>
        <v>-0.54155726428187634</v>
      </c>
      <c r="D51" s="42">
        <f>Aggreg!$D347+Adder!$D297</f>
        <v>-6.7871491064582692E-2</v>
      </c>
      <c r="E51" s="42">
        <f>Aggreg!$E347</f>
        <v>6.6786577800535563</v>
      </c>
      <c r="F51" s="10"/>
      <c r="G51" s="10"/>
      <c r="H51" s="10"/>
      <c r="I51" s="17"/>
    </row>
    <row r="53" spans="1:9" ht="21" customHeight="1">
      <c r="A53" s="1" t="s">
        <v>1385</v>
      </c>
    </row>
    <row r="55" spans="1:9" ht="30">
      <c r="B55" s="15" t="s">
        <v>1379</v>
      </c>
      <c r="C55" s="15" t="s">
        <v>1380</v>
      </c>
      <c r="D55" s="15" t="s">
        <v>1381</v>
      </c>
      <c r="E55" s="15" t="s">
        <v>1382</v>
      </c>
      <c r="F55" s="15" t="s">
        <v>1383</v>
      </c>
      <c r="G55" s="15" t="s">
        <v>1384</v>
      </c>
      <c r="H55" s="15" t="s">
        <v>1136</v>
      </c>
    </row>
    <row r="56" spans="1:9">
      <c r="A56" s="4" t="s">
        <v>1386</v>
      </c>
      <c r="B56" s="33">
        <v>3</v>
      </c>
      <c r="C56" s="33">
        <v>3</v>
      </c>
      <c r="D56" s="33">
        <v>3</v>
      </c>
      <c r="E56" s="33">
        <v>2</v>
      </c>
      <c r="F56" s="33">
        <v>2</v>
      </c>
      <c r="G56" s="33">
        <v>2</v>
      </c>
      <c r="H56" s="33">
        <v>3</v>
      </c>
      <c r="I56" s="17"/>
    </row>
    <row r="58" spans="1:9" ht="21" customHeight="1">
      <c r="A58" s="1" t="s">
        <v>1387</v>
      </c>
    </row>
    <row r="59" spans="1:9">
      <c r="A59" s="2" t="s">
        <v>379</v>
      </c>
    </row>
    <row r="60" spans="1:9">
      <c r="A60" s="29" t="s">
        <v>1388</v>
      </c>
    </row>
    <row r="61" spans="1:9">
      <c r="A61" s="29" t="s">
        <v>1389</v>
      </c>
    </row>
    <row r="62" spans="1:9">
      <c r="A62" s="29" t="s">
        <v>1390</v>
      </c>
    </row>
    <row r="63" spans="1:9">
      <c r="A63" s="29" t="s">
        <v>1391</v>
      </c>
    </row>
    <row r="64" spans="1:9">
      <c r="A64" s="29" t="s">
        <v>1392</v>
      </c>
    </row>
    <row r="65" spans="1:9">
      <c r="A65" s="29" t="s">
        <v>1393</v>
      </c>
    </row>
    <row r="66" spans="1:9">
      <c r="A66" s="29" t="s">
        <v>1394</v>
      </c>
    </row>
    <row r="67" spans="1:9">
      <c r="A67" s="29" t="s">
        <v>1395</v>
      </c>
    </row>
    <row r="68" spans="1:9">
      <c r="A68" s="29" t="s">
        <v>1396</v>
      </c>
    </row>
    <row r="69" spans="1:9">
      <c r="A69" s="29" t="s">
        <v>1397</v>
      </c>
    </row>
    <row r="70" spans="1:9">
      <c r="A70" s="29" t="s">
        <v>1398</v>
      </c>
    </row>
    <row r="71" spans="1:9">
      <c r="A71" s="29" t="s">
        <v>1399</v>
      </c>
    </row>
    <row r="72" spans="1:9">
      <c r="A72" s="29" t="s">
        <v>1400</v>
      </c>
    </row>
    <row r="73" spans="1:9">
      <c r="A73" s="29" t="s">
        <v>1401</v>
      </c>
    </row>
    <row r="74" spans="1:9">
      <c r="A74" s="30" t="s">
        <v>382</v>
      </c>
      <c r="B74" s="30" t="s">
        <v>512</v>
      </c>
      <c r="C74" s="30" t="s">
        <v>512</v>
      </c>
      <c r="D74" s="30" t="s">
        <v>512</v>
      </c>
      <c r="E74" s="30" t="s">
        <v>512</v>
      </c>
      <c r="F74" s="30" t="s">
        <v>512</v>
      </c>
      <c r="G74" s="30" t="s">
        <v>512</v>
      </c>
      <c r="H74" s="30" t="s">
        <v>512</v>
      </c>
    </row>
    <row r="75" spans="1:9">
      <c r="A75" s="30" t="s">
        <v>385</v>
      </c>
      <c r="B75" s="30" t="s">
        <v>1402</v>
      </c>
      <c r="C75" s="30" t="s">
        <v>1403</v>
      </c>
      <c r="D75" s="30" t="s">
        <v>1404</v>
      </c>
      <c r="E75" s="30" t="s">
        <v>1405</v>
      </c>
      <c r="F75" s="30" t="s">
        <v>1406</v>
      </c>
      <c r="G75" s="30" t="s">
        <v>1407</v>
      </c>
      <c r="H75" s="30" t="s">
        <v>1408</v>
      </c>
    </row>
    <row r="77" spans="1:9" ht="30">
      <c r="B77" s="15" t="s">
        <v>1379</v>
      </c>
      <c r="C77" s="15" t="s">
        <v>1380</v>
      </c>
      <c r="D77" s="15" t="s">
        <v>1381</v>
      </c>
      <c r="E77" s="15" t="s">
        <v>1382</v>
      </c>
      <c r="F77" s="15" t="s">
        <v>1383</v>
      </c>
      <c r="G77" s="15" t="s">
        <v>1384</v>
      </c>
      <c r="H77" s="15" t="s">
        <v>1136</v>
      </c>
    </row>
    <row r="78" spans="1:9">
      <c r="A78" s="4" t="s">
        <v>180</v>
      </c>
      <c r="B78" s="42">
        <f t="shared" ref="B78:B110" si="0">ROUND(B19,B$56)-B19</f>
        <v>3.3265446058639014E-4</v>
      </c>
      <c r="C78" s="10"/>
      <c r="D78" s="10"/>
      <c r="E78" s="42">
        <f>ROUND(E19,E$56)-E19</f>
        <v>-3.8941925535063149E-4</v>
      </c>
      <c r="F78" s="10"/>
      <c r="G78" s="10"/>
      <c r="H78" s="10"/>
      <c r="I78" s="17"/>
    </row>
    <row r="79" spans="1:9">
      <c r="A79" s="4" t="s">
        <v>181</v>
      </c>
      <c r="B79" s="42">
        <f t="shared" si="0"/>
        <v>1.690790246899887E-4</v>
      </c>
      <c r="C79" s="42">
        <f>ROUND(C20,C$56)-C20</f>
        <v>-3.8352553347553719E-4</v>
      </c>
      <c r="D79" s="10"/>
      <c r="E79" s="42">
        <f>ROUND(E20,E$56)-E20</f>
        <v>-3.8941925535063149E-4</v>
      </c>
      <c r="F79" s="10"/>
      <c r="G79" s="10"/>
      <c r="H79" s="10"/>
      <c r="I79" s="17"/>
    </row>
    <row r="80" spans="1:9">
      <c r="A80" s="4" t="s">
        <v>226</v>
      </c>
      <c r="B80" s="42">
        <f t="shared" si="0"/>
        <v>3.873578292878932E-4</v>
      </c>
      <c r="C80" s="10"/>
      <c r="D80" s="10"/>
      <c r="E80" s="10"/>
      <c r="F80" s="10"/>
      <c r="G80" s="10"/>
      <c r="H80" s="10"/>
      <c r="I80" s="17"/>
    </row>
    <row r="81" spans="1:9">
      <c r="A81" s="4" t="s">
        <v>182</v>
      </c>
      <c r="B81" s="42">
        <f t="shared" si="0"/>
        <v>-2.3537457272126971E-4</v>
      </c>
      <c r="C81" s="10"/>
      <c r="D81" s="10"/>
      <c r="E81" s="42">
        <f>ROUND(E22,E$56)-E22</f>
        <v>-3.8941925535063149E-4</v>
      </c>
      <c r="F81" s="10"/>
      <c r="G81" s="10"/>
      <c r="H81" s="10"/>
      <c r="I81" s="17"/>
    </row>
    <row r="82" spans="1:9">
      <c r="A82" s="4" t="s">
        <v>183</v>
      </c>
      <c r="B82" s="42">
        <f t="shared" si="0"/>
        <v>2.02625146379809E-4</v>
      </c>
      <c r="C82" s="42">
        <f>ROUND(C23,C$56)-C23</f>
        <v>4.0710817304945301E-5</v>
      </c>
      <c r="D82" s="10"/>
      <c r="E82" s="42">
        <f>ROUND(E23,E$56)-E23</f>
        <v>-3.8941925535063149E-4</v>
      </c>
      <c r="F82" s="10"/>
      <c r="G82" s="10"/>
      <c r="H82" s="10"/>
      <c r="I82" s="17"/>
    </row>
    <row r="83" spans="1:9">
      <c r="A83" s="4" t="s">
        <v>227</v>
      </c>
      <c r="B83" s="42">
        <f t="shared" si="0"/>
        <v>-1.1486891315959369E-4</v>
      </c>
      <c r="C83" s="10"/>
      <c r="D83" s="10"/>
      <c r="E83" s="10"/>
      <c r="F83" s="10"/>
      <c r="G83" s="10"/>
      <c r="H83" s="10"/>
      <c r="I83" s="17"/>
    </row>
    <row r="84" spans="1:9">
      <c r="A84" s="4" t="s">
        <v>184</v>
      </c>
      <c r="B84" s="42">
        <f t="shared" si="0"/>
        <v>4.514467098371E-6</v>
      </c>
      <c r="C84" s="42">
        <f t="shared" ref="C84:C91" si="1">ROUND(C25,C$56)-C25</f>
        <v>3.2837497525739501E-4</v>
      </c>
      <c r="D84" s="10"/>
      <c r="E84" s="42">
        <f t="shared" ref="E84:E91" si="2">ROUND(E25,E$56)-E25</f>
        <v>-2.9484838381783618E-3</v>
      </c>
      <c r="F84" s="10"/>
      <c r="G84" s="10"/>
      <c r="H84" s="10"/>
      <c r="I84" s="17"/>
    </row>
    <row r="85" spans="1:9">
      <c r="A85" s="4" t="s">
        <v>185</v>
      </c>
      <c r="B85" s="42">
        <f t="shared" si="0"/>
        <v>-4.8778534775806293E-6</v>
      </c>
      <c r="C85" s="42">
        <f t="shared" si="1"/>
        <v>-4.5075784680026487E-4</v>
      </c>
      <c r="D85" s="10"/>
      <c r="E85" s="42">
        <f t="shared" si="2"/>
        <v>4.5054462289897401E-3</v>
      </c>
      <c r="F85" s="10"/>
      <c r="G85" s="10"/>
      <c r="H85" s="10"/>
      <c r="I85" s="17"/>
    </row>
    <row r="86" spans="1:9">
      <c r="A86" s="4" t="s">
        <v>205</v>
      </c>
      <c r="B86" s="42">
        <f t="shared" si="0"/>
        <v>3.8939102684620863E-4</v>
      </c>
      <c r="C86" s="42">
        <f t="shared" si="1"/>
        <v>-3.0338581709410395E-4</v>
      </c>
      <c r="D86" s="10"/>
      <c r="E86" s="42">
        <f t="shared" si="2"/>
        <v>4.6430476270415966E-3</v>
      </c>
      <c r="F86" s="10"/>
      <c r="G86" s="10"/>
      <c r="H86" s="10"/>
      <c r="I86" s="17"/>
    </row>
    <row r="87" spans="1:9">
      <c r="A87" s="4" t="s">
        <v>186</v>
      </c>
      <c r="B87" s="42">
        <f t="shared" si="0"/>
        <v>-2.0262543687543655E-4</v>
      </c>
      <c r="C87" s="42">
        <f t="shared" si="1"/>
        <v>2.4194215598161151E-4</v>
      </c>
      <c r="D87" s="42">
        <f>ROUND(D28,D$56)-D28</f>
        <v>1.5000490417171886E-4</v>
      </c>
      <c r="E87" s="42">
        <f t="shared" si="2"/>
        <v>-3.8941925535063149E-4</v>
      </c>
      <c r="F87" s="10"/>
      <c r="G87" s="10"/>
      <c r="H87" s="10"/>
      <c r="I87" s="17"/>
    </row>
    <row r="88" spans="1:9">
      <c r="A88" s="4" t="s">
        <v>187</v>
      </c>
      <c r="B88" s="42">
        <f t="shared" si="0"/>
        <v>-4.1725292564898098E-4</v>
      </c>
      <c r="C88" s="42">
        <f t="shared" si="1"/>
        <v>2.20583323617074E-4</v>
      </c>
      <c r="D88" s="42">
        <f>ROUND(D29,D$56)-D29</f>
        <v>-3.7306942874348881E-4</v>
      </c>
      <c r="E88" s="42">
        <f t="shared" si="2"/>
        <v>-3.8941925535063149E-4</v>
      </c>
      <c r="F88" s="10"/>
      <c r="G88" s="10"/>
      <c r="H88" s="10"/>
      <c r="I88" s="17"/>
    </row>
    <row r="89" spans="1:9">
      <c r="A89" s="4" t="s">
        <v>188</v>
      </c>
      <c r="B89" s="42">
        <f t="shared" si="0"/>
        <v>2.4206192882481048E-4</v>
      </c>
      <c r="C89" s="42">
        <f t="shared" si="1"/>
        <v>1.5354296957870162E-4</v>
      </c>
      <c r="D89" s="42">
        <f>ROUND(D30,D$56)-D30</f>
        <v>8.7397907092556792E-5</v>
      </c>
      <c r="E89" s="42">
        <f t="shared" si="2"/>
        <v>-1.320860512645794E-3</v>
      </c>
      <c r="F89" s="42">
        <f t="shared" ref="F89:H91" si="3">ROUND(F30,F$56)-F30</f>
        <v>4.8129599369080012E-3</v>
      </c>
      <c r="G89" s="42">
        <f t="shared" si="3"/>
        <v>3.662938593784304E-3</v>
      </c>
      <c r="H89" s="42">
        <f t="shared" si="3"/>
        <v>2.9815422370524369E-4</v>
      </c>
      <c r="I89" s="17"/>
    </row>
    <row r="90" spans="1:9">
      <c r="A90" s="4" t="s">
        <v>189</v>
      </c>
      <c r="B90" s="42">
        <f t="shared" si="0"/>
        <v>-1.4926418443028666E-4</v>
      </c>
      <c r="C90" s="42">
        <f t="shared" si="1"/>
        <v>-1.0210375588770582E-4</v>
      </c>
      <c r="D90" s="42">
        <f>ROUND(D31,D$56)-D31</f>
        <v>-4.9944615021468852E-4</v>
      </c>
      <c r="E90" s="42">
        <f t="shared" si="2"/>
        <v>3.5869316433050358E-3</v>
      </c>
      <c r="F90" s="42">
        <f t="shared" si="3"/>
        <v>-3.5529365497852794E-3</v>
      </c>
      <c r="G90" s="42">
        <f t="shared" si="3"/>
        <v>-1.3969797409565388E-3</v>
      </c>
      <c r="H90" s="42">
        <f t="shared" si="3"/>
        <v>4.8656198433233433E-4</v>
      </c>
      <c r="I90" s="17"/>
    </row>
    <row r="91" spans="1:9">
      <c r="A91" s="4" t="s">
        <v>206</v>
      </c>
      <c r="B91" s="42">
        <f t="shared" si="0"/>
        <v>-1.1549762945506359E-4</v>
      </c>
      <c r="C91" s="42">
        <f t="shared" si="1"/>
        <v>-8.9880973551226262E-5</v>
      </c>
      <c r="D91" s="42">
        <f>ROUND(D32,D$56)-D32</f>
        <v>2.0361967642767986E-5</v>
      </c>
      <c r="E91" s="42">
        <f t="shared" si="2"/>
        <v>-2.9881714994957065E-3</v>
      </c>
      <c r="F91" s="42">
        <f t="shared" si="3"/>
        <v>3.636330267074328E-3</v>
      </c>
      <c r="G91" s="42">
        <f t="shared" si="3"/>
        <v>3.049898180118582E-3</v>
      </c>
      <c r="H91" s="42">
        <f t="shared" si="3"/>
        <v>3.3217470693500117E-5</v>
      </c>
      <c r="I91" s="17"/>
    </row>
    <row r="92" spans="1:9">
      <c r="A92" s="4" t="s">
        <v>228</v>
      </c>
      <c r="B92" s="42">
        <f t="shared" si="0"/>
        <v>1.8502448598978205E-4</v>
      </c>
      <c r="C92" s="10"/>
      <c r="D92" s="10"/>
      <c r="E92" s="10"/>
      <c r="F92" s="10"/>
      <c r="G92" s="10"/>
      <c r="H92" s="10"/>
      <c r="I92" s="17"/>
    </row>
    <row r="93" spans="1:9">
      <c r="A93" s="4" t="s">
        <v>229</v>
      </c>
      <c r="B93" s="42">
        <f t="shared" si="0"/>
        <v>3.8376524765126874E-4</v>
      </c>
      <c r="C93" s="10"/>
      <c r="D93" s="10"/>
      <c r="E93" s="10"/>
      <c r="F93" s="10"/>
      <c r="G93" s="10"/>
      <c r="H93" s="10"/>
      <c r="I93" s="17"/>
    </row>
    <row r="94" spans="1:9">
      <c r="A94" s="4" t="s">
        <v>230</v>
      </c>
      <c r="B94" s="42">
        <f t="shared" si="0"/>
        <v>-1.9783563763819956E-4</v>
      </c>
      <c r="C94" s="10"/>
      <c r="D94" s="10"/>
      <c r="E94" s="10"/>
      <c r="F94" s="10"/>
      <c r="G94" s="10"/>
      <c r="H94" s="10"/>
      <c r="I94" s="17"/>
    </row>
    <row r="95" spans="1:9">
      <c r="A95" s="4" t="s">
        <v>231</v>
      </c>
      <c r="B95" s="42">
        <f t="shared" si="0"/>
        <v>2.5438189586468596E-4</v>
      </c>
      <c r="C95" s="10"/>
      <c r="D95" s="10"/>
      <c r="E95" s="10"/>
      <c r="F95" s="10"/>
      <c r="G95" s="10"/>
      <c r="H95" s="10"/>
      <c r="I95" s="17"/>
    </row>
    <row r="96" spans="1:9">
      <c r="A96" s="4" t="s">
        <v>232</v>
      </c>
      <c r="B96" s="42">
        <f t="shared" si="0"/>
        <v>2.093934103122308E-4</v>
      </c>
      <c r="C96" s="42">
        <f>ROUND(C37,C$56)-C37</f>
        <v>4.4289072227288173E-4</v>
      </c>
      <c r="D96" s="42">
        <f>ROUND(D37,D$56)-D37</f>
        <v>4.6718750292962241E-4</v>
      </c>
      <c r="E96" s="10"/>
      <c r="F96" s="10"/>
      <c r="G96" s="10"/>
      <c r="H96" s="10"/>
      <c r="I96" s="17"/>
    </row>
    <row r="97" spans="1:9">
      <c r="A97" s="4" t="s">
        <v>190</v>
      </c>
      <c r="B97" s="42">
        <f t="shared" si="0"/>
        <v>-4.7819671413573683E-4</v>
      </c>
      <c r="C97" s="10"/>
      <c r="D97" s="10"/>
      <c r="E97" s="42">
        <f t="shared" ref="E97:E110" si="4">ROUND(E38,E$56)-E38</f>
        <v>0</v>
      </c>
      <c r="F97" s="10"/>
      <c r="G97" s="10"/>
      <c r="H97" s="10"/>
      <c r="I97" s="17"/>
    </row>
    <row r="98" spans="1:9">
      <c r="A98" s="4" t="s">
        <v>191</v>
      </c>
      <c r="B98" s="42">
        <f t="shared" si="0"/>
        <v>3.4038241603018271E-4</v>
      </c>
      <c r="C98" s="10"/>
      <c r="D98" s="10"/>
      <c r="E98" s="42">
        <f t="shared" si="4"/>
        <v>0</v>
      </c>
      <c r="F98" s="10"/>
      <c r="G98" s="10"/>
      <c r="H98" s="10"/>
      <c r="I98" s="17"/>
    </row>
    <row r="99" spans="1:9">
      <c r="A99" s="4" t="s">
        <v>192</v>
      </c>
      <c r="B99" s="42">
        <f t="shared" si="0"/>
        <v>-4.7819671413573683E-4</v>
      </c>
      <c r="C99" s="10"/>
      <c r="D99" s="10"/>
      <c r="E99" s="42">
        <f t="shared" si="4"/>
        <v>0</v>
      </c>
      <c r="F99" s="10"/>
      <c r="G99" s="10"/>
      <c r="H99" s="42">
        <f>ROUND(H40,H$56)-H40</f>
        <v>-2.0280711215689418E-4</v>
      </c>
      <c r="I99" s="17"/>
    </row>
    <row r="100" spans="1:9">
      <c r="A100" s="4" t="s">
        <v>193</v>
      </c>
      <c r="B100" s="42">
        <f t="shared" si="0"/>
        <v>-4.7819671413573683E-4</v>
      </c>
      <c r="C100" s="10"/>
      <c r="D100" s="10"/>
      <c r="E100" s="42">
        <f t="shared" si="4"/>
        <v>0</v>
      </c>
      <c r="F100" s="10"/>
      <c r="G100" s="10"/>
      <c r="H100" s="10"/>
      <c r="I100" s="17"/>
    </row>
    <row r="101" spans="1:9">
      <c r="A101" s="4" t="s">
        <v>194</v>
      </c>
      <c r="B101" s="42">
        <f t="shared" si="0"/>
        <v>-1.087928768583879E-4</v>
      </c>
      <c r="C101" s="42">
        <f>ROUND(C42,C$56)-C42</f>
        <v>2.9847114968517552E-4</v>
      </c>
      <c r="D101" s="42">
        <f>ROUND(D42,D$56)-D42</f>
        <v>2.6600662244358197E-5</v>
      </c>
      <c r="E101" s="42">
        <f t="shared" si="4"/>
        <v>0</v>
      </c>
      <c r="F101" s="10"/>
      <c r="G101" s="10"/>
      <c r="H101" s="42">
        <f>ROUND(H42,H$56)-H42</f>
        <v>-2.0280711215689418E-4</v>
      </c>
      <c r="I101" s="17"/>
    </row>
    <row r="102" spans="1:9">
      <c r="A102" s="4" t="s">
        <v>195</v>
      </c>
      <c r="B102" s="42">
        <f t="shared" si="0"/>
        <v>-1.087928768583879E-4</v>
      </c>
      <c r="C102" s="42">
        <f>ROUND(C43,C$56)-C43</f>
        <v>2.9847114968517552E-4</v>
      </c>
      <c r="D102" s="42">
        <f>ROUND(D43,D$56)-D43</f>
        <v>2.6600662244358197E-5</v>
      </c>
      <c r="E102" s="42">
        <f t="shared" si="4"/>
        <v>0</v>
      </c>
      <c r="F102" s="10"/>
      <c r="G102" s="10"/>
      <c r="H102" s="10"/>
      <c r="I102" s="17"/>
    </row>
    <row r="103" spans="1:9">
      <c r="A103" s="4" t="s">
        <v>196</v>
      </c>
      <c r="B103" s="42">
        <f t="shared" si="0"/>
        <v>3.4038241603018271E-4</v>
      </c>
      <c r="C103" s="10"/>
      <c r="D103" s="10"/>
      <c r="E103" s="42">
        <f t="shared" si="4"/>
        <v>0</v>
      </c>
      <c r="F103" s="10"/>
      <c r="G103" s="10"/>
      <c r="H103" s="42">
        <f>ROUND(H44,H$56)-H44</f>
        <v>-3.3299154945089227E-4</v>
      </c>
      <c r="I103" s="17"/>
    </row>
    <row r="104" spans="1:9">
      <c r="A104" s="4" t="s">
        <v>197</v>
      </c>
      <c r="B104" s="42">
        <f t="shared" si="0"/>
        <v>3.4038241603018271E-4</v>
      </c>
      <c r="C104" s="10"/>
      <c r="D104" s="10"/>
      <c r="E104" s="42">
        <f t="shared" si="4"/>
        <v>0</v>
      </c>
      <c r="F104" s="10"/>
      <c r="G104" s="10"/>
      <c r="H104" s="10"/>
      <c r="I104" s="17"/>
    </row>
    <row r="105" spans="1:9">
      <c r="A105" s="4" t="s">
        <v>198</v>
      </c>
      <c r="B105" s="42">
        <f t="shared" si="0"/>
        <v>-4.5058991401525361E-4</v>
      </c>
      <c r="C105" s="42">
        <f>ROUND(C46,C$56)-C46</f>
        <v>1.4008942444876382E-4</v>
      </c>
      <c r="D105" s="42">
        <f>ROUND(D46,D$56)-D46</f>
        <v>4.5502063775196278E-5</v>
      </c>
      <c r="E105" s="42">
        <f t="shared" si="4"/>
        <v>0</v>
      </c>
      <c r="F105" s="10"/>
      <c r="G105" s="10"/>
      <c r="H105" s="42">
        <f>ROUND(H46,H$56)-H46</f>
        <v>-3.3299154945089227E-4</v>
      </c>
      <c r="I105" s="17"/>
    </row>
    <row r="106" spans="1:9">
      <c r="A106" s="4" t="s">
        <v>199</v>
      </c>
      <c r="B106" s="42">
        <f t="shared" si="0"/>
        <v>-4.5058991401525361E-4</v>
      </c>
      <c r="C106" s="42">
        <f>ROUND(C47,C$56)-C47</f>
        <v>1.4008942444876382E-4</v>
      </c>
      <c r="D106" s="42">
        <f>ROUND(D47,D$56)-D47</f>
        <v>4.5502063775196278E-5</v>
      </c>
      <c r="E106" s="42">
        <f t="shared" si="4"/>
        <v>0</v>
      </c>
      <c r="F106" s="10"/>
      <c r="G106" s="10"/>
      <c r="H106" s="10"/>
      <c r="I106" s="17"/>
    </row>
    <row r="107" spans="1:9">
      <c r="A107" s="4" t="s">
        <v>207</v>
      </c>
      <c r="B107" s="42">
        <f t="shared" si="0"/>
        <v>7.5166258814651776E-5</v>
      </c>
      <c r="C107" s="10"/>
      <c r="D107" s="10"/>
      <c r="E107" s="42">
        <f t="shared" si="4"/>
        <v>1.342219946443457E-3</v>
      </c>
      <c r="F107" s="10"/>
      <c r="G107" s="10"/>
      <c r="H107" s="42">
        <f>ROUND(H48,H$56)-H48</f>
        <v>-6.8297554674801031E-6</v>
      </c>
      <c r="I107" s="17"/>
    </row>
    <row r="108" spans="1:9">
      <c r="A108" s="4" t="s">
        <v>208</v>
      </c>
      <c r="B108" s="42">
        <f t="shared" si="0"/>
        <v>7.5166258814651776E-5</v>
      </c>
      <c r="C108" s="10"/>
      <c r="D108" s="10"/>
      <c r="E108" s="42">
        <f t="shared" si="4"/>
        <v>1.342219946443457E-3</v>
      </c>
      <c r="F108" s="10"/>
      <c r="G108" s="10"/>
      <c r="H108" s="10"/>
      <c r="I108" s="17"/>
    </row>
    <row r="109" spans="1:9">
      <c r="A109" s="4" t="s">
        <v>209</v>
      </c>
      <c r="B109" s="42">
        <f t="shared" si="0"/>
        <v>2.6958865672543908E-4</v>
      </c>
      <c r="C109" s="42">
        <f>ROUND(C50,C$56)-C50</f>
        <v>-4.4273571812369905E-4</v>
      </c>
      <c r="D109" s="42">
        <f>ROUND(D50,D$56)-D50</f>
        <v>-1.2850893541731245E-4</v>
      </c>
      <c r="E109" s="42">
        <f t="shared" si="4"/>
        <v>1.342219946443457E-3</v>
      </c>
      <c r="F109" s="10"/>
      <c r="G109" s="10"/>
      <c r="H109" s="42">
        <f>ROUND(H50,H$56)-H50</f>
        <v>-6.8297554674801031E-6</v>
      </c>
      <c r="I109" s="17"/>
    </row>
    <row r="110" spans="1:9">
      <c r="A110" s="4" t="s">
        <v>210</v>
      </c>
      <c r="B110" s="42">
        <f t="shared" si="0"/>
        <v>2.6958865672543908E-4</v>
      </c>
      <c r="C110" s="42">
        <f>ROUND(C51,C$56)-C51</f>
        <v>-4.4273571812369905E-4</v>
      </c>
      <c r="D110" s="42">
        <f>ROUND(D51,D$56)-D51</f>
        <v>-1.2850893541731245E-4</v>
      </c>
      <c r="E110" s="42">
        <f t="shared" si="4"/>
        <v>1.342219946443457E-3</v>
      </c>
      <c r="F110" s="10"/>
      <c r="G110" s="10"/>
      <c r="H110" s="10"/>
      <c r="I110" s="17"/>
    </row>
    <row r="112" spans="1:9" ht="21" customHeight="1">
      <c r="A112" s="1" t="s">
        <v>1409</v>
      </c>
    </row>
    <row r="113" spans="1:8">
      <c r="A113" s="2" t="s">
        <v>379</v>
      </c>
    </row>
    <row r="114" spans="1:8">
      <c r="A114" s="29" t="s">
        <v>1388</v>
      </c>
    </row>
    <row r="115" spans="1:8">
      <c r="A115" s="29" t="s">
        <v>1410</v>
      </c>
    </row>
    <row r="116" spans="1:8">
      <c r="A116" s="29" t="s">
        <v>1390</v>
      </c>
    </row>
    <row r="117" spans="1:8">
      <c r="A117" s="29" t="s">
        <v>1411</v>
      </c>
    </row>
    <row r="118" spans="1:8">
      <c r="A118" s="29" t="s">
        <v>1392</v>
      </c>
    </row>
    <row r="119" spans="1:8">
      <c r="A119" s="29" t="s">
        <v>1412</v>
      </c>
    </row>
    <row r="120" spans="1:8">
      <c r="A120" s="29" t="s">
        <v>1394</v>
      </c>
    </row>
    <row r="121" spans="1:8">
      <c r="A121" s="29" t="s">
        <v>1413</v>
      </c>
    </row>
    <row r="122" spans="1:8">
      <c r="A122" s="29" t="s">
        <v>1396</v>
      </c>
    </row>
    <row r="123" spans="1:8">
      <c r="A123" s="29" t="s">
        <v>1414</v>
      </c>
    </row>
    <row r="124" spans="1:8">
      <c r="A124" s="29" t="s">
        <v>1398</v>
      </c>
    </row>
    <row r="125" spans="1:8">
      <c r="A125" s="29" t="s">
        <v>1415</v>
      </c>
    </row>
    <row r="126" spans="1:8">
      <c r="A126" s="29" t="s">
        <v>1400</v>
      </c>
    </row>
    <row r="127" spans="1:8">
      <c r="A127" s="29" t="s">
        <v>1416</v>
      </c>
    </row>
    <row r="128" spans="1:8">
      <c r="A128" s="30" t="s">
        <v>382</v>
      </c>
      <c r="B128" s="30" t="s">
        <v>512</v>
      </c>
      <c r="C128" s="30" t="s">
        <v>512</v>
      </c>
      <c r="D128" s="30" t="s">
        <v>512</v>
      </c>
      <c r="E128" s="30" t="s">
        <v>512</v>
      </c>
      <c r="F128" s="30" t="s">
        <v>512</v>
      </c>
      <c r="G128" s="30" t="s">
        <v>512</v>
      </c>
      <c r="H128" s="30" t="s">
        <v>512</v>
      </c>
    </row>
    <row r="129" spans="1:9">
      <c r="A129" s="30" t="s">
        <v>385</v>
      </c>
      <c r="B129" s="30" t="s">
        <v>1372</v>
      </c>
      <c r="C129" s="30" t="s">
        <v>1373</v>
      </c>
      <c r="D129" s="30" t="s">
        <v>1374</v>
      </c>
      <c r="E129" s="30" t="s">
        <v>1417</v>
      </c>
      <c r="F129" s="30" t="s">
        <v>1418</v>
      </c>
      <c r="G129" s="30" t="s">
        <v>1419</v>
      </c>
      <c r="H129" s="30" t="s">
        <v>1420</v>
      </c>
    </row>
    <row r="131" spans="1:9" ht="30">
      <c r="B131" s="15" t="s">
        <v>1379</v>
      </c>
      <c r="C131" s="15" t="s">
        <v>1380</v>
      </c>
      <c r="D131" s="15" t="s">
        <v>1381</v>
      </c>
      <c r="E131" s="15" t="s">
        <v>1382</v>
      </c>
      <c r="F131" s="15" t="s">
        <v>1383</v>
      </c>
      <c r="G131" s="15" t="s">
        <v>1384</v>
      </c>
      <c r="H131" s="15" t="s">
        <v>1136</v>
      </c>
    </row>
    <row r="132" spans="1:9">
      <c r="A132" s="4" t="s">
        <v>180</v>
      </c>
      <c r="B132" s="34">
        <f t="shared" ref="B132:B164" si="5">B19+B78</f>
        <v>2.39</v>
      </c>
      <c r="C132" s="10"/>
      <c r="D132" s="10"/>
      <c r="E132" s="43">
        <f>E19+E78</f>
        <v>3.53</v>
      </c>
      <c r="F132" s="10"/>
      <c r="G132" s="10"/>
      <c r="H132" s="10"/>
      <c r="I132" s="17"/>
    </row>
    <row r="133" spans="1:9">
      <c r="A133" s="4" t="s">
        <v>181</v>
      </c>
      <c r="B133" s="34">
        <f t="shared" si="5"/>
        <v>2.794</v>
      </c>
      <c r="C133" s="34">
        <f>C20+C79</f>
        <v>0.77500000000000002</v>
      </c>
      <c r="D133" s="10"/>
      <c r="E133" s="43">
        <f>E20+E79</f>
        <v>3.53</v>
      </c>
      <c r="F133" s="10"/>
      <c r="G133" s="10"/>
      <c r="H133" s="10"/>
      <c r="I133" s="17"/>
    </row>
    <row r="134" spans="1:9">
      <c r="A134" s="4" t="s">
        <v>226</v>
      </c>
      <c r="B134" s="34">
        <f t="shared" si="5"/>
        <v>0.82199999999999995</v>
      </c>
      <c r="C134" s="10"/>
      <c r="D134" s="10"/>
      <c r="E134" s="10"/>
      <c r="F134" s="10"/>
      <c r="G134" s="10"/>
      <c r="H134" s="10"/>
      <c r="I134" s="17"/>
    </row>
    <row r="135" spans="1:9">
      <c r="A135" s="4" t="s">
        <v>182</v>
      </c>
      <c r="B135" s="34">
        <f t="shared" si="5"/>
        <v>2.2519999999999998</v>
      </c>
      <c r="C135" s="10"/>
      <c r="D135" s="10"/>
      <c r="E135" s="43">
        <f>E22+E81</f>
        <v>3.53</v>
      </c>
      <c r="F135" s="10"/>
      <c r="G135" s="10"/>
      <c r="H135" s="10"/>
      <c r="I135" s="17"/>
    </row>
    <row r="136" spans="1:9">
      <c r="A136" s="4" t="s">
        <v>183</v>
      </c>
      <c r="B136" s="34">
        <f t="shared" si="5"/>
        <v>2.3559999999999999</v>
      </c>
      <c r="C136" s="34">
        <f>C23+C82</f>
        <v>0.73499999999999999</v>
      </c>
      <c r="D136" s="10"/>
      <c r="E136" s="43">
        <f>E23+E82</f>
        <v>3.53</v>
      </c>
      <c r="F136" s="10"/>
      <c r="G136" s="10"/>
      <c r="H136" s="10"/>
      <c r="I136" s="17"/>
    </row>
    <row r="137" spans="1:9">
      <c r="A137" s="4" t="s">
        <v>227</v>
      </c>
      <c r="B137" s="34">
        <f t="shared" si="5"/>
        <v>0.75800000000000001</v>
      </c>
      <c r="C137" s="10"/>
      <c r="D137" s="10"/>
      <c r="E137" s="10"/>
      <c r="F137" s="10"/>
      <c r="G137" s="10"/>
      <c r="H137" s="10"/>
      <c r="I137" s="17"/>
    </row>
    <row r="138" spans="1:9">
      <c r="A138" s="4" t="s">
        <v>184</v>
      </c>
      <c r="B138" s="34">
        <f t="shared" si="5"/>
        <v>2.1970000000000001</v>
      </c>
      <c r="C138" s="34">
        <f t="shared" ref="C138:C145" si="6">C25+C84</f>
        <v>0.71199999999999997</v>
      </c>
      <c r="D138" s="10"/>
      <c r="E138" s="43">
        <f t="shared" ref="E138:E145" si="7">E25+E84</f>
        <v>18.09</v>
      </c>
      <c r="F138" s="10"/>
      <c r="G138" s="10"/>
      <c r="H138" s="10"/>
      <c r="I138" s="17"/>
    </row>
    <row r="139" spans="1:9">
      <c r="A139" s="4" t="s">
        <v>185</v>
      </c>
      <c r="B139" s="34">
        <f t="shared" si="5"/>
        <v>3.9569999999999999</v>
      </c>
      <c r="C139" s="34">
        <f t="shared" si="6"/>
        <v>0.85799999999999998</v>
      </c>
      <c r="D139" s="10"/>
      <c r="E139" s="43">
        <f t="shared" si="7"/>
        <v>131.80000000000001</v>
      </c>
      <c r="F139" s="10"/>
      <c r="G139" s="10"/>
      <c r="H139" s="10"/>
      <c r="I139" s="17"/>
    </row>
    <row r="140" spans="1:9">
      <c r="A140" s="4" t="s">
        <v>205</v>
      </c>
      <c r="B140" s="34">
        <f t="shared" si="5"/>
        <v>3.012</v>
      </c>
      <c r="C140" s="34">
        <f t="shared" si="6"/>
        <v>0.76700000000000002</v>
      </c>
      <c r="D140" s="10"/>
      <c r="E140" s="43">
        <f t="shared" si="7"/>
        <v>1193.82</v>
      </c>
      <c r="F140" s="10"/>
      <c r="G140" s="10"/>
      <c r="H140" s="10"/>
      <c r="I140" s="17"/>
    </row>
    <row r="141" spans="1:9">
      <c r="A141" s="4" t="s">
        <v>186</v>
      </c>
      <c r="B141" s="34">
        <f t="shared" si="5"/>
        <v>10.371</v>
      </c>
      <c r="C141" s="34">
        <f t="shared" si="6"/>
        <v>2.081</v>
      </c>
      <c r="D141" s="34">
        <f>D28+D87</f>
        <v>0.754</v>
      </c>
      <c r="E141" s="43">
        <f t="shared" si="7"/>
        <v>3.53</v>
      </c>
      <c r="F141" s="10"/>
      <c r="G141" s="10"/>
      <c r="H141" s="10"/>
      <c r="I141" s="17"/>
    </row>
    <row r="142" spans="1:9">
      <c r="A142" s="4" t="s">
        <v>187</v>
      </c>
      <c r="B142" s="34">
        <f t="shared" si="5"/>
        <v>9.5259999999999998</v>
      </c>
      <c r="C142" s="34">
        <f t="shared" si="6"/>
        <v>1.9510000000000001</v>
      </c>
      <c r="D142" s="34">
        <f>D29+D88</f>
        <v>0.73799999999999999</v>
      </c>
      <c r="E142" s="43">
        <f t="shared" si="7"/>
        <v>3.53</v>
      </c>
      <c r="F142" s="10"/>
      <c r="G142" s="10"/>
      <c r="H142" s="10"/>
      <c r="I142" s="17"/>
    </row>
    <row r="143" spans="1:9">
      <c r="A143" s="4" t="s">
        <v>188</v>
      </c>
      <c r="B143" s="34">
        <f t="shared" si="5"/>
        <v>7.1820000000000004</v>
      </c>
      <c r="C143" s="34">
        <f t="shared" si="6"/>
        <v>1.534</v>
      </c>
      <c r="D143" s="34">
        <f>D30+D89</f>
        <v>0.69099999999999995</v>
      </c>
      <c r="E143" s="43">
        <f t="shared" si="7"/>
        <v>14.05</v>
      </c>
      <c r="F143" s="43">
        <f t="shared" ref="F143:H145" si="8">F30+F89</f>
        <v>3.26</v>
      </c>
      <c r="G143" s="43">
        <f t="shared" si="8"/>
        <v>5.0599999999999996</v>
      </c>
      <c r="H143" s="34">
        <f t="shared" si="8"/>
        <v>0.14799999999999999</v>
      </c>
      <c r="I143" s="17"/>
    </row>
    <row r="144" spans="1:9">
      <c r="A144" s="4" t="s">
        <v>189</v>
      </c>
      <c r="B144" s="34">
        <f t="shared" si="5"/>
        <v>5.78</v>
      </c>
      <c r="C144" s="34">
        <f t="shared" si="6"/>
        <v>1.284</v>
      </c>
      <c r="D144" s="34">
        <f>D31+D90</f>
        <v>0.66200000000000003</v>
      </c>
      <c r="E144" s="43">
        <f t="shared" si="7"/>
        <v>45.11</v>
      </c>
      <c r="F144" s="43">
        <f t="shared" si="8"/>
        <v>3.25</v>
      </c>
      <c r="G144" s="43">
        <f t="shared" si="8"/>
        <v>5.85</v>
      </c>
      <c r="H144" s="34">
        <f t="shared" si="8"/>
        <v>0.111</v>
      </c>
      <c r="I144" s="17"/>
    </row>
    <row r="145" spans="1:9">
      <c r="A145" s="4" t="s">
        <v>206</v>
      </c>
      <c r="B145" s="34">
        <f t="shared" si="5"/>
        <v>4.2439999999999998</v>
      </c>
      <c r="C145" s="34">
        <f t="shared" si="6"/>
        <v>1.018</v>
      </c>
      <c r="D145" s="34">
        <f>D32+D91</f>
        <v>0.63200000000000001</v>
      </c>
      <c r="E145" s="43">
        <f t="shared" si="7"/>
        <v>99.18</v>
      </c>
      <c r="F145" s="43">
        <f t="shared" si="8"/>
        <v>2.93</v>
      </c>
      <c r="G145" s="43">
        <f t="shared" si="8"/>
        <v>5.75</v>
      </c>
      <c r="H145" s="34">
        <f t="shared" si="8"/>
        <v>7.3999999999999996E-2</v>
      </c>
      <c r="I145" s="17"/>
    </row>
    <row r="146" spans="1:9">
      <c r="A146" s="4" t="s">
        <v>228</v>
      </c>
      <c r="B146" s="34">
        <f t="shared" si="5"/>
        <v>3.5390000000000001</v>
      </c>
      <c r="C146" s="10"/>
      <c r="D146" s="10"/>
      <c r="E146" s="10"/>
      <c r="F146" s="10"/>
      <c r="G146" s="10"/>
      <c r="H146" s="10"/>
      <c r="I146" s="17"/>
    </row>
    <row r="147" spans="1:9">
      <c r="A147" s="4" t="s">
        <v>229</v>
      </c>
      <c r="B147" s="34">
        <f t="shared" si="5"/>
        <v>3.7519999999999998</v>
      </c>
      <c r="C147" s="10"/>
      <c r="D147" s="10"/>
      <c r="E147" s="10"/>
      <c r="F147" s="10"/>
      <c r="G147" s="10"/>
      <c r="H147" s="10"/>
      <c r="I147" s="17"/>
    </row>
    <row r="148" spans="1:9">
      <c r="A148" s="4" t="s">
        <v>230</v>
      </c>
      <c r="B148" s="34">
        <f t="shared" si="5"/>
        <v>4.952</v>
      </c>
      <c r="C148" s="10"/>
      <c r="D148" s="10"/>
      <c r="E148" s="10"/>
      <c r="F148" s="10"/>
      <c r="G148" s="10"/>
      <c r="H148" s="10"/>
      <c r="I148" s="17"/>
    </row>
    <row r="149" spans="1:9">
      <c r="A149" s="4" t="s">
        <v>231</v>
      </c>
      <c r="B149" s="34">
        <f t="shared" si="5"/>
        <v>3.4620000000000002</v>
      </c>
      <c r="C149" s="10"/>
      <c r="D149" s="10"/>
      <c r="E149" s="10"/>
      <c r="F149" s="10"/>
      <c r="G149" s="10"/>
      <c r="H149" s="10"/>
      <c r="I149" s="17"/>
    </row>
    <row r="150" spans="1:9">
      <c r="A150" s="4" t="s">
        <v>232</v>
      </c>
      <c r="B150" s="34">
        <f t="shared" si="5"/>
        <v>26.83</v>
      </c>
      <c r="C150" s="34">
        <f>C37+C96</f>
        <v>3.5150000000000001</v>
      </c>
      <c r="D150" s="34">
        <f>D37+D96</f>
        <v>2.4590000000000001</v>
      </c>
      <c r="E150" s="10"/>
      <c r="F150" s="10"/>
      <c r="G150" s="10"/>
      <c r="H150" s="10"/>
      <c r="I150" s="17"/>
    </row>
    <row r="151" spans="1:9">
      <c r="A151" s="4" t="s">
        <v>190</v>
      </c>
      <c r="B151" s="34">
        <f t="shared" si="5"/>
        <v>-0.97699999999999998</v>
      </c>
      <c r="C151" s="10"/>
      <c r="D151" s="10"/>
      <c r="E151" s="43">
        <f t="shared" ref="E151:E164" si="9">E38+E97</f>
        <v>0</v>
      </c>
      <c r="F151" s="10"/>
      <c r="G151" s="10"/>
      <c r="H151" s="10"/>
      <c r="I151" s="17"/>
    </row>
    <row r="152" spans="1:9">
      <c r="A152" s="4" t="s">
        <v>191</v>
      </c>
      <c r="B152" s="34">
        <f t="shared" si="5"/>
        <v>-0.78100000000000003</v>
      </c>
      <c r="C152" s="10"/>
      <c r="D152" s="10"/>
      <c r="E152" s="43">
        <f t="shared" si="9"/>
        <v>0</v>
      </c>
      <c r="F152" s="10"/>
      <c r="G152" s="10"/>
      <c r="H152" s="10"/>
      <c r="I152" s="17"/>
    </row>
    <row r="153" spans="1:9">
      <c r="A153" s="4" t="s">
        <v>192</v>
      </c>
      <c r="B153" s="34">
        <f t="shared" si="5"/>
        <v>-0.97699999999999998</v>
      </c>
      <c r="C153" s="10"/>
      <c r="D153" s="10"/>
      <c r="E153" s="43">
        <f t="shared" si="9"/>
        <v>0</v>
      </c>
      <c r="F153" s="10"/>
      <c r="G153" s="10"/>
      <c r="H153" s="34">
        <f>H40+H99</f>
        <v>0.128</v>
      </c>
      <c r="I153" s="17"/>
    </row>
    <row r="154" spans="1:9">
      <c r="A154" s="4" t="s">
        <v>193</v>
      </c>
      <c r="B154" s="34">
        <f t="shared" si="5"/>
        <v>-0.97699999999999998</v>
      </c>
      <c r="C154" s="10"/>
      <c r="D154" s="10"/>
      <c r="E154" s="43">
        <f t="shared" si="9"/>
        <v>0</v>
      </c>
      <c r="F154" s="10"/>
      <c r="G154" s="10"/>
      <c r="H154" s="10"/>
      <c r="I154" s="17"/>
    </row>
    <row r="155" spans="1:9">
      <c r="A155" s="4" t="s">
        <v>194</v>
      </c>
      <c r="B155" s="34">
        <f t="shared" si="5"/>
        <v>-6.7210000000000001</v>
      </c>
      <c r="C155" s="34">
        <f>C42+C101</f>
        <v>-1.0329999999999999</v>
      </c>
      <c r="D155" s="34">
        <f>D42+D101</f>
        <v>-0.123</v>
      </c>
      <c r="E155" s="43">
        <f t="shared" si="9"/>
        <v>0</v>
      </c>
      <c r="F155" s="10"/>
      <c r="G155" s="10"/>
      <c r="H155" s="34">
        <f>H42+H101</f>
        <v>0.128</v>
      </c>
      <c r="I155" s="17"/>
    </row>
    <row r="156" spans="1:9">
      <c r="A156" s="4" t="s">
        <v>195</v>
      </c>
      <c r="B156" s="34">
        <f t="shared" si="5"/>
        <v>-6.7210000000000001</v>
      </c>
      <c r="C156" s="34">
        <f>C43+C102</f>
        <v>-1.0329999999999999</v>
      </c>
      <c r="D156" s="34">
        <f>D43+D102</f>
        <v>-0.123</v>
      </c>
      <c r="E156" s="43">
        <f t="shared" si="9"/>
        <v>0</v>
      </c>
      <c r="F156" s="10"/>
      <c r="G156" s="10"/>
      <c r="H156" s="10"/>
      <c r="I156" s="17"/>
    </row>
    <row r="157" spans="1:9">
      <c r="A157" s="4" t="s">
        <v>196</v>
      </c>
      <c r="B157" s="34">
        <f t="shared" si="5"/>
        <v>-0.78100000000000003</v>
      </c>
      <c r="C157" s="10"/>
      <c r="D157" s="10"/>
      <c r="E157" s="43">
        <f t="shared" si="9"/>
        <v>0</v>
      </c>
      <c r="F157" s="10"/>
      <c r="G157" s="10"/>
      <c r="H157" s="34">
        <f>H44+H103</f>
        <v>0.107</v>
      </c>
      <c r="I157" s="17"/>
    </row>
    <row r="158" spans="1:9">
      <c r="A158" s="4" t="s">
        <v>197</v>
      </c>
      <c r="B158" s="34">
        <f t="shared" si="5"/>
        <v>-0.78100000000000003</v>
      </c>
      <c r="C158" s="10"/>
      <c r="D158" s="10"/>
      <c r="E158" s="43">
        <f t="shared" si="9"/>
        <v>0</v>
      </c>
      <c r="F158" s="10"/>
      <c r="G158" s="10"/>
      <c r="H158" s="10"/>
      <c r="I158" s="17"/>
    </row>
    <row r="159" spans="1:9">
      <c r="A159" s="4" t="s">
        <v>198</v>
      </c>
      <c r="B159" s="34">
        <f t="shared" si="5"/>
        <v>-5.4640000000000004</v>
      </c>
      <c r="C159" s="34">
        <f>C46+C105</f>
        <v>-0.80300000000000005</v>
      </c>
      <c r="D159" s="34">
        <f>D46+D105</f>
        <v>-9.7000000000000003E-2</v>
      </c>
      <c r="E159" s="43">
        <f t="shared" si="9"/>
        <v>0</v>
      </c>
      <c r="F159" s="10"/>
      <c r="G159" s="10"/>
      <c r="H159" s="34">
        <f>H46+H105</f>
        <v>0.107</v>
      </c>
      <c r="I159" s="17"/>
    </row>
    <row r="160" spans="1:9">
      <c r="A160" s="4" t="s">
        <v>199</v>
      </c>
      <c r="B160" s="34">
        <f t="shared" si="5"/>
        <v>-5.4640000000000004</v>
      </c>
      <c r="C160" s="34">
        <f>C47+C106</f>
        <v>-0.80300000000000005</v>
      </c>
      <c r="D160" s="34">
        <f>D47+D106</f>
        <v>-9.7000000000000003E-2</v>
      </c>
      <c r="E160" s="43">
        <f t="shared" si="9"/>
        <v>0</v>
      </c>
      <c r="F160" s="10"/>
      <c r="G160" s="10"/>
      <c r="H160" s="10"/>
      <c r="I160" s="17"/>
    </row>
    <row r="161" spans="1:9">
      <c r="A161" s="4" t="s">
        <v>207</v>
      </c>
      <c r="B161" s="34">
        <f t="shared" si="5"/>
        <v>-0.56499999999999995</v>
      </c>
      <c r="C161" s="10"/>
      <c r="D161" s="10"/>
      <c r="E161" s="43">
        <f t="shared" si="9"/>
        <v>6.68</v>
      </c>
      <c r="F161" s="10"/>
      <c r="G161" s="10"/>
      <c r="H161" s="34">
        <f>H48+H107</f>
        <v>8.3000000000000004E-2</v>
      </c>
      <c r="I161" s="17"/>
    </row>
    <row r="162" spans="1:9">
      <c r="A162" s="4" t="s">
        <v>208</v>
      </c>
      <c r="B162" s="34">
        <f t="shared" si="5"/>
        <v>-0.56499999999999995</v>
      </c>
      <c r="C162" s="10"/>
      <c r="D162" s="10"/>
      <c r="E162" s="43">
        <f t="shared" si="9"/>
        <v>6.68</v>
      </c>
      <c r="F162" s="10"/>
      <c r="G162" s="10"/>
      <c r="H162" s="10"/>
      <c r="I162" s="17"/>
    </row>
    <row r="163" spans="1:9">
      <c r="A163" s="4" t="s">
        <v>209</v>
      </c>
      <c r="B163" s="34">
        <f t="shared" si="5"/>
        <v>-4.0940000000000003</v>
      </c>
      <c r="C163" s="34">
        <f>C50+C109</f>
        <v>-0.54200000000000004</v>
      </c>
      <c r="D163" s="34">
        <f>D50+D109</f>
        <v>-6.8000000000000005E-2</v>
      </c>
      <c r="E163" s="43">
        <f t="shared" si="9"/>
        <v>6.68</v>
      </c>
      <c r="F163" s="10"/>
      <c r="G163" s="10"/>
      <c r="H163" s="34">
        <f>H50+H109</f>
        <v>8.3000000000000004E-2</v>
      </c>
      <c r="I163" s="17"/>
    </row>
    <row r="164" spans="1:9">
      <c r="A164" s="4" t="s">
        <v>210</v>
      </c>
      <c r="B164" s="34">
        <f t="shared" si="5"/>
        <v>-4.0940000000000003</v>
      </c>
      <c r="C164" s="34">
        <f>C51+C110</f>
        <v>-0.54200000000000004</v>
      </c>
      <c r="D164" s="34">
        <f>D51+D110</f>
        <v>-6.8000000000000005E-2</v>
      </c>
      <c r="E164" s="43">
        <f t="shared" si="9"/>
        <v>6.68</v>
      </c>
      <c r="F164" s="10"/>
      <c r="G164" s="10"/>
      <c r="H164" s="10"/>
      <c r="I164" s="17"/>
    </row>
    <row r="166" spans="1:9" ht="21" customHeight="1">
      <c r="A166" s="1" t="s">
        <v>1421</v>
      </c>
    </row>
    <row r="167" spans="1:9">
      <c r="A167" s="2" t="s">
        <v>379</v>
      </c>
    </row>
    <row r="168" spans="1:9">
      <c r="A168" s="29" t="s">
        <v>508</v>
      </c>
    </row>
    <row r="169" spans="1:9">
      <c r="A169" s="29" t="s">
        <v>1422</v>
      </c>
    </row>
    <row r="170" spans="1:9">
      <c r="A170" s="29" t="s">
        <v>1139</v>
      </c>
    </row>
    <row r="171" spans="1:9">
      <c r="A171" s="29" t="s">
        <v>1423</v>
      </c>
    </row>
    <row r="172" spans="1:9">
      <c r="A172" s="29" t="s">
        <v>1141</v>
      </c>
    </row>
    <row r="173" spans="1:9">
      <c r="A173" s="29" t="s">
        <v>1424</v>
      </c>
    </row>
    <row r="174" spans="1:9">
      <c r="A174" s="29" t="s">
        <v>1143</v>
      </c>
    </row>
    <row r="175" spans="1:9">
      <c r="A175" s="29" t="s">
        <v>1425</v>
      </c>
    </row>
    <row r="176" spans="1:9">
      <c r="A176" s="29" t="s">
        <v>1145</v>
      </c>
    </row>
    <row r="177" spans="1:3">
      <c r="A177" s="29" t="s">
        <v>1426</v>
      </c>
    </row>
    <row r="178" spans="1:3">
      <c r="A178" s="29" t="s">
        <v>1147</v>
      </c>
    </row>
    <row r="179" spans="1:3">
      <c r="A179" s="29" t="s">
        <v>1427</v>
      </c>
    </row>
    <row r="180" spans="1:3">
      <c r="A180" s="29" t="s">
        <v>1149</v>
      </c>
    </row>
    <row r="181" spans="1:3">
      <c r="A181" s="29" t="s">
        <v>1416</v>
      </c>
    </row>
    <row r="182" spans="1:3">
      <c r="A182" s="29" t="s">
        <v>1151</v>
      </c>
    </row>
    <row r="183" spans="1:3">
      <c r="A183" s="2" t="s">
        <v>1152</v>
      </c>
    </row>
    <row r="185" spans="1:3" ht="30">
      <c r="B185" s="15" t="s">
        <v>1428</v>
      </c>
    </row>
    <row r="186" spans="1:3">
      <c r="A186" s="4" t="s">
        <v>180</v>
      </c>
      <c r="B186" s="39">
        <f>0.01*Input!F$60*($E78*Loads!E334+$F78*Loads!F334+$G78*Loads!G334)+10*($B78*Loads!B334+$C78*Loads!C334+$D78*Loads!D334+$H78*Loads!H334)</f>
        <v>18830.066167706522</v>
      </c>
      <c r="C186" s="17"/>
    </row>
    <row r="187" spans="1:3">
      <c r="A187" s="4" t="s">
        <v>181</v>
      </c>
      <c r="B187" s="39">
        <f>0.01*Input!F$60*($E79*Loads!E335+$F79*Loads!F335+$G79*Loads!G335)+10*($B79*Loads!B335+$C79*Loads!C335+$D79*Loads!D335+$H79*Loads!H335)</f>
        <v>-1250.3214866713811</v>
      </c>
      <c r="C187" s="17"/>
    </row>
    <row r="188" spans="1:3">
      <c r="A188" s="4" t="s">
        <v>226</v>
      </c>
      <c r="B188" s="39">
        <f>0.01*Input!F$60*($E80*Loads!E336+$F80*Loads!F336+$G80*Loads!G336)+10*($B80*Loads!B336+$C80*Loads!C336+$D80*Loads!D336+$H80*Loads!H336)</f>
        <v>55.31276934590381</v>
      </c>
      <c r="C188" s="17"/>
    </row>
    <row r="189" spans="1:3">
      <c r="A189" s="4" t="s">
        <v>182</v>
      </c>
      <c r="B189" s="39">
        <f>0.01*Input!F$60*($E81*Loads!E337+$F81*Loads!F337+$G81*Loads!G337)+10*($B81*Loads!B337+$C81*Loads!C337+$D81*Loads!D337+$H81*Loads!H337)</f>
        <v>-3708.4346033476122</v>
      </c>
      <c r="C189" s="17"/>
    </row>
    <row r="190" spans="1:3">
      <c r="A190" s="4" t="s">
        <v>183</v>
      </c>
      <c r="B190" s="39">
        <f>0.01*Input!F$60*($E82*Loads!E338+$F82*Loads!F338+$G82*Loads!G338)+10*($B82*Loads!B338+$C82*Loads!C338+$D82*Loads!D338+$H82*Loads!H338)</f>
        <v>1108.8054923348661</v>
      </c>
      <c r="C190" s="17"/>
    </row>
    <row r="191" spans="1:3">
      <c r="A191" s="4" t="s">
        <v>227</v>
      </c>
      <c r="B191" s="39">
        <f>0.01*Input!F$60*($E83*Loads!E339+$F83*Loads!F339+$G83*Loads!G339)+10*($B83*Loads!B339+$C83*Loads!C339+$D83*Loads!D339+$H83*Loads!H339)</f>
        <v>-23.252488056964445</v>
      </c>
      <c r="C191" s="17"/>
    </row>
    <row r="192" spans="1:3">
      <c r="A192" s="4" t="s">
        <v>184</v>
      </c>
      <c r="B192" s="39">
        <f>0.01*Input!F$60*($E84*Loads!E340+$F84*Loads!F340+$G84*Loads!G340)+10*($B84*Loads!B340+$C84*Loads!C340+$D84*Loads!D340+$H84*Loads!H340)</f>
        <v>3.3243804706390281E-2</v>
      </c>
      <c r="C192" s="17"/>
    </row>
    <row r="193" spans="1:3">
      <c r="A193" s="4" t="s">
        <v>185</v>
      </c>
      <c r="B193" s="39">
        <f>0.01*Input!F$60*($E85*Loads!E341+$F85*Loads!F341+$G85*Loads!G341)+10*($B85*Loads!B341+$C85*Loads!C341+$D85*Loads!D341+$H85*Loads!H341)</f>
        <v>-1.2884890587563404E-3</v>
      </c>
      <c r="C193" s="17"/>
    </row>
    <row r="194" spans="1:3">
      <c r="A194" s="4" t="s">
        <v>205</v>
      </c>
      <c r="B194" s="39">
        <f>0.01*Input!F$60*($E86*Loads!E342+$F86*Loads!F342+$G86*Loads!G342)+10*($B86*Loads!B342+$C86*Loads!C342+$D86*Loads!D342+$H86*Loads!H342)</f>
        <v>-1.7192002278636933E-3</v>
      </c>
      <c r="C194" s="17"/>
    </row>
    <row r="195" spans="1:3">
      <c r="A195" s="4" t="s">
        <v>186</v>
      </c>
      <c r="B195" s="39">
        <f>0.01*Input!F$60*($E87*Loads!E343+$F87*Loads!F343+$G87*Loads!G343)+10*($B87*Loads!B343+$C87*Loads!C343+$D87*Loads!D343+$H87*Loads!H343)</f>
        <v>0.44762682234032769</v>
      </c>
      <c r="C195" s="17"/>
    </row>
    <row r="196" spans="1:3">
      <c r="A196" s="4" t="s">
        <v>187</v>
      </c>
      <c r="B196" s="39">
        <f>0.01*Input!F$60*($E88*Loads!E344+$F88*Loads!F344+$G88*Loads!G344)+10*($B88*Loads!B344+$C88*Loads!C344+$D88*Loads!D344+$H88*Loads!H344)</f>
        <v>-342.60521972392411</v>
      </c>
      <c r="C196" s="17"/>
    </row>
    <row r="197" spans="1:3">
      <c r="A197" s="4" t="s">
        <v>188</v>
      </c>
      <c r="B197" s="39">
        <f>0.01*Input!F$60*($E89*Loads!E345+$F89*Loads!F345+$G89*Loads!G345)+10*($B89*Loads!B345+$C89*Loads!C345+$D89*Loads!D345+$H89*Loads!H345)</f>
        <v>26370.026303438521</v>
      </c>
      <c r="C197" s="17"/>
    </row>
    <row r="198" spans="1:3">
      <c r="A198" s="4" t="s">
        <v>189</v>
      </c>
      <c r="B198" s="39">
        <f>0.01*Input!F$60*($E90*Loads!E346+$F90*Loads!F346+$G90*Loads!G346)+10*($B90*Loads!B346+$C90*Loads!C346+$D90*Loads!D346+$H90*Loads!H346)</f>
        <v>-11846.512281518115</v>
      </c>
      <c r="C198" s="17"/>
    </row>
    <row r="199" spans="1:3">
      <c r="A199" s="4" t="s">
        <v>206</v>
      </c>
      <c r="B199" s="39">
        <f>0.01*Input!F$60*($E91*Loads!E347+$F91*Loads!F347+$G91*Loads!G347)+10*($B91*Loads!B347+$C91*Loads!C347+$D91*Loads!D347+$H91*Loads!H347)</f>
        <v>23244.224397649625</v>
      </c>
      <c r="C199" s="17"/>
    </row>
    <row r="200" spans="1:3">
      <c r="A200" s="4" t="s">
        <v>228</v>
      </c>
      <c r="B200" s="39">
        <f>0.01*Input!F$60*($E92*Loads!E348+$F92*Loads!F348+$G92*Loads!G348)+10*($B92*Loads!B348+$C92*Loads!C348+$D92*Loads!D348+$H92*Loads!H348)</f>
        <v>32.317111058601995</v>
      </c>
      <c r="C200" s="17"/>
    </row>
    <row r="201" spans="1:3">
      <c r="A201" s="4" t="s">
        <v>229</v>
      </c>
      <c r="B201" s="39">
        <f>0.01*Input!F$60*($E93*Loads!E349+$F93*Loads!F349+$G93*Loads!G349)+10*($B93*Loads!B349+$C93*Loads!C349+$D93*Loads!D349+$H93*Loads!H349)</f>
        <v>35.775922202217089</v>
      </c>
      <c r="C201" s="17"/>
    </row>
    <row r="202" spans="1:3">
      <c r="A202" s="4" t="s">
        <v>230</v>
      </c>
      <c r="B202" s="39">
        <f>0.01*Input!F$60*($E94*Loads!E350+$F94*Loads!F350+$G94*Loads!G350)+10*($B94*Loads!B350+$C94*Loads!C350+$D94*Loads!D350+$H94*Loads!H350)</f>
        <v>-0.81359298692323379</v>
      </c>
      <c r="C202" s="17"/>
    </row>
    <row r="203" spans="1:3">
      <c r="A203" s="4" t="s">
        <v>231</v>
      </c>
      <c r="B203" s="39">
        <f>0.01*Input!F$60*($E95*Loads!E351+$F95*Loads!F351+$G95*Loads!G351)+10*($B95*Loads!B351+$C95*Loads!C351+$D95*Loads!D351+$H95*Loads!H351)</f>
        <v>1.3076721726335144E-4</v>
      </c>
      <c r="C203" s="17"/>
    </row>
    <row r="204" spans="1:3">
      <c r="A204" s="4" t="s">
        <v>232</v>
      </c>
      <c r="B204" s="39">
        <f>0.01*Input!F$60*($E96*Loads!E352+$F96*Loads!F352+$G96*Loads!G352)+10*($B96*Loads!B352+$C96*Loads!C352+$D96*Loads!D352+$H96*Loads!H352)</f>
        <v>974.32683301449242</v>
      </c>
      <c r="C204" s="17"/>
    </row>
    <row r="205" spans="1:3">
      <c r="A205" s="4" t="s">
        <v>190</v>
      </c>
      <c r="B205" s="39">
        <f>0.01*Input!F$60*($E97*Loads!E353+$F97*Loads!F353+$G97*Loads!G353)+10*($B97*Loads!B353+$C97*Loads!C353+$D97*Loads!D353+$H97*Loads!H353)</f>
        <v>-15.588588082746238</v>
      </c>
      <c r="C205" s="17"/>
    </row>
    <row r="206" spans="1:3">
      <c r="A206" s="4" t="s">
        <v>191</v>
      </c>
      <c r="B206" s="39">
        <f>0.01*Input!F$60*($E98*Loads!E354+$F98*Loads!F354+$G98*Loads!G354)+10*($B98*Loads!B354+$C98*Loads!C354+$D98*Loads!D354+$H98*Loads!H354)</f>
        <v>3.2670390124523423E-3</v>
      </c>
      <c r="C206" s="17"/>
    </row>
    <row r="207" spans="1:3">
      <c r="A207" s="4" t="s">
        <v>192</v>
      </c>
      <c r="B207" s="39">
        <f>0.01*Input!F$60*($E99*Loads!E355+$F99*Loads!F355+$G99*Loads!G355)+10*($B99*Loads!B355+$C99*Loads!C355+$D99*Loads!D355+$H99*Loads!H355)</f>
        <v>-102.527976263233</v>
      </c>
      <c r="C207" s="17"/>
    </row>
    <row r="208" spans="1:3">
      <c r="A208" s="4" t="s">
        <v>193</v>
      </c>
      <c r="B208" s="39">
        <f>0.01*Input!F$60*($E100*Loads!E356+$F100*Loads!F356+$G100*Loads!G356)+10*($B100*Loads!B356+$C100*Loads!C356+$D100*Loads!D356+$H100*Loads!H356)</f>
        <v>0</v>
      </c>
      <c r="C208" s="17"/>
    </row>
    <row r="209" spans="1:3">
      <c r="A209" s="4" t="s">
        <v>194</v>
      </c>
      <c r="B209" s="39">
        <f>0.01*Input!F$60*($E101*Loads!E357+$F101*Loads!F357+$G101*Loads!G357)+10*($B101*Loads!B357+$C101*Loads!C357+$D101*Loads!D357+$H101*Loads!H357)</f>
        <v>3.8780356426128106</v>
      </c>
      <c r="C209" s="17"/>
    </row>
    <row r="210" spans="1:3">
      <c r="A210" s="4" t="s">
        <v>195</v>
      </c>
      <c r="B210" s="39">
        <f>0.01*Input!F$60*($E102*Loads!E358+$F102*Loads!F358+$G102*Loads!G358)+10*($B102*Loads!B358+$C102*Loads!C358+$D102*Loads!D358+$H102*Loads!H358)</f>
        <v>0</v>
      </c>
      <c r="C210" s="17"/>
    </row>
    <row r="211" spans="1:3">
      <c r="A211" s="4" t="s">
        <v>196</v>
      </c>
      <c r="B211" s="39">
        <f>0.01*Input!F$60*($E103*Loads!E359+$F103*Loads!F359+$G103*Loads!G359)+10*($B103*Loads!B359+$C103*Loads!C359+$D103*Loads!D359+$H103*Loads!H359)</f>
        <v>13.476030507344712</v>
      </c>
      <c r="C211" s="17"/>
    </row>
    <row r="212" spans="1:3">
      <c r="A212" s="4" t="s">
        <v>197</v>
      </c>
      <c r="B212" s="39">
        <f>0.01*Input!F$60*($E104*Loads!E360+$F104*Loads!F360+$G104*Loads!G360)+10*($B104*Loads!B360+$C104*Loads!C360+$D104*Loads!D360+$H104*Loads!H360)</f>
        <v>0</v>
      </c>
      <c r="C212" s="17"/>
    </row>
    <row r="213" spans="1:3">
      <c r="A213" s="4" t="s">
        <v>198</v>
      </c>
      <c r="B213" s="39">
        <f>0.01*Input!F$60*($E105*Loads!E361+$F105*Loads!F361+$G105*Loads!G361)+10*($B105*Loads!B361+$C105*Loads!C361+$D105*Loads!D361+$H105*Loads!H361)</f>
        <v>-0.41134320791587581</v>
      </c>
      <c r="C213" s="17"/>
    </row>
    <row r="214" spans="1:3">
      <c r="A214" s="4" t="s">
        <v>199</v>
      </c>
      <c r="B214" s="39">
        <f>0.01*Input!F$60*($E106*Loads!E362+$F106*Loads!F362+$G106*Loads!G362)+10*($B106*Loads!B362+$C106*Loads!C362+$D106*Loads!D362+$H106*Loads!H362)</f>
        <v>0</v>
      </c>
      <c r="C214" s="17"/>
    </row>
    <row r="215" spans="1:3">
      <c r="A215" s="4" t="s">
        <v>207</v>
      </c>
      <c r="B215" s="39">
        <f>0.01*Input!F$60*($E107*Loads!E363+$F107*Loads!F363+$G107*Loads!G363)+10*($B107*Loads!B363+$C107*Loads!C363+$D107*Loads!D363+$H107*Loads!H363)</f>
        <v>305.17383947969631</v>
      </c>
      <c r="C215" s="17"/>
    </row>
    <row r="216" spans="1:3">
      <c r="A216" s="4" t="s">
        <v>208</v>
      </c>
      <c r="B216" s="39">
        <f>0.01*Input!F$60*($E108*Loads!E364+$F108*Loads!F364+$G108*Loads!G364)+10*($B108*Loads!B364+$C108*Loads!C364+$D108*Loads!D364+$H108*Loads!H364)</f>
        <v>0</v>
      </c>
      <c r="C216" s="17"/>
    </row>
    <row r="217" spans="1:3">
      <c r="A217" s="4" t="s">
        <v>209</v>
      </c>
      <c r="B217" s="39">
        <f>0.01*Input!F$60*($E109*Loads!E365+$F109*Loads!F365+$G109*Loads!G365)+10*($B109*Loads!B365+$C109*Loads!C365+$D109*Loads!D365+$H109*Loads!H365)</f>
        <v>-827.88766846740896</v>
      </c>
      <c r="C217" s="17"/>
    </row>
    <row r="218" spans="1:3">
      <c r="A218" s="4" t="s">
        <v>210</v>
      </c>
      <c r="B218" s="39">
        <f>0.01*Input!F$60*($E110*Loads!E366+$F110*Loads!F366+$G110*Loads!G366)+10*($B110*Loads!B366+$C110*Loads!C366+$D110*Loads!D366+$H110*Loads!H366)</f>
        <v>0</v>
      </c>
      <c r="C218" s="17"/>
    </row>
    <row r="220" spans="1:3" ht="21" customHeight="1">
      <c r="A220" s="1" t="s">
        <v>1429</v>
      </c>
    </row>
    <row r="221" spans="1:3">
      <c r="A221" s="2" t="s">
        <v>379</v>
      </c>
    </row>
    <row r="222" spans="1:3">
      <c r="A222" s="29" t="s">
        <v>1430</v>
      </c>
    </row>
    <row r="223" spans="1:3">
      <c r="A223" s="29" t="s">
        <v>1431</v>
      </c>
    </row>
    <row r="224" spans="1:3">
      <c r="A224" s="29" t="s">
        <v>1432</v>
      </c>
    </row>
    <row r="225" spans="1:7">
      <c r="A225" s="29" t="s">
        <v>1433</v>
      </c>
    </row>
    <row r="226" spans="1:7">
      <c r="A226" s="29" t="s">
        <v>1434</v>
      </c>
    </row>
    <row r="227" spans="1:7">
      <c r="A227" s="29" t="s">
        <v>1435</v>
      </c>
    </row>
    <row r="228" spans="1:7">
      <c r="A228" s="29" t="s">
        <v>1436</v>
      </c>
    </row>
    <row r="229" spans="1:7">
      <c r="A229" s="29" t="s">
        <v>1437</v>
      </c>
    </row>
    <row r="230" spans="1:7">
      <c r="A230" s="30" t="s">
        <v>382</v>
      </c>
      <c r="B230" s="30" t="s">
        <v>441</v>
      </c>
      <c r="C230" s="30" t="s">
        <v>513</v>
      </c>
      <c r="D230" s="30" t="s">
        <v>513</v>
      </c>
      <c r="E230" s="30" t="s">
        <v>512</v>
      </c>
      <c r="F230" s="30" t="s">
        <v>512</v>
      </c>
    </row>
    <row r="231" spans="1:7">
      <c r="A231" s="30" t="s">
        <v>385</v>
      </c>
      <c r="B231" s="30" t="s">
        <v>443</v>
      </c>
      <c r="C231" s="30" t="s">
        <v>567</v>
      </c>
      <c r="D231" s="30" t="s">
        <v>568</v>
      </c>
      <c r="E231" s="30" t="s">
        <v>1438</v>
      </c>
      <c r="F231" s="30" t="s">
        <v>1439</v>
      </c>
    </row>
    <row r="233" spans="1:7" ht="30">
      <c r="B233" s="15" t="s">
        <v>1166</v>
      </c>
      <c r="C233" s="15" t="s">
        <v>1440</v>
      </c>
      <c r="D233" s="15" t="s">
        <v>1441</v>
      </c>
      <c r="E233" s="15" t="s">
        <v>1442</v>
      </c>
      <c r="F233" s="15" t="s">
        <v>1443</v>
      </c>
    </row>
    <row r="234" spans="1:7">
      <c r="A234" s="4" t="s">
        <v>1444</v>
      </c>
      <c r="B234" s="39">
        <f>Revenue!B77</f>
        <v>311543762.30720925</v>
      </c>
      <c r="C234" s="39">
        <f>SUM(Adder!E$265:E$297)</f>
        <v>106250023.08477232</v>
      </c>
      <c r="D234" s="39">
        <f>SUM(B$186:B$218)</f>
        <v>52855.508914798156</v>
      </c>
      <c r="E234" s="39">
        <f>B234+C234+D234</f>
        <v>417846640.90089637</v>
      </c>
      <c r="F234" s="39">
        <f>E234-Revenue!B$66</f>
        <v>52855.508914709091</v>
      </c>
      <c r="G234" s="17"/>
    </row>
    <row r="236" spans="1:7" ht="21" customHeight="1">
      <c r="A236" s="1" t="s">
        <v>1445</v>
      </c>
    </row>
    <row r="237" spans="1:7">
      <c r="A237" s="2" t="s">
        <v>379</v>
      </c>
    </row>
    <row r="238" spans="1:7">
      <c r="A238" s="29" t="s">
        <v>1446</v>
      </c>
    </row>
    <row r="239" spans="1:7">
      <c r="A239" s="29" t="s">
        <v>1447</v>
      </c>
    </row>
    <row r="240" spans="1:7">
      <c r="A240" s="29" t="s">
        <v>1448</v>
      </c>
    </row>
    <row r="241" spans="1:9">
      <c r="A241" s="29" t="s">
        <v>1449</v>
      </c>
    </row>
    <row r="242" spans="1:9">
      <c r="A242" s="29" t="s">
        <v>1450</v>
      </c>
    </row>
    <row r="243" spans="1:9">
      <c r="A243" s="29" t="s">
        <v>1451</v>
      </c>
    </row>
    <row r="244" spans="1:9">
      <c r="A244" s="29" t="s">
        <v>1452</v>
      </c>
    </row>
    <row r="245" spans="1:9">
      <c r="A245" s="29" t="s">
        <v>1453</v>
      </c>
    </row>
    <row r="246" spans="1:9">
      <c r="A246" s="29" t="s">
        <v>1454</v>
      </c>
    </row>
    <row r="247" spans="1:9">
      <c r="A247" s="30" t="s">
        <v>382</v>
      </c>
      <c r="B247" s="30" t="s">
        <v>512</v>
      </c>
      <c r="C247" s="30" t="s">
        <v>512</v>
      </c>
      <c r="D247" s="30" t="s">
        <v>512</v>
      </c>
      <c r="E247" s="30" t="s">
        <v>512</v>
      </c>
      <c r="F247" s="30" t="s">
        <v>512</v>
      </c>
      <c r="G247" s="30" t="s">
        <v>512</v>
      </c>
      <c r="H247" s="30" t="s">
        <v>512</v>
      </c>
    </row>
    <row r="248" spans="1:9">
      <c r="A248" s="30" t="s">
        <v>385</v>
      </c>
      <c r="B248" s="30" t="s">
        <v>1455</v>
      </c>
      <c r="C248" s="30" t="s">
        <v>1456</v>
      </c>
      <c r="D248" s="30" t="s">
        <v>1457</v>
      </c>
      <c r="E248" s="30" t="s">
        <v>1458</v>
      </c>
      <c r="F248" s="30" t="s">
        <v>1459</v>
      </c>
      <c r="G248" s="30" t="s">
        <v>1460</v>
      </c>
      <c r="H248" s="30" t="s">
        <v>1461</v>
      </c>
    </row>
    <row r="250" spans="1:9" ht="30">
      <c r="B250" s="15" t="s">
        <v>1379</v>
      </c>
      <c r="C250" s="15" t="s">
        <v>1380</v>
      </c>
      <c r="D250" s="15" t="s">
        <v>1381</v>
      </c>
      <c r="E250" s="15" t="s">
        <v>1382</v>
      </c>
      <c r="F250" s="15" t="s">
        <v>1383</v>
      </c>
      <c r="G250" s="15" t="s">
        <v>1384</v>
      </c>
      <c r="H250" s="15" t="s">
        <v>1136</v>
      </c>
    </row>
    <row r="251" spans="1:9">
      <c r="A251" s="27" t="s">
        <v>244</v>
      </c>
      <c r="I251" s="17"/>
    </row>
    <row r="252" spans="1:9">
      <c r="A252" s="4" t="s">
        <v>180</v>
      </c>
      <c r="B252" s="34">
        <f>ROUND(B$132*(1-Loads!$B212),3)</f>
        <v>2.39</v>
      </c>
      <c r="C252" s="34">
        <f>ROUND(C$132*(1-Loads!$B212),3)</f>
        <v>0</v>
      </c>
      <c r="D252" s="34">
        <f>ROUND(D$132*(1-Loads!$B212),3)</f>
        <v>0</v>
      </c>
      <c r="E252" s="43">
        <f>ROUND(E$132*(1-Loads!$C212),2)</f>
        <v>3.53</v>
      </c>
      <c r="F252" s="43">
        <f>ROUND(F$132*(1-Loads!$B212),2)</f>
        <v>0</v>
      </c>
      <c r="G252" s="43">
        <f>ROUND(G$132*(1-Loads!$B212),2)</f>
        <v>0</v>
      </c>
      <c r="H252" s="34">
        <f>ROUND(H$132*(1-Loads!$B212),3)</f>
        <v>0</v>
      </c>
      <c r="I252" s="17"/>
    </row>
    <row r="253" spans="1:9">
      <c r="A253" s="4" t="s">
        <v>245</v>
      </c>
      <c r="B253" s="34">
        <f>ROUND(B$132*(1-Loads!$B213),3)</f>
        <v>1.536</v>
      </c>
      <c r="C253" s="34">
        <f>ROUND(C$132*(1-Loads!$B213),3)</f>
        <v>0</v>
      </c>
      <c r="D253" s="34">
        <f>ROUND(D$132*(1-Loads!$B213),3)</f>
        <v>0</v>
      </c>
      <c r="E253" s="43">
        <f>ROUND(E$132*(1-Loads!$C213),2)</f>
        <v>2.27</v>
      </c>
      <c r="F253" s="43">
        <f>ROUND(F$132*(1-Loads!$B213),2)</f>
        <v>0</v>
      </c>
      <c r="G253" s="43">
        <f>ROUND(G$132*(1-Loads!$B213),2)</f>
        <v>0</v>
      </c>
      <c r="H253" s="34">
        <f>ROUND(H$132*(1-Loads!$B213),3)</f>
        <v>0</v>
      </c>
      <c r="I253" s="17"/>
    </row>
    <row r="254" spans="1:9">
      <c r="A254" s="4" t="s">
        <v>246</v>
      </c>
      <c r="B254" s="34">
        <f>ROUND(B$132*(1-Loads!$B214),3)</f>
        <v>1.02</v>
      </c>
      <c r="C254" s="34">
        <f>ROUND(C$132*(1-Loads!$B214),3)</f>
        <v>0</v>
      </c>
      <c r="D254" s="34">
        <f>ROUND(D$132*(1-Loads!$B214),3)</f>
        <v>0</v>
      </c>
      <c r="E254" s="43">
        <f>ROUND(E$132*(1-Loads!$C214),2)</f>
        <v>1.51</v>
      </c>
      <c r="F254" s="43">
        <f>ROUND(F$132*(1-Loads!$B214),2)</f>
        <v>0</v>
      </c>
      <c r="G254" s="43">
        <f>ROUND(G$132*(1-Loads!$B214),2)</f>
        <v>0</v>
      </c>
      <c r="H254" s="34">
        <f>ROUND(H$132*(1-Loads!$B214),3)</f>
        <v>0</v>
      </c>
      <c r="I254" s="17"/>
    </row>
    <row r="255" spans="1:9">
      <c r="A255" s="27" t="s">
        <v>247</v>
      </c>
      <c r="I255" s="17"/>
    </row>
    <row r="256" spans="1:9">
      <c r="A256" s="4" t="s">
        <v>181</v>
      </c>
      <c r="B256" s="34">
        <f>ROUND(B$133*(1-Loads!$B216),3)</f>
        <v>2.794</v>
      </c>
      <c r="C256" s="34">
        <f>ROUND(C$133*(1-Loads!$B216),3)</f>
        <v>0.77500000000000002</v>
      </c>
      <c r="D256" s="34">
        <f>ROUND(D$133*(1-Loads!$B216),3)</f>
        <v>0</v>
      </c>
      <c r="E256" s="43">
        <f>ROUND(E$133*(1-Loads!$C216),2)</f>
        <v>3.53</v>
      </c>
      <c r="F256" s="43">
        <f>ROUND(F$133*(1-Loads!$B216),2)</f>
        <v>0</v>
      </c>
      <c r="G256" s="43">
        <f>ROUND(G$133*(1-Loads!$B216),2)</f>
        <v>0</v>
      </c>
      <c r="H256" s="34">
        <f>ROUND(H$133*(1-Loads!$B216),3)</f>
        <v>0</v>
      </c>
      <c r="I256" s="17"/>
    </row>
    <row r="257" spans="1:9">
      <c r="A257" s="4" t="s">
        <v>248</v>
      </c>
      <c r="B257" s="34">
        <f>ROUND(B$133*(1-Loads!$B217),3)</f>
        <v>1.796</v>
      </c>
      <c r="C257" s="34">
        <f>ROUND(C$133*(1-Loads!$B217),3)</f>
        <v>0.498</v>
      </c>
      <c r="D257" s="34">
        <f>ROUND(D$133*(1-Loads!$B217),3)</f>
        <v>0</v>
      </c>
      <c r="E257" s="43">
        <f>ROUND(E$133*(1-Loads!$C217),2)</f>
        <v>2.27</v>
      </c>
      <c r="F257" s="43">
        <f>ROUND(F$133*(1-Loads!$B217),2)</f>
        <v>0</v>
      </c>
      <c r="G257" s="43">
        <f>ROUND(G$133*(1-Loads!$B217),2)</f>
        <v>0</v>
      </c>
      <c r="H257" s="34">
        <f>ROUND(H$133*(1-Loads!$B217),3)</f>
        <v>0</v>
      </c>
      <c r="I257" s="17"/>
    </row>
    <row r="258" spans="1:9">
      <c r="A258" s="4" t="s">
        <v>249</v>
      </c>
      <c r="B258" s="34">
        <f>ROUND(B$133*(1-Loads!$B218),3)</f>
        <v>1.1919999999999999</v>
      </c>
      <c r="C258" s="34">
        <f>ROUND(C$133*(1-Loads!$B218),3)</f>
        <v>0.33100000000000002</v>
      </c>
      <c r="D258" s="34">
        <f>ROUND(D$133*(1-Loads!$B218),3)</f>
        <v>0</v>
      </c>
      <c r="E258" s="43">
        <f>ROUND(E$133*(1-Loads!$C218),2)</f>
        <v>1.51</v>
      </c>
      <c r="F258" s="43">
        <f>ROUND(F$133*(1-Loads!$B218),2)</f>
        <v>0</v>
      </c>
      <c r="G258" s="43">
        <f>ROUND(G$133*(1-Loads!$B218),2)</f>
        <v>0</v>
      </c>
      <c r="H258" s="34">
        <f>ROUND(H$133*(1-Loads!$B218),3)</f>
        <v>0</v>
      </c>
      <c r="I258" s="17"/>
    </row>
    <row r="259" spans="1:9">
      <c r="A259" s="27" t="s">
        <v>250</v>
      </c>
      <c r="I259" s="17"/>
    </row>
    <row r="260" spans="1:9">
      <c r="A260" s="4" t="s">
        <v>226</v>
      </c>
      <c r="B260" s="34">
        <f>ROUND(B$134*(1-Loads!$B220),3)</f>
        <v>0.82199999999999995</v>
      </c>
      <c r="C260" s="34">
        <f>ROUND(C$134*(1-Loads!$B220),3)</f>
        <v>0</v>
      </c>
      <c r="D260" s="34">
        <f>ROUND(D$134*(1-Loads!$B220),3)</f>
        <v>0</v>
      </c>
      <c r="E260" s="43">
        <f>ROUND(E$134*(1-Loads!$C220),2)</f>
        <v>0</v>
      </c>
      <c r="F260" s="43">
        <f>ROUND(F$134*(1-Loads!$B220),2)</f>
        <v>0</v>
      </c>
      <c r="G260" s="43">
        <f>ROUND(G$134*(1-Loads!$B220),2)</f>
        <v>0</v>
      </c>
      <c r="H260" s="34">
        <f>ROUND(H$134*(1-Loads!$B220),3)</f>
        <v>0</v>
      </c>
      <c r="I260" s="17"/>
    </row>
    <row r="261" spans="1:9">
      <c r="A261" s="4" t="s">
        <v>251</v>
      </c>
      <c r="B261" s="34">
        <f>ROUND(B$134*(1-Loads!$B221),3)</f>
        <v>0.52800000000000002</v>
      </c>
      <c r="C261" s="34">
        <f>ROUND(C$134*(1-Loads!$B221),3)</f>
        <v>0</v>
      </c>
      <c r="D261" s="34">
        <f>ROUND(D$134*(1-Loads!$B221),3)</f>
        <v>0</v>
      </c>
      <c r="E261" s="43">
        <f>ROUND(E$134*(1-Loads!$C221),2)</f>
        <v>0</v>
      </c>
      <c r="F261" s="43">
        <f>ROUND(F$134*(1-Loads!$B221),2)</f>
        <v>0</v>
      </c>
      <c r="G261" s="43">
        <f>ROUND(G$134*(1-Loads!$B221),2)</f>
        <v>0</v>
      </c>
      <c r="H261" s="34">
        <f>ROUND(H$134*(1-Loads!$B221),3)</f>
        <v>0</v>
      </c>
      <c r="I261" s="17"/>
    </row>
    <row r="262" spans="1:9">
      <c r="A262" s="4" t="s">
        <v>252</v>
      </c>
      <c r="B262" s="34">
        <f>ROUND(B$134*(1-Loads!$B222),3)</f>
        <v>0.35099999999999998</v>
      </c>
      <c r="C262" s="34">
        <f>ROUND(C$134*(1-Loads!$B222),3)</f>
        <v>0</v>
      </c>
      <c r="D262" s="34">
        <f>ROUND(D$134*(1-Loads!$B222),3)</f>
        <v>0</v>
      </c>
      <c r="E262" s="43">
        <f>ROUND(E$134*(1-Loads!$C222),2)</f>
        <v>0</v>
      </c>
      <c r="F262" s="43">
        <f>ROUND(F$134*(1-Loads!$B222),2)</f>
        <v>0</v>
      </c>
      <c r="G262" s="43">
        <f>ROUND(G$134*(1-Loads!$B222),2)</f>
        <v>0</v>
      </c>
      <c r="H262" s="34">
        <f>ROUND(H$134*(1-Loads!$B222),3)</f>
        <v>0</v>
      </c>
      <c r="I262" s="17"/>
    </row>
    <row r="263" spans="1:9">
      <c r="A263" s="27" t="s">
        <v>253</v>
      </c>
      <c r="I263" s="17"/>
    </row>
    <row r="264" spans="1:9">
      <c r="A264" s="4" t="s">
        <v>182</v>
      </c>
      <c r="B264" s="34">
        <f>ROUND(B$135*(1-Loads!$B224),3)</f>
        <v>2.2519999999999998</v>
      </c>
      <c r="C264" s="34">
        <f>ROUND(C$135*(1-Loads!$B224),3)</f>
        <v>0</v>
      </c>
      <c r="D264" s="34">
        <f>ROUND(D$135*(1-Loads!$B224),3)</f>
        <v>0</v>
      </c>
      <c r="E264" s="43">
        <f>ROUND(E$135*(1-Loads!$C224),2)</f>
        <v>3.53</v>
      </c>
      <c r="F264" s="43">
        <f>ROUND(F$135*(1-Loads!$B224),2)</f>
        <v>0</v>
      </c>
      <c r="G264" s="43">
        <f>ROUND(G$135*(1-Loads!$B224),2)</f>
        <v>0</v>
      </c>
      <c r="H264" s="34">
        <f>ROUND(H$135*(1-Loads!$B224),3)</f>
        <v>0</v>
      </c>
      <c r="I264" s="17"/>
    </row>
    <row r="265" spans="1:9">
      <c r="A265" s="4" t="s">
        <v>254</v>
      </c>
      <c r="B265" s="34">
        <f>ROUND(B$135*(1-Loads!$B225),3)</f>
        <v>1.4470000000000001</v>
      </c>
      <c r="C265" s="34">
        <f>ROUND(C$135*(1-Loads!$B225),3)</f>
        <v>0</v>
      </c>
      <c r="D265" s="34">
        <f>ROUND(D$135*(1-Loads!$B225),3)</f>
        <v>0</v>
      </c>
      <c r="E265" s="43">
        <f>ROUND(E$135*(1-Loads!$C225),2)</f>
        <v>2.27</v>
      </c>
      <c r="F265" s="43">
        <f>ROUND(F$135*(1-Loads!$B225),2)</f>
        <v>0</v>
      </c>
      <c r="G265" s="43">
        <f>ROUND(G$135*(1-Loads!$B225),2)</f>
        <v>0</v>
      </c>
      <c r="H265" s="34">
        <f>ROUND(H$135*(1-Loads!$B225),3)</f>
        <v>0</v>
      </c>
      <c r="I265" s="17"/>
    </row>
    <row r="266" spans="1:9">
      <c r="A266" s="4" t="s">
        <v>255</v>
      </c>
      <c r="B266" s="34">
        <f>ROUND(B$135*(1-Loads!$B226),3)</f>
        <v>0.96099999999999997</v>
      </c>
      <c r="C266" s="34">
        <f>ROUND(C$135*(1-Loads!$B226),3)</f>
        <v>0</v>
      </c>
      <c r="D266" s="34">
        <f>ROUND(D$135*(1-Loads!$B226),3)</f>
        <v>0</v>
      </c>
      <c r="E266" s="43">
        <f>ROUND(E$135*(1-Loads!$C226),2)</f>
        <v>1.51</v>
      </c>
      <c r="F266" s="43">
        <f>ROUND(F$135*(1-Loads!$B226),2)</f>
        <v>0</v>
      </c>
      <c r="G266" s="43">
        <f>ROUND(G$135*(1-Loads!$B226),2)</f>
        <v>0</v>
      </c>
      <c r="H266" s="34">
        <f>ROUND(H$135*(1-Loads!$B226),3)</f>
        <v>0</v>
      </c>
      <c r="I266" s="17"/>
    </row>
    <row r="267" spans="1:9">
      <c r="A267" s="27" t="s">
        <v>256</v>
      </c>
      <c r="I267" s="17"/>
    </row>
    <row r="268" spans="1:9">
      <c r="A268" s="4" t="s">
        <v>183</v>
      </c>
      <c r="B268" s="34">
        <f>ROUND(B$136*(1-Loads!$B228),3)</f>
        <v>2.3559999999999999</v>
      </c>
      <c r="C268" s="34">
        <f>ROUND(C$136*(1-Loads!$B228),3)</f>
        <v>0.73499999999999999</v>
      </c>
      <c r="D268" s="34">
        <f>ROUND(D$136*(1-Loads!$B228),3)</f>
        <v>0</v>
      </c>
      <c r="E268" s="43">
        <f>ROUND(E$136*(1-Loads!$C228),2)</f>
        <v>3.53</v>
      </c>
      <c r="F268" s="43">
        <f>ROUND(F$136*(1-Loads!$B228),2)</f>
        <v>0</v>
      </c>
      <c r="G268" s="43">
        <f>ROUND(G$136*(1-Loads!$B228),2)</f>
        <v>0</v>
      </c>
      <c r="H268" s="34">
        <f>ROUND(H$136*(1-Loads!$B228),3)</f>
        <v>0</v>
      </c>
      <c r="I268" s="17"/>
    </row>
    <row r="269" spans="1:9">
      <c r="A269" s="4" t="s">
        <v>257</v>
      </c>
      <c r="B269" s="34">
        <f>ROUND(B$136*(1-Loads!$B229),3)</f>
        <v>1.514</v>
      </c>
      <c r="C269" s="34">
        <f>ROUND(C$136*(1-Loads!$B229),3)</f>
        <v>0.47199999999999998</v>
      </c>
      <c r="D269" s="34">
        <f>ROUND(D$136*(1-Loads!$B229),3)</f>
        <v>0</v>
      </c>
      <c r="E269" s="43">
        <f>ROUND(E$136*(1-Loads!$C229),2)</f>
        <v>2.27</v>
      </c>
      <c r="F269" s="43">
        <f>ROUND(F$136*(1-Loads!$B229),2)</f>
        <v>0</v>
      </c>
      <c r="G269" s="43">
        <f>ROUND(G$136*(1-Loads!$B229),2)</f>
        <v>0</v>
      </c>
      <c r="H269" s="34">
        <f>ROUND(H$136*(1-Loads!$B229),3)</f>
        <v>0</v>
      </c>
      <c r="I269" s="17"/>
    </row>
    <row r="270" spans="1:9">
      <c r="A270" s="4" t="s">
        <v>258</v>
      </c>
      <c r="B270" s="34">
        <f>ROUND(B$136*(1-Loads!$B230),3)</f>
        <v>1.0049999999999999</v>
      </c>
      <c r="C270" s="34">
        <f>ROUND(C$136*(1-Loads!$B230),3)</f>
        <v>0.314</v>
      </c>
      <c r="D270" s="34">
        <f>ROUND(D$136*(1-Loads!$B230),3)</f>
        <v>0</v>
      </c>
      <c r="E270" s="43">
        <f>ROUND(E$136*(1-Loads!$C230),2)</f>
        <v>1.51</v>
      </c>
      <c r="F270" s="43">
        <f>ROUND(F$136*(1-Loads!$B230),2)</f>
        <v>0</v>
      </c>
      <c r="G270" s="43">
        <f>ROUND(G$136*(1-Loads!$B230),2)</f>
        <v>0</v>
      </c>
      <c r="H270" s="34">
        <f>ROUND(H$136*(1-Loads!$B230),3)</f>
        <v>0</v>
      </c>
      <c r="I270" s="17"/>
    </row>
    <row r="271" spans="1:9">
      <c r="A271" s="27" t="s">
        <v>259</v>
      </c>
      <c r="I271" s="17"/>
    </row>
    <row r="272" spans="1:9">
      <c r="A272" s="4" t="s">
        <v>227</v>
      </c>
      <c r="B272" s="34">
        <f>ROUND(B$137*(1-Loads!$B232),3)</f>
        <v>0.75800000000000001</v>
      </c>
      <c r="C272" s="34">
        <f>ROUND(C$137*(1-Loads!$B232),3)</f>
        <v>0</v>
      </c>
      <c r="D272" s="34">
        <f>ROUND(D$137*(1-Loads!$B232),3)</f>
        <v>0</v>
      </c>
      <c r="E272" s="43">
        <f>ROUND(E$137*(1-Loads!$C232),2)</f>
        <v>0</v>
      </c>
      <c r="F272" s="43">
        <f>ROUND(F$137*(1-Loads!$B232),2)</f>
        <v>0</v>
      </c>
      <c r="G272" s="43">
        <f>ROUND(G$137*(1-Loads!$B232),2)</f>
        <v>0</v>
      </c>
      <c r="H272" s="34">
        <f>ROUND(H$137*(1-Loads!$B232),3)</f>
        <v>0</v>
      </c>
      <c r="I272" s="17"/>
    </row>
    <row r="273" spans="1:9" ht="30">
      <c r="A273" s="4" t="s">
        <v>260</v>
      </c>
      <c r="B273" s="34">
        <f>ROUND(B$137*(1-Loads!$B233),3)</f>
        <v>0.48699999999999999</v>
      </c>
      <c r="C273" s="34">
        <f>ROUND(C$137*(1-Loads!$B233),3)</f>
        <v>0</v>
      </c>
      <c r="D273" s="34">
        <f>ROUND(D$137*(1-Loads!$B233),3)</f>
        <v>0</v>
      </c>
      <c r="E273" s="43">
        <f>ROUND(E$137*(1-Loads!$C233),2)</f>
        <v>0</v>
      </c>
      <c r="F273" s="43">
        <f>ROUND(F$137*(1-Loads!$B233),2)</f>
        <v>0</v>
      </c>
      <c r="G273" s="43">
        <f>ROUND(G$137*(1-Loads!$B233),2)</f>
        <v>0</v>
      </c>
      <c r="H273" s="34">
        <f>ROUND(H$137*(1-Loads!$B233),3)</f>
        <v>0</v>
      </c>
      <c r="I273" s="17"/>
    </row>
    <row r="274" spans="1:9" ht="30">
      <c r="A274" s="4" t="s">
        <v>261</v>
      </c>
      <c r="B274" s="34">
        <f>ROUND(B$137*(1-Loads!$B234),3)</f>
        <v>0.32300000000000001</v>
      </c>
      <c r="C274" s="34">
        <f>ROUND(C$137*(1-Loads!$B234),3)</f>
        <v>0</v>
      </c>
      <c r="D274" s="34">
        <f>ROUND(D$137*(1-Loads!$B234),3)</f>
        <v>0</v>
      </c>
      <c r="E274" s="43">
        <f>ROUND(E$137*(1-Loads!$C234),2)</f>
        <v>0</v>
      </c>
      <c r="F274" s="43">
        <f>ROUND(F$137*(1-Loads!$B234),2)</f>
        <v>0</v>
      </c>
      <c r="G274" s="43">
        <f>ROUND(G$137*(1-Loads!$B234),2)</f>
        <v>0</v>
      </c>
      <c r="H274" s="34">
        <f>ROUND(H$137*(1-Loads!$B234),3)</f>
        <v>0</v>
      </c>
      <c r="I274" s="17"/>
    </row>
    <row r="275" spans="1:9">
      <c r="A275" s="27" t="s">
        <v>262</v>
      </c>
      <c r="I275" s="17"/>
    </row>
    <row r="276" spans="1:9">
      <c r="A276" s="4" t="s">
        <v>184</v>
      </c>
      <c r="B276" s="34">
        <f>ROUND(B$138*(1-Loads!$B236),3)</f>
        <v>2.1970000000000001</v>
      </c>
      <c r="C276" s="34">
        <f>ROUND(C$138*(1-Loads!$B236),3)</f>
        <v>0.71199999999999997</v>
      </c>
      <c r="D276" s="34">
        <f>ROUND(D$138*(1-Loads!$B236),3)</f>
        <v>0</v>
      </c>
      <c r="E276" s="43">
        <f>ROUND(E$138*(1-Loads!$C236),2)</f>
        <v>18.09</v>
      </c>
      <c r="F276" s="43">
        <f>ROUND(F$138*(1-Loads!$B236),2)</f>
        <v>0</v>
      </c>
      <c r="G276" s="43">
        <f>ROUND(G$138*(1-Loads!$B236),2)</f>
        <v>0</v>
      </c>
      <c r="H276" s="34">
        <f>ROUND(H$138*(1-Loads!$B236),3)</f>
        <v>0</v>
      </c>
      <c r="I276" s="17"/>
    </row>
    <row r="277" spans="1:9">
      <c r="A277" s="4" t="s">
        <v>263</v>
      </c>
      <c r="B277" s="34">
        <f>ROUND(B$138*(1-Loads!$B237),3)</f>
        <v>1.4119999999999999</v>
      </c>
      <c r="C277" s="34">
        <f>ROUND(C$138*(1-Loads!$B237),3)</f>
        <v>0.45800000000000002</v>
      </c>
      <c r="D277" s="34">
        <f>ROUND(D$138*(1-Loads!$B237),3)</f>
        <v>0</v>
      </c>
      <c r="E277" s="43">
        <f>ROUND(E$138*(1-Loads!$C237),2)</f>
        <v>11.63</v>
      </c>
      <c r="F277" s="43">
        <f>ROUND(F$138*(1-Loads!$B237),2)</f>
        <v>0</v>
      </c>
      <c r="G277" s="43">
        <f>ROUND(G$138*(1-Loads!$B237),2)</f>
        <v>0</v>
      </c>
      <c r="H277" s="34">
        <f>ROUND(H$138*(1-Loads!$B237),3)</f>
        <v>0</v>
      </c>
      <c r="I277" s="17"/>
    </row>
    <row r="278" spans="1:9">
      <c r="A278" s="4" t="s">
        <v>264</v>
      </c>
      <c r="B278" s="34">
        <f>ROUND(B$138*(1-Loads!$B238),3)</f>
        <v>0.93700000000000006</v>
      </c>
      <c r="C278" s="34">
        <f>ROUND(C$138*(1-Loads!$B238),3)</f>
        <v>0.30399999999999999</v>
      </c>
      <c r="D278" s="34">
        <f>ROUND(D$138*(1-Loads!$B238),3)</f>
        <v>0</v>
      </c>
      <c r="E278" s="43">
        <f>ROUND(E$138*(1-Loads!$C238),2)</f>
        <v>7.72</v>
      </c>
      <c r="F278" s="43">
        <f>ROUND(F$138*(1-Loads!$B238),2)</f>
        <v>0</v>
      </c>
      <c r="G278" s="43">
        <f>ROUND(G$138*(1-Loads!$B238),2)</f>
        <v>0</v>
      </c>
      <c r="H278" s="34">
        <f>ROUND(H$138*(1-Loads!$B238),3)</f>
        <v>0</v>
      </c>
      <c r="I278" s="17"/>
    </row>
    <row r="279" spans="1:9">
      <c r="A279" s="27" t="s">
        <v>265</v>
      </c>
      <c r="I279" s="17"/>
    </row>
    <row r="280" spans="1:9">
      <c r="A280" s="4" t="s">
        <v>185</v>
      </c>
      <c r="B280" s="34">
        <f>ROUND(B$139*(1-Loads!$B240),3)</f>
        <v>3.9569999999999999</v>
      </c>
      <c r="C280" s="34">
        <f>ROUND(C$139*(1-Loads!$B240),3)</f>
        <v>0.85799999999999998</v>
      </c>
      <c r="D280" s="34">
        <f>ROUND(D$139*(1-Loads!$B240),3)</f>
        <v>0</v>
      </c>
      <c r="E280" s="43">
        <f>ROUND(E$139*(1-Loads!$C240),2)</f>
        <v>131.80000000000001</v>
      </c>
      <c r="F280" s="43">
        <f>ROUND(F$139*(1-Loads!$B240),2)</f>
        <v>0</v>
      </c>
      <c r="G280" s="43">
        <f>ROUND(G$139*(1-Loads!$B240),2)</f>
        <v>0</v>
      </c>
      <c r="H280" s="34">
        <f>ROUND(H$139*(1-Loads!$B240),3)</f>
        <v>0</v>
      </c>
      <c r="I280" s="17"/>
    </row>
    <row r="281" spans="1:9">
      <c r="A281" s="27" t="s">
        <v>266</v>
      </c>
      <c r="I281" s="17"/>
    </row>
    <row r="282" spans="1:9">
      <c r="A282" s="4" t="s">
        <v>205</v>
      </c>
      <c r="B282" s="34">
        <f>ROUND(B$140*(1-Loads!$B242),3)</f>
        <v>3.012</v>
      </c>
      <c r="C282" s="34">
        <f>ROUND(C$140*(1-Loads!$B242),3)</f>
        <v>0.76700000000000002</v>
      </c>
      <c r="D282" s="34">
        <f>ROUND(D$140*(1-Loads!$B242),3)</f>
        <v>0</v>
      </c>
      <c r="E282" s="43">
        <f>ROUND(E$140*(1-Loads!$C242),2)</f>
        <v>1193.82</v>
      </c>
      <c r="F282" s="43">
        <f>ROUND(F$140*(1-Loads!$B242),2)</f>
        <v>0</v>
      </c>
      <c r="G282" s="43">
        <f>ROUND(G$140*(1-Loads!$B242),2)</f>
        <v>0</v>
      </c>
      <c r="H282" s="34">
        <f>ROUND(H$140*(1-Loads!$B242),3)</f>
        <v>0</v>
      </c>
      <c r="I282" s="17"/>
    </row>
    <row r="283" spans="1:9">
      <c r="A283" s="27" t="s">
        <v>267</v>
      </c>
      <c r="I283" s="17"/>
    </row>
    <row r="284" spans="1:9">
      <c r="A284" s="4" t="s">
        <v>186</v>
      </c>
      <c r="B284" s="34">
        <f>ROUND(B$141*(1-Loads!$B244),3)</f>
        <v>10.371</v>
      </c>
      <c r="C284" s="34">
        <f>ROUND(C$141*(1-Loads!$B244),3)</f>
        <v>2.081</v>
      </c>
      <c r="D284" s="34">
        <f>ROUND(D$141*(1-Loads!$B244),3)</f>
        <v>0.754</v>
      </c>
      <c r="E284" s="43">
        <f>ROUND(E$141*(1-Loads!$C244),2)</f>
        <v>3.53</v>
      </c>
      <c r="F284" s="43">
        <f>ROUND(F$141*(1-Loads!$B244),2)</f>
        <v>0</v>
      </c>
      <c r="G284" s="43">
        <f>ROUND(G$141*(1-Loads!$B244),2)</f>
        <v>0</v>
      </c>
      <c r="H284" s="34">
        <f>ROUND(H$141*(1-Loads!$B244),3)</f>
        <v>0</v>
      </c>
      <c r="I284" s="17"/>
    </row>
    <row r="285" spans="1:9">
      <c r="A285" s="4" t="s">
        <v>268</v>
      </c>
      <c r="B285" s="34">
        <f>ROUND(B$141*(1-Loads!$B245),3)</f>
        <v>6.665</v>
      </c>
      <c r="C285" s="34">
        <f>ROUND(C$141*(1-Loads!$B245),3)</f>
        <v>1.337</v>
      </c>
      <c r="D285" s="34">
        <f>ROUND(D$141*(1-Loads!$B245),3)</f>
        <v>0.48499999999999999</v>
      </c>
      <c r="E285" s="43">
        <f>ROUND(E$141*(1-Loads!$C245),2)</f>
        <v>2.27</v>
      </c>
      <c r="F285" s="43">
        <f>ROUND(F$141*(1-Loads!$B245),2)</f>
        <v>0</v>
      </c>
      <c r="G285" s="43">
        <f>ROUND(G$141*(1-Loads!$B245),2)</f>
        <v>0</v>
      </c>
      <c r="H285" s="34">
        <f>ROUND(H$141*(1-Loads!$B245),3)</f>
        <v>0</v>
      </c>
      <c r="I285" s="17"/>
    </row>
    <row r="286" spans="1:9">
      <c r="A286" s="4" t="s">
        <v>269</v>
      </c>
      <c r="B286" s="34">
        <f>ROUND(B$141*(1-Loads!$B246),3)</f>
        <v>4.4240000000000004</v>
      </c>
      <c r="C286" s="34">
        <f>ROUND(C$141*(1-Loads!$B246),3)</f>
        <v>0.88800000000000001</v>
      </c>
      <c r="D286" s="34">
        <f>ROUND(D$141*(1-Loads!$B246),3)</f>
        <v>0.32200000000000001</v>
      </c>
      <c r="E286" s="43">
        <f>ROUND(E$141*(1-Loads!$C246),2)</f>
        <v>1.51</v>
      </c>
      <c r="F286" s="43">
        <f>ROUND(F$141*(1-Loads!$B246),2)</f>
        <v>0</v>
      </c>
      <c r="G286" s="43">
        <f>ROUND(G$141*(1-Loads!$B246),2)</f>
        <v>0</v>
      </c>
      <c r="H286" s="34">
        <f>ROUND(H$141*(1-Loads!$B246),3)</f>
        <v>0</v>
      </c>
      <c r="I286" s="17"/>
    </row>
    <row r="287" spans="1:9">
      <c r="A287" s="27" t="s">
        <v>270</v>
      </c>
      <c r="I287" s="17"/>
    </row>
    <row r="288" spans="1:9">
      <c r="A288" s="4" t="s">
        <v>187</v>
      </c>
      <c r="B288" s="34">
        <f>ROUND(B$142*(1-Loads!$B248),3)</f>
        <v>9.5259999999999998</v>
      </c>
      <c r="C288" s="34">
        <f>ROUND(C$142*(1-Loads!$B248),3)</f>
        <v>1.9510000000000001</v>
      </c>
      <c r="D288" s="34">
        <f>ROUND(D$142*(1-Loads!$B248),3)</f>
        <v>0.73799999999999999</v>
      </c>
      <c r="E288" s="43">
        <f>ROUND(E$142*(1-Loads!$C248),2)</f>
        <v>3.53</v>
      </c>
      <c r="F288" s="43">
        <f>ROUND(F$142*(1-Loads!$B248),2)</f>
        <v>0</v>
      </c>
      <c r="G288" s="43">
        <f>ROUND(G$142*(1-Loads!$B248),2)</f>
        <v>0</v>
      </c>
      <c r="H288" s="34">
        <f>ROUND(H$142*(1-Loads!$B248),3)</f>
        <v>0</v>
      </c>
      <c r="I288" s="17"/>
    </row>
    <row r="289" spans="1:9">
      <c r="A289" s="4" t="s">
        <v>271</v>
      </c>
      <c r="B289" s="34">
        <f>ROUND(B$142*(1-Loads!$B249),3)</f>
        <v>6.1219999999999999</v>
      </c>
      <c r="C289" s="34">
        <f>ROUND(C$142*(1-Loads!$B249),3)</f>
        <v>1.254</v>
      </c>
      <c r="D289" s="34">
        <f>ROUND(D$142*(1-Loads!$B249),3)</f>
        <v>0.47399999999999998</v>
      </c>
      <c r="E289" s="43">
        <f>ROUND(E$142*(1-Loads!$C249),2)</f>
        <v>2.27</v>
      </c>
      <c r="F289" s="43">
        <f>ROUND(F$142*(1-Loads!$B249),2)</f>
        <v>0</v>
      </c>
      <c r="G289" s="43">
        <f>ROUND(G$142*(1-Loads!$B249),2)</f>
        <v>0</v>
      </c>
      <c r="H289" s="34">
        <f>ROUND(H$142*(1-Loads!$B249),3)</f>
        <v>0</v>
      </c>
      <c r="I289" s="17"/>
    </row>
    <row r="290" spans="1:9">
      <c r="A290" s="4" t="s">
        <v>272</v>
      </c>
      <c r="B290" s="34">
        <f>ROUND(B$142*(1-Loads!$B250),3)</f>
        <v>4.0640000000000001</v>
      </c>
      <c r="C290" s="34">
        <f>ROUND(C$142*(1-Loads!$B250),3)</f>
        <v>0.83199999999999996</v>
      </c>
      <c r="D290" s="34">
        <f>ROUND(D$142*(1-Loads!$B250),3)</f>
        <v>0.315</v>
      </c>
      <c r="E290" s="43">
        <f>ROUND(E$142*(1-Loads!$C250),2)</f>
        <v>1.51</v>
      </c>
      <c r="F290" s="43">
        <f>ROUND(F$142*(1-Loads!$B250),2)</f>
        <v>0</v>
      </c>
      <c r="G290" s="43">
        <f>ROUND(G$142*(1-Loads!$B250),2)</f>
        <v>0</v>
      </c>
      <c r="H290" s="34">
        <f>ROUND(H$142*(1-Loads!$B250),3)</f>
        <v>0</v>
      </c>
      <c r="I290" s="17"/>
    </row>
    <row r="291" spans="1:9">
      <c r="A291" s="27" t="s">
        <v>273</v>
      </c>
      <c r="I291" s="17"/>
    </row>
    <row r="292" spans="1:9">
      <c r="A292" s="4" t="s">
        <v>188</v>
      </c>
      <c r="B292" s="34">
        <f>ROUND(B$143*(1-Loads!$B252),3)</f>
        <v>7.1820000000000004</v>
      </c>
      <c r="C292" s="34">
        <f>ROUND(C$143*(1-Loads!$B252),3)</f>
        <v>1.534</v>
      </c>
      <c r="D292" s="34">
        <f>ROUND(D$143*(1-Loads!$B252),3)</f>
        <v>0.69099999999999995</v>
      </c>
      <c r="E292" s="43">
        <f>ROUND(E$143*(1-Loads!$C252),2)</f>
        <v>14.05</v>
      </c>
      <c r="F292" s="43">
        <f>ROUND(F$143*(1-Loads!$B252),2)</f>
        <v>3.26</v>
      </c>
      <c r="G292" s="43">
        <f>ROUND(G$143*(1-Loads!$B252),2)</f>
        <v>5.0599999999999996</v>
      </c>
      <c r="H292" s="34">
        <f>ROUND(H$143*(1-Loads!$B252),3)</f>
        <v>0.14799999999999999</v>
      </c>
      <c r="I292" s="17"/>
    </row>
    <row r="293" spans="1:9">
      <c r="A293" s="4" t="s">
        <v>274</v>
      </c>
      <c r="B293" s="34">
        <f>ROUND(B$143*(1-Loads!$B253),3)</f>
        <v>4.6150000000000002</v>
      </c>
      <c r="C293" s="34">
        <f>ROUND(C$143*(1-Loads!$B253),3)</f>
        <v>0.98599999999999999</v>
      </c>
      <c r="D293" s="34">
        <f>ROUND(D$143*(1-Loads!$B253),3)</f>
        <v>0.44400000000000001</v>
      </c>
      <c r="E293" s="43">
        <f>ROUND(E$143*(1-Loads!$C253),2)</f>
        <v>9.0299999999999994</v>
      </c>
      <c r="F293" s="43">
        <f>ROUND(F$143*(1-Loads!$B253),2)</f>
        <v>2.1</v>
      </c>
      <c r="G293" s="43">
        <f>ROUND(G$143*(1-Loads!$B253),2)</f>
        <v>3.25</v>
      </c>
      <c r="H293" s="34">
        <f>ROUND(H$143*(1-Loads!$B253),3)</f>
        <v>9.5000000000000001E-2</v>
      </c>
      <c r="I293" s="17"/>
    </row>
    <row r="294" spans="1:9">
      <c r="A294" s="4" t="s">
        <v>275</v>
      </c>
      <c r="B294" s="34">
        <f>ROUND(B$143*(1-Loads!$B254),3)</f>
        <v>3.0640000000000001</v>
      </c>
      <c r="C294" s="34">
        <f>ROUND(C$143*(1-Loads!$B254),3)</f>
        <v>0.65400000000000003</v>
      </c>
      <c r="D294" s="34">
        <f>ROUND(D$143*(1-Loads!$B254),3)</f>
        <v>0.29499999999999998</v>
      </c>
      <c r="E294" s="43">
        <f>ROUND(E$143*(1-Loads!$C254),2)</f>
        <v>5.99</v>
      </c>
      <c r="F294" s="43">
        <f>ROUND(F$143*(1-Loads!$B254),2)</f>
        <v>1.39</v>
      </c>
      <c r="G294" s="43">
        <f>ROUND(G$143*(1-Loads!$B254),2)</f>
        <v>2.16</v>
      </c>
      <c r="H294" s="34">
        <f>ROUND(H$143*(1-Loads!$B254),3)</f>
        <v>6.3E-2</v>
      </c>
      <c r="I294" s="17"/>
    </row>
    <row r="295" spans="1:9">
      <c r="A295" s="27" t="s">
        <v>276</v>
      </c>
      <c r="I295" s="17"/>
    </row>
    <row r="296" spans="1:9">
      <c r="A296" s="4" t="s">
        <v>189</v>
      </c>
      <c r="B296" s="34">
        <f>ROUND(B$144*(1-Loads!$B256),3)</f>
        <v>5.78</v>
      </c>
      <c r="C296" s="34">
        <f>ROUND(C$144*(1-Loads!$B256),3)</f>
        <v>1.284</v>
      </c>
      <c r="D296" s="34">
        <f>ROUND(D$144*(1-Loads!$B256),3)</f>
        <v>0.66200000000000003</v>
      </c>
      <c r="E296" s="43">
        <f>ROUND(E$144*(1-Loads!$C256),2)</f>
        <v>45.11</v>
      </c>
      <c r="F296" s="43">
        <f>ROUND(F$144*(1-Loads!$B256),2)</f>
        <v>3.25</v>
      </c>
      <c r="G296" s="43">
        <f>ROUND(G$144*(1-Loads!$B256),2)</f>
        <v>5.85</v>
      </c>
      <c r="H296" s="34">
        <f>ROUND(H$144*(1-Loads!$B256),3)</f>
        <v>0.111</v>
      </c>
      <c r="I296" s="17"/>
    </row>
    <row r="297" spans="1:9">
      <c r="A297" s="4" t="s">
        <v>277</v>
      </c>
      <c r="B297" s="34">
        <f>ROUND(B$144*(1-Loads!$B257),3)</f>
        <v>3.8849999999999998</v>
      </c>
      <c r="C297" s="34">
        <f>ROUND(C$144*(1-Loads!$B257),3)</f>
        <v>0.86299999999999999</v>
      </c>
      <c r="D297" s="34">
        <f>ROUND(D$144*(1-Loads!$B257),3)</f>
        <v>0.44500000000000001</v>
      </c>
      <c r="E297" s="43">
        <f>ROUND(E$144*(1-Loads!$C257),2)</f>
        <v>30.32</v>
      </c>
      <c r="F297" s="43">
        <f>ROUND(F$144*(1-Loads!$B257),2)</f>
        <v>2.1800000000000002</v>
      </c>
      <c r="G297" s="43">
        <f>ROUND(G$144*(1-Loads!$B257),2)</f>
        <v>3.93</v>
      </c>
      <c r="H297" s="34">
        <f>ROUND(H$144*(1-Loads!$B257),3)</f>
        <v>7.4999999999999997E-2</v>
      </c>
      <c r="I297" s="17"/>
    </row>
    <row r="298" spans="1:9">
      <c r="A298" s="27" t="s">
        <v>278</v>
      </c>
      <c r="I298" s="17"/>
    </row>
    <row r="299" spans="1:9">
      <c r="A299" s="4" t="s">
        <v>206</v>
      </c>
      <c r="B299" s="34">
        <f>ROUND(B$145*(1-Loads!$B259),3)</f>
        <v>4.2439999999999998</v>
      </c>
      <c r="C299" s="34">
        <f>ROUND(C$145*(1-Loads!$B259),3)</f>
        <v>1.018</v>
      </c>
      <c r="D299" s="34">
        <f>ROUND(D$145*(1-Loads!$B259),3)</f>
        <v>0.63200000000000001</v>
      </c>
      <c r="E299" s="43">
        <f>ROUND(E$145*(1-Loads!$C259),2)</f>
        <v>99.18</v>
      </c>
      <c r="F299" s="43">
        <f>ROUND(F$145*(1-Loads!$B259),2)</f>
        <v>2.93</v>
      </c>
      <c r="G299" s="43">
        <f>ROUND(G$145*(1-Loads!$B259),2)</f>
        <v>5.75</v>
      </c>
      <c r="H299" s="34">
        <f>ROUND(H$145*(1-Loads!$B259),3)</f>
        <v>7.3999999999999996E-2</v>
      </c>
      <c r="I299" s="17"/>
    </row>
    <row r="300" spans="1:9">
      <c r="A300" s="4" t="s">
        <v>279</v>
      </c>
      <c r="B300" s="34">
        <f>ROUND(B$145*(1-Loads!$B260),3)</f>
        <v>3.3769999999999998</v>
      </c>
      <c r="C300" s="34">
        <f>ROUND(C$145*(1-Loads!$B260),3)</f>
        <v>0.81</v>
      </c>
      <c r="D300" s="34">
        <f>ROUND(D$145*(1-Loads!$B260),3)</f>
        <v>0.503</v>
      </c>
      <c r="E300" s="43">
        <f>ROUND(E$145*(1-Loads!$C260),2)</f>
        <v>78.92</v>
      </c>
      <c r="F300" s="43">
        <f>ROUND(F$145*(1-Loads!$B260),2)</f>
        <v>2.33</v>
      </c>
      <c r="G300" s="43">
        <f>ROUND(G$145*(1-Loads!$B260),2)</f>
        <v>4.58</v>
      </c>
      <c r="H300" s="34">
        <f>ROUND(H$145*(1-Loads!$B260),3)</f>
        <v>5.8999999999999997E-2</v>
      </c>
      <c r="I300" s="17"/>
    </row>
    <row r="301" spans="1:9">
      <c r="A301" s="27" t="s">
        <v>280</v>
      </c>
      <c r="I301" s="17"/>
    </row>
    <row r="302" spans="1:9">
      <c r="A302" s="4" t="s">
        <v>228</v>
      </c>
      <c r="B302" s="34">
        <f>ROUND(B$146*(1-Loads!$B262),3)</f>
        <v>3.5390000000000001</v>
      </c>
      <c r="C302" s="34">
        <f>ROUND(C$146*(1-Loads!$B262),3)</f>
        <v>0</v>
      </c>
      <c r="D302" s="34">
        <f>ROUND(D$146*(1-Loads!$B262),3)</f>
        <v>0</v>
      </c>
      <c r="E302" s="43">
        <f>ROUND(E$146*(1-Loads!$C262),2)</f>
        <v>0</v>
      </c>
      <c r="F302" s="43">
        <f>ROUND(F$146*(1-Loads!$B262),2)</f>
        <v>0</v>
      </c>
      <c r="G302" s="43">
        <f>ROUND(G$146*(1-Loads!$B262),2)</f>
        <v>0</v>
      </c>
      <c r="H302" s="34">
        <f>ROUND(H$146*(1-Loads!$B262),3)</f>
        <v>0</v>
      </c>
      <c r="I302" s="17"/>
    </row>
    <row r="303" spans="1:9">
      <c r="A303" s="4" t="s">
        <v>281</v>
      </c>
      <c r="B303" s="34">
        <f>ROUND(B$146*(1-Loads!$B263),3)</f>
        <v>2.274</v>
      </c>
      <c r="C303" s="34">
        <f>ROUND(C$146*(1-Loads!$B263),3)</f>
        <v>0</v>
      </c>
      <c r="D303" s="34">
        <f>ROUND(D$146*(1-Loads!$B263),3)</f>
        <v>0</v>
      </c>
      <c r="E303" s="43">
        <f>ROUND(E$146*(1-Loads!$C263),2)</f>
        <v>0</v>
      </c>
      <c r="F303" s="43">
        <f>ROUND(F$146*(1-Loads!$B263),2)</f>
        <v>0</v>
      </c>
      <c r="G303" s="43">
        <f>ROUND(G$146*(1-Loads!$B263),2)</f>
        <v>0</v>
      </c>
      <c r="H303" s="34">
        <f>ROUND(H$146*(1-Loads!$B263),3)</f>
        <v>0</v>
      </c>
      <c r="I303" s="17"/>
    </row>
    <row r="304" spans="1:9">
      <c r="A304" s="4" t="s">
        <v>282</v>
      </c>
      <c r="B304" s="34">
        <f>ROUND(B$146*(1-Loads!$B264),3)</f>
        <v>1.51</v>
      </c>
      <c r="C304" s="34">
        <f>ROUND(C$146*(1-Loads!$B264),3)</f>
        <v>0</v>
      </c>
      <c r="D304" s="34">
        <f>ROUND(D$146*(1-Loads!$B264),3)</f>
        <v>0</v>
      </c>
      <c r="E304" s="43">
        <f>ROUND(E$146*(1-Loads!$C264),2)</f>
        <v>0</v>
      </c>
      <c r="F304" s="43">
        <f>ROUND(F$146*(1-Loads!$B264),2)</f>
        <v>0</v>
      </c>
      <c r="G304" s="43">
        <f>ROUND(G$146*(1-Loads!$B264),2)</f>
        <v>0</v>
      </c>
      <c r="H304" s="34">
        <f>ROUND(H$146*(1-Loads!$B264),3)</f>
        <v>0</v>
      </c>
      <c r="I304" s="17"/>
    </row>
    <row r="305" spans="1:9">
      <c r="A305" s="27" t="s">
        <v>283</v>
      </c>
      <c r="I305" s="17"/>
    </row>
    <row r="306" spans="1:9">
      <c r="A306" s="4" t="s">
        <v>229</v>
      </c>
      <c r="B306" s="34">
        <f>ROUND(B$147*(1-Loads!$B266),3)</f>
        <v>3.7519999999999998</v>
      </c>
      <c r="C306" s="34">
        <f>ROUND(C$147*(1-Loads!$B266),3)</f>
        <v>0</v>
      </c>
      <c r="D306" s="34">
        <f>ROUND(D$147*(1-Loads!$B266),3)</f>
        <v>0</v>
      </c>
      <c r="E306" s="43">
        <f>ROUND(E$147*(1-Loads!$C266),2)</f>
        <v>0</v>
      </c>
      <c r="F306" s="43">
        <f>ROUND(F$147*(1-Loads!$B266),2)</f>
        <v>0</v>
      </c>
      <c r="G306" s="43">
        <f>ROUND(G$147*(1-Loads!$B266),2)</f>
        <v>0</v>
      </c>
      <c r="H306" s="34">
        <f>ROUND(H$147*(1-Loads!$B266),3)</f>
        <v>0</v>
      </c>
      <c r="I306" s="17"/>
    </row>
    <row r="307" spans="1:9">
      <c r="A307" s="4" t="s">
        <v>284</v>
      </c>
      <c r="B307" s="34">
        <f>ROUND(B$147*(1-Loads!$B267),3)</f>
        <v>2.411</v>
      </c>
      <c r="C307" s="34">
        <f>ROUND(C$147*(1-Loads!$B267),3)</f>
        <v>0</v>
      </c>
      <c r="D307" s="34">
        <f>ROUND(D$147*(1-Loads!$B267),3)</f>
        <v>0</v>
      </c>
      <c r="E307" s="43">
        <f>ROUND(E$147*(1-Loads!$C267),2)</f>
        <v>0</v>
      </c>
      <c r="F307" s="43">
        <f>ROUND(F$147*(1-Loads!$B267),2)</f>
        <v>0</v>
      </c>
      <c r="G307" s="43">
        <f>ROUND(G$147*(1-Loads!$B267),2)</f>
        <v>0</v>
      </c>
      <c r="H307" s="34">
        <f>ROUND(H$147*(1-Loads!$B267),3)</f>
        <v>0</v>
      </c>
      <c r="I307" s="17"/>
    </row>
    <row r="308" spans="1:9">
      <c r="A308" s="4" t="s">
        <v>285</v>
      </c>
      <c r="B308" s="34">
        <f>ROUND(B$147*(1-Loads!$B268),3)</f>
        <v>1.601</v>
      </c>
      <c r="C308" s="34">
        <f>ROUND(C$147*(1-Loads!$B268),3)</f>
        <v>0</v>
      </c>
      <c r="D308" s="34">
        <f>ROUND(D$147*(1-Loads!$B268),3)</f>
        <v>0</v>
      </c>
      <c r="E308" s="43">
        <f>ROUND(E$147*(1-Loads!$C268),2)</f>
        <v>0</v>
      </c>
      <c r="F308" s="43">
        <f>ROUND(F$147*(1-Loads!$B268),2)</f>
        <v>0</v>
      </c>
      <c r="G308" s="43">
        <f>ROUND(G$147*(1-Loads!$B268),2)</f>
        <v>0</v>
      </c>
      <c r="H308" s="34">
        <f>ROUND(H$147*(1-Loads!$B268),3)</f>
        <v>0</v>
      </c>
      <c r="I308" s="17"/>
    </row>
    <row r="309" spans="1:9">
      <c r="A309" s="27" t="s">
        <v>286</v>
      </c>
      <c r="I309" s="17"/>
    </row>
    <row r="310" spans="1:9">
      <c r="A310" s="4" t="s">
        <v>230</v>
      </c>
      <c r="B310" s="34">
        <f>ROUND(B$148*(1-Loads!$B270),3)</f>
        <v>4.952</v>
      </c>
      <c r="C310" s="34">
        <f>ROUND(C$148*(1-Loads!$B270),3)</f>
        <v>0</v>
      </c>
      <c r="D310" s="34">
        <f>ROUND(D$148*(1-Loads!$B270),3)</f>
        <v>0</v>
      </c>
      <c r="E310" s="43">
        <f>ROUND(E$148*(1-Loads!$C270),2)</f>
        <v>0</v>
      </c>
      <c r="F310" s="43">
        <f>ROUND(F$148*(1-Loads!$B270),2)</f>
        <v>0</v>
      </c>
      <c r="G310" s="43">
        <f>ROUND(G$148*(1-Loads!$B270),2)</f>
        <v>0</v>
      </c>
      <c r="H310" s="34">
        <f>ROUND(H$148*(1-Loads!$B270),3)</f>
        <v>0</v>
      </c>
      <c r="I310" s="17"/>
    </row>
    <row r="311" spans="1:9">
      <c r="A311" s="4" t="s">
        <v>287</v>
      </c>
      <c r="B311" s="34">
        <f>ROUND(B$148*(1-Loads!$B271),3)</f>
        <v>3.1819999999999999</v>
      </c>
      <c r="C311" s="34">
        <f>ROUND(C$148*(1-Loads!$B271),3)</f>
        <v>0</v>
      </c>
      <c r="D311" s="34">
        <f>ROUND(D$148*(1-Loads!$B271),3)</f>
        <v>0</v>
      </c>
      <c r="E311" s="43">
        <f>ROUND(E$148*(1-Loads!$C271),2)</f>
        <v>0</v>
      </c>
      <c r="F311" s="43">
        <f>ROUND(F$148*(1-Loads!$B271),2)</f>
        <v>0</v>
      </c>
      <c r="G311" s="43">
        <f>ROUND(G$148*(1-Loads!$B271),2)</f>
        <v>0</v>
      </c>
      <c r="H311" s="34">
        <f>ROUND(H$148*(1-Loads!$B271),3)</f>
        <v>0</v>
      </c>
      <c r="I311" s="17"/>
    </row>
    <row r="312" spans="1:9">
      <c r="A312" s="4" t="s">
        <v>288</v>
      </c>
      <c r="B312" s="34">
        <f>ROUND(B$148*(1-Loads!$B272),3)</f>
        <v>2.1120000000000001</v>
      </c>
      <c r="C312" s="34">
        <f>ROUND(C$148*(1-Loads!$B272),3)</f>
        <v>0</v>
      </c>
      <c r="D312" s="34">
        <f>ROUND(D$148*(1-Loads!$B272),3)</f>
        <v>0</v>
      </c>
      <c r="E312" s="43">
        <f>ROUND(E$148*(1-Loads!$C272),2)</f>
        <v>0</v>
      </c>
      <c r="F312" s="43">
        <f>ROUND(F$148*(1-Loads!$B272),2)</f>
        <v>0</v>
      </c>
      <c r="G312" s="43">
        <f>ROUND(G$148*(1-Loads!$B272),2)</f>
        <v>0</v>
      </c>
      <c r="H312" s="34">
        <f>ROUND(H$148*(1-Loads!$B272),3)</f>
        <v>0</v>
      </c>
      <c r="I312" s="17"/>
    </row>
    <row r="313" spans="1:9">
      <c r="A313" s="27" t="s">
        <v>289</v>
      </c>
      <c r="I313" s="17"/>
    </row>
    <row r="314" spans="1:9">
      <c r="A314" s="4" t="s">
        <v>231</v>
      </c>
      <c r="B314" s="34">
        <f>ROUND(B$149*(1-Loads!$B274),3)</f>
        <v>3.4620000000000002</v>
      </c>
      <c r="C314" s="34">
        <f>ROUND(C$149*(1-Loads!$B274),3)</f>
        <v>0</v>
      </c>
      <c r="D314" s="34">
        <f>ROUND(D$149*(1-Loads!$B274),3)</f>
        <v>0</v>
      </c>
      <c r="E314" s="43">
        <f>ROUND(E$149*(1-Loads!$C274),2)</f>
        <v>0</v>
      </c>
      <c r="F314" s="43">
        <f>ROUND(F$149*(1-Loads!$B274),2)</f>
        <v>0</v>
      </c>
      <c r="G314" s="43">
        <f>ROUND(G$149*(1-Loads!$B274),2)</f>
        <v>0</v>
      </c>
      <c r="H314" s="34">
        <f>ROUND(H$149*(1-Loads!$B274),3)</f>
        <v>0</v>
      </c>
      <c r="I314" s="17"/>
    </row>
    <row r="315" spans="1:9">
      <c r="A315" s="4" t="s">
        <v>290</v>
      </c>
      <c r="B315" s="34">
        <f>ROUND(B$149*(1-Loads!$B275),3)</f>
        <v>2.2250000000000001</v>
      </c>
      <c r="C315" s="34">
        <f>ROUND(C$149*(1-Loads!$B275),3)</f>
        <v>0</v>
      </c>
      <c r="D315" s="34">
        <f>ROUND(D$149*(1-Loads!$B275),3)</f>
        <v>0</v>
      </c>
      <c r="E315" s="43">
        <f>ROUND(E$149*(1-Loads!$C275),2)</f>
        <v>0</v>
      </c>
      <c r="F315" s="43">
        <f>ROUND(F$149*(1-Loads!$B275),2)</f>
        <v>0</v>
      </c>
      <c r="G315" s="43">
        <f>ROUND(G$149*(1-Loads!$B275),2)</f>
        <v>0</v>
      </c>
      <c r="H315" s="34">
        <f>ROUND(H$149*(1-Loads!$B275),3)</f>
        <v>0</v>
      </c>
      <c r="I315" s="17"/>
    </row>
    <row r="316" spans="1:9">
      <c r="A316" s="4" t="s">
        <v>291</v>
      </c>
      <c r="B316" s="34">
        <f>ROUND(B$149*(1-Loads!$B276),3)</f>
        <v>1.4770000000000001</v>
      </c>
      <c r="C316" s="34">
        <f>ROUND(C$149*(1-Loads!$B276),3)</f>
        <v>0</v>
      </c>
      <c r="D316" s="34">
        <f>ROUND(D$149*(1-Loads!$B276),3)</f>
        <v>0</v>
      </c>
      <c r="E316" s="43">
        <f>ROUND(E$149*(1-Loads!$C276),2)</f>
        <v>0</v>
      </c>
      <c r="F316" s="43">
        <f>ROUND(F$149*(1-Loads!$B276),2)</f>
        <v>0</v>
      </c>
      <c r="G316" s="43">
        <f>ROUND(G$149*(1-Loads!$B276),2)</f>
        <v>0</v>
      </c>
      <c r="H316" s="34">
        <f>ROUND(H$149*(1-Loads!$B276),3)</f>
        <v>0</v>
      </c>
      <c r="I316" s="17"/>
    </row>
    <row r="317" spans="1:9">
      <c r="A317" s="27" t="s">
        <v>292</v>
      </c>
      <c r="I317" s="17"/>
    </row>
    <row r="318" spans="1:9">
      <c r="A318" s="4" t="s">
        <v>232</v>
      </c>
      <c r="B318" s="34">
        <f>ROUND(B$150*(1-Loads!$B278),3)</f>
        <v>26.83</v>
      </c>
      <c r="C318" s="34">
        <f>ROUND(C$150*(1-Loads!$B278),3)</f>
        <v>3.5150000000000001</v>
      </c>
      <c r="D318" s="34">
        <f>ROUND(D$150*(1-Loads!$B278),3)</f>
        <v>2.4590000000000001</v>
      </c>
      <c r="E318" s="43">
        <f>ROUND(E$150*(1-Loads!$C278),2)</f>
        <v>0</v>
      </c>
      <c r="F318" s="43">
        <f>ROUND(F$150*(1-Loads!$B278),2)</f>
        <v>0</v>
      </c>
      <c r="G318" s="43">
        <f>ROUND(G$150*(1-Loads!$B278),2)</f>
        <v>0</v>
      </c>
      <c r="H318" s="34">
        <f>ROUND(H$150*(1-Loads!$B278),3)</f>
        <v>0</v>
      </c>
      <c r="I318" s="17"/>
    </row>
    <row r="319" spans="1:9">
      <c r="A319" s="4" t="s">
        <v>293</v>
      </c>
      <c r="B319" s="34">
        <f>ROUND(B$150*(1-Loads!$B279),3)</f>
        <v>17.242000000000001</v>
      </c>
      <c r="C319" s="34">
        <f>ROUND(C$150*(1-Loads!$B279),3)</f>
        <v>2.2589999999999999</v>
      </c>
      <c r="D319" s="34">
        <f>ROUND(D$150*(1-Loads!$B279),3)</f>
        <v>1.58</v>
      </c>
      <c r="E319" s="43">
        <f>ROUND(E$150*(1-Loads!$C279),2)</f>
        <v>0</v>
      </c>
      <c r="F319" s="43">
        <f>ROUND(F$150*(1-Loads!$B279),2)</f>
        <v>0</v>
      </c>
      <c r="G319" s="43">
        <f>ROUND(G$150*(1-Loads!$B279),2)</f>
        <v>0</v>
      </c>
      <c r="H319" s="34">
        <f>ROUND(H$150*(1-Loads!$B279),3)</f>
        <v>0</v>
      </c>
      <c r="I319" s="17"/>
    </row>
    <row r="320" spans="1:9">
      <c r="A320" s="4" t="s">
        <v>294</v>
      </c>
      <c r="B320" s="34">
        <f>ROUND(B$150*(1-Loads!$B280),3)</f>
        <v>11.445</v>
      </c>
      <c r="C320" s="34">
        <f>ROUND(C$150*(1-Loads!$B280),3)</f>
        <v>1.4990000000000001</v>
      </c>
      <c r="D320" s="34">
        <f>ROUND(D$150*(1-Loads!$B280),3)</f>
        <v>1.0489999999999999</v>
      </c>
      <c r="E320" s="43">
        <f>ROUND(E$150*(1-Loads!$C280),2)</f>
        <v>0</v>
      </c>
      <c r="F320" s="43">
        <f>ROUND(F$150*(1-Loads!$B280),2)</f>
        <v>0</v>
      </c>
      <c r="G320" s="43">
        <f>ROUND(G$150*(1-Loads!$B280),2)</f>
        <v>0</v>
      </c>
      <c r="H320" s="34">
        <f>ROUND(H$150*(1-Loads!$B280),3)</f>
        <v>0</v>
      </c>
      <c r="I320" s="17"/>
    </row>
    <row r="321" spans="1:9">
      <c r="A321" s="27" t="s">
        <v>295</v>
      </c>
      <c r="I321" s="17"/>
    </row>
    <row r="322" spans="1:9">
      <c r="A322" s="4" t="s">
        <v>190</v>
      </c>
      <c r="B322" s="34">
        <f>ROUND(B$151*(1-Loads!$B282),3)</f>
        <v>-0.97699999999999998</v>
      </c>
      <c r="C322" s="34">
        <f>ROUND(C$151*(1-Loads!$B282),3)</f>
        <v>0</v>
      </c>
      <c r="D322" s="34">
        <f>ROUND(D$151*(1-Loads!$B282),3)</f>
        <v>0</v>
      </c>
      <c r="E322" s="43">
        <f>ROUND(E$151*(1-Loads!$C282),2)</f>
        <v>0</v>
      </c>
      <c r="F322" s="43">
        <f>ROUND(F$151*(1-Loads!$B282),2)</f>
        <v>0</v>
      </c>
      <c r="G322" s="43">
        <f>ROUND(G$151*(1-Loads!$B282),2)</f>
        <v>0</v>
      </c>
      <c r="H322" s="34">
        <f>ROUND(H$151*(1-Loads!$B282),3)</f>
        <v>0</v>
      </c>
      <c r="I322" s="17"/>
    </row>
    <row r="323" spans="1:9">
      <c r="A323" s="4" t="s">
        <v>296</v>
      </c>
      <c r="B323" s="34">
        <f>ROUND(B$151*(1-Loads!$B283),3)</f>
        <v>-0.97699999999999998</v>
      </c>
      <c r="C323" s="34">
        <f>ROUND(C$151*(1-Loads!$B283),3)</f>
        <v>0</v>
      </c>
      <c r="D323" s="34">
        <f>ROUND(D$151*(1-Loads!$B283),3)</f>
        <v>0</v>
      </c>
      <c r="E323" s="43">
        <f>ROUND(E$151*(1-Loads!$C283),2)</f>
        <v>0</v>
      </c>
      <c r="F323" s="43">
        <f>ROUND(F$151*(1-Loads!$B283),2)</f>
        <v>0</v>
      </c>
      <c r="G323" s="43">
        <f>ROUND(G$151*(1-Loads!$B283),2)</f>
        <v>0</v>
      </c>
      <c r="H323" s="34">
        <f>ROUND(H$151*(1-Loads!$B283),3)</f>
        <v>0</v>
      </c>
      <c r="I323" s="17"/>
    </row>
    <row r="324" spans="1:9">
      <c r="A324" s="4" t="s">
        <v>297</v>
      </c>
      <c r="B324" s="34">
        <f>ROUND(B$151*(1-Loads!$B284),3)</f>
        <v>-0.97699999999999998</v>
      </c>
      <c r="C324" s="34">
        <f>ROUND(C$151*(1-Loads!$B284),3)</f>
        <v>0</v>
      </c>
      <c r="D324" s="34">
        <f>ROUND(D$151*(1-Loads!$B284),3)</f>
        <v>0</v>
      </c>
      <c r="E324" s="43">
        <f>ROUND(E$151*(1-Loads!$C284),2)</f>
        <v>0</v>
      </c>
      <c r="F324" s="43">
        <f>ROUND(F$151*(1-Loads!$B284),2)</f>
        <v>0</v>
      </c>
      <c r="G324" s="43">
        <f>ROUND(G$151*(1-Loads!$B284),2)</f>
        <v>0</v>
      </c>
      <c r="H324" s="34">
        <f>ROUND(H$151*(1-Loads!$B284),3)</f>
        <v>0</v>
      </c>
      <c r="I324" s="17"/>
    </row>
    <row r="325" spans="1:9">
      <c r="A325" s="27" t="s">
        <v>298</v>
      </c>
      <c r="I325" s="17"/>
    </row>
    <row r="326" spans="1:9">
      <c r="A326" s="4" t="s">
        <v>191</v>
      </c>
      <c r="B326" s="34">
        <f>ROUND(B$152*(1-Loads!$B286),3)</f>
        <v>-0.78100000000000003</v>
      </c>
      <c r="C326" s="34">
        <f>ROUND(C$152*(1-Loads!$B286),3)</f>
        <v>0</v>
      </c>
      <c r="D326" s="34">
        <f>ROUND(D$152*(1-Loads!$B286),3)</f>
        <v>0</v>
      </c>
      <c r="E326" s="43">
        <f>ROUND(E$152*(1-Loads!$C286),2)</f>
        <v>0</v>
      </c>
      <c r="F326" s="43">
        <f>ROUND(F$152*(1-Loads!$B286),2)</f>
        <v>0</v>
      </c>
      <c r="G326" s="43">
        <f>ROUND(G$152*(1-Loads!$B286),2)</f>
        <v>0</v>
      </c>
      <c r="H326" s="34">
        <f>ROUND(H$152*(1-Loads!$B286),3)</f>
        <v>0</v>
      </c>
      <c r="I326" s="17"/>
    </row>
    <row r="327" spans="1:9">
      <c r="A327" s="4" t="s">
        <v>299</v>
      </c>
      <c r="B327" s="34">
        <f>ROUND(B$152*(1-Loads!$B287),3)</f>
        <v>-0.78100000000000003</v>
      </c>
      <c r="C327" s="34">
        <f>ROUND(C$152*(1-Loads!$B287),3)</f>
        <v>0</v>
      </c>
      <c r="D327" s="34">
        <f>ROUND(D$152*(1-Loads!$B287),3)</f>
        <v>0</v>
      </c>
      <c r="E327" s="43">
        <f>ROUND(E$152*(1-Loads!$C287),2)</f>
        <v>0</v>
      </c>
      <c r="F327" s="43">
        <f>ROUND(F$152*(1-Loads!$B287),2)</f>
        <v>0</v>
      </c>
      <c r="G327" s="43">
        <f>ROUND(G$152*(1-Loads!$B287),2)</f>
        <v>0</v>
      </c>
      <c r="H327" s="34">
        <f>ROUND(H$152*(1-Loads!$B287),3)</f>
        <v>0</v>
      </c>
      <c r="I327" s="17"/>
    </row>
    <row r="328" spans="1:9">
      <c r="A328" s="27" t="s">
        <v>300</v>
      </c>
      <c r="I328" s="17"/>
    </row>
    <row r="329" spans="1:9">
      <c r="A329" s="4" t="s">
        <v>192</v>
      </c>
      <c r="B329" s="34">
        <f>ROUND(B$153*(1-Loads!$B289),3)</f>
        <v>-0.97699999999999998</v>
      </c>
      <c r="C329" s="34">
        <f>ROUND(C$153*(1-Loads!$B289),3)</f>
        <v>0</v>
      </c>
      <c r="D329" s="34">
        <f>ROUND(D$153*(1-Loads!$B289),3)</f>
        <v>0</v>
      </c>
      <c r="E329" s="43">
        <f>ROUND(E$153*(1-Loads!$C289),2)</f>
        <v>0</v>
      </c>
      <c r="F329" s="43">
        <f>ROUND(F$153*(1-Loads!$B289),2)</f>
        <v>0</v>
      </c>
      <c r="G329" s="43">
        <f>ROUND(G$153*(1-Loads!$B289),2)</f>
        <v>0</v>
      </c>
      <c r="H329" s="34">
        <f>ROUND(H$153*(1-Loads!$B289),3)</f>
        <v>0.128</v>
      </c>
      <c r="I329" s="17"/>
    </row>
    <row r="330" spans="1:9">
      <c r="A330" s="4" t="s">
        <v>301</v>
      </c>
      <c r="B330" s="34">
        <f>ROUND(B$153*(1-Loads!$B290),3)</f>
        <v>-0.97699999999999998</v>
      </c>
      <c r="C330" s="34">
        <f>ROUND(C$153*(1-Loads!$B290),3)</f>
        <v>0</v>
      </c>
      <c r="D330" s="34">
        <f>ROUND(D$153*(1-Loads!$B290),3)</f>
        <v>0</v>
      </c>
      <c r="E330" s="43">
        <f>ROUND(E$153*(1-Loads!$C290),2)</f>
        <v>0</v>
      </c>
      <c r="F330" s="43">
        <f>ROUND(F$153*(1-Loads!$B290),2)</f>
        <v>0</v>
      </c>
      <c r="G330" s="43">
        <f>ROUND(G$153*(1-Loads!$B290),2)</f>
        <v>0</v>
      </c>
      <c r="H330" s="34">
        <f>ROUND(H$153*(1-Loads!$B290),3)</f>
        <v>0.128</v>
      </c>
      <c r="I330" s="17"/>
    </row>
    <row r="331" spans="1:9">
      <c r="A331" s="4" t="s">
        <v>302</v>
      </c>
      <c r="B331" s="34">
        <f>ROUND(B$153*(1-Loads!$B291),3)</f>
        <v>-0.97699999999999998</v>
      </c>
      <c r="C331" s="34">
        <f>ROUND(C$153*(1-Loads!$B291),3)</f>
        <v>0</v>
      </c>
      <c r="D331" s="34">
        <f>ROUND(D$153*(1-Loads!$B291),3)</f>
        <v>0</v>
      </c>
      <c r="E331" s="43">
        <f>ROUND(E$153*(1-Loads!$C291),2)</f>
        <v>0</v>
      </c>
      <c r="F331" s="43">
        <f>ROUND(F$153*(1-Loads!$B291),2)</f>
        <v>0</v>
      </c>
      <c r="G331" s="43">
        <f>ROUND(G$153*(1-Loads!$B291),2)</f>
        <v>0</v>
      </c>
      <c r="H331" s="34">
        <f>ROUND(H$153*(1-Loads!$B291),3)</f>
        <v>0.128</v>
      </c>
      <c r="I331" s="17"/>
    </row>
    <row r="332" spans="1:9">
      <c r="A332" s="27" t="s">
        <v>303</v>
      </c>
      <c r="I332" s="17"/>
    </row>
    <row r="333" spans="1:9">
      <c r="A333" s="4" t="s">
        <v>193</v>
      </c>
      <c r="B333" s="34">
        <f>ROUND(B$154*(1-Loads!$B293),3)</f>
        <v>-0.97699999999999998</v>
      </c>
      <c r="C333" s="34">
        <f>ROUND(C$154*(1-Loads!$B293),3)</f>
        <v>0</v>
      </c>
      <c r="D333" s="34">
        <f>ROUND(D$154*(1-Loads!$B293),3)</f>
        <v>0</v>
      </c>
      <c r="E333" s="43">
        <f>ROUND(E$154*(1-Loads!$C293),2)</f>
        <v>0</v>
      </c>
      <c r="F333" s="43">
        <f>ROUND(F$154*(1-Loads!$B293),2)</f>
        <v>0</v>
      </c>
      <c r="G333" s="43">
        <f>ROUND(G$154*(1-Loads!$B293),2)</f>
        <v>0</v>
      </c>
      <c r="H333" s="34">
        <f>ROUND(H$154*(1-Loads!$B293),3)</f>
        <v>0</v>
      </c>
      <c r="I333" s="17"/>
    </row>
    <row r="334" spans="1:9">
      <c r="A334" s="27" t="s">
        <v>304</v>
      </c>
      <c r="I334" s="17"/>
    </row>
    <row r="335" spans="1:9">
      <c r="A335" s="4" t="s">
        <v>194</v>
      </c>
      <c r="B335" s="34">
        <f>ROUND(B$155*(1-Loads!$B295),3)</f>
        <v>-6.7210000000000001</v>
      </c>
      <c r="C335" s="34">
        <f>ROUND(C$155*(1-Loads!$B295),3)</f>
        <v>-1.0329999999999999</v>
      </c>
      <c r="D335" s="34">
        <f>ROUND(D$155*(1-Loads!$B295),3)</f>
        <v>-0.123</v>
      </c>
      <c r="E335" s="43">
        <f>ROUND(E$155*(1-Loads!$C295),2)</f>
        <v>0</v>
      </c>
      <c r="F335" s="43">
        <f>ROUND(F$155*(1-Loads!$B295),2)</f>
        <v>0</v>
      </c>
      <c r="G335" s="43">
        <f>ROUND(G$155*(1-Loads!$B295),2)</f>
        <v>0</v>
      </c>
      <c r="H335" s="34">
        <f>ROUND(H$155*(1-Loads!$B295),3)</f>
        <v>0.128</v>
      </c>
      <c r="I335" s="17"/>
    </row>
    <row r="336" spans="1:9">
      <c r="A336" s="4" t="s">
        <v>305</v>
      </c>
      <c r="B336" s="34">
        <f>ROUND(B$155*(1-Loads!$B296),3)</f>
        <v>-6.7210000000000001</v>
      </c>
      <c r="C336" s="34">
        <f>ROUND(C$155*(1-Loads!$B296),3)</f>
        <v>-1.0329999999999999</v>
      </c>
      <c r="D336" s="34">
        <f>ROUND(D$155*(1-Loads!$B296),3)</f>
        <v>-0.123</v>
      </c>
      <c r="E336" s="43">
        <f>ROUND(E$155*(1-Loads!$C296),2)</f>
        <v>0</v>
      </c>
      <c r="F336" s="43">
        <f>ROUND(F$155*(1-Loads!$B296),2)</f>
        <v>0</v>
      </c>
      <c r="G336" s="43">
        <f>ROUND(G$155*(1-Loads!$B296),2)</f>
        <v>0</v>
      </c>
      <c r="H336" s="34">
        <f>ROUND(H$155*(1-Loads!$B296),3)</f>
        <v>0.128</v>
      </c>
      <c r="I336" s="17"/>
    </row>
    <row r="337" spans="1:9">
      <c r="A337" s="4" t="s">
        <v>306</v>
      </c>
      <c r="B337" s="34">
        <f>ROUND(B$155*(1-Loads!$B297),3)</f>
        <v>-6.7210000000000001</v>
      </c>
      <c r="C337" s="34">
        <f>ROUND(C$155*(1-Loads!$B297),3)</f>
        <v>-1.0329999999999999</v>
      </c>
      <c r="D337" s="34">
        <f>ROUND(D$155*(1-Loads!$B297),3)</f>
        <v>-0.123</v>
      </c>
      <c r="E337" s="43">
        <f>ROUND(E$155*(1-Loads!$C297),2)</f>
        <v>0</v>
      </c>
      <c r="F337" s="43">
        <f>ROUND(F$155*(1-Loads!$B297),2)</f>
        <v>0</v>
      </c>
      <c r="G337" s="43">
        <f>ROUND(G$155*(1-Loads!$B297),2)</f>
        <v>0</v>
      </c>
      <c r="H337" s="34">
        <f>ROUND(H$155*(1-Loads!$B297),3)</f>
        <v>0.128</v>
      </c>
      <c r="I337" s="17"/>
    </row>
    <row r="338" spans="1:9">
      <c r="A338" s="27" t="s">
        <v>307</v>
      </c>
      <c r="I338" s="17"/>
    </row>
    <row r="339" spans="1:9">
      <c r="A339" s="4" t="s">
        <v>195</v>
      </c>
      <c r="B339" s="34">
        <f>ROUND(B$156*(1-Loads!$B299),3)</f>
        <v>-6.7210000000000001</v>
      </c>
      <c r="C339" s="34">
        <f>ROUND(C$156*(1-Loads!$B299),3)</f>
        <v>-1.0329999999999999</v>
      </c>
      <c r="D339" s="34">
        <f>ROUND(D$156*(1-Loads!$B299),3)</f>
        <v>-0.123</v>
      </c>
      <c r="E339" s="43">
        <f>ROUND(E$156*(1-Loads!$C299),2)</f>
        <v>0</v>
      </c>
      <c r="F339" s="43">
        <f>ROUND(F$156*(1-Loads!$B299),2)</f>
        <v>0</v>
      </c>
      <c r="G339" s="43">
        <f>ROUND(G$156*(1-Loads!$B299),2)</f>
        <v>0</v>
      </c>
      <c r="H339" s="34">
        <f>ROUND(H$156*(1-Loads!$B299),3)</f>
        <v>0</v>
      </c>
      <c r="I339" s="17"/>
    </row>
    <row r="340" spans="1:9">
      <c r="A340" s="27" t="s">
        <v>308</v>
      </c>
      <c r="I340" s="17"/>
    </row>
    <row r="341" spans="1:9">
      <c r="A341" s="4" t="s">
        <v>196</v>
      </c>
      <c r="B341" s="34">
        <f>ROUND(B$157*(1-Loads!$B301),3)</f>
        <v>-0.78100000000000003</v>
      </c>
      <c r="C341" s="34">
        <f>ROUND(C$157*(1-Loads!$B301),3)</f>
        <v>0</v>
      </c>
      <c r="D341" s="34">
        <f>ROUND(D$157*(1-Loads!$B301),3)</f>
        <v>0</v>
      </c>
      <c r="E341" s="43">
        <f>ROUND(E$157*(1-Loads!$C301),2)</f>
        <v>0</v>
      </c>
      <c r="F341" s="43">
        <f>ROUND(F$157*(1-Loads!$B301),2)</f>
        <v>0</v>
      </c>
      <c r="G341" s="43">
        <f>ROUND(G$157*(1-Loads!$B301),2)</f>
        <v>0</v>
      </c>
      <c r="H341" s="34">
        <f>ROUND(H$157*(1-Loads!$B301),3)</f>
        <v>0.107</v>
      </c>
      <c r="I341" s="17"/>
    </row>
    <row r="342" spans="1:9">
      <c r="A342" s="4" t="s">
        <v>309</v>
      </c>
      <c r="B342" s="34">
        <f>ROUND(B$157*(1-Loads!$B302),3)</f>
        <v>-0.78100000000000003</v>
      </c>
      <c r="C342" s="34">
        <f>ROUND(C$157*(1-Loads!$B302),3)</f>
        <v>0</v>
      </c>
      <c r="D342" s="34">
        <f>ROUND(D$157*(1-Loads!$B302),3)</f>
        <v>0</v>
      </c>
      <c r="E342" s="43">
        <f>ROUND(E$157*(1-Loads!$C302),2)</f>
        <v>0</v>
      </c>
      <c r="F342" s="43">
        <f>ROUND(F$157*(1-Loads!$B302),2)</f>
        <v>0</v>
      </c>
      <c r="G342" s="43">
        <f>ROUND(G$157*(1-Loads!$B302),2)</f>
        <v>0</v>
      </c>
      <c r="H342" s="34">
        <f>ROUND(H$157*(1-Loads!$B302),3)</f>
        <v>0.107</v>
      </c>
      <c r="I342" s="17"/>
    </row>
    <row r="343" spans="1:9">
      <c r="A343" s="27" t="s">
        <v>310</v>
      </c>
      <c r="I343" s="17"/>
    </row>
    <row r="344" spans="1:9">
      <c r="A344" s="4" t="s">
        <v>197</v>
      </c>
      <c r="B344" s="34">
        <f>ROUND(B$158*(1-Loads!$B304),3)</f>
        <v>-0.78100000000000003</v>
      </c>
      <c r="C344" s="34">
        <f>ROUND(C$158*(1-Loads!$B304),3)</f>
        <v>0</v>
      </c>
      <c r="D344" s="34">
        <f>ROUND(D$158*(1-Loads!$B304),3)</f>
        <v>0</v>
      </c>
      <c r="E344" s="43">
        <f>ROUND(E$158*(1-Loads!$C304),2)</f>
        <v>0</v>
      </c>
      <c r="F344" s="43">
        <f>ROUND(F$158*(1-Loads!$B304),2)</f>
        <v>0</v>
      </c>
      <c r="G344" s="43">
        <f>ROUND(G$158*(1-Loads!$B304),2)</f>
        <v>0</v>
      </c>
      <c r="H344" s="34">
        <f>ROUND(H$158*(1-Loads!$B304),3)</f>
        <v>0</v>
      </c>
      <c r="I344" s="17"/>
    </row>
    <row r="345" spans="1:9">
      <c r="A345" s="27" t="s">
        <v>311</v>
      </c>
      <c r="I345" s="17"/>
    </row>
    <row r="346" spans="1:9">
      <c r="A346" s="4" t="s">
        <v>198</v>
      </c>
      <c r="B346" s="34">
        <f>ROUND(B$159*(1-Loads!$B306),3)</f>
        <v>-5.4640000000000004</v>
      </c>
      <c r="C346" s="34">
        <f>ROUND(C$159*(1-Loads!$B306),3)</f>
        <v>-0.80300000000000005</v>
      </c>
      <c r="D346" s="34">
        <f>ROUND(D$159*(1-Loads!$B306),3)</f>
        <v>-9.7000000000000003E-2</v>
      </c>
      <c r="E346" s="43">
        <f>ROUND(E$159*(1-Loads!$C306),2)</f>
        <v>0</v>
      </c>
      <c r="F346" s="43">
        <f>ROUND(F$159*(1-Loads!$B306),2)</f>
        <v>0</v>
      </c>
      <c r="G346" s="43">
        <f>ROUND(G$159*(1-Loads!$B306),2)</f>
        <v>0</v>
      </c>
      <c r="H346" s="34">
        <f>ROUND(H$159*(1-Loads!$B306),3)</f>
        <v>0.107</v>
      </c>
      <c r="I346" s="17"/>
    </row>
    <row r="347" spans="1:9">
      <c r="A347" s="4" t="s">
        <v>312</v>
      </c>
      <c r="B347" s="34">
        <f>ROUND(B$159*(1-Loads!$B307),3)</f>
        <v>-5.4640000000000004</v>
      </c>
      <c r="C347" s="34">
        <f>ROUND(C$159*(1-Loads!$B307),3)</f>
        <v>-0.80300000000000005</v>
      </c>
      <c r="D347" s="34">
        <f>ROUND(D$159*(1-Loads!$B307),3)</f>
        <v>-9.7000000000000003E-2</v>
      </c>
      <c r="E347" s="43">
        <f>ROUND(E$159*(1-Loads!$C307),2)</f>
        <v>0</v>
      </c>
      <c r="F347" s="43">
        <f>ROUND(F$159*(1-Loads!$B307),2)</f>
        <v>0</v>
      </c>
      <c r="G347" s="43">
        <f>ROUND(G$159*(1-Loads!$B307),2)</f>
        <v>0</v>
      </c>
      <c r="H347" s="34">
        <f>ROUND(H$159*(1-Loads!$B307),3)</f>
        <v>0.107</v>
      </c>
      <c r="I347" s="17"/>
    </row>
    <row r="348" spans="1:9">
      <c r="A348" s="27" t="s">
        <v>313</v>
      </c>
      <c r="I348" s="17"/>
    </row>
    <row r="349" spans="1:9">
      <c r="A349" s="4" t="s">
        <v>199</v>
      </c>
      <c r="B349" s="34">
        <f>ROUND(B$160*(1-Loads!$B309),3)</f>
        <v>-5.4640000000000004</v>
      </c>
      <c r="C349" s="34">
        <f>ROUND(C$160*(1-Loads!$B309),3)</f>
        <v>-0.80300000000000005</v>
      </c>
      <c r="D349" s="34">
        <f>ROUND(D$160*(1-Loads!$B309),3)</f>
        <v>-9.7000000000000003E-2</v>
      </c>
      <c r="E349" s="43">
        <f>ROUND(E$160*(1-Loads!$C309),2)</f>
        <v>0</v>
      </c>
      <c r="F349" s="43">
        <f>ROUND(F$160*(1-Loads!$B309),2)</f>
        <v>0</v>
      </c>
      <c r="G349" s="43">
        <f>ROUND(G$160*(1-Loads!$B309),2)</f>
        <v>0</v>
      </c>
      <c r="H349" s="34">
        <f>ROUND(H$160*(1-Loads!$B309),3)</f>
        <v>0</v>
      </c>
      <c r="I349" s="17"/>
    </row>
    <row r="350" spans="1:9">
      <c r="A350" s="27" t="s">
        <v>314</v>
      </c>
      <c r="I350" s="17"/>
    </row>
    <row r="351" spans="1:9">
      <c r="A351" s="4" t="s">
        <v>207</v>
      </c>
      <c r="B351" s="34">
        <f>ROUND(B$161*(1-Loads!$B311),3)</f>
        <v>-0.56499999999999995</v>
      </c>
      <c r="C351" s="34">
        <f>ROUND(C$161*(1-Loads!$B311),3)</f>
        <v>0</v>
      </c>
      <c r="D351" s="34">
        <f>ROUND(D$161*(1-Loads!$B311),3)</f>
        <v>0</v>
      </c>
      <c r="E351" s="43">
        <f>ROUND(E$161*(1-Loads!$C311),2)</f>
        <v>6.68</v>
      </c>
      <c r="F351" s="43">
        <f>ROUND(F$161*(1-Loads!$B311),2)</f>
        <v>0</v>
      </c>
      <c r="G351" s="43">
        <f>ROUND(G$161*(1-Loads!$B311),2)</f>
        <v>0</v>
      </c>
      <c r="H351" s="34">
        <f>ROUND(H$161*(1-Loads!$B311),3)</f>
        <v>8.3000000000000004E-2</v>
      </c>
      <c r="I351" s="17"/>
    </row>
    <row r="352" spans="1:9">
      <c r="A352" s="4" t="s">
        <v>315</v>
      </c>
      <c r="B352" s="34">
        <f>ROUND(B$161*(1-Loads!$B312),3)</f>
        <v>-0.56499999999999995</v>
      </c>
      <c r="C352" s="34">
        <f>ROUND(C$161*(1-Loads!$B312),3)</f>
        <v>0</v>
      </c>
      <c r="D352" s="34">
        <f>ROUND(D$161*(1-Loads!$B312),3)</f>
        <v>0</v>
      </c>
      <c r="E352" s="43">
        <f>ROUND(E$161*(1-Loads!$C312),2)</f>
        <v>0</v>
      </c>
      <c r="F352" s="43">
        <f>ROUND(F$161*(1-Loads!$B312),2)</f>
        <v>0</v>
      </c>
      <c r="G352" s="43">
        <f>ROUND(G$161*(1-Loads!$B312),2)</f>
        <v>0</v>
      </c>
      <c r="H352" s="34">
        <f>ROUND(H$161*(1-Loads!$B312),3)</f>
        <v>8.3000000000000004E-2</v>
      </c>
      <c r="I352" s="17"/>
    </row>
    <row r="353" spans="1:9">
      <c r="A353" s="27" t="s">
        <v>316</v>
      </c>
      <c r="I353" s="17"/>
    </row>
    <row r="354" spans="1:9">
      <c r="A354" s="4" t="s">
        <v>208</v>
      </c>
      <c r="B354" s="34">
        <f>ROUND(B$162*(1-Loads!$B314),3)</f>
        <v>-0.56499999999999995</v>
      </c>
      <c r="C354" s="34">
        <f>ROUND(C$162*(1-Loads!$B314),3)</f>
        <v>0</v>
      </c>
      <c r="D354" s="34">
        <f>ROUND(D$162*(1-Loads!$B314),3)</f>
        <v>0</v>
      </c>
      <c r="E354" s="43">
        <f>ROUND(E$162*(1-Loads!$C314),2)</f>
        <v>6.68</v>
      </c>
      <c r="F354" s="43">
        <f>ROUND(F$162*(1-Loads!$B314),2)</f>
        <v>0</v>
      </c>
      <c r="G354" s="43">
        <f>ROUND(G$162*(1-Loads!$B314),2)</f>
        <v>0</v>
      </c>
      <c r="H354" s="34">
        <f>ROUND(H$162*(1-Loads!$B314),3)</f>
        <v>0</v>
      </c>
      <c r="I354" s="17"/>
    </row>
    <row r="355" spans="1:9">
      <c r="A355" s="27" t="s">
        <v>317</v>
      </c>
      <c r="I355" s="17"/>
    </row>
    <row r="356" spans="1:9">
      <c r="A356" s="4" t="s">
        <v>209</v>
      </c>
      <c r="B356" s="34">
        <f>ROUND(B$163*(1-Loads!$B316),3)</f>
        <v>-4.0940000000000003</v>
      </c>
      <c r="C356" s="34">
        <f>ROUND(C$163*(1-Loads!$B316),3)</f>
        <v>-0.54200000000000004</v>
      </c>
      <c r="D356" s="34">
        <f>ROUND(D$163*(1-Loads!$B316),3)</f>
        <v>-6.8000000000000005E-2</v>
      </c>
      <c r="E356" s="43">
        <f>ROUND(E$163*(1-Loads!$C316),2)</f>
        <v>6.68</v>
      </c>
      <c r="F356" s="43">
        <f>ROUND(F$163*(1-Loads!$B316),2)</f>
        <v>0</v>
      </c>
      <c r="G356" s="43">
        <f>ROUND(G$163*(1-Loads!$B316),2)</f>
        <v>0</v>
      </c>
      <c r="H356" s="34">
        <f>ROUND(H$163*(1-Loads!$B316),3)</f>
        <v>8.3000000000000004E-2</v>
      </c>
      <c r="I356" s="17"/>
    </row>
    <row r="357" spans="1:9">
      <c r="A357" s="4" t="s">
        <v>318</v>
      </c>
      <c r="B357" s="34">
        <f>ROUND(B$163*(1-Loads!$B317),3)</f>
        <v>-4.0940000000000003</v>
      </c>
      <c r="C357" s="34">
        <f>ROUND(C$163*(1-Loads!$B317),3)</f>
        <v>-0.54200000000000004</v>
      </c>
      <c r="D357" s="34">
        <f>ROUND(D$163*(1-Loads!$B317),3)</f>
        <v>-6.8000000000000005E-2</v>
      </c>
      <c r="E357" s="43">
        <f>ROUND(E$163*(1-Loads!$C317),2)</f>
        <v>0</v>
      </c>
      <c r="F357" s="43">
        <f>ROUND(F$163*(1-Loads!$B317),2)</f>
        <v>0</v>
      </c>
      <c r="G357" s="43">
        <f>ROUND(G$163*(1-Loads!$B317),2)</f>
        <v>0</v>
      </c>
      <c r="H357" s="34">
        <f>ROUND(H$163*(1-Loads!$B317),3)</f>
        <v>8.3000000000000004E-2</v>
      </c>
      <c r="I357" s="17"/>
    </row>
    <row r="358" spans="1:9">
      <c r="A358" s="27" t="s">
        <v>319</v>
      </c>
      <c r="I358" s="17"/>
    </row>
    <row r="359" spans="1:9">
      <c r="A359" s="4" t="s">
        <v>210</v>
      </c>
      <c r="B359" s="34">
        <f>ROUND(B$164*(1-Loads!$B319),3)</f>
        <v>-4.0940000000000003</v>
      </c>
      <c r="C359" s="34">
        <f>ROUND(C$164*(1-Loads!$B319),3)</f>
        <v>-0.54200000000000004</v>
      </c>
      <c r="D359" s="34">
        <f>ROUND(D$164*(1-Loads!$B319),3)</f>
        <v>-6.8000000000000005E-2</v>
      </c>
      <c r="E359" s="43">
        <f>ROUND(E$164*(1-Loads!$C319),2)</f>
        <v>6.68</v>
      </c>
      <c r="F359" s="43">
        <f>ROUND(F$164*(1-Loads!$B319),2)</f>
        <v>0</v>
      </c>
      <c r="G359" s="43">
        <f>ROUND(G$164*(1-Loads!$B319),2)</f>
        <v>0</v>
      </c>
      <c r="H359" s="34">
        <f>ROUND(H$164*(1-Loads!$B319),3)</f>
        <v>0</v>
      </c>
      <c r="I359" s="17"/>
    </row>
  </sheetData>
  <sheetProtection sheet="1" objects="1" scenarios="1"/>
  <hyperlinks>
    <hyperlink ref="A5" location="'Aggreg'!B314" display="x1 = 3308. Unit rate 1 p/kWh (total) (in Summary of charges before revenue matching)"/>
    <hyperlink ref="A6" location="'Adder'!B264" display="x2 = 3507. Adder on Unit rate 1 p/kWh (in Adder)"/>
    <hyperlink ref="A7" location="'Aggreg'!C314" display="x3 = 3308. Unit rate 2 p/kWh (total) (in Summary of charges before revenue matching)"/>
    <hyperlink ref="A8" location="'Adder'!C264" display="x4 = 3507. Adder on Unit rate 2 p/kWh (in Adder)"/>
    <hyperlink ref="A9" location="'Aggreg'!D314" display="x5 = 3308. Unit rate 3 p/kWh (total) (in Summary of charges before revenue matching)"/>
    <hyperlink ref="A10" location="'Adder'!D264" display="x6 = 3507. Adder on Unit rate 3 p/kWh (in Adder)"/>
    <hyperlink ref="A11" location="'Aggreg'!E314" display="x7 = 3308. Fixed charge p/MPAN/day (total) (in Summary of charges before revenue matching)"/>
    <hyperlink ref="A12" location="'Aggreg'!F314" display="x8 = 3308. Capacity charge p/kVA/day (total) (in Summary of charges before revenue matching)"/>
    <hyperlink ref="A13" location="'Aggreg'!G314" display="x9 = 3308. Exceeded capacity charge p/kVA/day (total) (in Summary of charges before revenue matching)"/>
    <hyperlink ref="A14" location="'Aggreg'!H314" display="x10 = 3308. Reactive power charge p/kVArh (in Summary of charges before revenue matching)"/>
    <hyperlink ref="A60" location="'Adjust'!B18" display="x1 = 3601. Unit rate 1 p/kWh before rounding (in Tariffs before rounding)"/>
    <hyperlink ref="A61" location="'Adjust'!B55" display="x2 = 3602. Unit rate 1 p/kWh decimal places (in Decimal places)"/>
    <hyperlink ref="A62" location="'Adjust'!C18" display="x3 = 3601. Unit rate 2 p/kWh before rounding (in Tariffs before rounding)"/>
    <hyperlink ref="A63" location="'Adjust'!C55" display="x4 = 3602. Unit rate 2 p/kWh decimal places (in Decimal places)"/>
    <hyperlink ref="A64" location="'Adjust'!D18" display="x5 = 3601. Unit rate 3 p/kWh before rounding (in Tariffs before rounding)"/>
    <hyperlink ref="A65" location="'Adjust'!D55" display="x6 = 3602. Unit rate 3 p/kWh decimal places (in Decimal places)"/>
    <hyperlink ref="A66" location="'Adjust'!E18" display="x7 = 3601. Fixed charge p/MPAN/day before rounding (in Tariffs before rounding)"/>
    <hyperlink ref="A67" location="'Adjust'!E55" display="x8 = 3602. Fixed charge p/MPAN/day decimal places (in Decimal places)"/>
    <hyperlink ref="A68" location="'Adjust'!F18" display="x9 = 3601. Capacity charge p/kVA/day before rounding (in Tariffs before rounding)"/>
    <hyperlink ref="A69" location="'Adjust'!F55" display="x10 = 3602. Capacity charge p/kVA/day decimal places (in Decimal places)"/>
    <hyperlink ref="A70" location="'Adjust'!G18" display="x11 = 3601. Exceeded capacity charge p/kVA/day before rounding (in Tariffs before rounding)"/>
    <hyperlink ref="A71" location="'Adjust'!G55" display="x12 = 3602. Exceeded capacity charge p/kVA/day decimal places (in Decimal places)"/>
    <hyperlink ref="A72" location="'Adjust'!H18" display="x13 = 3601. Reactive power charge p/kVArh before rounding (in Tariffs before rounding)"/>
    <hyperlink ref="A73" location="'Adjust'!H55" display="x14 = 3602. Reactive power charge p/kVArh decimal places (in Decimal places)"/>
    <hyperlink ref="A114" location="'Adjust'!B18" display="x1 = 3601. Unit rate 1 p/kWh before rounding (in Tariffs before rounding)"/>
    <hyperlink ref="A115" location="'Adjust'!B77" display="x2 = 3603. Unit rate 1 p/kWh rounding (in Tariff rounding)"/>
    <hyperlink ref="A116" location="'Adjust'!C18" display="x3 = 3601. Unit rate 2 p/kWh before rounding (in Tariffs before rounding)"/>
    <hyperlink ref="A117" location="'Adjust'!C77" display="x4 = 3603. Unit rate 2 p/kWh rounding (in Tariff rounding)"/>
    <hyperlink ref="A118" location="'Adjust'!D18" display="x5 = 3601. Unit rate 3 p/kWh before rounding (in Tariffs before rounding)"/>
    <hyperlink ref="A119" location="'Adjust'!D77" display="x6 = 3603. Unit rate 3 p/kWh rounding (in Tariff rounding)"/>
    <hyperlink ref="A120" location="'Adjust'!E18" display="x7 = 3601. Fixed charge p/MPAN/day before rounding (in Tariffs before rounding)"/>
    <hyperlink ref="A121" location="'Adjust'!E77" display="x8 = 3603. Fixed charge p/MPAN/day rounding (in Tariff rounding)"/>
    <hyperlink ref="A122" location="'Adjust'!F18" display="x9 = 3601. Capacity charge p/kVA/day before rounding (in Tariffs before rounding)"/>
    <hyperlink ref="A123" location="'Adjust'!F77" display="x10 = 3603. Capacity charge p/kVA/day rounding (in Tariff rounding)"/>
    <hyperlink ref="A124" location="'Adjust'!G18" display="x11 = 3601. Exceeded capacity charge p/kVA/day before rounding (in Tariffs before rounding)"/>
    <hyperlink ref="A125" location="'Adjust'!G77" display="x12 = 3603. Exceeded capacity charge p/kVA/day rounding (in Tariff rounding)"/>
    <hyperlink ref="A126" location="'Adjust'!H18" display="x13 = 3601. Reactive power charge p/kVArh before rounding (in Tariffs before rounding)"/>
    <hyperlink ref="A127" location="'Adjust'!H77" display="x14 = 3603. Reactive power charge p/kVArh rounding (in Tariff rounding)"/>
    <hyperlink ref="A168" location="'Input'!F59" display="x1 = 1010. Days in the charging year (in Financial and general assumptions)"/>
    <hyperlink ref="A169" location="'Adjust'!E77" display="x2 = 3603. Fixed charge p/MPAN/day rounding (in Tariff rounding)"/>
    <hyperlink ref="A170" location="'Loads'!E333" display="x3 = 2305. MPANs (in Equivalent volume for each end user)"/>
    <hyperlink ref="A171" location="'Adjust'!F77" display="x4 = 3603. Capacity charge p/kVA/day rounding (in Tariff rounding)"/>
    <hyperlink ref="A172" location="'Loads'!F333" display="x5 = 2305. Import capacity (kVA) (in Equivalent volume for each end user)"/>
    <hyperlink ref="A173" location="'Adjust'!G77" display="x6 = 3603. Exceeded capacity charge p/kVA/day rounding (in Tariff rounding)"/>
    <hyperlink ref="A174" location="'Loads'!G333" display="x7 = 2305. Exceeded capacity (kVA) (in Equivalent volume for each end user)"/>
    <hyperlink ref="A175" location="'Adjust'!B77" display="x8 = 3603. Unit rate 1 p/kWh rounding (in Tariff rounding)"/>
    <hyperlink ref="A176" location="'Loads'!B333" display="x9 = 2305. Rate 1 units (MWh) (in Equivalent volume for each end user)"/>
    <hyperlink ref="A177" location="'Adjust'!C77" display="x10 = 3603. Unit rate 2 p/kWh rounding (in Tariff rounding)"/>
    <hyperlink ref="A178" location="'Loads'!C333" display="x11 = 2305. Rate 2 units (MWh) (in Equivalent volume for each end user)"/>
    <hyperlink ref="A179" location="'Adjust'!D77" display="x12 = 3603. Unit rate 3 p/kWh rounding (in Tariff rounding)"/>
    <hyperlink ref="A180" location="'Loads'!D333" display="x13 = 2305. Rate 3 units (MWh) (in Equivalent volume for each end user)"/>
    <hyperlink ref="A181" location="'Adjust'!H77" display="x14 = 3603. Reactive power charge p/kVArh rounding (in Tariff rounding)"/>
    <hyperlink ref="A182" location="'Loads'!H333" display="x15 = 2305. Reactive power units (MVArh) (in Equivalent volume for each end user)"/>
    <hyperlink ref="A222" location="'Revenue'!B76" display="x1 = 3403. Total net revenues before matching (£) (in Revenue surplus or shortfall)"/>
    <hyperlink ref="A223" location="'Adder'!E264" display="x2 = 3507. Net revenues by tariff from adder (in Adder)"/>
    <hyperlink ref="A224" location="'Adjust'!B185" display="x3 = 3605. Net revenues by tariff from rounding"/>
    <hyperlink ref="A225" location="'Adjust'!B233" display="x4 = Total net revenues before matching (£) (in Revenue forecast summary)"/>
    <hyperlink ref="A226" location="'Adjust'!C233" display="x5 = Total net revenues from adder (£) (in Revenue forecast summary)"/>
    <hyperlink ref="A227" location="'Adjust'!D233" display="x6 = Total net revenues from rounding (£) (in Revenue forecast summary)"/>
    <hyperlink ref="A228" location="'Adjust'!E233" display="x7 = Total net revenues (£) (in Revenue forecast summary)"/>
    <hyperlink ref="A229" location="'Revenue'!B65" display="x8 = 3402. Target CDCM revenue (£/year) (in Target CDCM revenue)"/>
    <hyperlink ref="A238" location="'Adjust'!B131" display="x1 = 3604. Unit rate 1 p/kWh (in All the way tariffs)"/>
    <hyperlink ref="A239" location="'Loads'!B210" display="x2 = 2304. Discount for each tariff (except for fixed charges) (in LDNO discounts and volumes adjusted for discount)"/>
    <hyperlink ref="A240" location="'Adjust'!C131" display="x3 = 3604. Unit rate 2 p/kWh (in All the way tariffs)"/>
    <hyperlink ref="A241" location="'Adjust'!D131" display="x4 = 3604. Unit rate 3 p/kWh (in All the way tariffs)"/>
    <hyperlink ref="A242" location="'Adjust'!E131" display="x5 = 3604. Fixed charge p/MPAN/day (in All the way tariffs)"/>
    <hyperlink ref="A243" location="'Loads'!C210" display="x6 = 2304. Discount for each tariff for fixed charges only (in LDNO discounts and volumes adjusted for discount)"/>
    <hyperlink ref="A244" location="'Adjust'!F131" display="x7 = 3604. Capacity charge p/kVA/day (in All the way tariffs)"/>
    <hyperlink ref="A245" location="'Adjust'!G131" display="x8 = 3604. Exceeded capacity charge p/kVA/day (in All the way tariffs)"/>
    <hyperlink ref="A246" location="'Adjust'!H131" display="x9 = 3604. Reactive power charge p/kVArh (in All the way tariff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13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50.7109375" customWidth="1"/>
    <col min="2" max="251" width="20.7109375" customWidth="1"/>
  </cols>
  <sheetData>
    <row r="1" spans="1:7" ht="21" customHeight="1">
      <c r="A1" s="1" t="str">
        <f>"Input data for "&amp;Input!B7&amp;" in "&amp;Input!C7&amp;" ("&amp;Input!D7&amp;")"</f>
        <v>Input data for Electricity North West in 2019/20 (Version 1)</v>
      </c>
    </row>
    <row r="2" spans="1:7">
      <c r="A2" s="2" t="s">
        <v>375</v>
      </c>
    </row>
    <row r="4" spans="1:7" ht="21" customHeight="1">
      <c r="A4" s="1" t="s">
        <v>0</v>
      </c>
    </row>
    <row r="6" spans="1:7">
      <c r="B6" s="15" t="s">
        <v>1</v>
      </c>
      <c r="C6" s="15" t="s">
        <v>2</v>
      </c>
      <c r="D6" s="15" t="s">
        <v>3</v>
      </c>
    </row>
    <row r="7" spans="1:7">
      <c r="A7" s="4" t="s">
        <v>4</v>
      </c>
      <c r="B7" s="50" t="s">
        <v>1826</v>
      </c>
      <c r="C7" s="50" t="s">
        <v>1828</v>
      </c>
      <c r="D7" s="50" t="s">
        <v>1827</v>
      </c>
      <c r="E7" s="17"/>
    </row>
    <row r="9" spans="1:7" ht="21" customHeight="1">
      <c r="A9" s="1" t="s">
        <v>5</v>
      </c>
    </row>
    <row r="11" spans="1:7">
      <c r="B11" s="15" t="s">
        <v>6</v>
      </c>
      <c r="C11" s="15" t="s">
        <v>7</v>
      </c>
      <c r="D11" s="15" t="s">
        <v>8</v>
      </c>
      <c r="E11" s="15" t="s">
        <v>9</v>
      </c>
      <c r="F11" s="15" t="s">
        <v>10</v>
      </c>
    </row>
    <row r="12" spans="1:7">
      <c r="A12" s="4" t="s">
        <v>11</v>
      </c>
      <c r="B12" s="18" t="s">
        <v>51</v>
      </c>
      <c r="C12" s="19" t="s">
        <v>88</v>
      </c>
      <c r="D12" s="19" t="s">
        <v>118</v>
      </c>
      <c r="E12" s="51">
        <v>353800000</v>
      </c>
      <c r="F12" s="10"/>
      <c r="G12" s="17"/>
    </row>
    <row r="13" spans="1:7">
      <c r="A13" s="4" t="s">
        <v>12</v>
      </c>
      <c r="B13" s="18" t="s">
        <v>52</v>
      </c>
      <c r="C13" s="19" t="s">
        <v>89</v>
      </c>
      <c r="D13" s="19" t="s">
        <v>118</v>
      </c>
      <c r="E13" s="51">
        <v>-9303269.0300893243</v>
      </c>
      <c r="F13" s="10"/>
      <c r="G13" s="17"/>
    </row>
    <row r="14" spans="1:7">
      <c r="A14" s="4" t="s">
        <v>13</v>
      </c>
      <c r="B14" s="18" t="s">
        <v>53</v>
      </c>
      <c r="C14" s="19" t="s">
        <v>90</v>
      </c>
      <c r="D14" s="19" t="s">
        <v>118</v>
      </c>
      <c r="E14" s="51">
        <v>167433.425195516</v>
      </c>
      <c r="F14" s="10"/>
      <c r="G14" s="17"/>
    </row>
    <row r="15" spans="1:7">
      <c r="A15" s="4" t="s">
        <v>14</v>
      </c>
      <c r="B15" s="18" t="s">
        <v>54</v>
      </c>
      <c r="C15" s="19" t="s">
        <v>91</v>
      </c>
      <c r="D15" s="19" t="s">
        <v>118</v>
      </c>
      <c r="E15" s="49">
        <v>1.1950000000000001</v>
      </c>
      <c r="F15" s="10"/>
      <c r="G15" s="17"/>
    </row>
    <row r="16" spans="1:7">
      <c r="A16" s="4" t="s">
        <v>15</v>
      </c>
      <c r="B16" s="22" t="s">
        <v>55</v>
      </c>
      <c r="C16" s="23" t="s">
        <v>92</v>
      </c>
      <c r="D16" s="23" t="s">
        <v>118</v>
      </c>
      <c r="E16" s="24"/>
      <c r="F16" s="25">
        <f>(E12+E13+E14)*E15</f>
        <v>411873676.45215195</v>
      </c>
      <c r="G16" s="17"/>
    </row>
    <row r="17" spans="1:7">
      <c r="A17" s="4" t="s">
        <v>16</v>
      </c>
      <c r="B17" s="18" t="s">
        <v>56</v>
      </c>
      <c r="C17" s="19" t="s">
        <v>93</v>
      </c>
      <c r="D17" s="19" t="s">
        <v>119</v>
      </c>
      <c r="E17" s="51">
        <v>181048.80392735841</v>
      </c>
      <c r="F17" s="10"/>
      <c r="G17" s="17"/>
    </row>
    <row r="18" spans="1:7">
      <c r="A18" s="4" t="s">
        <v>17</v>
      </c>
      <c r="B18" s="18" t="s">
        <v>57</v>
      </c>
      <c r="C18" s="19" t="s">
        <v>94</v>
      </c>
      <c r="D18" s="19" t="s">
        <v>119</v>
      </c>
      <c r="E18" s="51">
        <v>-3957648.8137654043</v>
      </c>
      <c r="F18" s="10"/>
      <c r="G18" s="17"/>
    </row>
    <row r="19" spans="1:7">
      <c r="A19" s="4" t="s">
        <v>18</v>
      </c>
      <c r="B19" s="18" t="s">
        <v>58</v>
      </c>
      <c r="C19" s="19" t="s">
        <v>95</v>
      </c>
      <c r="D19" s="19" t="s">
        <v>119</v>
      </c>
      <c r="E19" s="51">
        <v>488754.53595663083</v>
      </c>
      <c r="F19" s="10"/>
      <c r="G19" s="17"/>
    </row>
    <row r="20" spans="1:7" ht="30">
      <c r="A20" s="4" t="s">
        <v>19</v>
      </c>
      <c r="B20" s="18" t="s">
        <v>59</v>
      </c>
      <c r="C20" s="19" t="s">
        <v>96</v>
      </c>
      <c r="D20" s="19" t="s">
        <v>119</v>
      </c>
      <c r="E20" s="51">
        <v>492934.40783157141</v>
      </c>
      <c r="F20" s="10"/>
      <c r="G20" s="17"/>
    </row>
    <row r="21" spans="1:7">
      <c r="A21" s="4" t="s">
        <v>20</v>
      </c>
      <c r="B21" s="18" t="s">
        <v>60</v>
      </c>
      <c r="C21" s="19" t="s">
        <v>97</v>
      </c>
      <c r="D21" s="19" t="s">
        <v>119</v>
      </c>
      <c r="E21" s="51">
        <v>1418703.1321204079</v>
      </c>
      <c r="F21" s="10"/>
      <c r="G21" s="17"/>
    </row>
    <row r="22" spans="1:7">
      <c r="A22" s="4" t="s">
        <v>21</v>
      </c>
      <c r="B22" s="18" t="s">
        <v>61</v>
      </c>
      <c r="C22" s="19" t="s">
        <v>98</v>
      </c>
      <c r="D22" s="19" t="s">
        <v>119</v>
      </c>
      <c r="E22" s="51">
        <v>0</v>
      </c>
      <c r="F22" s="10"/>
      <c r="G22" s="17"/>
    </row>
    <row r="23" spans="1:7">
      <c r="A23" s="4" t="s">
        <v>22</v>
      </c>
      <c r="B23" s="18" t="s">
        <v>62</v>
      </c>
      <c r="C23" s="19" t="s">
        <v>99</v>
      </c>
      <c r="D23" s="19" t="s">
        <v>119</v>
      </c>
      <c r="E23" s="51">
        <v>0</v>
      </c>
      <c r="F23" s="10"/>
      <c r="G23" s="17"/>
    </row>
    <row r="24" spans="1:7">
      <c r="A24" s="4" t="s">
        <v>23</v>
      </c>
      <c r="B24" s="22" t="s">
        <v>63</v>
      </c>
      <c r="C24" s="23" t="s">
        <v>100</v>
      </c>
      <c r="D24" s="23" t="s">
        <v>119</v>
      </c>
      <c r="E24" s="24"/>
      <c r="F24" s="25">
        <f>SUM(E17:E23)</f>
        <v>-1376207.9339294357</v>
      </c>
      <c r="G24" s="17"/>
    </row>
    <row r="25" spans="1:7">
      <c r="A25" s="4" t="s">
        <v>24</v>
      </c>
      <c r="B25" s="18" t="s">
        <v>64</v>
      </c>
      <c r="C25" s="19" t="s">
        <v>101</v>
      </c>
      <c r="D25" s="19" t="s">
        <v>120</v>
      </c>
      <c r="E25" s="51">
        <v>3047073.3416654789</v>
      </c>
      <c r="F25" s="10"/>
      <c r="G25" s="17"/>
    </row>
    <row r="26" spans="1:7">
      <c r="A26" s="4" t="s">
        <v>25</v>
      </c>
      <c r="B26" s="18" t="s">
        <v>65</v>
      </c>
      <c r="C26" s="19" t="s">
        <v>102</v>
      </c>
      <c r="D26" s="19" t="s">
        <v>121</v>
      </c>
      <c r="E26" s="51">
        <v>15271601.641909987</v>
      </c>
      <c r="F26" s="10"/>
      <c r="G26" s="17"/>
    </row>
    <row r="27" spans="1:7">
      <c r="A27" s="4" t="s">
        <v>26</v>
      </c>
      <c r="B27" s="18" t="s">
        <v>66</v>
      </c>
      <c r="C27" s="19" t="s">
        <v>103</v>
      </c>
      <c r="D27" s="19" t="s">
        <v>122</v>
      </c>
      <c r="E27" s="51">
        <v>0</v>
      </c>
      <c r="F27" s="10"/>
      <c r="G27" s="17"/>
    </row>
    <row r="28" spans="1:7">
      <c r="A28" s="4" t="s">
        <v>27</v>
      </c>
      <c r="B28" s="18" t="s">
        <v>67</v>
      </c>
      <c r="C28" s="19" t="s">
        <v>104</v>
      </c>
      <c r="D28" s="19" t="s">
        <v>123</v>
      </c>
      <c r="E28" s="51">
        <v>1294193.0939572903</v>
      </c>
      <c r="F28" s="10"/>
      <c r="G28" s="17"/>
    </row>
    <row r="29" spans="1:7">
      <c r="A29" s="4" t="s">
        <v>28</v>
      </c>
      <c r="B29" s="18" t="s">
        <v>68</v>
      </c>
      <c r="C29" s="19" t="s">
        <v>105</v>
      </c>
      <c r="D29" s="19" t="s">
        <v>124</v>
      </c>
      <c r="E29" s="51">
        <v>0</v>
      </c>
      <c r="F29" s="10"/>
      <c r="G29" s="17"/>
    </row>
    <row r="30" spans="1:7">
      <c r="A30" s="4" t="s">
        <v>29</v>
      </c>
      <c r="B30" s="18" t="s">
        <v>69</v>
      </c>
      <c r="C30" s="19" t="s">
        <v>106</v>
      </c>
      <c r="D30" s="19" t="s">
        <v>125</v>
      </c>
      <c r="E30" s="51">
        <v>2883115.7351650638</v>
      </c>
      <c r="F30" s="10"/>
      <c r="G30" s="17"/>
    </row>
    <row r="31" spans="1:7">
      <c r="A31" s="4" t="s">
        <v>30</v>
      </c>
      <c r="B31" s="18" t="s">
        <v>70</v>
      </c>
      <c r="C31" s="19" t="s">
        <v>107</v>
      </c>
      <c r="D31" s="19" t="s">
        <v>126</v>
      </c>
      <c r="E31" s="51">
        <v>0</v>
      </c>
      <c r="F31" s="10"/>
      <c r="G31" s="17"/>
    </row>
    <row r="32" spans="1:7" ht="30">
      <c r="A32" s="4" t="s">
        <v>31</v>
      </c>
      <c r="B32" s="18" t="s">
        <v>70</v>
      </c>
      <c r="C32" s="19" t="s">
        <v>108</v>
      </c>
      <c r="D32" s="19" t="s">
        <v>126</v>
      </c>
      <c r="E32" s="51">
        <v>0</v>
      </c>
      <c r="F32" s="10"/>
      <c r="G32" s="17"/>
    </row>
    <row r="33" spans="1:7" ht="30">
      <c r="A33" s="4" t="s">
        <v>32</v>
      </c>
      <c r="B33" s="18" t="s">
        <v>71</v>
      </c>
      <c r="C33" s="19" t="s">
        <v>109</v>
      </c>
      <c r="D33" s="19" t="s">
        <v>127</v>
      </c>
      <c r="E33" s="51">
        <v>0</v>
      </c>
      <c r="F33" s="10"/>
      <c r="G33" s="17"/>
    </row>
    <row r="34" spans="1:7">
      <c r="A34" s="4" t="s">
        <v>33</v>
      </c>
      <c r="B34" s="18" t="s">
        <v>72</v>
      </c>
      <c r="C34" s="19" t="s">
        <v>110</v>
      </c>
      <c r="D34" s="19" t="s">
        <v>128</v>
      </c>
      <c r="E34" s="51">
        <v>0</v>
      </c>
      <c r="F34" s="10"/>
      <c r="G34" s="17"/>
    </row>
    <row r="35" spans="1:7">
      <c r="A35" s="4" t="s">
        <v>34</v>
      </c>
      <c r="B35" s="18" t="s">
        <v>72</v>
      </c>
      <c r="C35" s="19" t="s">
        <v>111</v>
      </c>
      <c r="D35" s="19" t="s">
        <v>128</v>
      </c>
      <c r="E35" s="51">
        <v>0</v>
      </c>
      <c r="F35" s="10"/>
      <c r="G35" s="17"/>
    </row>
    <row r="36" spans="1:7">
      <c r="A36" s="4" t="s">
        <v>35</v>
      </c>
      <c r="B36" s="22" t="s">
        <v>73</v>
      </c>
      <c r="C36" s="24"/>
      <c r="D36" s="24"/>
      <c r="E36" s="24"/>
      <c r="F36" s="25">
        <f>SUM(E25:E35)</f>
        <v>22495983.81269782</v>
      </c>
      <c r="G36" s="17"/>
    </row>
    <row r="37" spans="1:7">
      <c r="A37" s="4" t="s">
        <v>36</v>
      </c>
      <c r="B37" s="18" t="s">
        <v>74</v>
      </c>
      <c r="C37" s="19" t="s">
        <v>112</v>
      </c>
      <c r="D37" s="19" t="s">
        <v>118</v>
      </c>
      <c r="E37" s="51">
        <v>6197323.7277672635</v>
      </c>
      <c r="F37" s="10"/>
      <c r="G37" s="17"/>
    </row>
    <row r="38" spans="1:7">
      <c r="A38" s="4" t="s">
        <v>37</v>
      </c>
      <c r="B38" s="22" t="s">
        <v>75</v>
      </c>
      <c r="C38" s="23" t="s">
        <v>113</v>
      </c>
      <c r="D38" s="23" t="s">
        <v>118</v>
      </c>
      <c r="E38" s="24"/>
      <c r="F38" s="25">
        <f>F16+F24+F36+E37</f>
        <v>439190776.05868763</v>
      </c>
      <c r="G38" s="17"/>
    </row>
    <row r="39" spans="1:7" ht="30">
      <c r="A39" s="4" t="s">
        <v>38</v>
      </c>
      <c r="B39" s="18" t="s">
        <v>76</v>
      </c>
      <c r="C39" s="19" t="s">
        <v>114</v>
      </c>
      <c r="D39" s="19" t="s">
        <v>129</v>
      </c>
      <c r="E39" s="51">
        <v>0</v>
      </c>
      <c r="F39" s="10"/>
      <c r="G39" s="17"/>
    </row>
    <row r="40" spans="1:7" ht="30">
      <c r="A40" s="4" t="s">
        <v>39</v>
      </c>
      <c r="B40" s="18" t="s">
        <v>77</v>
      </c>
      <c r="C40" s="19" t="s">
        <v>115</v>
      </c>
      <c r="D40" s="19" t="s">
        <v>129</v>
      </c>
      <c r="E40" s="51">
        <v>0</v>
      </c>
      <c r="F40" s="10"/>
      <c r="G40" s="17"/>
    </row>
    <row r="41" spans="1:7">
      <c r="A41" s="4" t="s">
        <v>40</v>
      </c>
      <c r="B41" s="18" t="s">
        <v>78</v>
      </c>
      <c r="C41" s="19" t="s">
        <v>116</v>
      </c>
      <c r="D41" s="19" t="s">
        <v>129</v>
      </c>
      <c r="E41" s="51">
        <v>0</v>
      </c>
      <c r="F41" s="10"/>
      <c r="G41" s="17"/>
    </row>
    <row r="42" spans="1:7">
      <c r="A42" s="4" t="s">
        <v>41</v>
      </c>
      <c r="B42" s="18" t="s">
        <v>79</v>
      </c>
      <c r="C42" s="19" t="s">
        <v>117</v>
      </c>
      <c r="D42" s="19" t="s">
        <v>130</v>
      </c>
      <c r="E42" s="51">
        <v>0</v>
      </c>
      <c r="F42" s="10"/>
      <c r="G42" s="17"/>
    </row>
    <row r="43" spans="1:7">
      <c r="A43" s="4" t="s">
        <v>42</v>
      </c>
      <c r="B43" s="18" t="s">
        <v>80</v>
      </c>
      <c r="C43" s="19" t="s">
        <v>117</v>
      </c>
      <c r="D43" s="19" t="s">
        <v>130</v>
      </c>
      <c r="E43" s="51">
        <v>0</v>
      </c>
      <c r="F43" s="10"/>
      <c r="G43" s="17"/>
    </row>
    <row r="44" spans="1:7" ht="30">
      <c r="A44" s="4" t="s">
        <v>43</v>
      </c>
      <c r="B44" s="22" t="s">
        <v>81</v>
      </c>
      <c r="C44" s="24"/>
      <c r="D44" s="24"/>
      <c r="E44" s="24"/>
      <c r="F44" s="25">
        <f>SUM(E39:E43)</f>
        <v>0</v>
      </c>
      <c r="G44" s="17"/>
    </row>
    <row r="45" spans="1:7">
      <c r="A45" s="4" t="s">
        <v>44</v>
      </c>
      <c r="B45" s="22" t="s">
        <v>82</v>
      </c>
      <c r="C45" s="24"/>
      <c r="D45" s="24"/>
      <c r="E45" s="24"/>
      <c r="F45" s="25">
        <f>F38+F44</f>
        <v>439190776.05868763</v>
      </c>
      <c r="G45" s="17"/>
    </row>
    <row r="46" spans="1:7" ht="30">
      <c r="A46" s="4" t="s">
        <v>45</v>
      </c>
      <c r="B46" s="18" t="s">
        <v>83</v>
      </c>
      <c r="C46" s="24"/>
      <c r="D46" s="24"/>
      <c r="E46" s="51">
        <v>21396990.666706037</v>
      </c>
      <c r="F46" s="10"/>
      <c r="G46" s="17"/>
    </row>
    <row r="47" spans="1:7" ht="30">
      <c r="A47" s="4" t="s">
        <v>46</v>
      </c>
      <c r="B47" s="18" t="s">
        <v>84</v>
      </c>
      <c r="C47" s="24"/>
      <c r="D47" s="24"/>
      <c r="E47" s="51">
        <v>0</v>
      </c>
      <c r="F47" s="10"/>
      <c r="G47" s="17"/>
    </row>
    <row r="48" spans="1:7" ht="30">
      <c r="A48" s="4" t="s">
        <v>47</v>
      </c>
      <c r="B48" s="18" t="s">
        <v>1829</v>
      </c>
      <c r="C48" s="19" t="s">
        <v>117</v>
      </c>
      <c r="D48" s="19" t="s">
        <v>130</v>
      </c>
      <c r="E48" s="51">
        <v>0</v>
      </c>
      <c r="F48" s="10"/>
      <c r="G48" s="17"/>
    </row>
    <row r="49" spans="1:7" ht="30">
      <c r="A49" s="4" t="s">
        <v>48</v>
      </c>
      <c r="B49" s="18" t="s">
        <v>85</v>
      </c>
      <c r="C49" s="19" t="s">
        <v>117</v>
      </c>
      <c r="D49" s="19" t="s">
        <v>130</v>
      </c>
      <c r="E49" s="51">
        <v>0</v>
      </c>
      <c r="F49" s="10"/>
      <c r="G49" s="17"/>
    </row>
    <row r="50" spans="1:7">
      <c r="A50" s="4" t="s">
        <v>49</v>
      </c>
      <c r="B50" s="22" t="s">
        <v>86</v>
      </c>
      <c r="C50" s="24"/>
      <c r="D50" s="24"/>
      <c r="E50" s="24"/>
      <c r="F50" s="25">
        <f>SUM(E46:E49)</f>
        <v>21396990.666706037</v>
      </c>
      <c r="G50" s="17"/>
    </row>
    <row r="51" spans="1:7">
      <c r="A51" s="4" t="s">
        <v>50</v>
      </c>
      <c r="B51" s="22" t="s">
        <v>87</v>
      </c>
      <c r="C51" s="24"/>
      <c r="D51" s="24"/>
      <c r="E51" s="24"/>
      <c r="F51" s="25">
        <f>F45-F50</f>
        <v>417793785.3919816</v>
      </c>
      <c r="G51" s="17"/>
    </row>
    <row r="53" spans="1:7">
      <c r="A53" s="2" t="s">
        <v>131</v>
      </c>
    </row>
    <row r="55" spans="1:7" ht="21" customHeight="1">
      <c r="A55" s="1" t="s">
        <v>132</v>
      </c>
    </row>
    <row r="56" spans="1:7">
      <c r="A56" s="2" t="s">
        <v>133</v>
      </c>
    </row>
    <row r="57" spans="1:7">
      <c r="A57" s="2" t="s">
        <v>134</v>
      </c>
    </row>
    <row r="59" spans="1:7" ht="45">
      <c r="B59" s="15" t="s">
        <v>135</v>
      </c>
      <c r="C59" s="15" t="s">
        <v>136</v>
      </c>
      <c r="D59" s="15" t="s">
        <v>137</v>
      </c>
      <c r="E59" s="15" t="s">
        <v>138</v>
      </c>
      <c r="F59" s="15" t="s">
        <v>139</v>
      </c>
    </row>
    <row r="60" spans="1:7">
      <c r="A60" s="4" t="s">
        <v>140</v>
      </c>
      <c r="B60" s="52">
        <v>4.02E-2</v>
      </c>
      <c r="C60" s="51">
        <v>40</v>
      </c>
      <c r="D60" s="26">
        <v>0</v>
      </c>
      <c r="E60" s="49">
        <v>0.95</v>
      </c>
      <c r="F60" s="51">
        <v>366</v>
      </c>
      <c r="G60" s="17"/>
    </row>
    <row r="62" spans="1:7" ht="21" customHeight="1">
      <c r="A62" s="1" t="s">
        <v>141</v>
      </c>
    </row>
    <row r="63" spans="1:7">
      <c r="A63" s="2" t="s">
        <v>142</v>
      </c>
    </row>
    <row r="64" spans="1:7">
      <c r="A64" s="2" t="s">
        <v>143</v>
      </c>
    </row>
    <row r="65" spans="1:3">
      <c r="A65" s="2" t="s">
        <v>144</v>
      </c>
    </row>
    <row r="66" spans="1:3">
      <c r="A66" s="2" t="s">
        <v>145</v>
      </c>
    </row>
    <row r="67" spans="1:3">
      <c r="A67" s="2" t="s">
        <v>146</v>
      </c>
    </row>
    <row r="69" spans="1:3" ht="60">
      <c r="B69" s="15" t="s">
        <v>147</v>
      </c>
    </row>
    <row r="70" spans="1:3">
      <c r="A70" s="4" t="s">
        <v>148</v>
      </c>
      <c r="B70" s="52">
        <v>6.3493901402517428E-2</v>
      </c>
      <c r="C70" s="17"/>
    </row>
    <row r="71" spans="1:3">
      <c r="A71" s="4" t="s">
        <v>149</v>
      </c>
      <c r="B71" s="52">
        <v>6.8327937756003099E-2</v>
      </c>
      <c r="C71" s="17"/>
    </row>
    <row r="72" spans="1:3">
      <c r="A72" s="4" t="s">
        <v>150</v>
      </c>
      <c r="B72" s="24"/>
      <c r="C72" s="17"/>
    </row>
    <row r="73" spans="1:3">
      <c r="A73" s="4" t="s">
        <v>151</v>
      </c>
      <c r="B73" s="52">
        <v>9.1400243665822778E-2</v>
      </c>
      <c r="C73" s="17"/>
    </row>
    <row r="74" spans="1:3">
      <c r="A74" s="4" t="s">
        <v>152</v>
      </c>
      <c r="B74" s="24"/>
      <c r="C74" s="17"/>
    </row>
    <row r="75" spans="1:3">
      <c r="A75" s="4" t="s">
        <v>153</v>
      </c>
      <c r="B75" s="52">
        <v>0.23900129618806587</v>
      </c>
      <c r="C75" s="17"/>
    </row>
    <row r="76" spans="1:3">
      <c r="A76" s="4" t="s">
        <v>154</v>
      </c>
      <c r="B76" s="24"/>
      <c r="C76" s="17"/>
    </row>
    <row r="77" spans="1:3">
      <c r="A77" s="4" t="s">
        <v>155</v>
      </c>
      <c r="B77" s="24"/>
      <c r="C77" s="17"/>
    </row>
    <row r="79" spans="1:3" ht="21" customHeight="1">
      <c r="A79" s="1" t="s">
        <v>156</v>
      </c>
    </row>
    <row r="81" spans="1:3">
      <c r="B81" s="15" t="s">
        <v>157</v>
      </c>
    </row>
    <row r="82" spans="1:3">
      <c r="A82" s="4" t="s">
        <v>152</v>
      </c>
      <c r="B82" s="52"/>
      <c r="C82" s="17"/>
    </row>
    <row r="84" spans="1:3" ht="21" customHeight="1">
      <c r="A84" s="1" t="s">
        <v>158</v>
      </c>
    </row>
    <row r="86" spans="1:3" ht="30">
      <c r="B86" s="15" t="s">
        <v>159</v>
      </c>
    </row>
    <row r="87" spans="1:3">
      <c r="A87" s="4" t="s">
        <v>159</v>
      </c>
      <c r="B87" s="51">
        <v>500</v>
      </c>
      <c r="C87" s="17"/>
    </row>
    <row r="89" spans="1:3" ht="21" customHeight="1">
      <c r="A89" s="1" t="s">
        <v>160</v>
      </c>
    </row>
    <row r="91" spans="1:3">
      <c r="B91" s="15" t="s">
        <v>161</v>
      </c>
    </row>
    <row r="92" spans="1:3">
      <c r="A92" s="4" t="s">
        <v>149</v>
      </c>
      <c r="B92" s="51">
        <v>100301754.53174378</v>
      </c>
      <c r="C92" s="17"/>
    </row>
    <row r="93" spans="1:3">
      <c r="A93" s="4" t="s">
        <v>150</v>
      </c>
      <c r="B93" s="51">
        <v>39674898.827301972</v>
      </c>
      <c r="C93" s="17"/>
    </row>
    <row r="94" spans="1:3">
      <c r="A94" s="4" t="s">
        <v>151</v>
      </c>
      <c r="B94" s="51">
        <v>100181801.90252076</v>
      </c>
      <c r="C94" s="17"/>
    </row>
    <row r="95" spans="1:3">
      <c r="A95" s="4" t="s">
        <v>152</v>
      </c>
      <c r="B95" s="51">
        <v>63195020.951364264</v>
      </c>
      <c r="C95" s="17"/>
    </row>
    <row r="96" spans="1:3">
      <c r="A96" s="4" t="s">
        <v>157</v>
      </c>
      <c r="B96" s="51">
        <v>0</v>
      </c>
      <c r="C96" s="17"/>
    </row>
    <row r="97" spans="1:10">
      <c r="A97" s="4" t="s">
        <v>153</v>
      </c>
      <c r="B97" s="51">
        <v>114729339.09807222</v>
      </c>
      <c r="C97" s="17"/>
    </row>
    <row r="98" spans="1:10">
      <c r="A98" s="4" t="s">
        <v>154</v>
      </c>
      <c r="B98" s="51">
        <v>104165107.70249827</v>
      </c>
      <c r="C98" s="17"/>
    </row>
    <row r="99" spans="1:10">
      <c r="A99" s="4" t="s">
        <v>155</v>
      </c>
      <c r="B99" s="51">
        <v>57745147.125607386</v>
      </c>
      <c r="C99" s="17"/>
    </row>
    <row r="101" spans="1:10" ht="21" customHeight="1">
      <c r="A101" s="1" t="s">
        <v>162</v>
      </c>
    </row>
    <row r="103" spans="1:10">
      <c r="B103" s="15" t="s">
        <v>163</v>
      </c>
      <c r="C103" s="15" t="s">
        <v>164</v>
      </c>
      <c r="D103" s="15" t="s">
        <v>165</v>
      </c>
      <c r="E103" s="15" t="s">
        <v>166</v>
      </c>
      <c r="F103" s="15" t="s">
        <v>167</v>
      </c>
      <c r="G103" s="15" t="s">
        <v>168</v>
      </c>
      <c r="H103" s="15" t="s">
        <v>169</v>
      </c>
      <c r="I103" s="15" t="s">
        <v>170</v>
      </c>
    </row>
    <row r="104" spans="1:10">
      <c r="A104" s="4" t="s">
        <v>171</v>
      </c>
      <c r="B104" s="51">
        <v>10961.831418066933</v>
      </c>
      <c r="C104" s="51">
        <v>548.09157090334668</v>
      </c>
      <c r="D104" s="51">
        <v>2576.7389248309805</v>
      </c>
      <c r="E104" s="51">
        <v>8271.6387638235956</v>
      </c>
      <c r="F104" s="51">
        <v>301.26364980785843</v>
      </c>
      <c r="G104" s="51">
        <v>0</v>
      </c>
      <c r="H104" s="51">
        <v>0</v>
      </c>
      <c r="I104" s="51">
        <v>0</v>
      </c>
      <c r="J104" s="17"/>
    </row>
    <row r="106" spans="1:10" ht="21" customHeight="1">
      <c r="A106" s="1" t="s">
        <v>172</v>
      </c>
    </row>
    <row r="108" spans="1:10">
      <c r="B108" s="15" t="s">
        <v>173</v>
      </c>
      <c r="C108" s="15" t="s">
        <v>174</v>
      </c>
      <c r="D108" s="15" t="s">
        <v>175</v>
      </c>
      <c r="E108" s="15" t="s">
        <v>176</v>
      </c>
      <c r="F108" s="15" t="s">
        <v>177</v>
      </c>
    </row>
    <row r="109" spans="1:10">
      <c r="A109" s="4" t="s">
        <v>178</v>
      </c>
      <c r="B109" s="51">
        <v>20576.138767954631</v>
      </c>
      <c r="C109" s="51">
        <v>18188.230760622555</v>
      </c>
      <c r="D109" s="51">
        <v>1224.7359261328124</v>
      </c>
      <c r="E109" s="51">
        <v>0</v>
      </c>
      <c r="F109" s="51">
        <v>0</v>
      </c>
      <c r="G109" s="17"/>
    </row>
    <row r="111" spans="1:10" ht="21" customHeight="1">
      <c r="A111" s="1" t="s">
        <v>179</v>
      </c>
    </row>
    <row r="113" spans="1:10">
      <c r="B113" s="15" t="s">
        <v>163</v>
      </c>
      <c r="C113" s="15" t="s">
        <v>164</v>
      </c>
      <c r="D113" s="15" t="s">
        <v>165</v>
      </c>
      <c r="E113" s="15" t="s">
        <v>166</v>
      </c>
      <c r="F113" s="15" t="s">
        <v>167</v>
      </c>
      <c r="G113" s="15" t="s">
        <v>168</v>
      </c>
      <c r="H113" s="15" t="s">
        <v>169</v>
      </c>
      <c r="I113" s="15" t="s">
        <v>170</v>
      </c>
    </row>
    <row r="114" spans="1:10">
      <c r="A114" s="4" t="s">
        <v>180</v>
      </c>
      <c r="B114" s="52">
        <v>0.05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17"/>
    </row>
    <row r="115" spans="1:10">
      <c r="A115" s="4" t="s">
        <v>181</v>
      </c>
      <c r="B115" s="52">
        <v>0.05</v>
      </c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17"/>
    </row>
    <row r="116" spans="1:10">
      <c r="A116" s="4" t="s">
        <v>182</v>
      </c>
      <c r="B116" s="52">
        <v>0</v>
      </c>
      <c r="C116" s="52">
        <v>1</v>
      </c>
      <c r="D116" s="52">
        <v>0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J116" s="17"/>
    </row>
    <row r="117" spans="1:10">
      <c r="A117" s="4" t="s">
        <v>183</v>
      </c>
      <c r="B117" s="52">
        <v>0</v>
      </c>
      <c r="C117" s="52">
        <v>1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17"/>
    </row>
    <row r="118" spans="1:10">
      <c r="A118" s="4" t="s">
        <v>184</v>
      </c>
      <c r="B118" s="52">
        <v>0</v>
      </c>
      <c r="C118" s="52">
        <v>0.2391523713420787</v>
      </c>
      <c r="D118" s="52">
        <v>0.76084762865792133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17"/>
    </row>
    <row r="119" spans="1:10">
      <c r="A119" s="4" t="s">
        <v>185</v>
      </c>
      <c r="B119" s="52">
        <v>0</v>
      </c>
      <c r="C119" s="52">
        <v>0</v>
      </c>
      <c r="D119" s="52">
        <v>0</v>
      </c>
      <c r="E119" s="52">
        <v>1</v>
      </c>
      <c r="F119" s="52">
        <v>0</v>
      </c>
      <c r="G119" s="52">
        <v>0</v>
      </c>
      <c r="H119" s="52">
        <v>0</v>
      </c>
      <c r="I119" s="52">
        <v>0</v>
      </c>
      <c r="J119" s="17"/>
    </row>
    <row r="120" spans="1:10">
      <c r="A120" s="4" t="s">
        <v>186</v>
      </c>
      <c r="B120" s="52">
        <v>0.05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17"/>
    </row>
    <row r="121" spans="1:10">
      <c r="A121" s="4" t="s">
        <v>187</v>
      </c>
      <c r="B121" s="52">
        <v>0</v>
      </c>
      <c r="C121" s="52">
        <v>1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17"/>
    </row>
    <row r="122" spans="1:10">
      <c r="A122" s="4" t="s">
        <v>188</v>
      </c>
      <c r="B122" s="52">
        <v>0</v>
      </c>
      <c r="C122" s="52">
        <v>0</v>
      </c>
      <c r="D122" s="52">
        <v>1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17"/>
    </row>
    <row r="123" spans="1:10">
      <c r="A123" s="4" t="s">
        <v>189</v>
      </c>
      <c r="B123" s="52">
        <v>0</v>
      </c>
      <c r="C123" s="52">
        <v>0</v>
      </c>
      <c r="D123" s="52">
        <v>0</v>
      </c>
      <c r="E123" s="52">
        <v>1</v>
      </c>
      <c r="F123" s="52">
        <v>0</v>
      </c>
      <c r="G123" s="52">
        <v>0</v>
      </c>
      <c r="H123" s="52">
        <v>0</v>
      </c>
      <c r="I123" s="52">
        <v>0</v>
      </c>
      <c r="J123" s="17"/>
    </row>
    <row r="124" spans="1:10">
      <c r="A124" s="4" t="s">
        <v>190</v>
      </c>
      <c r="B124" s="52">
        <v>0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17"/>
    </row>
    <row r="125" spans="1:10">
      <c r="A125" s="4" t="s">
        <v>191</v>
      </c>
      <c r="B125" s="52">
        <v>0</v>
      </c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17"/>
    </row>
    <row r="126" spans="1:10">
      <c r="A126" s="4" t="s">
        <v>192</v>
      </c>
      <c r="B126" s="52">
        <v>0</v>
      </c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17"/>
    </row>
    <row r="127" spans="1:10">
      <c r="A127" s="4" t="s">
        <v>193</v>
      </c>
      <c r="B127" s="52">
        <v>0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17"/>
    </row>
    <row r="128" spans="1:10">
      <c r="A128" s="4" t="s">
        <v>194</v>
      </c>
      <c r="B128" s="52">
        <v>0</v>
      </c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17"/>
    </row>
    <row r="129" spans="1:10">
      <c r="A129" s="4" t="s">
        <v>195</v>
      </c>
      <c r="B129" s="52">
        <v>0</v>
      </c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52">
        <v>0</v>
      </c>
      <c r="I129" s="52">
        <v>0</v>
      </c>
      <c r="J129" s="17"/>
    </row>
    <row r="130" spans="1:10">
      <c r="A130" s="4" t="s">
        <v>196</v>
      </c>
      <c r="B130" s="52">
        <v>0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17"/>
    </row>
    <row r="131" spans="1:10">
      <c r="A131" s="4" t="s">
        <v>197</v>
      </c>
      <c r="B131" s="52">
        <v>0</v>
      </c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17"/>
    </row>
    <row r="132" spans="1:10">
      <c r="A132" s="4" t="s">
        <v>198</v>
      </c>
      <c r="B132" s="52">
        <v>0</v>
      </c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J132" s="17"/>
    </row>
    <row r="133" spans="1:10">
      <c r="A133" s="4" t="s">
        <v>199</v>
      </c>
      <c r="B133" s="52">
        <v>0</v>
      </c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17"/>
    </row>
    <row r="135" spans="1:10" ht="21" customHeight="1">
      <c r="A135" s="1" t="s">
        <v>200</v>
      </c>
    </row>
    <row r="136" spans="1:10">
      <c r="A136" s="2" t="s">
        <v>201</v>
      </c>
    </row>
    <row r="137" spans="1:10">
      <c r="A137" s="2" t="s">
        <v>202</v>
      </c>
    </row>
    <row r="139" spans="1:10">
      <c r="B139" s="15" t="s">
        <v>163</v>
      </c>
      <c r="C139" s="15" t="s">
        <v>164</v>
      </c>
      <c r="D139" s="15" t="s">
        <v>165</v>
      </c>
      <c r="E139" s="15" t="s">
        <v>166</v>
      </c>
      <c r="F139" s="15" t="s">
        <v>167</v>
      </c>
      <c r="G139" s="15" t="s">
        <v>168</v>
      </c>
      <c r="H139" s="15" t="s">
        <v>169</v>
      </c>
      <c r="I139" s="15" t="s">
        <v>170</v>
      </c>
    </row>
    <row r="140" spans="1:10">
      <c r="A140" s="4" t="s">
        <v>203</v>
      </c>
      <c r="B140" s="49">
        <v>0</v>
      </c>
      <c r="C140" s="49">
        <v>0</v>
      </c>
      <c r="D140" s="49">
        <v>0</v>
      </c>
      <c r="E140" s="49">
        <v>0</v>
      </c>
      <c r="F140" s="49">
        <v>2.8726327682335167</v>
      </c>
      <c r="G140" s="49">
        <v>0</v>
      </c>
      <c r="H140" s="49">
        <v>0</v>
      </c>
      <c r="I140" s="49">
        <v>0</v>
      </c>
      <c r="J140" s="17"/>
    </row>
    <row r="142" spans="1:10" ht="21" customHeight="1">
      <c r="A142" s="1" t="s">
        <v>204</v>
      </c>
    </row>
    <row r="144" spans="1:10">
      <c r="B144" s="15" t="s">
        <v>173</v>
      </c>
      <c r="C144" s="15" t="s">
        <v>174</v>
      </c>
      <c r="D144" s="15" t="s">
        <v>175</v>
      </c>
      <c r="E144" s="15" t="s">
        <v>176</v>
      </c>
      <c r="F144" s="15" t="s">
        <v>177</v>
      </c>
    </row>
    <row r="145" spans="1:9">
      <c r="A145" s="4" t="s">
        <v>205</v>
      </c>
      <c r="B145" s="52">
        <v>0</v>
      </c>
      <c r="C145" s="52">
        <v>1</v>
      </c>
      <c r="D145" s="52">
        <v>0</v>
      </c>
      <c r="E145" s="52">
        <v>0</v>
      </c>
      <c r="F145" s="52">
        <v>0</v>
      </c>
      <c r="G145" s="17"/>
    </row>
    <row r="146" spans="1:9">
      <c r="A146" s="4" t="s">
        <v>206</v>
      </c>
      <c r="B146" s="52">
        <v>0</v>
      </c>
      <c r="C146" s="52">
        <v>1</v>
      </c>
      <c r="D146" s="52">
        <v>0</v>
      </c>
      <c r="E146" s="52">
        <v>0</v>
      </c>
      <c r="F146" s="52">
        <v>0</v>
      </c>
      <c r="G146" s="17"/>
    </row>
    <row r="147" spans="1:9">
      <c r="A147" s="4" t="s">
        <v>207</v>
      </c>
      <c r="B147" s="52">
        <v>0</v>
      </c>
      <c r="C147" s="52">
        <v>0</v>
      </c>
      <c r="D147" s="52">
        <v>1</v>
      </c>
      <c r="E147" s="52">
        <v>0</v>
      </c>
      <c r="F147" s="52">
        <v>0</v>
      </c>
      <c r="G147" s="17"/>
    </row>
    <row r="148" spans="1:9">
      <c r="A148" s="4" t="s">
        <v>208</v>
      </c>
      <c r="B148" s="52">
        <v>0</v>
      </c>
      <c r="C148" s="52">
        <v>0</v>
      </c>
      <c r="D148" s="52">
        <v>1</v>
      </c>
      <c r="E148" s="52">
        <v>0</v>
      </c>
      <c r="F148" s="52">
        <v>0</v>
      </c>
      <c r="G148" s="17"/>
    </row>
    <row r="149" spans="1:9">
      <c r="A149" s="4" t="s">
        <v>209</v>
      </c>
      <c r="B149" s="52">
        <v>0</v>
      </c>
      <c r="C149" s="52">
        <v>0</v>
      </c>
      <c r="D149" s="52">
        <v>1</v>
      </c>
      <c r="E149" s="52">
        <v>0</v>
      </c>
      <c r="F149" s="52">
        <v>0</v>
      </c>
      <c r="G149" s="17"/>
    </row>
    <row r="150" spans="1:9">
      <c r="A150" s="4" t="s">
        <v>210</v>
      </c>
      <c r="B150" s="52">
        <v>0</v>
      </c>
      <c r="C150" s="52">
        <v>0</v>
      </c>
      <c r="D150" s="52">
        <v>1</v>
      </c>
      <c r="E150" s="52">
        <v>0</v>
      </c>
      <c r="F150" s="52">
        <v>0</v>
      </c>
      <c r="G150" s="17"/>
    </row>
    <row r="152" spans="1:9" ht="21" customHeight="1">
      <c r="A152" s="1" t="s">
        <v>211</v>
      </c>
    </row>
    <row r="153" spans="1:9">
      <c r="A153" s="2" t="s">
        <v>212</v>
      </c>
    </row>
    <row r="155" spans="1:9">
      <c r="B155" s="15" t="s">
        <v>149</v>
      </c>
      <c r="C155" s="15" t="s">
        <v>150</v>
      </c>
      <c r="D155" s="15" t="s">
        <v>151</v>
      </c>
      <c r="E155" s="15" t="s">
        <v>152</v>
      </c>
      <c r="F155" s="15" t="s">
        <v>153</v>
      </c>
      <c r="G155" s="15" t="s">
        <v>154</v>
      </c>
      <c r="H155" s="15" t="s">
        <v>155</v>
      </c>
    </row>
    <row r="156" spans="1:9">
      <c r="A156" s="4" t="s">
        <v>213</v>
      </c>
      <c r="B156" s="49">
        <v>1.0100495819999999</v>
      </c>
      <c r="C156" s="49">
        <v>1.0150287149999999</v>
      </c>
      <c r="D156" s="49">
        <v>1.0214236969999999</v>
      </c>
      <c r="E156" s="49">
        <v>1.026965618</v>
      </c>
      <c r="F156" s="49">
        <v>1.039338946</v>
      </c>
      <c r="G156" s="49">
        <v>1.053194046</v>
      </c>
      <c r="H156" s="49">
        <v>1.107559204</v>
      </c>
      <c r="I156" s="17"/>
    </row>
    <row r="158" spans="1:9" ht="21" customHeight="1">
      <c r="A158" s="1" t="s">
        <v>214</v>
      </c>
    </row>
    <row r="159" spans="1:9">
      <c r="A159" s="2" t="s">
        <v>215</v>
      </c>
    </row>
    <row r="161" spans="1:7">
      <c r="B161" s="15" t="s">
        <v>216</v>
      </c>
      <c r="C161" s="15" t="s">
        <v>217</v>
      </c>
      <c r="D161" s="15" t="s">
        <v>218</v>
      </c>
      <c r="E161" s="15" t="s">
        <v>219</v>
      </c>
      <c r="F161" s="15" t="s">
        <v>220</v>
      </c>
    </row>
    <row r="162" spans="1:7">
      <c r="A162" s="4" t="s">
        <v>221</v>
      </c>
      <c r="B162" s="24"/>
      <c r="C162" s="52">
        <v>0.35735787095017979</v>
      </c>
      <c r="D162" s="52">
        <v>0.57341162484196806</v>
      </c>
      <c r="E162" s="52">
        <v>0.32789446203727474</v>
      </c>
      <c r="F162" s="52">
        <v>0.20424557221785974</v>
      </c>
      <c r="G162" s="17"/>
    </row>
    <row r="164" spans="1:7" ht="21" customHeight="1">
      <c r="A164" s="1" t="s">
        <v>222</v>
      </c>
    </row>
    <row r="165" spans="1:7">
      <c r="A165" s="2" t="s">
        <v>223</v>
      </c>
    </row>
    <row r="167" spans="1:7">
      <c r="B167" s="15" t="s">
        <v>224</v>
      </c>
      <c r="C167" s="15" t="s">
        <v>225</v>
      </c>
    </row>
    <row r="168" spans="1:7">
      <c r="A168" s="4" t="s">
        <v>180</v>
      </c>
      <c r="B168" s="49">
        <v>0.90737512456496205</v>
      </c>
      <c r="C168" s="49">
        <v>0.44607613522315431</v>
      </c>
      <c r="D168" s="17"/>
    </row>
    <row r="169" spans="1:7">
      <c r="A169" s="4" t="s">
        <v>181</v>
      </c>
      <c r="B169" s="49">
        <v>0.3118076762859287</v>
      </c>
      <c r="C169" s="49">
        <v>0.24615603721088664</v>
      </c>
      <c r="D169" s="17"/>
    </row>
    <row r="170" spans="1:7">
      <c r="A170" s="4" t="s">
        <v>226</v>
      </c>
      <c r="B170" s="24">
        <v>0</v>
      </c>
      <c r="C170" s="49">
        <v>0.16612256710714057</v>
      </c>
      <c r="D170" s="17"/>
    </row>
    <row r="171" spans="1:7">
      <c r="A171" s="4" t="s">
        <v>182</v>
      </c>
      <c r="B171" s="49">
        <v>0.64318678482924574</v>
      </c>
      <c r="C171" s="49">
        <v>0.39333335502623462</v>
      </c>
      <c r="D171" s="17"/>
    </row>
    <row r="172" spans="1:7">
      <c r="A172" s="4" t="s">
        <v>183</v>
      </c>
      <c r="B172" s="49">
        <v>0.77539465546826591</v>
      </c>
      <c r="C172" s="49">
        <v>0.58576627769532774</v>
      </c>
      <c r="D172" s="17"/>
    </row>
    <row r="173" spans="1:7">
      <c r="A173" s="4" t="s">
        <v>227</v>
      </c>
      <c r="B173" s="24">
        <v>0</v>
      </c>
      <c r="C173" s="49">
        <v>0.16388480302847286</v>
      </c>
      <c r="D173" s="17"/>
    </row>
    <row r="174" spans="1:7">
      <c r="A174" s="4" t="s">
        <v>184</v>
      </c>
      <c r="B174" s="49">
        <v>0.72120477617946044</v>
      </c>
      <c r="C174" s="49">
        <v>0.51124773298724524</v>
      </c>
      <c r="D174" s="17"/>
    </row>
    <row r="175" spans="1:7">
      <c r="A175" s="4" t="s">
        <v>185</v>
      </c>
      <c r="B175" s="49">
        <v>0.69829990215019622</v>
      </c>
      <c r="C175" s="49">
        <v>0.49629082561197674</v>
      </c>
      <c r="D175" s="17"/>
    </row>
    <row r="176" spans="1:7">
      <c r="A176" s="4" t="s">
        <v>205</v>
      </c>
      <c r="B176" s="49">
        <v>0.77020733611097858</v>
      </c>
      <c r="C176" s="49">
        <v>0.51474067234653853</v>
      </c>
      <c r="D176" s="17"/>
    </row>
    <row r="177" spans="1:4">
      <c r="A177" s="4" t="s">
        <v>186</v>
      </c>
      <c r="B177" s="49">
        <v>0.90737512456496205</v>
      </c>
      <c r="C177" s="49">
        <v>0.44607613522315431</v>
      </c>
      <c r="D177" s="17"/>
    </row>
    <row r="178" spans="1:4">
      <c r="A178" s="4" t="s">
        <v>187</v>
      </c>
      <c r="B178" s="49">
        <v>0.64318678482924574</v>
      </c>
      <c r="C178" s="49">
        <v>0.39333335502623462</v>
      </c>
      <c r="D178" s="17"/>
    </row>
    <row r="179" spans="1:4">
      <c r="A179" s="4" t="s">
        <v>188</v>
      </c>
      <c r="B179" s="49">
        <v>0.78026241043068245</v>
      </c>
      <c r="C179" s="49">
        <v>0.53678437932195866</v>
      </c>
      <c r="D179" s="17"/>
    </row>
    <row r="180" spans="1:4">
      <c r="A180" s="4" t="s">
        <v>189</v>
      </c>
      <c r="B180" s="49">
        <v>0.76363094105992968</v>
      </c>
      <c r="C180" s="49">
        <v>0.5603833231986951</v>
      </c>
      <c r="D180" s="17"/>
    </row>
    <row r="181" spans="1:4">
      <c r="A181" s="4" t="s">
        <v>206</v>
      </c>
      <c r="B181" s="49">
        <v>0.83586966900973536</v>
      </c>
      <c r="C181" s="49">
        <v>0.70724338906442841</v>
      </c>
      <c r="D181" s="17"/>
    </row>
    <row r="182" spans="1:4">
      <c r="A182" s="4" t="s">
        <v>228</v>
      </c>
      <c r="B182" s="49">
        <v>1</v>
      </c>
      <c r="C182" s="49">
        <v>1</v>
      </c>
      <c r="D182" s="17"/>
    </row>
    <row r="183" spans="1:4">
      <c r="A183" s="4" t="s">
        <v>229</v>
      </c>
      <c r="B183" s="49">
        <v>1</v>
      </c>
      <c r="C183" s="49">
        <v>0.47311337641706452</v>
      </c>
      <c r="D183" s="17"/>
    </row>
    <row r="184" spans="1:4">
      <c r="A184" s="4" t="s">
        <v>230</v>
      </c>
      <c r="B184" s="49">
        <v>1</v>
      </c>
      <c r="C184" s="49">
        <v>0.25781692728996708</v>
      </c>
      <c r="D184" s="17"/>
    </row>
    <row r="185" spans="1:4">
      <c r="A185" s="4" t="s">
        <v>231</v>
      </c>
      <c r="B185" s="49">
        <v>0</v>
      </c>
      <c r="C185" s="49">
        <v>0.5537901623957211</v>
      </c>
      <c r="D185" s="17"/>
    </row>
    <row r="186" spans="1:4">
      <c r="A186" s="4" t="s">
        <v>232</v>
      </c>
      <c r="B186" s="49">
        <v>0.95375951158875949</v>
      </c>
      <c r="C186" s="49">
        <v>0.46212258183062471</v>
      </c>
      <c r="D186" s="17"/>
    </row>
    <row r="188" spans="1:4" ht="21" customHeight="1">
      <c r="A188" s="1" t="s">
        <v>233</v>
      </c>
    </row>
    <row r="189" spans="1:4">
      <c r="A189" s="2" t="s">
        <v>234</v>
      </c>
    </row>
    <row r="190" spans="1:4">
      <c r="A190" s="2" t="s">
        <v>235</v>
      </c>
    </row>
    <row r="191" spans="1:4">
      <c r="A191" s="2" t="s">
        <v>236</v>
      </c>
    </row>
    <row r="193" spans="1:9" ht="30">
      <c r="B193" s="15" t="s">
        <v>237</v>
      </c>
      <c r="C193" s="15" t="s">
        <v>238</v>
      </c>
      <c r="D193" s="15" t="s">
        <v>239</v>
      </c>
      <c r="E193" s="15" t="s">
        <v>240</v>
      </c>
      <c r="F193" s="15" t="s">
        <v>241</v>
      </c>
      <c r="G193" s="15" t="s">
        <v>242</v>
      </c>
      <c r="H193" s="15" t="s">
        <v>243</v>
      </c>
    </row>
    <row r="194" spans="1:9">
      <c r="A194" s="27" t="s">
        <v>244</v>
      </c>
      <c r="B194" s="18"/>
      <c r="C194" s="18"/>
      <c r="D194" s="18"/>
      <c r="E194" s="18"/>
      <c r="F194" s="18"/>
      <c r="G194" s="18"/>
      <c r="H194" s="18"/>
      <c r="I194" s="17"/>
    </row>
    <row r="195" spans="1:9">
      <c r="A195" s="4" t="s">
        <v>180</v>
      </c>
      <c r="B195" s="21">
        <v>6432881.8466872061</v>
      </c>
      <c r="C195" s="24"/>
      <c r="D195" s="24"/>
      <c r="E195" s="20">
        <v>2027175.5163934426</v>
      </c>
      <c r="F195" s="24"/>
      <c r="G195" s="24"/>
      <c r="H195" s="24"/>
      <c r="I195" s="17"/>
    </row>
    <row r="196" spans="1:9">
      <c r="A196" s="4" t="s">
        <v>245</v>
      </c>
      <c r="B196" s="21">
        <v>113806.00135704137</v>
      </c>
      <c r="C196" s="24"/>
      <c r="D196" s="24"/>
      <c r="E196" s="20">
        <v>39023.016393442624</v>
      </c>
      <c r="F196" s="24"/>
      <c r="G196" s="24"/>
      <c r="H196" s="24"/>
      <c r="I196" s="17"/>
    </row>
    <row r="197" spans="1:9">
      <c r="A197" s="4" t="s">
        <v>246</v>
      </c>
      <c r="B197" s="21">
        <v>92235.485412453971</v>
      </c>
      <c r="C197" s="24"/>
      <c r="D197" s="24"/>
      <c r="E197" s="20">
        <v>30193.852459016394</v>
      </c>
      <c r="F197" s="24"/>
      <c r="G197" s="24"/>
      <c r="H197" s="24"/>
      <c r="I197" s="17"/>
    </row>
    <row r="198" spans="1:9">
      <c r="A198" s="27" t="s">
        <v>247</v>
      </c>
      <c r="B198" s="18"/>
      <c r="C198" s="18"/>
      <c r="D198" s="18"/>
      <c r="E198" s="18"/>
      <c r="F198" s="18"/>
      <c r="G198" s="18"/>
      <c r="H198" s="18"/>
      <c r="I198" s="17"/>
    </row>
    <row r="199" spans="1:9">
      <c r="A199" s="4" t="s">
        <v>181</v>
      </c>
      <c r="B199" s="21">
        <v>468570.07787356892</v>
      </c>
      <c r="C199" s="21">
        <v>465777.12782049074</v>
      </c>
      <c r="D199" s="24"/>
      <c r="E199" s="20">
        <v>178282</v>
      </c>
      <c r="F199" s="24"/>
      <c r="G199" s="24"/>
      <c r="H199" s="24"/>
      <c r="I199" s="17"/>
    </row>
    <row r="200" spans="1:9">
      <c r="A200" s="4" t="s">
        <v>248</v>
      </c>
      <c r="B200" s="21">
        <v>1262.5526644267952</v>
      </c>
      <c r="C200" s="21">
        <v>466.58357291742402</v>
      </c>
      <c r="D200" s="24"/>
      <c r="E200" s="20">
        <v>440.49180327868851</v>
      </c>
      <c r="F200" s="24"/>
      <c r="G200" s="24"/>
      <c r="H200" s="24"/>
      <c r="I200" s="17"/>
    </row>
    <row r="201" spans="1:9">
      <c r="A201" s="4" t="s">
        <v>249</v>
      </c>
      <c r="B201" s="21">
        <v>5123.4919529215713</v>
      </c>
      <c r="C201" s="21">
        <v>2851.96029653204</v>
      </c>
      <c r="D201" s="24"/>
      <c r="E201" s="20">
        <v>1559.2240437158471</v>
      </c>
      <c r="F201" s="24"/>
      <c r="G201" s="24"/>
      <c r="H201" s="24"/>
      <c r="I201" s="17"/>
    </row>
    <row r="202" spans="1:9">
      <c r="A202" s="27" t="s">
        <v>250</v>
      </c>
      <c r="B202" s="18"/>
      <c r="C202" s="18"/>
      <c r="D202" s="18"/>
      <c r="E202" s="18"/>
      <c r="F202" s="18"/>
      <c r="G202" s="18"/>
      <c r="H202" s="18"/>
      <c r="I202" s="17"/>
    </row>
    <row r="203" spans="1:9">
      <c r="A203" s="4" t="s">
        <v>226</v>
      </c>
      <c r="B203" s="21">
        <v>14279.502094378502</v>
      </c>
      <c r="C203" s="24"/>
      <c r="D203" s="24"/>
      <c r="E203" s="20">
        <v>4270</v>
      </c>
      <c r="F203" s="24"/>
      <c r="G203" s="24"/>
      <c r="H203" s="24"/>
      <c r="I203" s="17"/>
    </row>
    <row r="204" spans="1:9">
      <c r="A204" s="4" t="s">
        <v>251</v>
      </c>
      <c r="B204" s="21">
        <v>0</v>
      </c>
      <c r="C204" s="24"/>
      <c r="D204" s="24"/>
      <c r="E204" s="20">
        <v>0</v>
      </c>
      <c r="F204" s="24"/>
      <c r="G204" s="24"/>
      <c r="H204" s="24"/>
      <c r="I204" s="17"/>
    </row>
    <row r="205" spans="1:9">
      <c r="A205" s="4" t="s">
        <v>252</v>
      </c>
      <c r="B205" s="21">
        <v>0</v>
      </c>
      <c r="C205" s="24"/>
      <c r="D205" s="24"/>
      <c r="E205" s="20">
        <v>0</v>
      </c>
      <c r="F205" s="24"/>
      <c r="G205" s="24"/>
      <c r="H205" s="24"/>
      <c r="I205" s="17"/>
    </row>
    <row r="206" spans="1:9">
      <c r="A206" s="27" t="s">
        <v>253</v>
      </c>
      <c r="B206" s="18"/>
      <c r="C206" s="18"/>
      <c r="D206" s="18"/>
      <c r="E206" s="18"/>
      <c r="F206" s="18"/>
      <c r="G206" s="18"/>
      <c r="H206" s="18"/>
      <c r="I206" s="17"/>
    </row>
    <row r="207" spans="1:9">
      <c r="A207" s="4" t="s">
        <v>182</v>
      </c>
      <c r="B207" s="21">
        <v>1494625.6412496041</v>
      </c>
      <c r="C207" s="24"/>
      <c r="D207" s="24"/>
      <c r="E207" s="20">
        <v>121609.01092896175</v>
      </c>
      <c r="F207" s="24"/>
      <c r="G207" s="24"/>
      <c r="H207" s="24"/>
      <c r="I207" s="17"/>
    </row>
    <row r="208" spans="1:9">
      <c r="A208" s="4" t="s">
        <v>254</v>
      </c>
      <c r="B208" s="21">
        <v>5111.4510491658439</v>
      </c>
      <c r="C208" s="24"/>
      <c r="D208" s="24"/>
      <c r="E208" s="20">
        <v>620.48633879781426</v>
      </c>
      <c r="F208" s="24"/>
      <c r="G208" s="24"/>
      <c r="H208" s="24"/>
      <c r="I208" s="17"/>
    </row>
    <row r="209" spans="1:9">
      <c r="A209" s="4" t="s">
        <v>255</v>
      </c>
      <c r="B209" s="21">
        <v>8421.9691212239359</v>
      </c>
      <c r="C209" s="24"/>
      <c r="D209" s="24"/>
      <c r="E209" s="20">
        <v>630.48633879781426</v>
      </c>
      <c r="F209" s="24"/>
      <c r="G209" s="24"/>
      <c r="H209" s="24"/>
      <c r="I209" s="17"/>
    </row>
    <row r="210" spans="1:9">
      <c r="A210" s="27" t="s">
        <v>256</v>
      </c>
      <c r="B210" s="18"/>
      <c r="C210" s="18"/>
      <c r="D210" s="18"/>
      <c r="E210" s="18"/>
      <c r="F210" s="18"/>
      <c r="G210" s="18"/>
      <c r="H210" s="18"/>
      <c r="I210" s="17"/>
    </row>
    <row r="211" spans="1:9">
      <c r="A211" s="4" t="s">
        <v>183</v>
      </c>
      <c r="B211" s="21">
        <v>531718.61429864506</v>
      </c>
      <c r="C211" s="21">
        <v>195607.56390048694</v>
      </c>
      <c r="D211" s="24"/>
      <c r="E211" s="20">
        <v>34183.400956284153</v>
      </c>
      <c r="F211" s="24"/>
      <c r="G211" s="24"/>
      <c r="H211" s="24"/>
      <c r="I211" s="17"/>
    </row>
    <row r="212" spans="1:9">
      <c r="A212" s="4" t="s">
        <v>257</v>
      </c>
      <c r="B212" s="21">
        <v>12.27657142857143</v>
      </c>
      <c r="C212" s="21">
        <v>8.7547499999999996</v>
      </c>
      <c r="D212" s="24"/>
      <c r="E212" s="20">
        <v>6</v>
      </c>
      <c r="F212" s="24"/>
      <c r="G212" s="24"/>
      <c r="H212" s="24"/>
      <c r="I212" s="17"/>
    </row>
    <row r="213" spans="1:9">
      <c r="A213" s="4" t="s">
        <v>258</v>
      </c>
      <c r="B213" s="21">
        <v>517.71418452380954</v>
      </c>
      <c r="C213" s="21">
        <v>271.89048511904758</v>
      </c>
      <c r="D213" s="24"/>
      <c r="E213" s="20">
        <v>17</v>
      </c>
      <c r="F213" s="24"/>
      <c r="G213" s="24"/>
      <c r="H213" s="24"/>
      <c r="I213" s="17"/>
    </row>
    <row r="214" spans="1:9">
      <c r="A214" s="27" t="s">
        <v>259</v>
      </c>
      <c r="B214" s="18"/>
      <c r="C214" s="18"/>
      <c r="D214" s="18"/>
      <c r="E214" s="18"/>
      <c r="F214" s="18"/>
      <c r="G214" s="18"/>
      <c r="H214" s="18"/>
      <c r="I214" s="17"/>
    </row>
    <row r="215" spans="1:9">
      <c r="A215" s="4" t="s">
        <v>227</v>
      </c>
      <c r="B215" s="21">
        <v>20242.629112942406</v>
      </c>
      <c r="C215" s="24"/>
      <c r="D215" s="24"/>
      <c r="E215" s="20">
        <v>3655</v>
      </c>
      <c r="F215" s="24"/>
      <c r="G215" s="24"/>
      <c r="H215" s="24"/>
      <c r="I215" s="17"/>
    </row>
    <row r="216" spans="1:9" ht="30">
      <c r="A216" s="4" t="s">
        <v>260</v>
      </c>
      <c r="B216" s="21">
        <v>0</v>
      </c>
      <c r="C216" s="24"/>
      <c r="D216" s="24"/>
      <c r="E216" s="20">
        <v>0</v>
      </c>
      <c r="F216" s="24"/>
      <c r="G216" s="24"/>
      <c r="H216" s="24"/>
      <c r="I216" s="17"/>
    </row>
    <row r="217" spans="1:9" ht="30">
      <c r="A217" s="4" t="s">
        <v>261</v>
      </c>
      <c r="B217" s="21">
        <v>0</v>
      </c>
      <c r="C217" s="24"/>
      <c r="D217" s="24"/>
      <c r="E217" s="20">
        <v>0</v>
      </c>
      <c r="F217" s="24"/>
      <c r="G217" s="24"/>
      <c r="H217" s="24"/>
      <c r="I217" s="17"/>
    </row>
    <row r="218" spans="1:9">
      <c r="A218" s="27" t="s">
        <v>262</v>
      </c>
      <c r="B218" s="18"/>
      <c r="C218" s="18"/>
      <c r="D218" s="18"/>
      <c r="E218" s="18"/>
      <c r="F218" s="18"/>
      <c r="G218" s="18"/>
      <c r="H218" s="18"/>
      <c r="I218" s="17"/>
    </row>
    <row r="219" spans="1:9">
      <c r="A219" s="4" t="s">
        <v>184</v>
      </c>
      <c r="B219" s="21">
        <v>0.9060389580579935</v>
      </c>
      <c r="C219" s="21">
        <v>9.2104888817825303E-2</v>
      </c>
      <c r="D219" s="24"/>
      <c r="E219" s="20">
        <v>1E-3</v>
      </c>
      <c r="F219" s="24"/>
      <c r="G219" s="24"/>
      <c r="H219" s="24"/>
      <c r="I219" s="17"/>
    </row>
    <row r="220" spans="1:9">
      <c r="A220" s="4" t="s">
        <v>263</v>
      </c>
      <c r="B220" s="21">
        <v>104.33194761904763</v>
      </c>
      <c r="C220" s="21">
        <v>20.734000000000002</v>
      </c>
      <c r="D220" s="24"/>
      <c r="E220" s="20">
        <v>2</v>
      </c>
      <c r="F220" s="24"/>
      <c r="G220" s="24"/>
      <c r="H220" s="24"/>
      <c r="I220" s="17"/>
    </row>
    <row r="221" spans="1:9">
      <c r="A221" s="4" t="s">
        <v>264</v>
      </c>
      <c r="B221" s="21">
        <v>0</v>
      </c>
      <c r="C221" s="21">
        <v>0</v>
      </c>
      <c r="D221" s="24"/>
      <c r="E221" s="20">
        <v>0</v>
      </c>
      <c r="F221" s="24"/>
      <c r="G221" s="24"/>
      <c r="H221" s="24"/>
      <c r="I221" s="17"/>
    </row>
    <row r="222" spans="1:9">
      <c r="A222" s="27" t="s">
        <v>265</v>
      </c>
      <c r="B222" s="18"/>
      <c r="C222" s="18"/>
      <c r="D222" s="18"/>
      <c r="E222" s="18"/>
      <c r="F222" s="18"/>
      <c r="G222" s="18"/>
      <c r="H222" s="18"/>
      <c r="I222" s="17"/>
    </row>
    <row r="223" spans="1:9">
      <c r="A223" s="4" t="s">
        <v>185</v>
      </c>
      <c r="B223" s="21">
        <v>0.13596319903118673</v>
      </c>
      <c r="C223" s="21">
        <v>0.2880364513981673</v>
      </c>
      <c r="D223" s="24"/>
      <c r="E223" s="20">
        <v>1E-3</v>
      </c>
      <c r="F223" s="24"/>
      <c r="G223" s="24"/>
      <c r="H223" s="24"/>
      <c r="I223" s="17"/>
    </row>
    <row r="224" spans="1:9">
      <c r="A224" s="27" t="s">
        <v>266</v>
      </c>
      <c r="B224" s="18"/>
      <c r="C224" s="18"/>
      <c r="D224" s="18"/>
      <c r="E224" s="18"/>
      <c r="F224" s="18"/>
      <c r="G224" s="18"/>
      <c r="H224" s="18"/>
      <c r="I224" s="17"/>
    </row>
    <row r="225" spans="1:9">
      <c r="A225" s="4" t="s">
        <v>205</v>
      </c>
      <c r="B225" s="21">
        <v>0.45301947902899675</v>
      </c>
      <c r="C225" s="21">
        <v>1.1537160889420643</v>
      </c>
      <c r="D225" s="24"/>
      <c r="E225" s="20">
        <v>1E-3</v>
      </c>
      <c r="F225" s="24"/>
      <c r="G225" s="24"/>
      <c r="H225" s="24"/>
      <c r="I225" s="17"/>
    </row>
    <row r="226" spans="1:9">
      <c r="A226" s="27" t="s">
        <v>267</v>
      </c>
      <c r="B226" s="18"/>
      <c r="C226" s="18"/>
      <c r="D226" s="18"/>
      <c r="E226" s="18"/>
      <c r="F226" s="18"/>
      <c r="G226" s="18"/>
      <c r="H226" s="18"/>
      <c r="I226" s="17"/>
    </row>
    <row r="227" spans="1:9">
      <c r="A227" s="4" t="s">
        <v>186</v>
      </c>
      <c r="B227" s="21">
        <v>68.864270450400312</v>
      </c>
      <c r="C227" s="21">
        <v>206.59970904609159</v>
      </c>
      <c r="D227" s="21">
        <v>381.07054134295925</v>
      </c>
      <c r="E227" s="20">
        <v>339.80327868852459</v>
      </c>
      <c r="F227" s="24"/>
      <c r="G227" s="24"/>
      <c r="H227" s="24"/>
      <c r="I227" s="17"/>
    </row>
    <row r="228" spans="1:9">
      <c r="A228" s="4" t="s">
        <v>268</v>
      </c>
      <c r="B228" s="21">
        <v>0</v>
      </c>
      <c r="C228" s="21">
        <v>0</v>
      </c>
      <c r="D228" s="21">
        <v>0</v>
      </c>
      <c r="E228" s="20">
        <v>0</v>
      </c>
      <c r="F228" s="24"/>
      <c r="G228" s="24"/>
      <c r="H228" s="24"/>
      <c r="I228" s="17"/>
    </row>
    <row r="229" spans="1:9">
      <c r="A229" s="4" t="s">
        <v>269</v>
      </c>
      <c r="B229" s="21">
        <v>0</v>
      </c>
      <c r="C229" s="21">
        <v>0</v>
      </c>
      <c r="D229" s="21">
        <v>0</v>
      </c>
      <c r="E229" s="20">
        <v>0</v>
      </c>
      <c r="F229" s="24"/>
      <c r="G229" s="24"/>
      <c r="H229" s="24"/>
      <c r="I229" s="17"/>
    </row>
    <row r="230" spans="1:9">
      <c r="A230" s="27" t="s">
        <v>270</v>
      </c>
      <c r="B230" s="18"/>
      <c r="C230" s="18"/>
      <c r="D230" s="18"/>
      <c r="E230" s="18"/>
      <c r="F230" s="18"/>
      <c r="G230" s="18"/>
      <c r="H230" s="18"/>
      <c r="I230" s="17"/>
    </row>
    <row r="231" spans="1:9">
      <c r="A231" s="4" t="s">
        <v>187</v>
      </c>
      <c r="B231" s="21">
        <v>22435.964946164946</v>
      </c>
      <c r="C231" s="21">
        <v>80597.104471233906</v>
      </c>
      <c r="D231" s="21">
        <v>113029.99064230964</v>
      </c>
      <c r="E231" s="20">
        <v>3574</v>
      </c>
      <c r="F231" s="24"/>
      <c r="G231" s="24"/>
      <c r="H231" s="24"/>
      <c r="I231" s="17"/>
    </row>
    <row r="232" spans="1:9">
      <c r="A232" s="4" t="s">
        <v>271</v>
      </c>
      <c r="B232" s="21">
        <v>0</v>
      </c>
      <c r="C232" s="21">
        <v>0</v>
      </c>
      <c r="D232" s="21">
        <v>0</v>
      </c>
      <c r="E232" s="20">
        <v>0</v>
      </c>
      <c r="F232" s="24"/>
      <c r="G232" s="24"/>
      <c r="H232" s="24"/>
      <c r="I232" s="17"/>
    </row>
    <row r="233" spans="1:9">
      <c r="A233" s="4" t="s">
        <v>272</v>
      </c>
      <c r="B233" s="21">
        <v>0</v>
      </c>
      <c r="C233" s="21">
        <v>0</v>
      </c>
      <c r="D233" s="21">
        <v>0</v>
      </c>
      <c r="E233" s="20">
        <v>0</v>
      </c>
      <c r="F233" s="24"/>
      <c r="G233" s="24"/>
      <c r="H233" s="24"/>
      <c r="I233" s="17"/>
    </row>
    <row r="234" spans="1:9">
      <c r="A234" s="27" t="s">
        <v>273</v>
      </c>
      <c r="B234" s="18"/>
      <c r="C234" s="18"/>
      <c r="D234" s="18"/>
      <c r="E234" s="18"/>
      <c r="F234" s="18"/>
      <c r="G234" s="18"/>
      <c r="H234" s="18"/>
      <c r="I234" s="17"/>
    </row>
    <row r="235" spans="1:9">
      <c r="A235" s="4" t="s">
        <v>188</v>
      </c>
      <c r="B235" s="21">
        <v>259213.74498984459</v>
      </c>
      <c r="C235" s="21">
        <v>926903.1649810042</v>
      </c>
      <c r="D235" s="21">
        <v>1194700.3140897641</v>
      </c>
      <c r="E235" s="20">
        <v>12971.084699453551</v>
      </c>
      <c r="F235" s="20">
        <v>1247153.1998059845</v>
      </c>
      <c r="G235" s="20">
        <v>12471.531998059845</v>
      </c>
      <c r="H235" s="20">
        <v>199567.57750000001</v>
      </c>
      <c r="I235" s="17"/>
    </row>
    <row r="236" spans="1:9">
      <c r="A236" s="4" t="s">
        <v>274</v>
      </c>
      <c r="B236" s="21">
        <v>1902.7086464184738</v>
      </c>
      <c r="C236" s="21">
        <v>6571.2080235560115</v>
      </c>
      <c r="D236" s="21">
        <v>8495.4364292284099</v>
      </c>
      <c r="E236" s="20">
        <v>109.99453551912568</v>
      </c>
      <c r="F236" s="20">
        <v>7680.3591351517462</v>
      </c>
      <c r="G236" s="20">
        <v>76.803591351517468</v>
      </c>
      <c r="H236" s="20">
        <v>712.84839999999997</v>
      </c>
      <c r="I236" s="17"/>
    </row>
    <row r="237" spans="1:9">
      <c r="A237" s="4" t="s">
        <v>275</v>
      </c>
      <c r="B237" s="21">
        <v>13289.540647530355</v>
      </c>
      <c r="C237" s="21">
        <v>45417.609723546273</v>
      </c>
      <c r="D237" s="21">
        <v>64105.563363159614</v>
      </c>
      <c r="E237" s="20">
        <v>334.4863387978142</v>
      </c>
      <c r="F237" s="20">
        <v>57203.909699954864</v>
      </c>
      <c r="G237" s="20">
        <v>572.03909699954863</v>
      </c>
      <c r="H237" s="20">
        <v>3078.8968599999998</v>
      </c>
      <c r="I237" s="17"/>
    </row>
    <row r="238" spans="1:9">
      <c r="A238" s="27" t="s">
        <v>276</v>
      </c>
      <c r="B238" s="18"/>
      <c r="C238" s="18"/>
      <c r="D238" s="18"/>
      <c r="E238" s="18"/>
      <c r="F238" s="18"/>
      <c r="G238" s="18"/>
      <c r="H238" s="18"/>
      <c r="I238" s="17"/>
    </row>
    <row r="239" spans="1:9">
      <c r="A239" s="4" t="s">
        <v>189</v>
      </c>
      <c r="B239" s="21">
        <v>126109.07491128343</v>
      </c>
      <c r="C239" s="21">
        <v>462200.71542345866</v>
      </c>
      <c r="D239" s="21">
        <v>623163.71466057538</v>
      </c>
      <c r="E239" s="20">
        <v>2163.4890710382515</v>
      </c>
      <c r="F239" s="20">
        <v>650266.42703272018</v>
      </c>
      <c r="G239" s="20">
        <v>6502.6642703272018</v>
      </c>
      <c r="H239" s="20">
        <v>97083.844699999987</v>
      </c>
      <c r="I239" s="17"/>
    </row>
    <row r="240" spans="1:9">
      <c r="A240" s="4" t="s">
        <v>277</v>
      </c>
      <c r="B240" s="21">
        <v>1351.2612532467531</v>
      </c>
      <c r="C240" s="21">
        <v>4492.9914880952383</v>
      </c>
      <c r="D240" s="21">
        <v>7950.5477770562775</v>
      </c>
      <c r="E240" s="20">
        <v>10</v>
      </c>
      <c r="F240" s="20">
        <v>6248.5709599281226</v>
      </c>
      <c r="G240" s="20">
        <v>62.485709599281229</v>
      </c>
      <c r="H240" s="20">
        <v>77.417000000000002</v>
      </c>
      <c r="I240" s="17"/>
    </row>
    <row r="241" spans="1:9">
      <c r="A241" s="27" t="s">
        <v>278</v>
      </c>
      <c r="B241" s="18"/>
      <c r="C241" s="18"/>
      <c r="D241" s="18"/>
      <c r="E241" s="18"/>
      <c r="F241" s="18"/>
      <c r="G241" s="18"/>
      <c r="H241" s="18"/>
      <c r="I241" s="17"/>
    </row>
    <row r="242" spans="1:9">
      <c r="A242" s="4" t="s">
        <v>206</v>
      </c>
      <c r="B242" s="21">
        <v>457655.83787156374</v>
      </c>
      <c r="C242" s="21">
        <v>1565462.316532407</v>
      </c>
      <c r="D242" s="21">
        <v>2576162.9164043469</v>
      </c>
      <c r="E242" s="20">
        <v>2232.9262295081967</v>
      </c>
      <c r="F242" s="20">
        <v>1816038.3075647117</v>
      </c>
      <c r="G242" s="20">
        <v>18160.383075647118</v>
      </c>
      <c r="H242" s="20">
        <v>366046.35769999999</v>
      </c>
      <c r="I242" s="17"/>
    </row>
    <row r="243" spans="1:9">
      <c r="A243" s="4" t="s">
        <v>279</v>
      </c>
      <c r="B243" s="21">
        <v>2580.0289811309526</v>
      </c>
      <c r="C243" s="21">
        <v>8492.9914214880955</v>
      </c>
      <c r="D243" s="21">
        <v>16606.325781309526</v>
      </c>
      <c r="E243" s="20">
        <v>13</v>
      </c>
      <c r="F243" s="20">
        <v>17946.567967033439</v>
      </c>
      <c r="G243" s="20">
        <v>179.4656796703344</v>
      </c>
      <c r="H243" s="20">
        <v>90.466200000000015</v>
      </c>
      <c r="I243" s="17"/>
    </row>
    <row r="244" spans="1:9">
      <c r="A244" s="27" t="s">
        <v>280</v>
      </c>
      <c r="B244" s="18"/>
      <c r="C244" s="18"/>
      <c r="D244" s="18"/>
      <c r="E244" s="18"/>
      <c r="F244" s="18"/>
      <c r="G244" s="18"/>
      <c r="H244" s="18"/>
      <c r="I244" s="17"/>
    </row>
    <row r="245" spans="1:9">
      <c r="A245" s="4" t="s">
        <v>228</v>
      </c>
      <c r="B245" s="21">
        <v>17466.3968856461</v>
      </c>
      <c r="C245" s="24"/>
      <c r="D245" s="24"/>
      <c r="E245" s="20">
        <v>203.50273224043715</v>
      </c>
      <c r="F245" s="24"/>
      <c r="G245" s="24"/>
      <c r="H245" s="24"/>
      <c r="I245" s="17"/>
    </row>
    <row r="246" spans="1:9">
      <c r="A246" s="4" t="s">
        <v>281</v>
      </c>
      <c r="B246" s="21">
        <v>0</v>
      </c>
      <c r="C246" s="24"/>
      <c r="D246" s="24"/>
      <c r="E246" s="20">
        <v>0</v>
      </c>
      <c r="F246" s="24"/>
      <c r="G246" s="24"/>
      <c r="H246" s="24"/>
      <c r="I246" s="17"/>
    </row>
    <row r="247" spans="1:9">
      <c r="A247" s="4" t="s">
        <v>282</v>
      </c>
      <c r="B247" s="21">
        <v>0</v>
      </c>
      <c r="C247" s="24"/>
      <c r="D247" s="24"/>
      <c r="E247" s="20">
        <v>0</v>
      </c>
      <c r="F247" s="24"/>
      <c r="G247" s="24"/>
      <c r="H247" s="24"/>
      <c r="I247" s="17"/>
    </row>
    <row r="248" spans="1:9">
      <c r="A248" s="27" t="s">
        <v>283</v>
      </c>
      <c r="B248" s="18"/>
      <c r="C248" s="18"/>
      <c r="D248" s="18"/>
      <c r="E248" s="18"/>
      <c r="F248" s="18"/>
      <c r="G248" s="18"/>
      <c r="H248" s="18"/>
      <c r="I248" s="17"/>
    </row>
    <row r="249" spans="1:9">
      <c r="A249" s="4" t="s">
        <v>229</v>
      </c>
      <c r="B249" s="21">
        <v>9156.6311677309714</v>
      </c>
      <c r="C249" s="24"/>
      <c r="D249" s="24"/>
      <c r="E249" s="20">
        <v>326</v>
      </c>
      <c r="F249" s="24"/>
      <c r="G249" s="24"/>
      <c r="H249" s="24"/>
      <c r="I249" s="17"/>
    </row>
    <row r="250" spans="1:9">
      <c r="A250" s="4" t="s">
        <v>284</v>
      </c>
      <c r="B250" s="21">
        <v>217.54138402919887</v>
      </c>
      <c r="C250" s="24"/>
      <c r="D250" s="24"/>
      <c r="E250" s="20">
        <v>85</v>
      </c>
      <c r="F250" s="24"/>
      <c r="G250" s="24"/>
      <c r="H250" s="24"/>
      <c r="I250" s="17"/>
    </row>
    <row r="251" spans="1:9">
      <c r="A251" s="4" t="s">
        <v>285</v>
      </c>
      <c r="B251" s="21">
        <v>60.744857142857143</v>
      </c>
      <c r="C251" s="24"/>
      <c r="D251" s="24"/>
      <c r="E251" s="20">
        <v>7</v>
      </c>
      <c r="F251" s="24"/>
      <c r="G251" s="24"/>
      <c r="H251" s="24"/>
      <c r="I251" s="17"/>
    </row>
    <row r="252" spans="1:9">
      <c r="A252" s="27" t="s">
        <v>286</v>
      </c>
      <c r="B252" s="18"/>
      <c r="C252" s="18"/>
      <c r="D252" s="18"/>
      <c r="E252" s="18"/>
      <c r="F252" s="18"/>
      <c r="G252" s="18"/>
      <c r="H252" s="18"/>
      <c r="I252" s="17"/>
    </row>
    <row r="253" spans="1:9">
      <c r="A253" s="4" t="s">
        <v>230</v>
      </c>
      <c r="B253" s="21">
        <v>411.24693034888236</v>
      </c>
      <c r="C253" s="24"/>
      <c r="D253" s="24"/>
      <c r="E253" s="20">
        <v>8</v>
      </c>
      <c r="F253" s="24"/>
      <c r="G253" s="24"/>
      <c r="H253" s="24"/>
      <c r="I253" s="17"/>
    </row>
    <row r="254" spans="1:9">
      <c r="A254" s="4" t="s">
        <v>287</v>
      </c>
      <c r="B254" s="21">
        <v>0</v>
      </c>
      <c r="C254" s="24"/>
      <c r="D254" s="24"/>
      <c r="E254" s="20">
        <v>0</v>
      </c>
      <c r="F254" s="24"/>
      <c r="G254" s="24"/>
      <c r="H254" s="24"/>
      <c r="I254" s="17"/>
    </row>
    <row r="255" spans="1:9">
      <c r="A255" s="4" t="s">
        <v>288</v>
      </c>
      <c r="B255" s="21">
        <v>0</v>
      </c>
      <c r="C255" s="24"/>
      <c r="D255" s="24"/>
      <c r="E255" s="20">
        <v>0</v>
      </c>
      <c r="F255" s="24"/>
      <c r="G255" s="24"/>
      <c r="H255" s="24"/>
      <c r="I255" s="17"/>
    </row>
    <row r="256" spans="1:9">
      <c r="A256" s="27" t="s">
        <v>289</v>
      </c>
      <c r="B256" s="18"/>
      <c r="C256" s="18"/>
      <c r="D256" s="18"/>
      <c r="E256" s="18"/>
      <c r="F256" s="18"/>
      <c r="G256" s="18"/>
      <c r="H256" s="18"/>
      <c r="I256" s="17"/>
    </row>
    <row r="257" spans="1:9">
      <c r="A257" s="4" t="s">
        <v>231</v>
      </c>
      <c r="B257" s="21">
        <v>5.1405866293610297E-2</v>
      </c>
      <c r="C257" s="24"/>
      <c r="D257" s="24"/>
      <c r="E257" s="20">
        <v>1E-3</v>
      </c>
      <c r="F257" s="24"/>
      <c r="G257" s="24"/>
      <c r="H257" s="24"/>
      <c r="I257" s="17"/>
    </row>
    <row r="258" spans="1:9">
      <c r="A258" s="4" t="s">
        <v>290</v>
      </c>
      <c r="B258" s="21">
        <v>0</v>
      </c>
      <c r="C258" s="24"/>
      <c r="D258" s="24"/>
      <c r="E258" s="20">
        <v>0</v>
      </c>
      <c r="F258" s="24"/>
      <c r="G258" s="24"/>
      <c r="H258" s="24"/>
      <c r="I258" s="17"/>
    </row>
    <row r="259" spans="1:9">
      <c r="A259" s="4" t="s">
        <v>291</v>
      </c>
      <c r="B259" s="21">
        <v>0</v>
      </c>
      <c r="C259" s="24"/>
      <c r="D259" s="24"/>
      <c r="E259" s="20">
        <v>0</v>
      </c>
      <c r="F259" s="24"/>
      <c r="G259" s="24"/>
      <c r="H259" s="24"/>
      <c r="I259" s="17"/>
    </row>
    <row r="260" spans="1:9">
      <c r="A260" s="27" t="s">
        <v>292</v>
      </c>
      <c r="B260" s="18"/>
      <c r="C260" s="18"/>
      <c r="D260" s="18"/>
      <c r="E260" s="18"/>
      <c r="F260" s="18"/>
      <c r="G260" s="18"/>
      <c r="H260" s="18"/>
      <c r="I260" s="17"/>
    </row>
    <row r="261" spans="1:9">
      <c r="A261" s="4" t="s">
        <v>232</v>
      </c>
      <c r="B261" s="21">
        <v>10560.706473771854</v>
      </c>
      <c r="C261" s="21">
        <v>28387.518136671788</v>
      </c>
      <c r="D261" s="21">
        <v>176907.07056212696</v>
      </c>
      <c r="E261" s="20">
        <v>25</v>
      </c>
      <c r="F261" s="24"/>
      <c r="G261" s="24"/>
      <c r="H261" s="24"/>
      <c r="I261" s="17"/>
    </row>
    <row r="262" spans="1:9">
      <c r="A262" s="4" t="s">
        <v>293</v>
      </c>
      <c r="B262" s="21">
        <v>0</v>
      </c>
      <c r="C262" s="21">
        <v>0</v>
      </c>
      <c r="D262" s="21">
        <v>0</v>
      </c>
      <c r="E262" s="20">
        <v>0</v>
      </c>
      <c r="F262" s="24"/>
      <c r="G262" s="24"/>
      <c r="H262" s="24"/>
      <c r="I262" s="17"/>
    </row>
    <row r="263" spans="1:9">
      <c r="A263" s="4" t="s">
        <v>294</v>
      </c>
      <c r="B263" s="21">
        <v>0</v>
      </c>
      <c r="C263" s="21">
        <v>0</v>
      </c>
      <c r="D263" s="21">
        <v>0</v>
      </c>
      <c r="E263" s="20">
        <v>0</v>
      </c>
      <c r="F263" s="24"/>
      <c r="G263" s="24"/>
      <c r="H263" s="24"/>
      <c r="I263" s="17"/>
    </row>
    <row r="264" spans="1:9">
      <c r="A264" s="27" t="s">
        <v>295</v>
      </c>
      <c r="B264" s="18"/>
      <c r="C264" s="18"/>
      <c r="D264" s="18"/>
      <c r="E264" s="18"/>
      <c r="F264" s="18"/>
      <c r="G264" s="18"/>
      <c r="H264" s="18"/>
      <c r="I264" s="17"/>
    </row>
    <row r="265" spans="1:9">
      <c r="A265" s="4" t="s">
        <v>190</v>
      </c>
      <c r="B265" s="21">
        <v>3259.869342874948</v>
      </c>
      <c r="C265" s="24"/>
      <c r="D265" s="24"/>
      <c r="E265" s="20">
        <v>270.06557377049182</v>
      </c>
      <c r="F265" s="24"/>
      <c r="G265" s="24"/>
      <c r="H265" s="24"/>
      <c r="I265" s="17"/>
    </row>
    <row r="266" spans="1:9">
      <c r="A266" s="4" t="s">
        <v>296</v>
      </c>
      <c r="B266" s="21">
        <v>0</v>
      </c>
      <c r="C266" s="24"/>
      <c r="D266" s="24"/>
      <c r="E266" s="20">
        <v>0</v>
      </c>
      <c r="F266" s="24"/>
      <c r="G266" s="24"/>
      <c r="H266" s="24"/>
      <c r="I266" s="17"/>
    </row>
    <row r="267" spans="1:9">
      <c r="A267" s="4" t="s">
        <v>297</v>
      </c>
      <c r="B267" s="21">
        <v>0</v>
      </c>
      <c r="C267" s="24"/>
      <c r="D267" s="24"/>
      <c r="E267" s="20">
        <v>0</v>
      </c>
      <c r="F267" s="24"/>
      <c r="G267" s="24"/>
      <c r="H267" s="24"/>
      <c r="I267" s="17"/>
    </row>
    <row r="268" spans="1:9">
      <c r="A268" s="27" t="s">
        <v>298</v>
      </c>
      <c r="B268" s="18"/>
      <c r="C268" s="18"/>
      <c r="D268" s="18"/>
      <c r="E268" s="18"/>
      <c r="F268" s="18"/>
      <c r="G268" s="18"/>
      <c r="H268" s="18"/>
      <c r="I268" s="17"/>
    </row>
    <row r="269" spans="1:9">
      <c r="A269" s="4" t="s">
        <v>191</v>
      </c>
      <c r="B269" s="21">
        <v>0.95981427317991785</v>
      </c>
      <c r="C269" s="24"/>
      <c r="D269" s="24"/>
      <c r="E269" s="20">
        <v>0.01</v>
      </c>
      <c r="F269" s="24"/>
      <c r="G269" s="24"/>
      <c r="H269" s="24"/>
      <c r="I269" s="17"/>
    </row>
    <row r="270" spans="1:9">
      <c r="A270" s="4" t="s">
        <v>299</v>
      </c>
      <c r="B270" s="21">
        <v>0</v>
      </c>
      <c r="C270" s="24"/>
      <c r="D270" s="24"/>
      <c r="E270" s="20">
        <v>0</v>
      </c>
      <c r="F270" s="24"/>
      <c r="G270" s="24"/>
      <c r="H270" s="24"/>
      <c r="I270" s="17"/>
    </row>
    <row r="271" spans="1:9">
      <c r="A271" s="27" t="s">
        <v>300</v>
      </c>
      <c r="B271" s="18"/>
      <c r="C271" s="18"/>
      <c r="D271" s="18"/>
      <c r="E271" s="18"/>
      <c r="F271" s="18"/>
      <c r="G271" s="18"/>
      <c r="H271" s="18"/>
      <c r="I271" s="17"/>
    </row>
    <row r="272" spans="1:9">
      <c r="A272" s="4" t="s">
        <v>192</v>
      </c>
      <c r="B272" s="21">
        <v>20683.735342690296</v>
      </c>
      <c r="C272" s="24"/>
      <c r="D272" s="24"/>
      <c r="E272" s="20">
        <v>215.49726775956285</v>
      </c>
      <c r="F272" s="24"/>
      <c r="G272" s="24"/>
      <c r="H272" s="20">
        <v>1784.4707000000001</v>
      </c>
      <c r="I272" s="17"/>
    </row>
    <row r="273" spans="1:9">
      <c r="A273" s="4" t="s">
        <v>301</v>
      </c>
      <c r="B273" s="21">
        <v>0</v>
      </c>
      <c r="C273" s="24"/>
      <c r="D273" s="24"/>
      <c r="E273" s="20">
        <v>0</v>
      </c>
      <c r="F273" s="24"/>
      <c r="G273" s="24"/>
      <c r="H273" s="20">
        <v>0</v>
      </c>
      <c r="I273" s="17"/>
    </row>
    <row r="274" spans="1:9">
      <c r="A274" s="4" t="s">
        <v>302</v>
      </c>
      <c r="B274" s="21">
        <v>0</v>
      </c>
      <c r="C274" s="24"/>
      <c r="D274" s="24"/>
      <c r="E274" s="20">
        <v>0</v>
      </c>
      <c r="F274" s="24"/>
      <c r="G274" s="24"/>
      <c r="H274" s="20">
        <v>0</v>
      </c>
      <c r="I274" s="17"/>
    </row>
    <row r="275" spans="1:9">
      <c r="A275" s="27" t="s">
        <v>303</v>
      </c>
      <c r="B275" s="18"/>
      <c r="C275" s="18"/>
      <c r="D275" s="18"/>
      <c r="E275" s="18"/>
      <c r="F275" s="18"/>
      <c r="G275" s="18"/>
      <c r="H275" s="18"/>
      <c r="I275" s="17"/>
    </row>
    <row r="276" spans="1:9">
      <c r="A276" s="4" t="s">
        <v>193</v>
      </c>
      <c r="B276" s="21">
        <v>0</v>
      </c>
      <c r="C276" s="24"/>
      <c r="D276" s="24"/>
      <c r="E276" s="20">
        <v>0</v>
      </c>
      <c r="F276" s="24"/>
      <c r="G276" s="24"/>
      <c r="H276" s="24"/>
      <c r="I276" s="17"/>
    </row>
    <row r="277" spans="1:9">
      <c r="A277" s="27" t="s">
        <v>304</v>
      </c>
      <c r="B277" s="18"/>
      <c r="C277" s="18"/>
      <c r="D277" s="18"/>
      <c r="E277" s="18"/>
      <c r="F277" s="18"/>
      <c r="G277" s="18"/>
      <c r="H277" s="18"/>
      <c r="I277" s="17"/>
    </row>
    <row r="278" spans="1:9">
      <c r="A278" s="4" t="s">
        <v>194</v>
      </c>
      <c r="B278" s="21">
        <v>502.12550455304932</v>
      </c>
      <c r="C278" s="21">
        <v>1708.4349222639935</v>
      </c>
      <c r="D278" s="21">
        <v>3787.8781708437768</v>
      </c>
      <c r="E278" s="20">
        <v>20</v>
      </c>
      <c r="F278" s="24"/>
      <c r="G278" s="24"/>
      <c r="H278" s="20">
        <v>829.10050000000001</v>
      </c>
      <c r="I278" s="17"/>
    </row>
    <row r="279" spans="1:9">
      <c r="A279" s="4" t="s">
        <v>305</v>
      </c>
      <c r="B279" s="21">
        <v>0</v>
      </c>
      <c r="C279" s="21">
        <v>0.193</v>
      </c>
      <c r="D279" s="21">
        <v>1.3911071428571429</v>
      </c>
      <c r="E279" s="20">
        <v>2</v>
      </c>
      <c r="F279" s="24"/>
      <c r="G279" s="24"/>
      <c r="H279" s="20">
        <v>0.95899999999999996</v>
      </c>
      <c r="I279" s="17"/>
    </row>
    <row r="280" spans="1:9">
      <c r="A280" s="4" t="s">
        <v>306</v>
      </c>
      <c r="B280" s="21">
        <v>0</v>
      </c>
      <c r="C280" s="21">
        <v>0</v>
      </c>
      <c r="D280" s="21">
        <v>0</v>
      </c>
      <c r="E280" s="20">
        <v>0</v>
      </c>
      <c r="F280" s="24"/>
      <c r="G280" s="24"/>
      <c r="H280" s="20">
        <v>0</v>
      </c>
      <c r="I280" s="17"/>
    </row>
    <row r="281" spans="1:9">
      <c r="A281" s="27" t="s">
        <v>307</v>
      </c>
      <c r="B281" s="18"/>
      <c r="C281" s="18"/>
      <c r="D281" s="18"/>
      <c r="E281" s="18"/>
      <c r="F281" s="18"/>
      <c r="G281" s="18"/>
      <c r="H281" s="18"/>
      <c r="I281" s="17"/>
    </row>
    <row r="282" spans="1:9">
      <c r="A282" s="4" t="s">
        <v>195</v>
      </c>
      <c r="B282" s="21">
        <v>0</v>
      </c>
      <c r="C282" s="21">
        <v>0</v>
      </c>
      <c r="D282" s="21">
        <v>0</v>
      </c>
      <c r="E282" s="20">
        <v>0</v>
      </c>
      <c r="F282" s="24"/>
      <c r="G282" s="24"/>
      <c r="H282" s="24"/>
      <c r="I282" s="17"/>
    </row>
    <row r="283" spans="1:9">
      <c r="A283" s="27" t="s">
        <v>308</v>
      </c>
      <c r="B283" s="18"/>
      <c r="C283" s="18"/>
      <c r="D283" s="18"/>
      <c r="E283" s="18"/>
      <c r="F283" s="18"/>
      <c r="G283" s="18"/>
      <c r="H283" s="18"/>
      <c r="I283" s="17"/>
    </row>
    <row r="284" spans="1:9">
      <c r="A284" s="4" t="s">
        <v>196</v>
      </c>
      <c r="B284" s="21">
        <v>4182.5823952552873</v>
      </c>
      <c r="C284" s="24"/>
      <c r="D284" s="24"/>
      <c r="E284" s="20">
        <v>50.497267759562838</v>
      </c>
      <c r="F284" s="24"/>
      <c r="G284" s="24"/>
      <c r="H284" s="20">
        <v>228.45760000000004</v>
      </c>
      <c r="I284" s="17"/>
    </row>
    <row r="285" spans="1:9">
      <c r="A285" s="4" t="s">
        <v>309</v>
      </c>
      <c r="B285" s="21">
        <v>0</v>
      </c>
      <c r="C285" s="24"/>
      <c r="D285" s="24"/>
      <c r="E285" s="20">
        <v>0</v>
      </c>
      <c r="F285" s="24"/>
      <c r="G285" s="24"/>
      <c r="H285" s="20">
        <v>0</v>
      </c>
      <c r="I285" s="17"/>
    </row>
    <row r="286" spans="1:9">
      <c r="A286" s="27" t="s">
        <v>310</v>
      </c>
      <c r="B286" s="18"/>
      <c r="C286" s="18"/>
      <c r="D286" s="18"/>
      <c r="E286" s="18"/>
      <c r="F286" s="18"/>
      <c r="G286" s="18"/>
      <c r="H286" s="18"/>
      <c r="I286" s="17"/>
    </row>
    <row r="287" spans="1:9">
      <c r="A287" s="4" t="s">
        <v>197</v>
      </c>
      <c r="B287" s="21">
        <v>0</v>
      </c>
      <c r="C287" s="24"/>
      <c r="D287" s="24"/>
      <c r="E287" s="20">
        <v>0</v>
      </c>
      <c r="F287" s="24"/>
      <c r="G287" s="24"/>
      <c r="H287" s="24"/>
      <c r="I287" s="17"/>
    </row>
    <row r="288" spans="1:9">
      <c r="A288" s="27" t="s">
        <v>311</v>
      </c>
      <c r="B288" s="18"/>
      <c r="C288" s="18"/>
      <c r="D288" s="18"/>
      <c r="E288" s="18"/>
      <c r="F288" s="18"/>
      <c r="G288" s="18"/>
      <c r="H288" s="18"/>
      <c r="I288" s="17"/>
    </row>
    <row r="289" spans="1:9">
      <c r="A289" s="4" t="s">
        <v>198</v>
      </c>
      <c r="B289" s="21">
        <v>158.87000909090909</v>
      </c>
      <c r="C289" s="21">
        <v>430.70374155844155</v>
      </c>
      <c r="D289" s="21">
        <v>1007.8770038961039</v>
      </c>
      <c r="E289" s="20">
        <v>12</v>
      </c>
      <c r="F289" s="24"/>
      <c r="G289" s="24"/>
      <c r="H289" s="20">
        <v>227.47309999999999</v>
      </c>
      <c r="I289" s="17"/>
    </row>
    <row r="290" spans="1:9">
      <c r="A290" s="4" t="s">
        <v>312</v>
      </c>
      <c r="B290" s="21">
        <v>0</v>
      </c>
      <c r="C290" s="21">
        <v>0</v>
      </c>
      <c r="D290" s="21">
        <v>0</v>
      </c>
      <c r="E290" s="20">
        <v>0</v>
      </c>
      <c r="F290" s="24"/>
      <c r="G290" s="24"/>
      <c r="H290" s="20">
        <v>0</v>
      </c>
      <c r="I290" s="17"/>
    </row>
    <row r="291" spans="1:9">
      <c r="A291" s="27" t="s">
        <v>313</v>
      </c>
      <c r="B291" s="18"/>
      <c r="C291" s="18"/>
      <c r="D291" s="18"/>
      <c r="E291" s="18"/>
      <c r="F291" s="18"/>
      <c r="G291" s="18"/>
      <c r="H291" s="18"/>
      <c r="I291" s="17"/>
    </row>
    <row r="292" spans="1:9">
      <c r="A292" s="4" t="s">
        <v>199</v>
      </c>
      <c r="B292" s="21">
        <v>0</v>
      </c>
      <c r="C292" s="21">
        <v>0</v>
      </c>
      <c r="D292" s="21">
        <v>0</v>
      </c>
      <c r="E292" s="20">
        <v>0</v>
      </c>
      <c r="F292" s="24"/>
      <c r="G292" s="24"/>
      <c r="H292" s="24"/>
      <c r="I292" s="17"/>
    </row>
    <row r="293" spans="1:9">
      <c r="A293" s="27" t="s">
        <v>314</v>
      </c>
      <c r="B293" s="18"/>
      <c r="C293" s="18"/>
      <c r="D293" s="18"/>
      <c r="E293" s="18"/>
      <c r="F293" s="18"/>
      <c r="G293" s="18"/>
      <c r="H293" s="18"/>
      <c r="I293" s="17"/>
    </row>
    <row r="294" spans="1:9">
      <c r="A294" s="4" t="s">
        <v>207</v>
      </c>
      <c r="B294" s="21">
        <v>405655.95821367676</v>
      </c>
      <c r="C294" s="24"/>
      <c r="D294" s="24"/>
      <c r="E294" s="20">
        <v>186.99453551912569</v>
      </c>
      <c r="F294" s="24"/>
      <c r="G294" s="24"/>
      <c r="H294" s="20">
        <v>9680.9220000000005</v>
      </c>
      <c r="I294" s="17"/>
    </row>
    <row r="295" spans="1:9">
      <c r="A295" s="4" t="s">
        <v>315</v>
      </c>
      <c r="B295" s="21">
        <v>0</v>
      </c>
      <c r="C295" s="24"/>
      <c r="D295" s="24"/>
      <c r="E295" s="20">
        <v>0</v>
      </c>
      <c r="F295" s="24"/>
      <c r="G295" s="24"/>
      <c r="H295" s="20">
        <v>0</v>
      </c>
      <c r="I295" s="17"/>
    </row>
    <row r="296" spans="1:9">
      <c r="A296" s="27" t="s">
        <v>316</v>
      </c>
      <c r="B296" s="18"/>
      <c r="C296" s="18"/>
      <c r="D296" s="18"/>
      <c r="E296" s="18"/>
      <c r="F296" s="18"/>
      <c r="G296" s="18"/>
      <c r="H296" s="18"/>
      <c r="I296" s="17"/>
    </row>
    <row r="297" spans="1:9">
      <c r="A297" s="4" t="s">
        <v>208</v>
      </c>
      <c r="B297" s="21">
        <v>0</v>
      </c>
      <c r="C297" s="24"/>
      <c r="D297" s="24"/>
      <c r="E297" s="20">
        <v>0</v>
      </c>
      <c r="F297" s="24"/>
      <c r="G297" s="24"/>
      <c r="H297" s="24"/>
      <c r="I297" s="17"/>
    </row>
    <row r="298" spans="1:9">
      <c r="A298" s="27" t="s">
        <v>317</v>
      </c>
      <c r="B298" s="18"/>
      <c r="C298" s="18"/>
      <c r="D298" s="18"/>
      <c r="E298" s="18"/>
      <c r="F298" s="18"/>
      <c r="G298" s="18"/>
      <c r="H298" s="18"/>
      <c r="I298" s="17"/>
    </row>
    <row r="299" spans="1:9">
      <c r="A299" s="4" t="s">
        <v>209</v>
      </c>
      <c r="B299" s="21">
        <v>53031.032570626296</v>
      </c>
      <c r="C299" s="21">
        <v>138554.41737676441</v>
      </c>
      <c r="D299" s="21">
        <v>277588.80488136888</v>
      </c>
      <c r="E299" s="20">
        <v>139.49726775956285</v>
      </c>
      <c r="F299" s="24"/>
      <c r="G299" s="24"/>
      <c r="H299" s="20">
        <v>20239.200199999999</v>
      </c>
      <c r="I299" s="17"/>
    </row>
    <row r="300" spans="1:9">
      <c r="A300" s="4" t="s">
        <v>318</v>
      </c>
      <c r="B300" s="21">
        <v>0</v>
      </c>
      <c r="C300" s="21">
        <v>0</v>
      </c>
      <c r="D300" s="21">
        <v>0</v>
      </c>
      <c r="E300" s="20">
        <v>0</v>
      </c>
      <c r="F300" s="24"/>
      <c r="G300" s="24"/>
      <c r="H300" s="20">
        <v>0</v>
      </c>
      <c r="I300" s="17"/>
    </row>
    <row r="301" spans="1:9">
      <c r="A301" s="27" t="s">
        <v>319</v>
      </c>
      <c r="B301" s="18"/>
      <c r="C301" s="18"/>
      <c r="D301" s="18"/>
      <c r="E301" s="18"/>
      <c r="F301" s="18"/>
      <c r="G301" s="18"/>
      <c r="H301" s="18"/>
      <c r="I301" s="17"/>
    </row>
    <row r="302" spans="1:9">
      <c r="A302" s="4" t="s">
        <v>210</v>
      </c>
      <c r="B302" s="21">
        <v>0</v>
      </c>
      <c r="C302" s="21">
        <v>0</v>
      </c>
      <c r="D302" s="21">
        <v>0</v>
      </c>
      <c r="E302" s="20">
        <v>0</v>
      </c>
      <c r="F302" s="24"/>
      <c r="G302" s="24"/>
      <c r="H302" s="24"/>
      <c r="I302" s="17"/>
    </row>
    <row r="304" spans="1:9" ht="21" customHeight="1">
      <c r="A304" s="1" t="s">
        <v>320</v>
      </c>
    </row>
    <row r="305" spans="1:9">
      <c r="A305" s="2" t="s">
        <v>234</v>
      </c>
    </row>
    <row r="307" spans="1:9" ht="30">
      <c r="B307" s="15" t="s">
        <v>321</v>
      </c>
    </row>
    <row r="308" spans="1:9">
      <c r="A308" s="4" t="s">
        <v>322</v>
      </c>
      <c r="B308" s="51">
        <v>21229764.795076028</v>
      </c>
      <c r="C308" s="17"/>
    </row>
    <row r="310" spans="1:9" ht="21" customHeight="1">
      <c r="A310" s="1" t="s">
        <v>323</v>
      </c>
    </row>
    <row r="312" spans="1:9" ht="30">
      <c r="B312" s="15" t="s">
        <v>324</v>
      </c>
      <c r="C312" s="15" t="s">
        <v>325</v>
      </c>
      <c r="D312" s="15" t="s">
        <v>326</v>
      </c>
      <c r="E312" s="15" t="s">
        <v>327</v>
      </c>
    </row>
    <row r="313" spans="1:9">
      <c r="A313" s="4" t="s">
        <v>328</v>
      </c>
      <c r="B313" s="51">
        <v>31791545.459439453</v>
      </c>
      <c r="C313" s="51">
        <v>109223705.98267688</v>
      </c>
      <c r="D313" s="55">
        <v>0.6</v>
      </c>
      <c r="E313" s="51">
        <v>25012605.641390651</v>
      </c>
      <c r="F313" s="17"/>
    </row>
    <row r="315" spans="1:9" ht="21" customHeight="1">
      <c r="A315" s="1" t="s">
        <v>329</v>
      </c>
    </row>
    <row r="316" spans="1:9">
      <c r="A316" s="2" t="s">
        <v>330</v>
      </c>
    </row>
    <row r="317" spans="1:9">
      <c r="A317" s="2" t="s">
        <v>331</v>
      </c>
    </row>
    <row r="318" spans="1:9">
      <c r="A318" s="2" t="s">
        <v>332</v>
      </c>
    </row>
    <row r="320" spans="1:9" ht="30">
      <c r="B320" s="15" t="s">
        <v>333</v>
      </c>
      <c r="C320" s="15" t="s">
        <v>334</v>
      </c>
      <c r="D320" s="15" t="s">
        <v>335</v>
      </c>
      <c r="E320" s="15" t="s">
        <v>336</v>
      </c>
      <c r="F320" s="15" t="s">
        <v>337</v>
      </c>
      <c r="G320" s="15" t="s">
        <v>338</v>
      </c>
      <c r="H320" s="15" t="s">
        <v>339</v>
      </c>
      <c r="I320" s="15" t="s">
        <v>340</v>
      </c>
    </row>
    <row r="321" spans="1:10">
      <c r="A321" s="4" t="s">
        <v>341</v>
      </c>
      <c r="B321" s="52"/>
      <c r="C321" s="52"/>
      <c r="D321" s="52"/>
      <c r="E321" s="52"/>
      <c r="F321" s="52"/>
      <c r="G321" s="52">
        <v>0.3</v>
      </c>
      <c r="H321" s="52">
        <v>0.3</v>
      </c>
      <c r="I321" s="52">
        <v>0.97</v>
      </c>
      <c r="J321" s="17"/>
    </row>
    <row r="322" spans="1:10">
      <c r="A322" s="4" t="s">
        <v>342</v>
      </c>
      <c r="B322" s="52"/>
      <c r="C322" s="52"/>
      <c r="D322" s="52"/>
      <c r="E322" s="52"/>
      <c r="F322" s="52"/>
      <c r="G322" s="52">
        <v>0.3</v>
      </c>
      <c r="H322" s="52">
        <v>0.97</v>
      </c>
      <c r="I322" s="24"/>
      <c r="J322" s="17"/>
    </row>
    <row r="323" spans="1:10">
      <c r="A323" s="4" t="s">
        <v>343</v>
      </c>
      <c r="B323" s="52"/>
      <c r="C323" s="52"/>
      <c r="D323" s="52"/>
      <c r="E323" s="52">
        <v>0.56999999999999995</v>
      </c>
      <c r="F323" s="52"/>
      <c r="G323" s="52">
        <v>0.91</v>
      </c>
      <c r="H323" s="24"/>
      <c r="I323" s="24"/>
      <c r="J323" s="17"/>
    </row>
    <row r="324" spans="1:10">
      <c r="A324" s="4" t="s">
        <v>344</v>
      </c>
      <c r="B324" s="52"/>
      <c r="C324" s="52"/>
      <c r="D324" s="52">
        <v>0.56999999999999995</v>
      </c>
      <c r="E324" s="52">
        <v>0.92</v>
      </c>
      <c r="F324" s="24"/>
      <c r="G324" s="24"/>
      <c r="H324" s="24"/>
      <c r="I324" s="24"/>
      <c r="J324" s="17"/>
    </row>
    <row r="326" spans="1:10" ht="21" customHeight="1">
      <c r="A326" s="1" t="s">
        <v>345</v>
      </c>
    </row>
    <row r="328" spans="1:10">
      <c r="B328" s="15" t="s">
        <v>346</v>
      </c>
      <c r="C328" s="15" t="s">
        <v>347</v>
      </c>
      <c r="D328" s="15" t="s">
        <v>348</v>
      </c>
    </row>
    <row r="329" spans="1:10">
      <c r="A329" s="4" t="s">
        <v>180</v>
      </c>
      <c r="B329" s="52">
        <v>0.12613777717892058</v>
      </c>
      <c r="C329" s="52">
        <v>0.3324584778691318</v>
      </c>
      <c r="D329" s="52">
        <v>0.54140374495194765</v>
      </c>
      <c r="E329" s="17"/>
    </row>
    <row r="330" spans="1:10">
      <c r="A330" s="4" t="s">
        <v>181</v>
      </c>
      <c r="B330" s="52">
        <v>0.13821405658663607</v>
      </c>
      <c r="C330" s="52">
        <v>0.35627914141456479</v>
      </c>
      <c r="D330" s="52">
        <v>0.50550680199879905</v>
      </c>
      <c r="E330" s="17"/>
    </row>
    <row r="331" spans="1:10">
      <c r="A331" s="4" t="s">
        <v>226</v>
      </c>
      <c r="B331" s="52">
        <v>5.7160535159845169E-3</v>
      </c>
      <c r="C331" s="52">
        <v>9.4868551845660287E-2</v>
      </c>
      <c r="D331" s="52">
        <v>0.89941539463835518</v>
      </c>
      <c r="E331" s="17"/>
    </row>
    <row r="332" spans="1:10">
      <c r="A332" s="4" t="s">
        <v>182</v>
      </c>
      <c r="B332" s="52">
        <v>0.10949251869436995</v>
      </c>
      <c r="C332" s="52">
        <v>0.44288181172873092</v>
      </c>
      <c r="D332" s="52">
        <v>0.44762566957689914</v>
      </c>
      <c r="E332" s="17"/>
    </row>
    <row r="333" spans="1:10">
      <c r="A333" s="4" t="s">
        <v>183</v>
      </c>
      <c r="B333" s="52">
        <v>0.12492329706374804</v>
      </c>
      <c r="C333" s="52">
        <v>0.45984399148208355</v>
      </c>
      <c r="D333" s="52">
        <v>0.41523271145416835</v>
      </c>
      <c r="E333" s="17"/>
    </row>
    <row r="334" spans="1:10">
      <c r="A334" s="4" t="s">
        <v>227</v>
      </c>
      <c r="B334" s="52">
        <v>1.7573774807996573E-3</v>
      </c>
      <c r="C334" s="52">
        <v>5.270802055898749E-2</v>
      </c>
      <c r="D334" s="52">
        <v>0.94553460196021277</v>
      </c>
      <c r="E334" s="17"/>
    </row>
    <row r="335" spans="1:10">
      <c r="A335" s="4" t="s">
        <v>184</v>
      </c>
      <c r="B335" s="52">
        <v>0.13557627830321115</v>
      </c>
      <c r="C335" s="52">
        <v>0.48091574438128887</v>
      </c>
      <c r="D335" s="52">
        <v>0.3835079773154999</v>
      </c>
      <c r="E335" s="17"/>
    </row>
    <row r="336" spans="1:10">
      <c r="A336" s="4" t="s">
        <v>185</v>
      </c>
      <c r="B336" s="52">
        <v>0.1341934369921246</v>
      </c>
      <c r="C336" s="52">
        <v>0.47994324407412897</v>
      </c>
      <c r="D336" s="52">
        <v>0.38586331893374642</v>
      </c>
      <c r="E336" s="17"/>
    </row>
    <row r="337" spans="1:5">
      <c r="A337" s="4" t="s">
        <v>205</v>
      </c>
      <c r="B337" s="52">
        <v>0.13314633890485125</v>
      </c>
      <c r="C337" s="52">
        <v>0.48701734913086331</v>
      </c>
      <c r="D337" s="52">
        <v>0.37983631196428552</v>
      </c>
      <c r="E337" s="17"/>
    </row>
    <row r="339" spans="1:5" ht="21" customHeight="1">
      <c r="A339" s="1" t="s">
        <v>349</v>
      </c>
    </row>
    <row r="341" spans="1:5">
      <c r="B341" s="15" t="s">
        <v>346</v>
      </c>
      <c r="C341" s="15" t="s">
        <v>347</v>
      </c>
      <c r="D341" s="15" t="s">
        <v>348</v>
      </c>
    </row>
    <row r="342" spans="1:5">
      <c r="A342" s="4" t="s">
        <v>181</v>
      </c>
      <c r="B342" s="52">
        <v>0</v>
      </c>
      <c r="C342" s="52">
        <v>0</v>
      </c>
      <c r="D342" s="52">
        <v>1</v>
      </c>
      <c r="E342" s="17"/>
    </row>
    <row r="343" spans="1:5">
      <c r="A343" s="4" t="s">
        <v>183</v>
      </c>
      <c r="B343" s="52">
        <v>0</v>
      </c>
      <c r="C343" s="52">
        <v>0</v>
      </c>
      <c r="D343" s="52">
        <v>1</v>
      </c>
      <c r="E343" s="17"/>
    </row>
    <row r="344" spans="1:5">
      <c r="A344" s="4" t="s">
        <v>184</v>
      </c>
      <c r="B344" s="52">
        <v>0</v>
      </c>
      <c r="C344" s="52">
        <v>0</v>
      </c>
      <c r="D344" s="52">
        <v>1</v>
      </c>
      <c r="E344" s="17"/>
    </row>
    <row r="345" spans="1:5">
      <c r="A345" s="4" t="s">
        <v>185</v>
      </c>
      <c r="B345" s="52">
        <v>0</v>
      </c>
      <c r="C345" s="52">
        <v>0</v>
      </c>
      <c r="D345" s="52">
        <v>1</v>
      </c>
      <c r="E345" s="17"/>
    </row>
    <row r="346" spans="1:5">
      <c r="A346" s="4" t="s">
        <v>205</v>
      </c>
      <c r="B346" s="52">
        <v>0</v>
      </c>
      <c r="C346" s="52">
        <v>0</v>
      </c>
      <c r="D346" s="52">
        <v>1</v>
      </c>
      <c r="E346" s="17"/>
    </row>
    <row r="348" spans="1:5" ht="21" customHeight="1">
      <c r="A348" s="1" t="s">
        <v>350</v>
      </c>
    </row>
    <row r="350" spans="1:5">
      <c r="B350" s="15" t="s">
        <v>351</v>
      </c>
      <c r="C350" s="15" t="s">
        <v>352</v>
      </c>
      <c r="D350" s="15" t="s">
        <v>348</v>
      </c>
    </row>
    <row r="351" spans="1:5">
      <c r="A351" s="4" t="s">
        <v>228</v>
      </c>
      <c r="B351" s="52">
        <v>2.9197232826808393E-2</v>
      </c>
      <c r="C351" s="52">
        <v>0.34914809824421322</v>
      </c>
      <c r="D351" s="52">
        <v>0.62165466892897847</v>
      </c>
      <c r="E351" s="17"/>
    </row>
    <row r="352" spans="1:5">
      <c r="A352" s="4" t="s">
        <v>229</v>
      </c>
      <c r="B352" s="52">
        <v>4.9425704922028489E-2</v>
      </c>
      <c r="C352" s="52">
        <v>8.3820823266677558E-2</v>
      </c>
      <c r="D352" s="52">
        <v>0.86675347181129314</v>
      </c>
      <c r="E352" s="17"/>
    </row>
    <row r="353" spans="1:5">
      <c r="A353" s="4" t="s">
        <v>230</v>
      </c>
      <c r="B353" s="52">
        <v>9.5184958470688696E-2</v>
      </c>
      <c r="C353" s="52">
        <v>0.16466274749692619</v>
      </c>
      <c r="D353" s="52">
        <v>0.74015229403238469</v>
      </c>
      <c r="E353" s="17"/>
    </row>
    <row r="354" spans="1:5">
      <c r="A354" s="4" t="s">
        <v>231</v>
      </c>
      <c r="B354" s="52">
        <v>1.6544621504207196E-2</v>
      </c>
      <c r="C354" s="52">
        <v>0.56816833822050572</v>
      </c>
      <c r="D354" s="52">
        <v>0.41528704027528801</v>
      </c>
      <c r="E354" s="17"/>
    </row>
    <row r="356" spans="1:5" ht="21" customHeight="1">
      <c r="A356" s="1" t="s">
        <v>353</v>
      </c>
    </row>
    <row r="357" spans="1:5">
      <c r="A357" s="2" t="s">
        <v>354</v>
      </c>
    </row>
    <row r="358" spans="1:5">
      <c r="A358" s="2" t="s">
        <v>355</v>
      </c>
    </row>
    <row r="360" spans="1:5">
      <c r="B360" s="15" t="s">
        <v>351</v>
      </c>
      <c r="C360" s="15" t="s">
        <v>352</v>
      </c>
      <c r="D360" s="15" t="s">
        <v>348</v>
      </c>
    </row>
    <row r="361" spans="1:5">
      <c r="A361" s="4" t="s">
        <v>356</v>
      </c>
      <c r="B361" s="48">
        <v>258</v>
      </c>
      <c r="C361" s="48">
        <v>3067</v>
      </c>
      <c r="D361" s="48">
        <v>5459</v>
      </c>
      <c r="E361" s="17"/>
    </row>
    <row r="363" spans="1:5" ht="21" customHeight="1">
      <c r="A363" s="1" t="s">
        <v>357</v>
      </c>
    </row>
    <row r="364" spans="1:5">
      <c r="A364" s="2" t="s">
        <v>354</v>
      </c>
    </row>
    <row r="365" spans="1:5">
      <c r="A365" s="2" t="s">
        <v>355</v>
      </c>
    </row>
    <row r="367" spans="1:5">
      <c r="B367" s="15" t="s">
        <v>346</v>
      </c>
      <c r="C367" s="15" t="s">
        <v>347</v>
      </c>
      <c r="D367" s="15" t="s">
        <v>348</v>
      </c>
    </row>
    <row r="368" spans="1:5">
      <c r="A368" s="4" t="s">
        <v>356</v>
      </c>
      <c r="B368" s="48">
        <v>786</v>
      </c>
      <c r="C368" s="48">
        <v>2539</v>
      </c>
      <c r="D368" s="48">
        <v>5459</v>
      </c>
      <c r="E368" s="17"/>
    </row>
    <row r="370" spans="1:6" ht="21" customHeight="1">
      <c r="A370" s="1" t="s">
        <v>358</v>
      </c>
    </row>
    <row r="371" spans="1:6">
      <c r="A371" s="2" t="s">
        <v>359</v>
      </c>
    </row>
    <row r="373" spans="1:6">
      <c r="B373" s="28" t="s">
        <v>360</v>
      </c>
      <c r="C373" s="28"/>
      <c r="D373" s="28"/>
    </row>
    <row r="374" spans="1:6" ht="30">
      <c r="B374" s="15" t="s">
        <v>346</v>
      </c>
      <c r="C374" s="15" t="s">
        <v>347</v>
      </c>
      <c r="D374" s="15" t="s">
        <v>348</v>
      </c>
      <c r="E374" s="15" t="s">
        <v>361</v>
      </c>
    </row>
    <row r="375" spans="1:6">
      <c r="A375" s="4" t="s">
        <v>148</v>
      </c>
      <c r="B375" s="52">
        <v>0.86783625730994152</v>
      </c>
      <c r="C375" s="52">
        <v>0.11461988304093566</v>
      </c>
      <c r="D375" s="52">
        <v>1.7543859649122806E-2</v>
      </c>
      <c r="E375" s="52">
        <v>0.85204678362573105</v>
      </c>
      <c r="F375" s="17"/>
    </row>
    <row r="376" spans="1:6">
      <c r="A376" s="4" t="s">
        <v>149</v>
      </c>
      <c r="B376" s="52">
        <v>0.66828522504892363</v>
      </c>
      <c r="C376" s="52">
        <v>0.24995515329419438</v>
      </c>
      <c r="D376" s="52">
        <v>8.1759621656881928E-2</v>
      </c>
      <c r="E376" s="52">
        <v>0.63489685257664707</v>
      </c>
      <c r="F376" s="17"/>
    </row>
    <row r="377" spans="1:6">
      <c r="A377" s="4" t="s">
        <v>150</v>
      </c>
      <c r="B377" s="52">
        <v>0.66828522504892363</v>
      </c>
      <c r="C377" s="52">
        <v>0.24995515329419438</v>
      </c>
      <c r="D377" s="52">
        <v>8.1759621656881928E-2</v>
      </c>
      <c r="E377" s="52">
        <v>0.63489685257664707</v>
      </c>
      <c r="F377" s="17"/>
    </row>
    <row r="378" spans="1:6">
      <c r="A378" s="4" t="s">
        <v>151</v>
      </c>
      <c r="B378" s="52">
        <v>0.5635950837014011</v>
      </c>
      <c r="C378" s="52">
        <v>0.35223729701351925</v>
      </c>
      <c r="D378" s="52">
        <v>8.4167619285079695E-2</v>
      </c>
      <c r="E378" s="52">
        <v>0.52763908202922805</v>
      </c>
      <c r="F378" s="17"/>
    </row>
    <row r="379" spans="1:6">
      <c r="A379" s="4" t="s">
        <v>152</v>
      </c>
      <c r="B379" s="52">
        <v>0.5635950837014011</v>
      </c>
      <c r="C379" s="52">
        <v>0.35223729701351925</v>
      </c>
      <c r="D379" s="52">
        <v>8.4167619285079695E-2</v>
      </c>
      <c r="E379" s="52">
        <v>0.52763908202922805</v>
      </c>
      <c r="F379" s="17"/>
    </row>
    <row r="380" spans="1:6">
      <c r="A380" s="4" t="s">
        <v>157</v>
      </c>
      <c r="B380" s="52">
        <v>0</v>
      </c>
      <c r="C380" s="52">
        <v>0</v>
      </c>
      <c r="D380" s="52">
        <v>0</v>
      </c>
      <c r="E380" s="52">
        <v>0</v>
      </c>
      <c r="F380" s="17"/>
    </row>
    <row r="381" spans="1:6">
      <c r="A381" s="4" t="s">
        <v>153</v>
      </c>
      <c r="B381" s="52">
        <v>0.5635950837014011</v>
      </c>
      <c r="C381" s="52">
        <v>0.35223729701351925</v>
      </c>
      <c r="D381" s="52">
        <v>8.4167619285079695E-2</v>
      </c>
      <c r="E381" s="52">
        <v>0.52763908202922805</v>
      </c>
      <c r="F381" s="17"/>
    </row>
    <row r="382" spans="1:6">
      <c r="A382" s="4" t="s">
        <v>154</v>
      </c>
      <c r="B382" s="52">
        <v>0.5635950837014011</v>
      </c>
      <c r="C382" s="52">
        <v>0.35223729701351925</v>
      </c>
      <c r="D382" s="52">
        <v>8.4167619285079695E-2</v>
      </c>
      <c r="E382" s="52">
        <v>0.52763908202922805</v>
      </c>
      <c r="F382" s="17"/>
    </row>
    <row r="383" spans="1:6">
      <c r="A383" s="4" t="s">
        <v>155</v>
      </c>
      <c r="B383" s="52">
        <v>0.5635950837014011</v>
      </c>
      <c r="C383" s="52">
        <v>0.35223729701351925</v>
      </c>
      <c r="D383" s="52">
        <v>8.4167619285079695E-2</v>
      </c>
      <c r="E383" s="52">
        <v>0.52763908202922805</v>
      </c>
      <c r="F383" s="17"/>
    </row>
    <row r="385" spans="1:11" ht="21" customHeight="1">
      <c r="A385" s="1" t="s">
        <v>362</v>
      </c>
    </row>
    <row r="386" spans="1:11">
      <c r="A386" s="2" t="s">
        <v>363</v>
      </c>
    </row>
    <row r="387" spans="1:11">
      <c r="A387" s="2" t="s">
        <v>364</v>
      </c>
    </row>
    <row r="389" spans="1:11">
      <c r="B389" s="15" t="s">
        <v>148</v>
      </c>
      <c r="C389" s="15" t="s">
        <v>149</v>
      </c>
      <c r="D389" s="15" t="s">
        <v>150</v>
      </c>
      <c r="E389" s="15" t="s">
        <v>151</v>
      </c>
      <c r="F389" s="15" t="s">
        <v>152</v>
      </c>
      <c r="G389" s="15" t="s">
        <v>157</v>
      </c>
      <c r="H389" s="15" t="s">
        <v>153</v>
      </c>
      <c r="I389" s="15" t="s">
        <v>154</v>
      </c>
      <c r="J389" s="15" t="s">
        <v>155</v>
      </c>
    </row>
    <row r="390" spans="1:11">
      <c r="A390" s="4" t="s">
        <v>365</v>
      </c>
      <c r="B390" s="49">
        <v>0.16260100804684774</v>
      </c>
      <c r="C390" s="49">
        <v>0.16260100804684774</v>
      </c>
      <c r="D390" s="49">
        <v>0.11839417943054968</v>
      </c>
      <c r="E390" s="49">
        <v>0.11839417943054968</v>
      </c>
      <c r="F390" s="49">
        <v>0.12595586573869236</v>
      </c>
      <c r="G390" s="49">
        <v>0</v>
      </c>
      <c r="H390" s="49">
        <v>0.12595586573869236</v>
      </c>
      <c r="I390" s="49">
        <v>0.12595586573869236</v>
      </c>
      <c r="J390" s="49">
        <v>0.12595586573869236</v>
      </c>
      <c r="K390" s="17"/>
    </row>
    <row r="392" spans="1:11" ht="21" customHeight="1">
      <c r="A392" s="1" t="s">
        <v>366</v>
      </c>
    </row>
    <row r="394" spans="1:11" ht="45">
      <c r="B394" s="15" t="s">
        <v>367</v>
      </c>
      <c r="C394" s="15" t="s">
        <v>368</v>
      </c>
      <c r="D394" s="15" t="s">
        <v>369</v>
      </c>
      <c r="E394" s="15" t="s">
        <v>370</v>
      </c>
      <c r="F394" s="15" t="s">
        <v>371</v>
      </c>
      <c r="G394" s="15" t="s">
        <v>372</v>
      </c>
      <c r="H394" s="15" t="s">
        <v>373</v>
      </c>
      <c r="I394" s="15" t="s">
        <v>374</v>
      </c>
    </row>
    <row r="395" spans="1:11">
      <c r="A395" s="4" t="s">
        <v>180</v>
      </c>
      <c r="B395" s="51"/>
      <c r="C395" s="49">
        <v>2.2050000000000001</v>
      </c>
      <c r="D395" s="24"/>
      <c r="E395" s="24"/>
      <c r="F395" s="54">
        <v>3.23</v>
      </c>
      <c r="G395" s="53"/>
      <c r="H395" s="53"/>
      <c r="I395" s="24"/>
      <c r="J395" s="17"/>
    </row>
    <row r="396" spans="1:11">
      <c r="A396" s="4" t="s">
        <v>181</v>
      </c>
      <c r="B396" s="51"/>
      <c r="C396" s="49">
        <v>2.536</v>
      </c>
      <c r="D396" s="49">
        <v>0.68600000000000005</v>
      </c>
      <c r="E396" s="24"/>
      <c r="F396" s="54">
        <v>3.23</v>
      </c>
      <c r="G396" s="53"/>
      <c r="H396" s="53"/>
      <c r="I396" s="24"/>
      <c r="J396" s="17"/>
    </row>
    <row r="397" spans="1:11">
      <c r="A397" s="4" t="s">
        <v>226</v>
      </c>
      <c r="B397" s="51"/>
      <c r="C397" s="49">
        <v>0.72699999999999998</v>
      </c>
      <c r="D397" s="24"/>
      <c r="E397" s="24"/>
      <c r="F397" s="53"/>
      <c r="G397" s="53"/>
      <c r="H397" s="53"/>
      <c r="I397" s="24"/>
      <c r="J397" s="17"/>
    </row>
    <row r="398" spans="1:11">
      <c r="A398" s="4" t="s">
        <v>182</v>
      </c>
      <c r="B398" s="51"/>
      <c r="C398" s="49">
        <v>2.0529999999999999</v>
      </c>
      <c r="D398" s="24"/>
      <c r="E398" s="24"/>
      <c r="F398" s="54">
        <v>3.23</v>
      </c>
      <c r="G398" s="53"/>
      <c r="H398" s="53"/>
      <c r="I398" s="24"/>
      <c r="J398" s="17"/>
    </row>
    <row r="399" spans="1:11">
      <c r="A399" s="4" t="s">
        <v>183</v>
      </c>
      <c r="B399" s="51"/>
      <c r="C399" s="49">
        <v>2.1179999999999999</v>
      </c>
      <c r="D399" s="49">
        <v>0.64600000000000002</v>
      </c>
      <c r="E399" s="24"/>
      <c r="F399" s="54">
        <v>3.23</v>
      </c>
      <c r="G399" s="53"/>
      <c r="H399" s="53"/>
      <c r="I399" s="24"/>
      <c r="J399" s="17"/>
    </row>
    <row r="400" spans="1:11">
      <c r="A400" s="4" t="s">
        <v>227</v>
      </c>
      <c r="B400" s="51"/>
      <c r="C400" s="49">
        <v>0.66900000000000004</v>
      </c>
      <c r="D400" s="24"/>
      <c r="E400" s="24"/>
      <c r="F400" s="53"/>
      <c r="G400" s="53"/>
      <c r="H400" s="53"/>
      <c r="I400" s="24"/>
      <c r="J400" s="17"/>
    </row>
    <row r="401" spans="1:10">
      <c r="A401" s="4" t="s">
        <v>184</v>
      </c>
      <c r="B401" s="51"/>
      <c r="C401" s="49">
        <v>2.137</v>
      </c>
      <c r="D401" s="49">
        <v>0.63700000000000001</v>
      </c>
      <c r="E401" s="24"/>
      <c r="F401" s="54">
        <v>15.1</v>
      </c>
      <c r="G401" s="53"/>
      <c r="H401" s="53"/>
      <c r="I401" s="24"/>
      <c r="J401" s="17"/>
    </row>
    <row r="402" spans="1:10">
      <c r="A402" s="4" t="s">
        <v>185</v>
      </c>
      <c r="B402" s="51"/>
      <c r="C402" s="49">
        <v>1.82</v>
      </c>
      <c r="D402" s="49">
        <v>0.60899999999999999</v>
      </c>
      <c r="E402" s="24"/>
      <c r="F402" s="54">
        <v>56.48</v>
      </c>
      <c r="G402" s="53"/>
      <c r="H402" s="53"/>
      <c r="I402" s="24"/>
      <c r="J402" s="17"/>
    </row>
    <row r="403" spans="1:10">
      <c r="A403" s="4" t="s">
        <v>205</v>
      </c>
      <c r="B403" s="51"/>
      <c r="C403" s="49">
        <v>1.282</v>
      </c>
      <c r="D403" s="49">
        <v>0.55800000000000005</v>
      </c>
      <c r="E403" s="24"/>
      <c r="F403" s="54">
        <v>176.45</v>
      </c>
      <c r="G403" s="53"/>
      <c r="H403" s="53"/>
      <c r="I403" s="24"/>
      <c r="J403" s="17"/>
    </row>
    <row r="404" spans="1:10">
      <c r="A404" s="4" t="s">
        <v>186</v>
      </c>
      <c r="B404" s="51"/>
      <c r="C404" s="49">
        <v>9.8030000000000008</v>
      </c>
      <c r="D404" s="49">
        <v>1.855</v>
      </c>
      <c r="E404" s="49">
        <v>0.66800000000000004</v>
      </c>
      <c r="F404" s="54">
        <v>3.23</v>
      </c>
      <c r="G404" s="53"/>
      <c r="H404" s="53"/>
      <c r="I404" s="24"/>
      <c r="J404" s="17"/>
    </row>
    <row r="405" spans="1:10">
      <c r="A405" s="4" t="s">
        <v>187</v>
      </c>
      <c r="B405" s="51"/>
      <c r="C405" s="49">
        <v>8.9079999999999995</v>
      </c>
      <c r="D405" s="49">
        <v>1.724</v>
      </c>
      <c r="E405" s="49">
        <v>0.65100000000000002</v>
      </c>
      <c r="F405" s="54">
        <v>3.23</v>
      </c>
      <c r="G405" s="53"/>
      <c r="H405" s="53"/>
      <c r="I405" s="24"/>
      <c r="J405" s="17"/>
    </row>
    <row r="406" spans="1:10">
      <c r="A406" s="4" t="s">
        <v>188</v>
      </c>
      <c r="B406" s="51"/>
      <c r="C406" s="49">
        <v>6.6230000000000002</v>
      </c>
      <c r="D406" s="49">
        <v>1.341</v>
      </c>
      <c r="E406" s="49">
        <v>0.60399999999999998</v>
      </c>
      <c r="F406" s="54">
        <v>13.06</v>
      </c>
      <c r="G406" s="54">
        <v>3.41</v>
      </c>
      <c r="H406" s="54">
        <v>5.19</v>
      </c>
      <c r="I406" s="49">
        <v>0.16400000000000001</v>
      </c>
      <c r="J406" s="17"/>
    </row>
    <row r="407" spans="1:10">
      <c r="A407" s="4" t="s">
        <v>189</v>
      </c>
      <c r="B407" s="51"/>
      <c r="C407" s="49">
        <v>5.4050000000000002</v>
      </c>
      <c r="D407" s="49">
        <v>1.133</v>
      </c>
      <c r="E407" s="49">
        <v>0.57799999999999996</v>
      </c>
      <c r="F407" s="54">
        <v>41.93</v>
      </c>
      <c r="G407" s="54">
        <v>3.5</v>
      </c>
      <c r="H407" s="54">
        <v>6.36</v>
      </c>
      <c r="I407" s="49">
        <v>0.127</v>
      </c>
      <c r="J407" s="17"/>
    </row>
    <row r="408" spans="1:10">
      <c r="A408" s="4" t="s">
        <v>206</v>
      </c>
      <c r="B408" s="51"/>
      <c r="C408" s="49">
        <v>3.9529999999999998</v>
      </c>
      <c r="D408" s="49">
        <v>0.89400000000000002</v>
      </c>
      <c r="E408" s="49">
        <v>0.54800000000000004</v>
      </c>
      <c r="F408" s="54">
        <v>92.2</v>
      </c>
      <c r="G408" s="54">
        <v>2.94</v>
      </c>
      <c r="H408" s="54">
        <v>5.96</v>
      </c>
      <c r="I408" s="49">
        <v>8.5999999999999993E-2</v>
      </c>
      <c r="J408" s="17"/>
    </row>
    <row r="409" spans="1:10">
      <c r="A409" s="4" t="s">
        <v>228</v>
      </c>
      <c r="B409" s="51"/>
      <c r="C409" s="49">
        <v>3.2349999999999999</v>
      </c>
      <c r="D409" s="24"/>
      <c r="E409" s="24"/>
      <c r="F409" s="24"/>
      <c r="G409" s="24"/>
      <c r="H409" s="24"/>
      <c r="I409" s="24"/>
      <c r="J409" s="17"/>
    </row>
    <row r="410" spans="1:10">
      <c r="A410" s="4" t="s">
        <v>229</v>
      </c>
      <c r="B410" s="51"/>
      <c r="C410" s="49">
        <v>3.4340000000000002</v>
      </c>
      <c r="D410" s="24"/>
      <c r="E410" s="24"/>
      <c r="F410" s="24"/>
      <c r="G410" s="24"/>
      <c r="H410" s="24"/>
      <c r="I410" s="24"/>
      <c r="J410" s="17"/>
    </row>
    <row r="411" spans="1:10">
      <c r="A411" s="4" t="s">
        <v>230</v>
      </c>
      <c r="B411" s="51"/>
      <c r="C411" s="49">
        <v>4.53</v>
      </c>
      <c r="D411" s="24"/>
      <c r="E411" s="24"/>
      <c r="F411" s="24"/>
      <c r="G411" s="24"/>
      <c r="H411" s="24"/>
      <c r="I411" s="24"/>
      <c r="J411" s="17"/>
    </row>
    <row r="412" spans="1:10">
      <c r="A412" s="4" t="s">
        <v>231</v>
      </c>
      <c r="B412" s="51"/>
      <c r="C412" s="49">
        <v>3.1629999999999998</v>
      </c>
      <c r="D412" s="24"/>
      <c r="E412" s="24"/>
      <c r="F412" s="24"/>
      <c r="G412" s="24"/>
      <c r="H412" s="24"/>
      <c r="I412" s="24"/>
      <c r="J412" s="17"/>
    </row>
    <row r="413" spans="1:10">
      <c r="A413" s="4" t="s">
        <v>232</v>
      </c>
      <c r="B413" s="51"/>
      <c r="C413" s="49">
        <v>24.503</v>
      </c>
      <c r="D413" s="49">
        <v>3.2090000000000001</v>
      </c>
      <c r="E413" s="49">
        <v>2.246</v>
      </c>
      <c r="F413" s="24"/>
      <c r="G413" s="24"/>
      <c r="H413" s="24"/>
      <c r="I413" s="24"/>
      <c r="J413" s="17"/>
    </row>
  </sheetData>
  <dataValidations count="414">
    <dataValidation type="decimal" allowBlank="1" showInputMessage="1" showErrorMessage="1" error="The rate of return must be a non-negative percentage value." sqref="B60">
      <formula1>0</formula1>
      <formula2>4</formula2>
    </dataValidation>
    <dataValidation type="decimal" allowBlank="1" showInputMessage="1" showErrorMessage="1" sqref="C60">
      <formula1>0</formula1>
      <formula2>999999</formula2>
    </dataValidation>
    <dataValidation type="decimal" allowBlank="1" showInputMessage="1" showErrorMessage="1" sqref="E60">
      <formula1>0.001</formula1>
      <formula2>1</formula2>
    </dataValidation>
    <dataValidation type="decimal" allowBlank="1" showInputMessage="1" showErrorMessage="1" sqref="F60">
      <formula1>365</formula1>
      <formula2>366</formula2>
    </dataValidation>
    <dataValidation type="decimal" allowBlank="1" showInputMessage="1" showErrorMessage="1" error="Must be a non-negative percentage value." sqref="B70:B77">
      <formula1>0</formula1>
      <formula2>4</formula2>
    </dataValidation>
    <dataValidation type="decimal" allowBlank="1" showInputMessage="1" showErrorMessage="1" error="The proportion of load going through 132kV/HV must be between 0% and 100%." sqref="B82">
      <formula1>0</formula1>
      <formula2>1</formula2>
    </dataValidation>
    <dataValidation type="decimal" allowBlank="1" showInputMessage="1" showErrorMessage="1" sqref="B87">
      <formula1>0.001</formula1>
      <formula2>999999.999</formula2>
    </dataValidation>
    <dataValidation type="decimal" operator="greaterThanOrEqual" allowBlank="1" showInputMessage="1" showErrorMessage="1" sqref="B92:B99">
      <formula1>0</formula1>
    </dataValidation>
    <dataValidation type="decimal" operator="greaterThanOrEqual" allowBlank="1" showInputMessage="1" showErrorMessage="1" sqref="B104:I104">
      <formula1>0</formula1>
    </dataValidation>
    <dataValidation type="decimal" operator="greaterThanOrEqual" allowBlank="1" showInputMessage="1" showErrorMessage="1" sqref="B109:F109">
      <formula1>0</formula1>
    </dataValidation>
    <dataValidation type="decimal" allowBlank="1" showInputMessage="1" showErrorMessage="1" error="The number in this cell must be between 0% and 100%." sqref="B114:I133 B145:F150">
      <formula1>0</formula1>
      <formula2>1</formula2>
    </dataValidation>
    <dataValidation type="decimal" operator="greaterThanOrEqual" allowBlank="1" showInputMessage="1" showErrorMessage="1" sqref="B140:I140">
      <formula1>0</formula1>
    </dataValidation>
    <dataValidation type="decimal" operator="greaterThan" allowBlank="1" showInputMessage="1" showErrorMessage="1" sqref="B156:H156">
      <formula1>0</formula1>
    </dataValidation>
    <dataValidation type="decimal" allowBlank="1" showInputMessage="1" showErrorMessage="1" error="The LDNO discount must be between 0% and 100%." sqref="B162:F162">
      <formula1>0</formula1>
      <formula2>1</formula2>
    </dataValidation>
    <dataValidation type="decimal" allowBlank="1" showInputMessage="1" showErrorMessage="1" error="The coincidence factor must be between 0% and 100%." sqref="B168:B186">
      <formula1>0</formula1>
      <formula2>1</formula2>
    </dataValidation>
    <dataValidation type="decimal" allowBlank="1" showInputMessage="1" showErrorMessage="1" error="The load factor must be between 0% and 100%." sqref="C168:C186">
      <formula1>0</formula1>
      <formula2>1</formula2>
    </dataValidation>
    <dataValidation type="textLength" operator="equal" allowBlank="1" showInputMessage="1" showErrorMessage="1" error="This cell should remain blank." sqref="B194">
      <formula1>0</formula1>
    </dataValidation>
    <dataValidation type="decimal" operator="greaterThanOrEqual" allowBlank="1" showInputMessage="1" showErrorMessage="1" errorTitle="Volume data error" error="The volume must be a non-negative number." sqref="B195:B197 E195:E197 B199:C201 E199:E201 B203:B205 E203:E205 B207:B209 E207:E209 B211:C213 E211:E213 B215:B217 E215:E217 B219:C221 E219:E221 B223:C223 E223 B225:C225 E225 B227:E229 B231:E233 B235:H237 B239:H240 B242:H243 B245:B247 E245:E247 B249:B251 E249:E251 B253:B255 E253:E255 B257:B259 E257:E259 B261:E263 B265:B267 E265:E267 B269:B270 E269:E270 B272:B274 E272:E274 H272:H274 B276 E276 B278:E280 H278:H280">
      <formula1>0</formula1>
    </dataValidation>
    <dataValidation type="textLength" operator="equal" allowBlank="1" showInputMessage="1" showErrorMessage="1" error="This cell should remain blank." sqref="B198">
      <formula1>0</formula1>
    </dataValidation>
    <dataValidation type="textLength" operator="equal" allowBlank="1" showInputMessage="1" showErrorMessage="1" error="This cell should remain blank." sqref="B202">
      <formula1>0</formula1>
    </dataValidation>
    <dataValidation type="textLength" operator="equal" allowBlank="1" showInputMessage="1" showErrorMessage="1" error="This cell should remain blank." sqref="B206">
      <formula1>0</formula1>
    </dataValidation>
    <dataValidation type="textLength" operator="equal" allowBlank="1" showInputMessage="1" showErrorMessage="1" error="This cell should remain blank." sqref="B210">
      <formula1>0</formula1>
    </dataValidation>
    <dataValidation type="textLength" operator="equal" allowBlank="1" showInputMessage="1" showErrorMessage="1" error="This cell should remain blank." sqref="B214">
      <formula1>0</formula1>
    </dataValidation>
    <dataValidation type="textLength" operator="equal" allowBlank="1" showInputMessage="1" showErrorMessage="1" error="This cell should remain blank." sqref="B218">
      <formula1>0</formula1>
    </dataValidation>
    <dataValidation type="textLength" operator="equal" allowBlank="1" showInputMessage="1" showErrorMessage="1" error="This cell should remain blank." sqref="B222">
      <formula1>0</formula1>
    </dataValidation>
    <dataValidation type="textLength" operator="equal" allowBlank="1" showInputMessage="1" showErrorMessage="1" error="This cell should remain blank." sqref="B224">
      <formula1>0</formula1>
    </dataValidation>
    <dataValidation type="textLength" operator="equal" allowBlank="1" showInputMessage="1" showErrorMessage="1" error="This cell should remain blank." sqref="B226">
      <formula1>0</formula1>
    </dataValidation>
    <dataValidation type="textLength" operator="equal" allowBlank="1" showInputMessage="1" showErrorMessage="1" error="This cell should remain blank." sqref="B230">
      <formula1>0</formula1>
    </dataValidation>
    <dataValidation type="textLength" operator="equal" allowBlank="1" showInputMessage="1" showErrorMessage="1" error="This cell should remain blank." sqref="B234">
      <formula1>0</formula1>
    </dataValidation>
    <dataValidation type="textLength" operator="equal" allowBlank="1" showInputMessage="1" showErrorMessage="1" error="This cell should remain blank." sqref="B238">
      <formula1>0</formula1>
    </dataValidation>
    <dataValidation type="textLength" operator="equal" allowBlank="1" showInputMessage="1" showErrorMessage="1" error="This cell should remain blank." sqref="B241">
      <formula1>0</formula1>
    </dataValidation>
    <dataValidation type="textLength" operator="equal" allowBlank="1" showInputMessage="1" showErrorMessage="1" error="This cell should remain blank." sqref="B244">
      <formula1>0</formula1>
    </dataValidation>
    <dataValidation type="textLength" operator="equal" allowBlank="1" showInputMessage="1" showErrorMessage="1" error="This cell should remain blank." sqref="B248">
      <formula1>0</formula1>
    </dataValidation>
    <dataValidation type="textLength" operator="equal" allowBlank="1" showInputMessage="1" showErrorMessage="1" error="This cell should remain blank." sqref="B252">
      <formula1>0</formula1>
    </dataValidation>
    <dataValidation type="textLength" operator="equal" allowBlank="1" showInputMessage="1" showErrorMessage="1" error="This cell should remain blank." sqref="B256">
      <formula1>0</formula1>
    </dataValidation>
    <dataValidation type="textLength" operator="equal" allowBlank="1" showInputMessage="1" showErrorMessage="1" error="This cell should remain blank." sqref="B260">
      <formula1>0</formula1>
    </dataValidation>
    <dataValidation type="textLength" operator="equal" allowBlank="1" showInputMessage="1" showErrorMessage="1" error="This cell should remain blank." sqref="B264">
      <formula1>0</formula1>
    </dataValidation>
    <dataValidation type="textLength" operator="equal" allowBlank="1" showInputMessage="1" showErrorMessage="1" error="This cell should remain blank." sqref="B268">
      <formula1>0</formula1>
    </dataValidation>
    <dataValidation type="textLength" operator="equal" allowBlank="1" showInputMessage="1" showErrorMessage="1" error="This cell should remain blank." sqref="B271">
      <formula1>0</formula1>
    </dataValidation>
    <dataValidation type="textLength" operator="equal" allowBlank="1" showInputMessage="1" showErrorMessage="1" error="This cell should remain blank." sqref="B275">
      <formula1>0</formula1>
    </dataValidation>
    <dataValidation type="textLength" operator="equal" allowBlank="1" showInputMessage="1" showErrorMessage="1" error="This cell should remain blank." sqref="B277">
      <formula1>0</formula1>
    </dataValidation>
    <dataValidation type="textLength" operator="equal" allowBlank="1" showInputMessage="1" showErrorMessage="1" error="This cell should remain blank." sqref="B281">
      <formula1>0</formula1>
    </dataValidation>
    <dataValidation type="decimal" operator="greaterThanOrEqual" allowBlank="1" showInputMessage="1" showErrorMessage="1" errorTitle="Volume data error" error="The volume must be a non-negative number." sqref="B282">
      <formula1>0</formula1>
    </dataValidation>
    <dataValidation type="textLength" operator="equal" allowBlank="1" showInputMessage="1" showErrorMessage="1" error="This cell should remain blank." sqref="B283">
      <formula1>0</formula1>
    </dataValidation>
    <dataValidation type="decimal" operator="greaterThanOrEqual" allowBlank="1" showInputMessage="1" showErrorMessage="1" errorTitle="Volume data error" error="The volume must be a non-negative number." sqref="B284:B285">
      <formula1>0</formula1>
    </dataValidation>
    <dataValidation type="textLength" operator="equal" allowBlank="1" showInputMessage="1" showErrorMessage="1" error="This cell should remain blank." sqref="B286">
      <formula1>0</formula1>
    </dataValidation>
    <dataValidation type="decimal" operator="greaterThanOrEqual" allowBlank="1" showInputMessage="1" showErrorMessage="1" errorTitle="Volume data error" error="The volume must be a non-negative number." sqref="B287">
      <formula1>0</formula1>
    </dataValidation>
    <dataValidation type="textLength" operator="equal" allowBlank="1" showInputMessage="1" showErrorMessage="1" error="This cell should remain blank." sqref="B288">
      <formula1>0</formula1>
    </dataValidation>
    <dataValidation type="decimal" operator="greaterThanOrEqual" allowBlank="1" showInputMessage="1" showErrorMessage="1" errorTitle="Volume data error" error="The volume must be a non-negative number." sqref="B289:B290">
      <formula1>0</formula1>
    </dataValidation>
    <dataValidation type="textLength" operator="equal" allowBlank="1" showInputMessage="1" showErrorMessage="1" error="This cell should remain blank." sqref="B291">
      <formula1>0</formula1>
    </dataValidation>
    <dataValidation type="decimal" operator="greaterThanOrEqual" allowBlank="1" showInputMessage="1" showErrorMessage="1" errorTitle="Volume data error" error="The volume must be a non-negative number." sqref="B292">
      <formula1>0</formula1>
    </dataValidation>
    <dataValidation type="textLength" operator="equal" allowBlank="1" showInputMessage="1" showErrorMessage="1" error="This cell should remain blank." sqref="B293">
      <formula1>0</formula1>
    </dataValidation>
    <dataValidation type="decimal" operator="greaterThanOrEqual" allowBlank="1" showInputMessage="1" showErrorMessage="1" errorTitle="Volume data error" error="The volume must be a non-negative number." sqref="B294:B295">
      <formula1>0</formula1>
    </dataValidation>
    <dataValidation type="textLength" operator="equal" allowBlank="1" showInputMessage="1" showErrorMessage="1" error="This cell should remain blank." sqref="B296">
      <formula1>0</formula1>
    </dataValidation>
    <dataValidation type="decimal" operator="greaterThanOrEqual" allowBlank="1" showInputMessage="1" showErrorMessage="1" errorTitle="Volume data error" error="The volume must be a non-negative number." sqref="B297">
      <formula1>0</formula1>
    </dataValidation>
    <dataValidation type="textLength" operator="equal" allowBlank="1" showInputMessage="1" showErrorMessage="1" error="This cell should remain blank." sqref="B298">
      <formula1>0</formula1>
    </dataValidation>
    <dataValidation type="decimal" operator="greaterThanOrEqual" allowBlank="1" showInputMessage="1" showErrorMessage="1" errorTitle="Volume data error" error="The volume must be a non-negative number." sqref="B299:B300">
      <formula1>0</formula1>
    </dataValidation>
    <dataValidation type="textLength" operator="equal" allowBlank="1" showInputMessage="1" showErrorMessage="1" error="This cell should remain blank." sqref="B301">
      <formula1>0</formula1>
    </dataValidation>
    <dataValidation type="decimal" operator="greaterThanOrEqual" allowBlank="1" showInputMessage="1" showErrorMessage="1" errorTitle="Volume data error" error="The volume must be a non-negative number." sqref="B302">
      <formula1>0</formula1>
    </dataValidation>
    <dataValidation type="textLength" operator="equal" allowBlank="1" showInputMessage="1" showErrorMessage="1" error="This cell should remain blank." sqref="C194">
      <formula1>0</formula1>
    </dataValidation>
    <dataValidation type="decimal" operator="greaterThanOrEqual" allowBlank="1" showInputMessage="1" showErrorMessage="1" errorTitle="Volume data error" error="The volume must be a non-negative number." sqref="C195:C197">
      <formula1>0</formula1>
    </dataValidation>
    <dataValidation type="textLength" operator="equal" allowBlank="1" showInputMessage="1" showErrorMessage="1" error="This cell should remain blank." sqref="C198">
      <formula1>0</formula1>
    </dataValidation>
    <dataValidation type="textLength" operator="equal" allowBlank="1" showInputMessage="1" showErrorMessage="1" error="This cell should remain blank." sqref="C202">
      <formula1>0</formula1>
    </dataValidation>
    <dataValidation type="decimal" operator="greaterThanOrEqual" allowBlank="1" showInputMessage="1" showErrorMessage="1" errorTitle="Volume data error" error="The volume must be a non-negative number." sqref="C203:C205">
      <formula1>0</formula1>
    </dataValidation>
    <dataValidation type="textLength" operator="equal" allowBlank="1" showInputMessage="1" showErrorMessage="1" error="This cell should remain blank." sqref="C206">
      <formula1>0</formula1>
    </dataValidation>
    <dataValidation type="decimal" operator="greaterThanOrEqual" allowBlank="1" showInputMessage="1" showErrorMessage="1" errorTitle="Volume data error" error="The volume must be a non-negative number." sqref="C207:C209">
      <formula1>0</formula1>
    </dataValidation>
    <dataValidation type="textLength" operator="equal" allowBlank="1" showInputMessage="1" showErrorMessage="1" error="This cell should remain blank." sqref="C210">
      <formula1>0</formula1>
    </dataValidation>
    <dataValidation type="textLength" operator="equal" allowBlank="1" showInputMessage="1" showErrorMessage="1" error="This cell should remain blank." sqref="C214">
      <formula1>0</formula1>
    </dataValidation>
    <dataValidation type="decimal" operator="greaterThanOrEqual" allowBlank="1" showInputMessage="1" showErrorMessage="1" errorTitle="Volume data error" error="The volume must be a non-negative number." sqref="C215:C217">
      <formula1>0</formula1>
    </dataValidation>
    <dataValidation type="textLength" operator="equal" allowBlank="1" showInputMessage="1" showErrorMessage="1" error="This cell should remain blank." sqref="C218">
      <formula1>0</formula1>
    </dataValidation>
    <dataValidation type="textLength" operator="equal" allowBlank="1" showInputMessage="1" showErrorMessage="1" error="This cell should remain blank." sqref="C222">
      <formula1>0</formula1>
    </dataValidation>
    <dataValidation type="textLength" operator="equal" allowBlank="1" showInputMessage="1" showErrorMessage="1" error="This cell should remain blank." sqref="C224">
      <formula1>0</formula1>
    </dataValidation>
    <dataValidation type="textLength" operator="equal" allowBlank="1" showInputMessage="1" showErrorMessage="1" error="This cell should remain blank." sqref="C226">
      <formula1>0</formula1>
    </dataValidation>
    <dataValidation type="textLength" operator="equal" allowBlank="1" showInputMessage="1" showErrorMessage="1" error="This cell should remain blank." sqref="C230">
      <formula1>0</formula1>
    </dataValidation>
    <dataValidation type="textLength" operator="equal" allowBlank="1" showInputMessage="1" showErrorMessage="1" error="This cell should remain blank." sqref="C234">
      <formula1>0</formula1>
    </dataValidation>
    <dataValidation type="textLength" operator="equal" allowBlank="1" showInputMessage="1" showErrorMessage="1" error="This cell should remain blank." sqref="C238">
      <formula1>0</formula1>
    </dataValidation>
    <dataValidation type="textLength" operator="equal" allowBlank="1" showInputMessage="1" showErrorMessage="1" error="This cell should remain blank." sqref="C241">
      <formula1>0</formula1>
    </dataValidation>
    <dataValidation type="textLength" operator="equal" allowBlank="1" showInputMessage="1" showErrorMessage="1" error="This cell should remain blank." sqref="C244">
      <formula1>0</formula1>
    </dataValidation>
    <dataValidation type="decimal" operator="greaterThanOrEqual" allowBlank="1" showInputMessage="1" showErrorMessage="1" errorTitle="Volume data error" error="The volume must be a non-negative number." sqref="C245:C247">
      <formula1>0</formula1>
    </dataValidation>
    <dataValidation type="textLength" operator="equal" allowBlank="1" showInputMessage="1" showErrorMessage="1" error="This cell should remain blank." sqref="C248">
      <formula1>0</formula1>
    </dataValidation>
    <dataValidation type="decimal" operator="greaterThanOrEqual" allowBlank="1" showInputMessage="1" showErrorMessage="1" errorTitle="Volume data error" error="The volume must be a non-negative number." sqref="C249:C251">
      <formula1>0</formula1>
    </dataValidation>
    <dataValidation type="textLength" operator="equal" allowBlank="1" showInputMessage="1" showErrorMessage="1" error="This cell should remain blank." sqref="C252">
      <formula1>0</formula1>
    </dataValidation>
    <dataValidation type="decimal" operator="greaterThanOrEqual" allowBlank="1" showInputMessage="1" showErrorMessage="1" errorTitle="Volume data error" error="The volume must be a non-negative number." sqref="C253:C255">
      <formula1>0</formula1>
    </dataValidation>
    <dataValidation type="textLength" operator="equal" allowBlank="1" showInputMessage="1" showErrorMessage="1" error="This cell should remain blank." sqref="C256">
      <formula1>0</formula1>
    </dataValidation>
    <dataValidation type="decimal" operator="greaterThanOrEqual" allowBlank="1" showInputMessage="1" showErrorMessage="1" errorTitle="Volume data error" error="The volume must be a non-negative number." sqref="C257:C259">
      <formula1>0</formula1>
    </dataValidation>
    <dataValidation type="textLength" operator="equal" allowBlank="1" showInputMessage="1" showErrorMessage="1" error="This cell should remain blank." sqref="C260">
      <formula1>0</formula1>
    </dataValidation>
    <dataValidation type="textLength" operator="equal" allowBlank="1" showInputMessage="1" showErrorMessage="1" error="This cell should remain blank." sqref="C264">
      <formula1>0</formula1>
    </dataValidation>
    <dataValidation type="decimal" operator="greaterThanOrEqual" allowBlank="1" showInputMessage="1" showErrorMessage="1" errorTitle="Volume data error" error="The volume must be a non-negative number." sqref="C265:C267">
      <formula1>0</formula1>
    </dataValidation>
    <dataValidation type="textLength" operator="equal" allowBlank="1" showInputMessage="1" showErrorMessage="1" error="This cell should remain blank." sqref="C268">
      <formula1>0</formula1>
    </dataValidation>
    <dataValidation type="decimal" operator="greaterThanOrEqual" allowBlank="1" showInputMessage="1" showErrorMessage="1" errorTitle="Volume data error" error="The volume must be a non-negative number." sqref="C269:C270">
      <formula1>0</formula1>
    </dataValidation>
    <dataValidation type="textLength" operator="equal" allowBlank="1" showInputMessage="1" showErrorMessage="1" error="This cell should remain blank." sqref="C271">
      <formula1>0</formula1>
    </dataValidation>
    <dataValidation type="decimal" operator="greaterThanOrEqual" allowBlank="1" showInputMessage="1" showErrorMessage="1" errorTitle="Volume data error" error="The volume must be a non-negative number." sqref="C272:C274">
      <formula1>0</formula1>
    </dataValidation>
    <dataValidation type="textLength" operator="equal" allowBlank="1" showInputMessage="1" showErrorMessage="1" error="This cell should remain blank." sqref="C275">
      <formula1>0</formula1>
    </dataValidation>
    <dataValidation type="decimal" operator="greaterThanOrEqual" allowBlank="1" showInputMessage="1" showErrorMessage="1" errorTitle="Volume data error" error="The volume must be a non-negative number." sqref="C276">
      <formula1>0</formula1>
    </dataValidation>
    <dataValidation type="textLength" operator="equal" allowBlank="1" showInputMessage="1" showErrorMessage="1" error="This cell should remain blank." sqref="C277">
      <formula1>0</formula1>
    </dataValidation>
    <dataValidation type="textLength" operator="equal" allowBlank="1" showInputMessage="1" showErrorMessage="1" error="This cell should remain blank." sqref="C281">
      <formula1>0</formula1>
    </dataValidation>
    <dataValidation type="decimal" operator="greaterThanOrEqual" allowBlank="1" showInputMessage="1" showErrorMessage="1" errorTitle="Volume data error" error="The volume must be a non-negative number." sqref="C282">
      <formula1>0</formula1>
    </dataValidation>
    <dataValidation type="textLength" operator="equal" allowBlank="1" showInputMessage="1" showErrorMessage="1" error="This cell should remain blank." sqref="C283">
      <formula1>0</formula1>
    </dataValidation>
    <dataValidation type="decimal" operator="greaterThanOrEqual" allowBlank="1" showInputMessage="1" showErrorMessage="1" errorTitle="Volume data error" error="The volume must be a non-negative number." sqref="C284:C285">
      <formula1>0</formula1>
    </dataValidation>
    <dataValidation type="textLength" operator="equal" allowBlank="1" showInputMessage="1" showErrorMessage="1" error="This cell should remain blank." sqref="C286">
      <formula1>0</formula1>
    </dataValidation>
    <dataValidation type="decimal" operator="greaterThanOrEqual" allowBlank="1" showInputMessage="1" showErrorMessage="1" errorTitle="Volume data error" error="The volume must be a non-negative number." sqref="C287">
      <formula1>0</formula1>
    </dataValidation>
    <dataValidation type="textLength" operator="equal" allowBlank="1" showInputMessage="1" showErrorMessage="1" error="This cell should remain blank." sqref="C288">
      <formula1>0</formula1>
    </dataValidation>
    <dataValidation type="decimal" operator="greaterThanOrEqual" allowBlank="1" showInputMessage="1" showErrorMessage="1" errorTitle="Volume data error" error="The volume must be a non-negative number." sqref="C289:C290">
      <formula1>0</formula1>
    </dataValidation>
    <dataValidation type="textLength" operator="equal" allowBlank="1" showInputMessage="1" showErrorMessage="1" error="This cell should remain blank." sqref="C291">
      <formula1>0</formula1>
    </dataValidation>
    <dataValidation type="decimal" operator="greaterThanOrEqual" allowBlank="1" showInputMessage="1" showErrorMessage="1" errorTitle="Volume data error" error="The volume must be a non-negative number." sqref="C292">
      <formula1>0</formula1>
    </dataValidation>
    <dataValidation type="textLength" operator="equal" allowBlank="1" showInputMessage="1" showErrorMessage="1" error="This cell should remain blank." sqref="C293">
      <formula1>0</formula1>
    </dataValidation>
    <dataValidation type="decimal" operator="greaterThanOrEqual" allowBlank="1" showInputMessage="1" showErrorMessage="1" errorTitle="Volume data error" error="The volume must be a non-negative number." sqref="C294:C295">
      <formula1>0</formula1>
    </dataValidation>
    <dataValidation type="textLength" operator="equal" allowBlank="1" showInputMessage="1" showErrorMessage="1" error="This cell should remain blank." sqref="C296">
      <formula1>0</formula1>
    </dataValidation>
    <dataValidation type="decimal" operator="greaterThanOrEqual" allowBlank="1" showInputMessage="1" showErrorMessage="1" errorTitle="Volume data error" error="The volume must be a non-negative number." sqref="C297">
      <formula1>0</formula1>
    </dataValidation>
    <dataValidation type="textLength" operator="equal" allowBlank="1" showInputMessage="1" showErrorMessage="1" error="This cell should remain blank." sqref="C298">
      <formula1>0</formula1>
    </dataValidation>
    <dataValidation type="decimal" operator="greaterThanOrEqual" allowBlank="1" showInputMessage="1" showErrorMessage="1" errorTitle="Volume data error" error="The volume must be a non-negative number." sqref="C299:C300">
      <formula1>0</formula1>
    </dataValidation>
    <dataValidation type="textLength" operator="equal" allowBlank="1" showInputMessage="1" showErrorMessage="1" error="This cell should remain blank." sqref="C301">
      <formula1>0</formula1>
    </dataValidation>
    <dataValidation type="decimal" operator="greaterThanOrEqual" allowBlank="1" showInputMessage="1" showErrorMessage="1" errorTitle="Volume data error" error="The volume must be a non-negative number." sqref="C302">
      <formula1>0</formula1>
    </dataValidation>
    <dataValidation type="textLength" operator="equal" allowBlank="1" showInputMessage="1" showErrorMessage="1" error="This cell should remain blank." sqref="D194">
      <formula1>0</formula1>
    </dataValidation>
    <dataValidation type="decimal" operator="greaterThanOrEqual" allowBlank="1" showInputMessage="1" showErrorMessage="1" errorTitle="Volume data error" error="The volume must be a non-negative number." sqref="D195:D197">
      <formula1>0</formula1>
    </dataValidation>
    <dataValidation type="textLength" operator="equal" allowBlank="1" showInputMessage="1" showErrorMessage="1" error="This cell should remain blank." sqref="D198">
      <formula1>0</formula1>
    </dataValidation>
    <dataValidation type="decimal" operator="greaterThanOrEqual" allowBlank="1" showInputMessage="1" showErrorMessage="1" errorTitle="Volume data error" error="The volume must be a non-negative number." sqref="D199:D201">
      <formula1>0</formula1>
    </dataValidation>
    <dataValidation type="textLength" operator="equal" allowBlank="1" showInputMessage="1" showErrorMessage="1" error="This cell should remain blank." sqref="D202">
      <formula1>0</formula1>
    </dataValidation>
    <dataValidation type="decimal" operator="greaterThanOrEqual" allowBlank="1" showInputMessage="1" showErrorMessage="1" errorTitle="Volume data error" error="The volume must be a non-negative number." sqref="D203:D205">
      <formula1>0</formula1>
    </dataValidation>
    <dataValidation type="textLength" operator="equal" allowBlank="1" showInputMessage="1" showErrorMessage="1" error="This cell should remain blank." sqref="D206">
      <formula1>0</formula1>
    </dataValidation>
    <dataValidation type="decimal" operator="greaterThanOrEqual" allowBlank="1" showInputMessage="1" showErrorMessage="1" errorTitle="Volume data error" error="The volume must be a non-negative number." sqref="D207:D209">
      <formula1>0</formula1>
    </dataValidation>
    <dataValidation type="textLength" operator="equal" allowBlank="1" showInputMessage="1" showErrorMessage="1" error="This cell should remain blank." sqref="D210">
      <formula1>0</formula1>
    </dataValidation>
    <dataValidation type="decimal" operator="greaterThanOrEqual" allowBlank="1" showInputMessage="1" showErrorMessage="1" errorTitle="Volume data error" error="The volume must be a non-negative number." sqref="D211:D213">
      <formula1>0</formula1>
    </dataValidation>
    <dataValidation type="textLength" operator="equal" allowBlank="1" showInputMessage="1" showErrorMessage="1" error="This cell should remain blank." sqref="D214">
      <formula1>0</formula1>
    </dataValidation>
    <dataValidation type="decimal" operator="greaterThanOrEqual" allowBlank="1" showInputMessage="1" showErrorMessage="1" errorTitle="Volume data error" error="The volume must be a non-negative number." sqref="D215:D217">
      <formula1>0</formula1>
    </dataValidation>
    <dataValidation type="textLength" operator="equal" allowBlank="1" showInputMessage="1" showErrorMessage="1" error="This cell should remain blank." sqref="D218">
      <formula1>0</formula1>
    </dataValidation>
    <dataValidation type="decimal" operator="greaterThanOrEqual" allowBlank="1" showInputMessage="1" showErrorMessage="1" errorTitle="Volume data error" error="The volume must be a non-negative number." sqref="D219:D221">
      <formula1>0</formula1>
    </dataValidation>
    <dataValidation type="textLength" operator="equal" allowBlank="1" showInputMessage="1" showErrorMessage="1" error="This cell should remain blank." sqref="D222">
      <formula1>0</formula1>
    </dataValidation>
    <dataValidation type="decimal" operator="greaterThanOrEqual" allowBlank="1" showInputMessage="1" showErrorMessage="1" errorTitle="Volume data error" error="The volume must be a non-negative number." sqref="D223">
      <formula1>0</formula1>
    </dataValidation>
    <dataValidation type="textLength" operator="equal" allowBlank="1" showInputMessage="1" showErrorMessage="1" error="This cell should remain blank." sqref="D224">
      <formula1>0</formula1>
    </dataValidation>
    <dataValidation type="decimal" operator="greaterThanOrEqual" allowBlank="1" showInputMessage="1" showErrorMessage="1" errorTitle="Volume data error" error="The volume must be a non-negative number." sqref="D225">
      <formula1>0</formula1>
    </dataValidation>
    <dataValidation type="textLength" operator="equal" allowBlank="1" showInputMessage="1" showErrorMessage="1" error="This cell should remain blank." sqref="D226">
      <formula1>0</formula1>
    </dataValidation>
    <dataValidation type="textLength" operator="equal" allowBlank="1" showInputMessage="1" showErrorMessage="1" error="This cell should remain blank." sqref="D230">
      <formula1>0</formula1>
    </dataValidation>
    <dataValidation type="textLength" operator="equal" allowBlank="1" showInputMessage="1" showErrorMessage="1" error="This cell should remain blank." sqref="D234">
      <formula1>0</formula1>
    </dataValidation>
    <dataValidation type="textLength" operator="equal" allowBlank="1" showInputMessage="1" showErrorMessage="1" error="This cell should remain blank." sqref="D238">
      <formula1>0</formula1>
    </dataValidation>
    <dataValidation type="textLength" operator="equal" allowBlank="1" showInputMessage="1" showErrorMessage="1" error="This cell should remain blank." sqref="D241">
      <formula1>0</formula1>
    </dataValidation>
    <dataValidation type="textLength" operator="equal" allowBlank="1" showInputMessage="1" showErrorMessage="1" error="This cell should remain blank." sqref="D244">
      <formula1>0</formula1>
    </dataValidation>
    <dataValidation type="decimal" operator="greaterThanOrEqual" allowBlank="1" showInputMessage="1" showErrorMessage="1" errorTitle="Volume data error" error="The volume must be a non-negative number." sqref="D245:D247">
      <formula1>0</formula1>
    </dataValidation>
    <dataValidation type="textLength" operator="equal" allowBlank="1" showInputMessage="1" showErrorMessage="1" error="This cell should remain blank." sqref="D248">
      <formula1>0</formula1>
    </dataValidation>
    <dataValidation type="decimal" operator="greaterThanOrEqual" allowBlank="1" showInputMessage="1" showErrorMessage="1" errorTitle="Volume data error" error="The volume must be a non-negative number." sqref="D249:D251">
      <formula1>0</formula1>
    </dataValidation>
    <dataValidation type="textLength" operator="equal" allowBlank="1" showInputMessage="1" showErrorMessage="1" error="This cell should remain blank." sqref="D252">
      <formula1>0</formula1>
    </dataValidation>
    <dataValidation type="decimal" operator="greaterThanOrEqual" allowBlank="1" showInputMessage="1" showErrorMessage="1" errorTitle="Volume data error" error="The volume must be a non-negative number." sqref="D253:D255">
      <formula1>0</formula1>
    </dataValidation>
    <dataValidation type="textLength" operator="equal" allowBlank="1" showInputMessage="1" showErrorMessage="1" error="This cell should remain blank." sqref="D256">
      <formula1>0</formula1>
    </dataValidation>
    <dataValidation type="decimal" operator="greaterThanOrEqual" allowBlank="1" showInputMessage="1" showErrorMessage="1" errorTitle="Volume data error" error="The volume must be a non-negative number." sqref="D257:D259">
      <formula1>0</formula1>
    </dataValidation>
    <dataValidation type="textLength" operator="equal" allowBlank="1" showInputMessage="1" showErrorMessage="1" error="This cell should remain blank." sqref="D260">
      <formula1>0</formula1>
    </dataValidation>
    <dataValidation type="textLength" operator="equal" allowBlank="1" showInputMessage="1" showErrorMessage="1" error="This cell should remain blank." sqref="D264">
      <formula1>0</formula1>
    </dataValidation>
    <dataValidation type="decimal" operator="greaterThanOrEqual" allowBlank="1" showInputMessage="1" showErrorMessage="1" errorTitle="Volume data error" error="The volume must be a non-negative number." sqref="D265:D267">
      <formula1>0</formula1>
    </dataValidation>
    <dataValidation type="textLength" operator="equal" allowBlank="1" showInputMessage="1" showErrorMessage="1" error="This cell should remain blank." sqref="D268">
      <formula1>0</formula1>
    </dataValidation>
    <dataValidation type="decimal" operator="greaterThanOrEqual" allowBlank="1" showInputMessage="1" showErrorMessage="1" errorTitle="Volume data error" error="The volume must be a non-negative number." sqref="D269:D270">
      <formula1>0</formula1>
    </dataValidation>
    <dataValidation type="textLength" operator="equal" allowBlank="1" showInputMessage="1" showErrorMessage="1" error="This cell should remain blank." sqref="D271">
      <formula1>0</formula1>
    </dataValidation>
    <dataValidation type="decimal" operator="greaterThanOrEqual" allowBlank="1" showInputMessage="1" showErrorMessage="1" errorTitle="Volume data error" error="The volume must be a non-negative number." sqref="D272:D274">
      <formula1>0</formula1>
    </dataValidation>
    <dataValidation type="textLength" operator="equal" allowBlank="1" showInputMessage="1" showErrorMessage="1" error="This cell should remain blank." sqref="D275">
      <formula1>0</formula1>
    </dataValidation>
    <dataValidation type="decimal" operator="greaterThanOrEqual" allowBlank="1" showInputMessage="1" showErrorMessage="1" errorTitle="Volume data error" error="The volume must be a non-negative number." sqref="D276">
      <formula1>0</formula1>
    </dataValidation>
    <dataValidation type="textLength" operator="equal" allowBlank="1" showInputMessage="1" showErrorMessage="1" error="This cell should remain blank." sqref="D277">
      <formula1>0</formula1>
    </dataValidation>
    <dataValidation type="textLength" operator="equal" allowBlank="1" showInputMessage="1" showErrorMessage="1" error="This cell should remain blank." sqref="D281">
      <formula1>0</formula1>
    </dataValidation>
    <dataValidation type="decimal" operator="greaterThanOrEqual" allowBlank="1" showInputMessage="1" showErrorMessage="1" errorTitle="Volume data error" error="The volume must be a non-negative number." sqref="D282">
      <formula1>0</formula1>
    </dataValidation>
    <dataValidation type="textLength" operator="equal" allowBlank="1" showInputMessage="1" showErrorMessage="1" error="This cell should remain blank." sqref="D283">
      <formula1>0</formula1>
    </dataValidation>
    <dataValidation type="decimal" operator="greaterThanOrEqual" allowBlank="1" showInputMessage="1" showErrorMessage="1" errorTitle="Volume data error" error="The volume must be a non-negative number." sqref="D284:D285">
      <formula1>0</formula1>
    </dataValidation>
    <dataValidation type="textLength" operator="equal" allowBlank="1" showInputMessage="1" showErrorMessage="1" error="This cell should remain blank." sqref="D286">
      <formula1>0</formula1>
    </dataValidation>
    <dataValidation type="decimal" operator="greaterThanOrEqual" allowBlank="1" showInputMessage="1" showErrorMessage="1" errorTitle="Volume data error" error="The volume must be a non-negative number." sqref="D287">
      <formula1>0</formula1>
    </dataValidation>
    <dataValidation type="textLength" operator="equal" allowBlank="1" showInputMessage="1" showErrorMessage="1" error="This cell should remain blank." sqref="D288">
      <formula1>0</formula1>
    </dataValidation>
    <dataValidation type="decimal" operator="greaterThanOrEqual" allowBlank="1" showInputMessage="1" showErrorMessage="1" errorTitle="Volume data error" error="The volume must be a non-negative number." sqref="D289:D290">
      <formula1>0</formula1>
    </dataValidation>
    <dataValidation type="textLength" operator="equal" allowBlank="1" showInputMessage="1" showErrorMessage="1" error="This cell should remain blank." sqref="D291">
      <formula1>0</formula1>
    </dataValidation>
    <dataValidation type="decimal" operator="greaterThanOrEqual" allowBlank="1" showInputMessage="1" showErrorMessage="1" errorTitle="Volume data error" error="The volume must be a non-negative number." sqref="D292">
      <formula1>0</formula1>
    </dataValidation>
    <dataValidation type="textLength" operator="equal" allowBlank="1" showInputMessage="1" showErrorMessage="1" error="This cell should remain blank." sqref="D293">
      <formula1>0</formula1>
    </dataValidation>
    <dataValidation type="decimal" operator="greaterThanOrEqual" allowBlank="1" showInputMessage="1" showErrorMessage="1" errorTitle="Volume data error" error="The volume must be a non-negative number." sqref="D294:D295">
      <formula1>0</formula1>
    </dataValidation>
    <dataValidation type="textLength" operator="equal" allowBlank="1" showInputMessage="1" showErrorMessage="1" error="This cell should remain blank." sqref="D296">
      <formula1>0</formula1>
    </dataValidation>
    <dataValidation type="decimal" operator="greaterThanOrEqual" allowBlank="1" showInputMessage="1" showErrorMessage="1" errorTitle="Volume data error" error="The volume must be a non-negative number." sqref="D297">
      <formula1>0</formula1>
    </dataValidation>
    <dataValidation type="textLength" operator="equal" allowBlank="1" showInputMessage="1" showErrorMessage="1" error="This cell should remain blank." sqref="D298">
      <formula1>0</formula1>
    </dataValidation>
    <dataValidation type="decimal" operator="greaterThanOrEqual" allowBlank="1" showInputMessage="1" showErrorMessage="1" errorTitle="Volume data error" error="The volume must be a non-negative number." sqref="D299:D300">
      <formula1>0</formula1>
    </dataValidation>
    <dataValidation type="textLength" operator="equal" allowBlank="1" showInputMessage="1" showErrorMessage="1" error="This cell should remain blank." sqref="D301">
      <formula1>0</formula1>
    </dataValidation>
    <dataValidation type="decimal" operator="greaterThanOrEqual" allowBlank="1" showInputMessage="1" showErrorMessage="1" errorTitle="Volume data error" error="The volume must be a non-negative number." sqref="D302">
      <formula1>0</formula1>
    </dataValidation>
    <dataValidation type="textLength" operator="equal" allowBlank="1" showInputMessage="1" showErrorMessage="1" error="This cell should remain blank." sqref="E194">
      <formula1>0</formula1>
    </dataValidation>
    <dataValidation type="textLength" operator="equal" allowBlank="1" showInputMessage="1" showErrorMessage="1" error="This cell should remain blank." sqref="E198">
      <formula1>0</formula1>
    </dataValidation>
    <dataValidation type="textLength" operator="equal" allowBlank="1" showInputMessage="1" showErrorMessage="1" error="This cell should remain blank." sqref="E202">
      <formula1>0</formula1>
    </dataValidation>
    <dataValidation type="textLength" operator="equal" allowBlank="1" showInputMessage="1" showErrorMessage="1" error="This cell should remain blank." sqref="E206">
      <formula1>0</formula1>
    </dataValidation>
    <dataValidation type="textLength" operator="equal" allowBlank="1" showInputMessage="1" showErrorMessage="1" error="This cell should remain blank." sqref="E210">
      <formula1>0</formula1>
    </dataValidation>
    <dataValidation type="textLength" operator="equal" allowBlank="1" showInputMessage="1" showErrorMessage="1" error="This cell should remain blank." sqref="E214">
      <formula1>0</formula1>
    </dataValidation>
    <dataValidation type="textLength" operator="equal" allowBlank="1" showInputMessage="1" showErrorMessage="1" error="This cell should remain blank." sqref="E218">
      <formula1>0</formula1>
    </dataValidation>
    <dataValidation type="textLength" operator="equal" allowBlank="1" showInputMessage="1" showErrorMessage="1" error="This cell should remain blank." sqref="E222">
      <formula1>0</formula1>
    </dataValidation>
    <dataValidation type="textLength" operator="equal" allowBlank="1" showInputMessage="1" showErrorMessage="1" error="This cell should remain blank." sqref="E224">
      <formula1>0</formula1>
    </dataValidation>
    <dataValidation type="textLength" operator="equal" allowBlank="1" showInputMessage="1" showErrorMessage="1" error="This cell should remain blank." sqref="E226">
      <formula1>0</formula1>
    </dataValidation>
    <dataValidation type="textLength" operator="equal" allowBlank="1" showInputMessage="1" showErrorMessage="1" error="This cell should remain blank." sqref="E230">
      <formula1>0</formula1>
    </dataValidation>
    <dataValidation type="textLength" operator="equal" allowBlank="1" showInputMessage="1" showErrorMessage="1" error="This cell should remain blank." sqref="E234">
      <formula1>0</formula1>
    </dataValidation>
    <dataValidation type="textLength" operator="equal" allowBlank="1" showInputMessage="1" showErrorMessage="1" error="This cell should remain blank." sqref="E238">
      <formula1>0</formula1>
    </dataValidation>
    <dataValidation type="textLength" operator="equal" allowBlank="1" showInputMessage="1" showErrorMessage="1" error="This cell should remain blank." sqref="E241">
      <formula1>0</formula1>
    </dataValidation>
    <dataValidation type="textLength" operator="equal" allowBlank="1" showInputMessage="1" showErrorMessage="1" error="This cell should remain blank." sqref="E244">
      <formula1>0</formula1>
    </dataValidation>
    <dataValidation type="textLength" operator="equal" allowBlank="1" showInputMessage="1" showErrorMessage="1" error="This cell should remain blank." sqref="E248">
      <formula1>0</formula1>
    </dataValidation>
    <dataValidation type="textLength" operator="equal" allowBlank="1" showInputMessage="1" showErrorMessage="1" error="This cell should remain blank." sqref="E252">
      <formula1>0</formula1>
    </dataValidation>
    <dataValidation type="textLength" operator="equal" allowBlank="1" showInputMessage="1" showErrorMessage="1" error="This cell should remain blank." sqref="E256">
      <formula1>0</formula1>
    </dataValidation>
    <dataValidation type="textLength" operator="equal" allowBlank="1" showInputMessage="1" showErrorMessage="1" error="This cell should remain blank." sqref="E260">
      <formula1>0</formula1>
    </dataValidation>
    <dataValidation type="textLength" operator="equal" allowBlank="1" showInputMessage="1" showErrorMessage="1" error="This cell should remain blank." sqref="E264">
      <formula1>0</formula1>
    </dataValidation>
    <dataValidation type="textLength" operator="equal" allowBlank="1" showInputMessage="1" showErrorMessage="1" error="This cell should remain blank." sqref="E268">
      <formula1>0</formula1>
    </dataValidation>
    <dataValidation type="textLength" operator="equal" allowBlank="1" showInputMessage="1" showErrorMessage="1" error="This cell should remain blank." sqref="E271">
      <formula1>0</formula1>
    </dataValidation>
    <dataValidation type="textLength" operator="equal" allowBlank="1" showInputMessage="1" showErrorMessage="1" error="This cell should remain blank." sqref="E275">
      <formula1>0</formula1>
    </dataValidation>
    <dataValidation type="textLength" operator="equal" allowBlank="1" showInputMessage="1" showErrorMessage="1" error="This cell should remain blank." sqref="E277">
      <formula1>0</formula1>
    </dataValidation>
    <dataValidation type="textLength" operator="equal" allowBlank="1" showInputMessage="1" showErrorMessage="1" error="This cell should remain blank." sqref="E281">
      <formula1>0</formula1>
    </dataValidation>
    <dataValidation type="decimal" operator="greaterThanOrEqual" allowBlank="1" showInputMessage="1" showErrorMessage="1" errorTitle="Volume data error" error="The volume must be a non-negative number." sqref="E282">
      <formula1>0</formula1>
    </dataValidation>
    <dataValidation type="textLength" operator="equal" allowBlank="1" showInputMessage="1" showErrorMessage="1" error="This cell should remain blank." sqref="E283">
      <formula1>0</formula1>
    </dataValidation>
    <dataValidation type="decimal" operator="greaterThanOrEqual" allowBlank="1" showInputMessage="1" showErrorMessage="1" errorTitle="Volume data error" error="The volume must be a non-negative number." sqref="E284:E285">
      <formula1>0</formula1>
    </dataValidation>
    <dataValidation type="textLength" operator="equal" allowBlank="1" showInputMessage="1" showErrorMessage="1" error="This cell should remain blank." sqref="E286">
      <formula1>0</formula1>
    </dataValidation>
    <dataValidation type="decimal" operator="greaterThanOrEqual" allowBlank="1" showInputMessage="1" showErrorMessage="1" errorTitle="Volume data error" error="The volume must be a non-negative number." sqref="E287">
      <formula1>0</formula1>
    </dataValidation>
    <dataValidation type="textLength" operator="equal" allowBlank="1" showInputMessage="1" showErrorMessage="1" error="This cell should remain blank." sqref="E288">
      <formula1>0</formula1>
    </dataValidation>
    <dataValidation type="decimal" operator="greaterThanOrEqual" allowBlank="1" showInputMessage="1" showErrorMessage="1" errorTitle="Volume data error" error="The volume must be a non-negative number." sqref="E289:E290">
      <formula1>0</formula1>
    </dataValidation>
    <dataValidation type="textLength" operator="equal" allowBlank="1" showInputMessage="1" showErrorMessage="1" error="This cell should remain blank." sqref="E291">
      <formula1>0</formula1>
    </dataValidation>
    <dataValidation type="decimal" operator="greaterThanOrEqual" allowBlank="1" showInputMessage="1" showErrorMessage="1" errorTitle="Volume data error" error="The volume must be a non-negative number." sqref="E292">
      <formula1>0</formula1>
    </dataValidation>
    <dataValidation type="textLength" operator="equal" allowBlank="1" showInputMessage="1" showErrorMessage="1" error="This cell should remain blank." sqref="E293">
      <formula1>0</formula1>
    </dataValidation>
    <dataValidation type="decimal" operator="greaterThanOrEqual" allowBlank="1" showInputMessage="1" showErrorMessage="1" errorTitle="Volume data error" error="The volume must be a non-negative number." sqref="E294:E295">
      <formula1>0</formula1>
    </dataValidation>
    <dataValidation type="textLength" operator="equal" allowBlank="1" showInputMessage="1" showErrorMessage="1" error="This cell should remain blank." sqref="E296">
      <formula1>0</formula1>
    </dataValidation>
    <dataValidation type="decimal" operator="greaterThanOrEqual" allowBlank="1" showInputMessage="1" showErrorMessage="1" errorTitle="Volume data error" error="The volume must be a non-negative number." sqref="E297">
      <formula1>0</formula1>
    </dataValidation>
    <dataValidation type="textLength" operator="equal" allowBlank="1" showInputMessage="1" showErrorMessage="1" error="This cell should remain blank." sqref="E298">
      <formula1>0</formula1>
    </dataValidation>
    <dataValidation type="decimal" operator="greaterThanOrEqual" allowBlank="1" showInputMessage="1" showErrorMessage="1" errorTitle="Volume data error" error="The volume must be a non-negative number." sqref="E299:E300">
      <formula1>0</formula1>
    </dataValidation>
    <dataValidation type="textLength" operator="equal" allowBlank="1" showInputMessage="1" showErrorMessage="1" error="This cell should remain blank." sqref="E301">
      <formula1>0</formula1>
    </dataValidation>
    <dataValidation type="decimal" operator="greaterThanOrEqual" allowBlank="1" showInputMessage="1" showErrorMessage="1" errorTitle="Volume data error" error="The volume must be a non-negative number." sqref="E302">
      <formula1>0</formula1>
    </dataValidation>
    <dataValidation type="textLength" operator="equal" allowBlank="1" showInputMessage="1" showErrorMessage="1" error="This cell should remain blank." sqref="F194">
      <formula1>0</formula1>
    </dataValidation>
    <dataValidation type="decimal" operator="greaterThanOrEqual" allowBlank="1" showInputMessage="1" showErrorMessage="1" errorTitle="Volume data error" error="The volume must be a non-negative number." sqref="F195:F197">
      <formula1>0</formula1>
    </dataValidation>
    <dataValidation type="textLength" operator="equal" allowBlank="1" showInputMessage="1" showErrorMessage="1" error="This cell should remain blank." sqref="F198">
      <formula1>0</formula1>
    </dataValidation>
    <dataValidation type="decimal" operator="greaterThanOrEqual" allowBlank="1" showInputMessage="1" showErrorMessage="1" errorTitle="Volume data error" error="The volume must be a non-negative number." sqref="F199:F201">
      <formula1>0</formula1>
    </dataValidation>
    <dataValidation type="textLength" operator="equal" allowBlank="1" showInputMessage="1" showErrorMessage="1" error="This cell should remain blank." sqref="F202">
      <formula1>0</formula1>
    </dataValidation>
    <dataValidation type="decimal" operator="greaterThanOrEqual" allowBlank="1" showInputMessage="1" showErrorMessage="1" errorTitle="Volume data error" error="The volume must be a non-negative number." sqref="F203:F205">
      <formula1>0</formula1>
    </dataValidation>
    <dataValidation type="textLength" operator="equal" allowBlank="1" showInputMessage="1" showErrorMessage="1" error="This cell should remain blank." sqref="F206">
      <formula1>0</formula1>
    </dataValidation>
    <dataValidation type="decimal" operator="greaterThanOrEqual" allowBlank="1" showInputMessage="1" showErrorMessage="1" errorTitle="Volume data error" error="The volume must be a non-negative number." sqref="F207:F209">
      <formula1>0</formula1>
    </dataValidation>
    <dataValidation type="textLength" operator="equal" allowBlank="1" showInputMessage="1" showErrorMessage="1" error="This cell should remain blank." sqref="F210">
      <formula1>0</formula1>
    </dataValidation>
    <dataValidation type="decimal" operator="greaterThanOrEqual" allowBlank="1" showInputMessage="1" showErrorMessage="1" errorTitle="Volume data error" error="The volume must be a non-negative number." sqref="F211:F213">
      <formula1>0</formula1>
    </dataValidation>
    <dataValidation type="textLength" operator="equal" allowBlank="1" showInputMessage="1" showErrorMessage="1" error="This cell should remain blank." sqref="F214">
      <formula1>0</formula1>
    </dataValidation>
    <dataValidation type="decimal" operator="greaterThanOrEqual" allowBlank="1" showInputMessage="1" showErrorMessage="1" errorTitle="Volume data error" error="The volume must be a non-negative number." sqref="F215:F217">
      <formula1>0</formula1>
    </dataValidation>
    <dataValidation type="textLength" operator="equal" allowBlank="1" showInputMessage="1" showErrorMessage="1" error="This cell should remain blank." sqref="F218">
      <formula1>0</formula1>
    </dataValidation>
    <dataValidation type="decimal" operator="greaterThanOrEqual" allowBlank="1" showInputMessage="1" showErrorMessage="1" errorTitle="Volume data error" error="The volume must be a non-negative number." sqref="F219:F221">
      <formula1>0</formula1>
    </dataValidation>
    <dataValidation type="textLength" operator="equal" allowBlank="1" showInputMessage="1" showErrorMessage="1" error="This cell should remain blank." sqref="F222">
      <formula1>0</formula1>
    </dataValidation>
    <dataValidation type="decimal" operator="greaterThanOrEqual" allowBlank="1" showInputMessage="1" showErrorMessage="1" errorTitle="Volume data error" error="The volume must be a non-negative number." sqref="F223">
      <formula1>0</formula1>
    </dataValidation>
    <dataValidation type="textLength" operator="equal" allowBlank="1" showInputMessage="1" showErrorMessage="1" error="This cell should remain blank." sqref="F224">
      <formula1>0</formula1>
    </dataValidation>
    <dataValidation type="decimal" operator="greaterThanOrEqual" allowBlank="1" showInputMessage="1" showErrorMessage="1" errorTitle="Volume data error" error="The volume must be a non-negative number." sqref="F225">
      <formula1>0</formula1>
    </dataValidation>
    <dataValidation type="textLength" operator="equal" allowBlank="1" showInputMessage="1" showErrorMessage="1" error="This cell should remain blank." sqref="F226">
      <formula1>0</formula1>
    </dataValidation>
    <dataValidation type="decimal" operator="greaterThanOrEqual" allowBlank="1" showInputMessage="1" showErrorMessage="1" errorTitle="Volume data error" error="The volume must be a non-negative number." sqref="F227:F229">
      <formula1>0</formula1>
    </dataValidation>
    <dataValidation type="textLength" operator="equal" allowBlank="1" showInputMessage="1" showErrorMessage="1" error="This cell should remain blank." sqref="F230">
      <formula1>0</formula1>
    </dataValidation>
    <dataValidation type="decimal" operator="greaterThanOrEqual" allowBlank="1" showInputMessage="1" showErrorMessage="1" errorTitle="Volume data error" error="The volume must be a non-negative number." sqref="F231:F233">
      <formula1>0</formula1>
    </dataValidation>
    <dataValidation type="textLength" operator="equal" allowBlank="1" showInputMessage="1" showErrorMessage="1" error="This cell should remain blank." sqref="F234">
      <formula1>0</formula1>
    </dataValidation>
    <dataValidation type="textLength" operator="equal" allowBlank="1" showInputMessage="1" showErrorMessage="1" error="This cell should remain blank." sqref="F238">
      <formula1>0</formula1>
    </dataValidation>
    <dataValidation type="textLength" operator="equal" allowBlank="1" showInputMessage="1" showErrorMessage="1" error="This cell should remain blank." sqref="F241">
      <formula1>0</formula1>
    </dataValidation>
    <dataValidation type="textLength" operator="equal" allowBlank="1" showInputMessage="1" showErrorMessage="1" error="This cell should remain blank." sqref="F244">
      <formula1>0</formula1>
    </dataValidation>
    <dataValidation type="decimal" operator="greaterThanOrEqual" allowBlank="1" showInputMessage="1" showErrorMessage="1" errorTitle="Volume data error" error="The volume must be a non-negative number." sqref="F245:F247">
      <formula1>0</formula1>
    </dataValidation>
    <dataValidation type="textLength" operator="equal" allowBlank="1" showInputMessage="1" showErrorMessage="1" error="This cell should remain blank." sqref="F248">
      <formula1>0</formula1>
    </dataValidation>
    <dataValidation type="decimal" operator="greaterThanOrEqual" allowBlank="1" showInputMessage="1" showErrorMessage="1" errorTitle="Volume data error" error="The volume must be a non-negative number." sqref="F249:F251">
      <formula1>0</formula1>
    </dataValidation>
    <dataValidation type="textLength" operator="equal" allowBlank="1" showInputMessage="1" showErrorMessage="1" error="This cell should remain blank." sqref="F252">
      <formula1>0</formula1>
    </dataValidation>
    <dataValidation type="decimal" operator="greaterThanOrEqual" allowBlank="1" showInputMessage="1" showErrorMessage="1" errorTitle="Volume data error" error="The volume must be a non-negative number." sqref="F253:F255">
      <formula1>0</formula1>
    </dataValidation>
    <dataValidation type="textLength" operator="equal" allowBlank="1" showInputMessage="1" showErrorMessage="1" error="This cell should remain blank." sqref="F256">
      <formula1>0</formula1>
    </dataValidation>
    <dataValidation type="decimal" operator="greaterThanOrEqual" allowBlank="1" showInputMessage="1" showErrorMessage="1" errorTitle="Volume data error" error="The volume must be a non-negative number." sqref="F257:F259">
      <formula1>0</formula1>
    </dataValidation>
    <dataValidation type="textLength" operator="equal" allowBlank="1" showInputMessage="1" showErrorMessage="1" error="This cell should remain blank." sqref="F260">
      <formula1>0</formula1>
    </dataValidation>
    <dataValidation type="decimal" operator="greaterThanOrEqual" allowBlank="1" showInputMessage="1" showErrorMessage="1" errorTitle="Volume data error" error="The volume must be a non-negative number." sqref="F261:F263">
      <formula1>0</formula1>
    </dataValidation>
    <dataValidation type="textLength" operator="equal" allowBlank="1" showInputMessage="1" showErrorMessage="1" error="This cell should remain blank." sqref="F264">
      <formula1>0</formula1>
    </dataValidation>
    <dataValidation type="decimal" operator="greaterThanOrEqual" allowBlank="1" showInputMessage="1" showErrorMessage="1" errorTitle="Volume data error" error="The volume must be a non-negative number." sqref="F265:F267">
      <formula1>0</formula1>
    </dataValidation>
    <dataValidation type="textLength" operator="equal" allowBlank="1" showInputMessage="1" showErrorMessage="1" error="This cell should remain blank." sqref="F268">
      <formula1>0</formula1>
    </dataValidation>
    <dataValidation type="decimal" operator="greaterThanOrEqual" allowBlank="1" showInputMessage="1" showErrorMessage="1" errorTitle="Volume data error" error="The volume must be a non-negative number." sqref="F269:F270">
      <formula1>0</formula1>
    </dataValidation>
    <dataValidation type="textLength" operator="equal" allowBlank="1" showInputMessage="1" showErrorMessage="1" error="This cell should remain blank." sqref="F271">
      <formula1>0</formula1>
    </dataValidation>
    <dataValidation type="decimal" operator="greaterThanOrEqual" allowBlank="1" showInputMessage="1" showErrorMessage="1" errorTitle="Volume data error" error="The volume must be a non-negative number." sqref="F272:F274">
      <formula1>0</formula1>
    </dataValidation>
    <dataValidation type="textLength" operator="equal" allowBlank="1" showInputMessage="1" showErrorMessage="1" error="This cell should remain blank." sqref="F275">
      <formula1>0</formula1>
    </dataValidation>
    <dataValidation type="decimal" operator="greaterThanOrEqual" allowBlank="1" showInputMessage="1" showErrorMessage="1" errorTitle="Volume data error" error="The volume must be a non-negative number." sqref="F276">
      <formula1>0</formula1>
    </dataValidation>
    <dataValidation type="textLength" operator="equal" allowBlank="1" showInputMessage="1" showErrorMessage="1" error="This cell should remain blank." sqref="F277">
      <formula1>0</formula1>
    </dataValidation>
    <dataValidation type="decimal" operator="greaterThanOrEqual" allowBlank="1" showInputMessage="1" showErrorMessage="1" errorTitle="Volume data error" error="The volume must be a non-negative number." sqref="F278:F280">
      <formula1>0</formula1>
    </dataValidation>
    <dataValidation type="textLength" operator="equal" allowBlank="1" showInputMessage="1" showErrorMessage="1" error="This cell should remain blank." sqref="F281">
      <formula1>0</formula1>
    </dataValidation>
    <dataValidation type="decimal" operator="greaterThanOrEqual" allowBlank="1" showInputMessage="1" showErrorMessage="1" errorTitle="Volume data error" error="The volume must be a non-negative number." sqref="F282">
      <formula1>0</formula1>
    </dataValidation>
    <dataValidation type="textLength" operator="equal" allowBlank="1" showInputMessage="1" showErrorMessage="1" error="This cell should remain blank." sqref="F283">
      <formula1>0</formula1>
    </dataValidation>
    <dataValidation type="decimal" operator="greaterThanOrEqual" allowBlank="1" showInputMessage="1" showErrorMessage="1" errorTitle="Volume data error" error="The volume must be a non-negative number." sqref="F284:F285">
      <formula1>0</formula1>
    </dataValidation>
    <dataValidation type="textLength" operator="equal" allowBlank="1" showInputMessage="1" showErrorMessage="1" error="This cell should remain blank." sqref="F286">
      <formula1>0</formula1>
    </dataValidation>
    <dataValidation type="decimal" operator="greaterThanOrEqual" allowBlank="1" showInputMessage="1" showErrorMessage="1" errorTitle="Volume data error" error="The volume must be a non-negative number." sqref="F287">
      <formula1>0</formula1>
    </dataValidation>
    <dataValidation type="textLength" operator="equal" allowBlank="1" showInputMessage="1" showErrorMessage="1" error="This cell should remain blank." sqref="F288">
      <formula1>0</formula1>
    </dataValidation>
    <dataValidation type="decimal" operator="greaterThanOrEqual" allowBlank="1" showInputMessage="1" showErrorMessage="1" errorTitle="Volume data error" error="The volume must be a non-negative number." sqref="F289:F290">
      <formula1>0</formula1>
    </dataValidation>
    <dataValidation type="textLength" operator="equal" allowBlank="1" showInputMessage="1" showErrorMessage="1" error="This cell should remain blank." sqref="F291">
      <formula1>0</formula1>
    </dataValidation>
    <dataValidation type="decimal" operator="greaterThanOrEqual" allowBlank="1" showInputMessage="1" showErrorMessage="1" errorTitle="Volume data error" error="The volume must be a non-negative number." sqref="F292">
      <formula1>0</formula1>
    </dataValidation>
    <dataValidation type="textLength" operator="equal" allowBlank="1" showInputMessage="1" showErrorMessage="1" error="This cell should remain blank." sqref="F293">
      <formula1>0</formula1>
    </dataValidation>
    <dataValidation type="decimal" operator="greaterThanOrEqual" allowBlank="1" showInputMessage="1" showErrorMessage="1" errorTitle="Volume data error" error="The volume must be a non-negative number." sqref="F294:F295">
      <formula1>0</formula1>
    </dataValidation>
    <dataValidation type="textLength" operator="equal" allowBlank="1" showInputMessage="1" showErrorMessage="1" error="This cell should remain blank." sqref="F296">
      <formula1>0</formula1>
    </dataValidation>
    <dataValidation type="decimal" operator="greaterThanOrEqual" allowBlank="1" showInputMessage="1" showErrorMessage="1" errorTitle="Volume data error" error="The volume must be a non-negative number." sqref="F297">
      <formula1>0</formula1>
    </dataValidation>
    <dataValidation type="textLength" operator="equal" allowBlank="1" showInputMessage="1" showErrorMessage="1" error="This cell should remain blank." sqref="F298">
      <formula1>0</formula1>
    </dataValidation>
    <dataValidation type="decimal" operator="greaterThanOrEqual" allowBlank="1" showInputMessage="1" showErrorMessage="1" errorTitle="Volume data error" error="The volume must be a non-negative number." sqref="F299:F300">
      <formula1>0</formula1>
    </dataValidation>
    <dataValidation type="textLength" operator="equal" allowBlank="1" showInputMessage="1" showErrorMessage="1" error="This cell should remain blank." sqref="F301">
      <formula1>0</formula1>
    </dataValidation>
    <dataValidation type="decimal" operator="greaterThanOrEqual" allowBlank="1" showInputMessage="1" showErrorMessage="1" errorTitle="Volume data error" error="The volume must be a non-negative number." sqref="F302">
      <formula1>0</formula1>
    </dataValidation>
    <dataValidation type="textLength" operator="equal" allowBlank="1" showInputMessage="1" showErrorMessage="1" error="This cell should remain blank." sqref="G194">
      <formula1>0</formula1>
    </dataValidation>
    <dataValidation type="decimal" operator="greaterThanOrEqual" allowBlank="1" showInputMessage="1" showErrorMessage="1" errorTitle="Volume data error" error="The volume must be a non-negative number." sqref="G195:G197">
      <formula1>0</formula1>
    </dataValidation>
    <dataValidation type="textLength" operator="equal" allowBlank="1" showInputMessage="1" showErrorMessage="1" error="This cell should remain blank." sqref="G198">
      <formula1>0</formula1>
    </dataValidation>
    <dataValidation type="decimal" operator="greaterThanOrEqual" allowBlank="1" showInputMessage="1" showErrorMessage="1" errorTitle="Volume data error" error="The volume must be a non-negative number." sqref="G199:G201">
      <formula1>0</formula1>
    </dataValidation>
    <dataValidation type="textLength" operator="equal" allowBlank="1" showInputMessage="1" showErrorMessage="1" error="This cell should remain blank." sqref="G202">
      <formula1>0</formula1>
    </dataValidation>
    <dataValidation type="decimal" operator="greaterThanOrEqual" allowBlank="1" showInputMessage="1" showErrorMessage="1" errorTitle="Volume data error" error="The volume must be a non-negative number." sqref="G203:G205">
      <formula1>0</formula1>
    </dataValidation>
    <dataValidation type="textLength" operator="equal" allowBlank="1" showInputMessage="1" showErrorMessage="1" error="This cell should remain blank." sqref="G206">
      <formula1>0</formula1>
    </dataValidation>
    <dataValidation type="decimal" operator="greaterThanOrEqual" allowBlank="1" showInputMessage="1" showErrorMessage="1" errorTitle="Volume data error" error="The volume must be a non-negative number." sqref="G207:G209">
      <formula1>0</formula1>
    </dataValidation>
    <dataValidation type="textLength" operator="equal" allowBlank="1" showInputMessage="1" showErrorMessage="1" error="This cell should remain blank." sqref="G210">
      <formula1>0</formula1>
    </dataValidation>
    <dataValidation type="decimal" operator="greaterThanOrEqual" allowBlank="1" showInputMessage="1" showErrorMessage="1" errorTitle="Volume data error" error="The volume must be a non-negative number." sqref="G211:G213">
      <formula1>0</formula1>
    </dataValidation>
    <dataValidation type="textLength" operator="equal" allowBlank="1" showInputMessage="1" showErrorMessage="1" error="This cell should remain blank." sqref="G214">
      <formula1>0</formula1>
    </dataValidation>
    <dataValidation type="decimal" operator="greaterThanOrEqual" allowBlank="1" showInputMessage="1" showErrorMessage="1" errorTitle="Volume data error" error="The volume must be a non-negative number." sqref="G215:G217">
      <formula1>0</formula1>
    </dataValidation>
    <dataValidation type="textLength" operator="equal" allowBlank="1" showInputMessage="1" showErrorMessage="1" error="This cell should remain blank." sqref="G218">
      <formula1>0</formula1>
    </dataValidation>
    <dataValidation type="decimal" operator="greaterThanOrEqual" allowBlank="1" showInputMessage="1" showErrorMessage="1" errorTitle="Volume data error" error="The volume must be a non-negative number." sqref="G219:G221">
      <formula1>0</formula1>
    </dataValidation>
    <dataValidation type="textLength" operator="equal" allowBlank="1" showInputMessage="1" showErrorMessage="1" error="This cell should remain blank." sqref="G222">
      <formula1>0</formula1>
    </dataValidation>
    <dataValidation type="decimal" operator="greaterThanOrEqual" allowBlank="1" showInputMessage="1" showErrorMessage="1" errorTitle="Volume data error" error="The volume must be a non-negative number." sqref="G223">
      <formula1>0</formula1>
    </dataValidation>
    <dataValidation type="textLength" operator="equal" allowBlank="1" showInputMessage="1" showErrorMessage="1" error="This cell should remain blank." sqref="G224">
      <formula1>0</formula1>
    </dataValidation>
    <dataValidation type="decimal" operator="greaterThanOrEqual" allowBlank="1" showInputMessage="1" showErrorMessage="1" errorTitle="Volume data error" error="The volume must be a non-negative number." sqref="G225">
      <formula1>0</formula1>
    </dataValidation>
    <dataValidation type="textLength" operator="equal" allowBlank="1" showInputMessage="1" showErrorMessage="1" error="This cell should remain blank." sqref="G226">
      <formula1>0</formula1>
    </dataValidation>
    <dataValidation type="decimal" operator="greaterThanOrEqual" allowBlank="1" showInputMessage="1" showErrorMessage="1" errorTitle="Volume data error" error="The volume must be a non-negative number." sqref="G227:G229">
      <formula1>0</formula1>
    </dataValidation>
    <dataValidation type="textLength" operator="equal" allowBlank="1" showInputMessage="1" showErrorMessage="1" error="This cell should remain blank." sqref="G230">
      <formula1>0</formula1>
    </dataValidation>
    <dataValidation type="decimal" operator="greaterThanOrEqual" allowBlank="1" showInputMessage="1" showErrorMessage="1" errorTitle="Volume data error" error="The volume must be a non-negative number." sqref="G231:G233">
      <formula1>0</formula1>
    </dataValidation>
    <dataValidation type="textLength" operator="equal" allowBlank="1" showInputMessage="1" showErrorMessage="1" error="This cell should remain blank." sqref="G234">
      <formula1>0</formula1>
    </dataValidation>
    <dataValidation type="textLength" operator="equal" allowBlank="1" showInputMessage="1" showErrorMessage="1" error="This cell should remain blank." sqref="G238">
      <formula1>0</formula1>
    </dataValidation>
    <dataValidation type="textLength" operator="equal" allowBlank="1" showInputMessage="1" showErrorMessage="1" error="This cell should remain blank." sqref="G241">
      <formula1>0</formula1>
    </dataValidation>
    <dataValidation type="textLength" operator="equal" allowBlank="1" showInputMessage="1" showErrorMessage="1" error="This cell should remain blank." sqref="G244">
      <formula1>0</formula1>
    </dataValidation>
    <dataValidation type="decimal" operator="greaterThanOrEqual" allowBlank="1" showInputMessage="1" showErrorMessage="1" errorTitle="Volume data error" error="The volume must be a non-negative number." sqref="G245:G247">
      <formula1>0</formula1>
    </dataValidation>
    <dataValidation type="textLength" operator="equal" allowBlank="1" showInputMessage="1" showErrorMessage="1" error="This cell should remain blank." sqref="G248">
      <formula1>0</formula1>
    </dataValidation>
    <dataValidation type="decimal" operator="greaterThanOrEqual" allowBlank="1" showInputMessage="1" showErrorMessage="1" errorTitle="Volume data error" error="The volume must be a non-negative number." sqref="G249:G251">
      <formula1>0</formula1>
    </dataValidation>
    <dataValidation type="textLength" operator="equal" allowBlank="1" showInputMessage="1" showErrorMessage="1" error="This cell should remain blank." sqref="G252">
      <formula1>0</formula1>
    </dataValidation>
    <dataValidation type="decimal" operator="greaterThanOrEqual" allowBlank="1" showInputMessage="1" showErrorMessage="1" errorTitle="Volume data error" error="The volume must be a non-negative number." sqref="G253:G255">
      <formula1>0</formula1>
    </dataValidation>
    <dataValidation type="textLength" operator="equal" allowBlank="1" showInputMessage="1" showErrorMessage="1" error="This cell should remain blank." sqref="G256">
      <formula1>0</formula1>
    </dataValidation>
    <dataValidation type="decimal" operator="greaterThanOrEqual" allowBlank="1" showInputMessage="1" showErrorMessage="1" errorTitle="Volume data error" error="The volume must be a non-negative number." sqref="G257:G259">
      <formula1>0</formula1>
    </dataValidation>
    <dataValidation type="textLength" operator="equal" allowBlank="1" showInputMessage="1" showErrorMessage="1" error="This cell should remain blank." sqref="G260">
      <formula1>0</formula1>
    </dataValidation>
    <dataValidation type="decimal" operator="greaterThanOrEqual" allowBlank="1" showInputMessage="1" showErrorMessage="1" errorTitle="Volume data error" error="The volume must be a non-negative number." sqref="G261:G263">
      <formula1>0</formula1>
    </dataValidation>
    <dataValidation type="textLength" operator="equal" allowBlank="1" showInputMessage="1" showErrorMessage="1" error="This cell should remain blank." sqref="G264">
      <formula1>0</formula1>
    </dataValidation>
    <dataValidation type="decimal" operator="greaterThanOrEqual" allowBlank="1" showInputMessage="1" showErrorMessage="1" errorTitle="Volume data error" error="The volume must be a non-negative number." sqref="G265:G267">
      <formula1>0</formula1>
    </dataValidation>
    <dataValidation type="textLength" operator="equal" allowBlank="1" showInputMessage="1" showErrorMessage="1" error="This cell should remain blank." sqref="G268">
      <formula1>0</formula1>
    </dataValidation>
    <dataValidation type="decimal" operator="greaterThanOrEqual" allowBlank="1" showInputMessage="1" showErrorMessage="1" errorTitle="Volume data error" error="The volume must be a non-negative number." sqref="G269:G270">
      <formula1>0</formula1>
    </dataValidation>
    <dataValidation type="textLength" operator="equal" allowBlank="1" showInputMessage="1" showErrorMessage="1" error="This cell should remain blank." sqref="G271">
      <formula1>0</formula1>
    </dataValidation>
    <dataValidation type="decimal" operator="greaterThanOrEqual" allowBlank="1" showInputMessage="1" showErrorMessage="1" errorTitle="Volume data error" error="The volume must be a non-negative number." sqref="G272:G274">
      <formula1>0</formula1>
    </dataValidation>
    <dataValidation type="textLength" operator="equal" allowBlank="1" showInputMessage="1" showErrorMessage="1" error="This cell should remain blank." sqref="G275">
      <formula1>0</formula1>
    </dataValidation>
    <dataValidation type="decimal" operator="greaterThanOrEqual" allowBlank="1" showInputMessage="1" showErrorMessage="1" errorTitle="Volume data error" error="The volume must be a non-negative number." sqref="G276">
      <formula1>0</formula1>
    </dataValidation>
    <dataValidation type="textLength" operator="equal" allowBlank="1" showInputMessage="1" showErrorMessage="1" error="This cell should remain blank." sqref="G277">
      <formula1>0</formula1>
    </dataValidation>
    <dataValidation type="decimal" operator="greaterThanOrEqual" allowBlank="1" showInputMessage="1" showErrorMessage="1" errorTitle="Volume data error" error="The volume must be a non-negative number." sqref="G278:G280">
      <formula1>0</formula1>
    </dataValidation>
    <dataValidation type="textLength" operator="equal" allowBlank="1" showInputMessage="1" showErrorMessage="1" error="This cell should remain blank." sqref="G281">
      <formula1>0</formula1>
    </dataValidation>
    <dataValidation type="decimal" operator="greaterThanOrEqual" allowBlank="1" showInputMessage="1" showErrorMessage="1" errorTitle="Volume data error" error="The volume must be a non-negative number." sqref="G282">
      <formula1>0</formula1>
    </dataValidation>
    <dataValidation type="textLength" operator="equal" allowBlank="1" showInputMessage="1" showErrorMessage="1" error="This cell should remain blank." sqref="G283">
      <formula1>0</formula1>
    </dataValidation>
    <dataValidation type="decimal" operator="greaterThanOrEqual" allowBlank="1" showInputMessage="1" showErrorMessage="1" errorTitle="Volume data error" error="The volume must be a non-negative number." sqref="G284:G285">
      <formula1>0</formula1>
    </dataValidation>
    <dataValidation type="textLength" operator="equal" allowBlank="1" showInputMessage="1" showErrorMessage="1" error="This cell should remain blank." sqref="G286">
      <formula1>0</formula1>
    </dataValidation>
    <dataValidation type="decimal" operator="greaterThanOrEqual" allowBlank="1" showInputMessage="1" showErrorMessage="1" errorTitle="Volume data error" error="The volume must be a non-negative number." sqref="G287">
      <formula1>0</formula1>
    </dataValidation>
    <dataValidation type="textLength" operator="equal" allowBlank="1" showInputMessage="1" showErrorMessage="1" error="This cell should remain blank." sqref="G288">
      <formula1>0</formula1>
    </dataValidation>
    <dataValidation type="decimal" operator="greaterThanOrEqual" allowBlank="1" showInputMessage="1" showErrorMessage="1" errorTitle="Volume data error" error="The volume must be a non-negative number." sqref="G289:G290">
      <formula1>0</formula1>
    </dataValidation>
    <dataValidation type="textLength" operator="equal" allowBlank="1" showInputMessage="1" showErrorMessage="1" error="This cell should remain blank." sqref="G291">
      <formula1>0</formula1>
    </dataValidation>
    <dataValidation type="decimal" operator="greaterThanOrEqual" allowBlank="1" showInputMessage="1" showErrorMessage="1" errorTitle="Volume data error" error="The volume must be a non-negative number." sqref="G292">
      <formula1>0</formula1>
    </dataValidation>
    <dataValidation type="textLength" operator="equal" allowBlank="1" showInputMessage="1" showErrorMessage="1" error="This cell should remain blank." sqref="G293">
      <formula1>0</formula1>
    </dataValidation>
    <dataValidation type="decimal" operator="greaterThanOrEqual" allowBlank="1" showInputMessage="1" showErrorMessage="1" errorTitle="Volume data error" error="The volume must be a non-negative number." sqref="G294:G295">
      <formula1>0</formula1>
    </dataValidation>
    <dataValidation type="textLength" operator="equal" allowBlank="1" showInputMessage="1" showErrorMessage="1" error="This cell should remain blank." sqref="G296">
      <formula1>0</formula1>
    </dataValidation>
    <dataValidation type="decimal" operator="greaterThanOrEqual" allowBlank="1" showInputMessage="1" showErrorMessage="1" errorTitle="Volume data error" error="The volume must be a non-negative number." sqref="G297">
      <formula1>0</formula1>
    </dataValidation>
    <dataValidation type="textLength" operator="equal" allowBlank="1" showInputMessage="1" showErrorMessage="1" error="This cell should remain blank." sqref="G298">
      <formula1>0</formula1>
    </dataValidation>
    <dataValidation type="decimal" operator="greaterThanOrEqual" allowBlank="1" showInputMessage="1" showErrorMessage="1" errorTitle="Volume data error" error="The volume must be a non-negative number." sqref="G299:G300">
      <formula1>0</formula1>
    </dataValidation>
    <dataValidation type="textLength" operator="equal" allowBlank="1" showInputMessage="1" showErrorMessage="1" error="This cell should remain blank." sqref="G301">
      <formula1>0</formula1>
    </dataValidation>
    <dataValidation type="decimal" operator="greaterThanOrEqual" allowBlank="1" showInputMessage="1" showErrorMessage="1" errorTitle="Volume data error" error="The volume must be a non-negative number." sqref="G302">
      <formula1>0</formula1>
    </dataValidation>
    <dataValidation type="textLength" operator="equal" allowBlank="1" showInputMessage="1" showErrorMessage="1" error="This cell should remain blank." sqref="H194">
      <formula1>0</formula1>
    </dataValidation>
    <dataValidation type="decimal" operator="greaterThanOrEqual" allowBlank="1" showInputMessage="1" showErrorMessage="1" errorTitle="Volume data error" error="The volume must be a non-negative number." sqref="H195:H197">
      <formula1>0</formula1>
    </dataValidation>
    <dataValidation type="textLength" operator="equal" allowBlank="1" showInputMessage="1" showErrorMessage="1" error="This cell should remain blank." sqref="H198">
      <formula1>0</formula1>
    </dataValidation>
    <dataValidation type="decimal" operator="greaterThanOrEqual" allowBlank="1" showInputMessage="1" showErrorMessage="1" errorTitle="Volume data error" error="The volume must be a non-negative number." sqref="H199:H201">
      <formula1>0</formula1>
    </dataValidation>
    <dataValidation type="textLength" operator="equal" allowBlank="1" showInputMessage="1" showErrorMessage="1" error="This cell should remain blank." sqref="H202">
      <formula1>0</formula1>
    </dataValidation>
    <dataValidation type="decimal" operator="greaterThanOrEqual" allowBlank="1" showInputMessage="1" showErrorMessage="1" errorTitle="Volume data error" error="The volume must be a non-negative number." sqref="H203:H205">
      <formula1>0</formula1>
    </dataValidation>
    <dataValidation type="textLength" operator="equal" allowBlank="1" showInputMessage="1" showErrorMessage="1" error="This cell should remain blank." sqref="H206">
      <formula1>0</formula1>
    </dataValidation>
    <dataValidation type="decimal" operator="greaterThanOrEqual" allowBlank="1" showInputMessage="1" showErrorMessage="1" errorTitle="Volume data error" error="The volume must be a non-negative number." sqref="H207:H209">
      <formula1>0</formula1>
    </dataValidation>
    <dataValidation type="textLength" operator="equal" allowBlank="1" showInputMessage="1" showErrorMessage="1" error="This cell should remain blank." sqref="H210">
      <formula1>0</formula1>
    </dataValidation>
    <dataValidation type="decimal" operator="greaterThanOrEqual" allowBlank="1" showInputMessage="1" showErrorMessage="1" errorTitle="Volume data error" error="The volume must be a non-negative number." sqref="H211:H213">
      <formula1>0</formula1>
    </dataValidation>
    <dataValidation type="textLength" operator="equal" allowBlank="1" showInputMessage="1" showErrorMessage="1" error="This cell should remain blank." sqref="H214">
      <formula1>0</formula1>
    </dataValidation>
    <dataValidation type="decimal" operator="greaterThanOrEqual" allowBlank="1" showInputMessage="1" showErrorMessage="1" errorTitle="Volume data error" error="The volume must be a non-negative number." sqref="H215:H217">
      <formula1>0</formula1>
    </dataValidation>
    <dataValidation type="textLength" operator="equal" allowBlank="1" showInputMessage="1" showErrorMessage="1" error="This cell should remain blank." sqref="H218">
      <formula1>0</formula1>
    </dataValidation>
    <dataValidation type="decimal" operator="greaterThanOrEqual" allowBlank="1" showInputMessage="1" showErrorMessage="1" errorTitle="Volume data error" error="The volume must be a non-negative number." sqref="H219:H221">
      <formula1>0</formula1>
    </dataValidation>
    <dataValidation type="textLength" operator="equal" allowBlank="1" showInputMessage="1" showErrorMessage="1" error="This cell should remain blank." sqref="H222">
      <formula1>0</formula1>
    </dataValidation>
    <dataValidation type="decimal" operator="greaterThanOrEqual" allowBlank="1" showInputMessage="1" showErrorMessage="1" errorTitle="Volume data error" error="The volume must be a non-negative number." sqref="H223">
      <formula1>0</formula1>
    </dataValidation>
    <dataValidation type="textLength" operator="equal" allowBlank="1" showInputMessage="1" showErrorMessage="1" error="This cell should remain blank." sqref="H224">
      <formula1>0</formula1>
    </dataValidation>
    <dataValidation type="decimal" operator="greaterThanOrEqual" allowBlank="1" showInputMessage="1" showErrorMessage="1" errorTitle="Volume data error" error="The volume must be a non-negative number." sqref="H225">
      <formula1>0</formula1>
    </dataValidation>
    <dataValidation type="textLength" operator="equal" allowBlank="1" showInputMessage="1" showErrorMessage="1" error="This cell should remain blank." sqref="H226">
      <formula1>0</formula1>
    </dataValidation>
    <dataValidation type="decimal" operator="greaterThanOrEqual" allowBlank="1" showInputMessage="1" showErrorMessage="1" errorTitle="Volume data error" error="The volume must be a non-negative number." sqref="H227:H229">
      <formula1>0</formula1>
    </dataValidation>
    <dataValidation type="textLength" operator="equal" allowBlank="1" showInputMessage="1" showErrorMessage="1" error="This cell should remain blank." sqref="H230">
      <formula1>0</formula1>
    </dataValidation>
    <dataValidation type="decimal" operator="greaterThanOrEqual" allowBlank="1" showInputMessage="1" showErrorMessage="1" errorTitle="Volume data error" error="The volume must be a non-negative number." sqref="H231:H233">
      <formula1>0</formula1>
    </dataValidation>
    <dataValidation type="textLength" operator="equal" allowBlank="1" showInputMessage="1" showErrorMessage="1" error="This cell should remain blank." sqref="H234">
      <formula1>0</formula1>
    </dataValidation>
    <dataValidation type="textLength" operator="equal" allowBlank="1" showInputMessage="1" showErrorMessage="1" error="This cell should remain blank." sqref="H238">
      <formula1>0</formula1>
    </dataValidation>
    <dataValidation type="textLength" operator="equal" allowBlank="1" showInputMessage="1" showErrorMessage="1" error="This cell should remain blank." sqref="H241">
      <formula1>0</formula1>
    </dataValidation>
    <dataValidation type="textLength" operator="equal" allowBlank="1" showInputMessage="1" showErrorMessage="1" error="This cell should remain blank." sqref="H244">
      <formula1>0</formula1>
    </dataValidation>
    <dataValidation type="decimal" operator="greaterThanOrEqual" allowBlank="1" showInputMessage="1" showErrorMessage="1" errorTitle="Volume data error" error="The volume must be a non-negative number." sqref="H245:H247">
      <formula1>0</formula1>
    </dataValidation>
    <dataValidation type="textLength" operator="equal" allowBlank="1" showInputMessage="1" showErrorMessage="1" error="This cell should remain blank." sqref="H248">
      <formula1>0</formula1>
    </dataValidation>
    <dataValidation type="decimal" operator="greaterThanOrEqual" allowBlank="1" showInputMessage="1" showErrorMessage="1" errorTitle="Volume data error" error="The volume must be a non-negative number." sqref="H249:H251">
      <formula1>0</formula1>
    </dataValidation>
    <dataValidation type="textLength" operator="equal" allowBlank="1" showInputMessage="1" showErrorMessage="1" error="This cell should remain blank." sqref="H252">
      <formula1>0</formula1>
    </dataValidation>
    <dataValidation type="decimal" operator="greaterThanOrEqual" allowBlank="1" showInputMessage="1" showErrorMessage="1" errorTitle="Volume data error" error="The volume must be a non-negative number." sqref="H253:H255">
      <formula1>0</formula1>
    </dataValidation>
    <dataValidation type="textLength" operator="equal" allowBlank="1" showInputMessage="1" showErrorMessage="1" error="This cell should remain blank." sqref="H256">
      <formula1>0</formula1>
    </dataValidation>
    <dataValidation type="decimal" operator="greaterThanOrEqual" allowBlank="1" showInputMessage="1" showErrorMessage="1" errorTitle="Volume data error" error="The volume must be a non-negative number." sqref="H257:H259">
      <formula1>0</formula1>
    </dataValidation>
    <dataValidation type="textLength" operator="equal" allowBlank="1" showInputMessage="1" showErrorMessage="1" error="This cell should remain blank." sqref="H260">
      <formula1>0</formula1>
    </dataValidation>
    <dataValidation type="decimal" operator="greaterThanOrEqual" allowBlank="1" showInputMessage="1" showErrorMessage="1" errorTitle="Volume data error" error="The volume must be a non-negative number." sqref="H261:H263">
      <formula1>0</formula1>
    </dataValidation>
    <dataValidation type="textLength" operator="equal" allowBlank="1" showInputMessage="1" showErrorMessage="1" error="This cell should remain blank." sqref="H264">
      <formula1>0</formula1>
    </dataValidation>
    <dataValidation type="decimal" operator="greaterThanOrEqual" allowBlank="1" showInputMessage="1" showErrorMessage="1" errorTitle="Volume data error" error="The volume must be a non-negative number." sqref="H265:H267">
      <formula1>0</formula1>
    </dataValidation>
    <dataValidation type="textLength" operator="equal" allowBlank="1" showInputMessage="1" showErrorMessage="1" error="This cell should remain blank." sqref="H268">
      <formula1>0</formula1>
    </dataValidation>
    <dataValidation type="decimal" operator="greaterThanOrEqual" allowBlank="1" showInputMessage="1" showErrorMessage="1" errorTitle="Volume data error" error="The volume must be a non-negative number." sqref="H269:H270">
      <formula1>0</formula1>
    </dataValidation>
    <dataValidation type="textLength" operator="equal" allowBlank="1" showInputMessage="1" showErrorMessage="1" error="This cell should remain blank." sqref="H271">
      <formula1>0</formula1>
    </dataValidation>
    <dataValidation type="textLength" operator="equal" allowBlank="1" showInputMessage="1" showErrorMessage="1" error="This cell should remain blank." sqref="H275">
      <formula1>0</formula1>
    </dataValidation>
    <dataValidation type="decimal" operator="greaterThanOrEqual" allowBlank="1" showInputMessage="1" showErrorMessage="1" errorTitle="Volume data error" error="The volume must be a non-negative number." sqref="H276">
      <formula1>0</formula1>
    </dataValidation>
    <dataValidation type="textLength" operator="equal" allowBlank="1" showInputMessage="1" showErrorMessage="1" error="This cell should remain blank." sqref="H277">
      <formula1>0</formula1>
    </dataValidation>
    <dataValidation type="textLength" operator="equal" allowBlank="1" showInputMessage="1" showErrorMessage="1" error="This cell should remain blank." sqref="H281">
      <formula1>0</formula1>
    </dataValidation>
    <dataValidation type="decimal" operator="greaterThanOrEqual" allowBlank="1" showInputMessage="1" showErrorMessage="1" errorTitle="Volume data error" error="The volume must be a non-negative number." sqref="H282">
      <formula1>0</formula1>
    </dataValidation>
    <dataValidation type="textLength" operator="equal" allowBlank="1" showInputMessage="1" showErrorMessage="1" error="This cell should remain blank." sqref="H283">
      <formula1>0</formula1>
    </dataValidation>
    <dataValidation type="decimal" operator="greaterThanOrEqual" allowBlank="1" showInputMessage="1" showErrorMessage="1" errorTitle="Volume data error" error="The volume must be a non-negative number." sqref="H284:H285">
      <formula1>0</formula1>
    </dataValidation>
    <dataValidation type="textLength" operator="equal" allowBlank="1" showInputMessage="1" showErrorMessage="1" error="This cell should remain blank." sqref="H286">
      <formula1>0</formula1>
    </dataValidation>
    <dataValidation type="decimal" operator="greaterThanOrEqual" allowBlank="1" showInputMessage="1" showErrorMessage="1" errorTitle="Volume data error" error="The volume must be a non-negative number." sqref="H287">
      <formula1>0</formula1>
    </dataValidation>
    <dataValidation type="textLength" operator="equal" allowBlank="1" showInputMessage="1" showErrorMessage="1" error="This cell should remain blank." sqref="H288">
      <formula1>0</formula1>
    </dataValidation>
    <dataValidation type="decimal" operator="greaterThanOrEqual" allowBlank="1" showInputMessage="1" showErrorMessage="1" errorTitle="Volume data error" error="The volume must be a non-negative number." sqref="H289:H290">
      <formula1>0</formula1>
    </dataValidation>
    <dataValidation type="textLength" operator="equal" allowBlank="1" showInputMessage="1" showErrorMessage="1" error="This cell should remain blank." sqref="H291">
      <formula1>0</formula1>
    </dataValidation>
    <dataValidation type="decimal" operator="greaterThanOrEqual" allowBlank="1" showInputMessage="1" showErrorMessage="1" errorTitle="Volume data error" error="The volume must be a non-negative number." sqref="H292">
      <formula1>0</formula1>
    </dataValidation>
    <dataValidation type="textLength" operator="equal" allowBlank="1" showInputMessage="1" showErrorMessage="1" error="This cell should remain blank." sqref="H293">
      <formula1>0</formula1>
    </dataValidation>
    <dataValidation type="decimal" operator="greaterThanOrEqual" allowBlank="1" showInputMessage="1" showErrorMessage="1" errorTitle="Volume data error" error="The volume must be a non-negative number." sqref="H294:H295">
      <formula1>0</formula1>
    </dataValidation>
    <dataValidation type="textLength" operator="equal" allowBlank="1" showInputMessage="1" showErrorMessage="1" error="This cell should remain blank." sqref="H296">
      <formula1>0</formula1>
    </dataValidation>
    <dataValidation type="decimal" operator="greaterThanOrEqual" allowBlank="1" showInputMessage="1" showErrorMessage="1" errorTitle="Volume data error" error="The volume must be a non-negative number." sqref="H297">
      <formula1>0</formula1>
    </dataValidation>
    <dataValidation type="textLength" operator="equal" allowBlank="1" showInputMessage="1" showErrorMessage="1" error="This cell should remain blank." sqref="H298">
      <formula1>0</formula1>
    </dataValidation>
    <dataValidation type="decimal" operator="greaterThanOrEqual" allowBlank="1" showInputMessage="1" showErrorMessage="1" errorTitle="Volume data error" error="The volume must be a non-negative number." sqref="H299:H300">
      <formula1>0</formula1>
    </dataValidation>
    <dataValidation type="textLength" operator="equal" allowBlank="1" showInputMessage="1" showErrorMessage="1" error="This cell should remain blank." sqref="H301">
      <formula1>0</formula1>
    </dataValidation>
    <dataValidation type="decimal" operator="greaterThanOrEqual" allowBlank="1" showInputMessage="1" showErrorMessage="1" errorTitle="Volume data error" error="The volume must be a non-negative number." sqref="H302">
      <formula1>0</formula1>
    </dataValidation>
    <dataValidation type="decimal" operator="greaterThanOrEqual" allowBlank="1" showInputMessage="1" showErrorMessage="1" sqref="B308">
      <formula1>0</formula1>
    </dataValidation>
    <dataValidation type="decimal" operator="greaterThanOrEqual" allowBlank="1" showInputMessage="1" showErrorMessage="1" sqref="B313">
      <formula1>0</formula1>
    </dataValidation>
    <dataValidation type="decimal" operator="greaterThanOrEqual" allowBlank="1" showInputMessage="1" showErrorMessage="1" sqref="C313">
      <formula1>0</formula1>
    </dataValidation>
    <dataValidation type="decimal" allowBlank="1" showInputMessage="1" showErrorMessage="1" sqref="D313">
      <formula1>0</formula1>
      <formula2>1</formula2>
    </dataValidation>
    <dataValidation type="decimal" operator="greaterThanOrEqual" allowBlank="1" showInputMessage="1" showErrorMessage="1" sqref="E313">
      <formula1>0</formula1>
    </dataValidation>
    <dataValidation type="decimal" operator="greaterThanOrEqual" allowBlank="1" showInputMessage="1" showErrorMessage="1" errorTitle="Invalid customer contribution" error="The customer contribution must be a non-negative percentage value." sqref="B321:I324">
      <formula1>0</formula1>
    </dataValidation>
    <dataValidation type="decimal" allowBlank="1" showInputMessage="1" showErrorMessage="1" sqref="B329:D337">
      <formula1>0</formula1>
      <formula2>1</formula2>
    </dataValidation>
    <dataValidation type="decimal" allowBlank="1" showInputMessage="1" showErrorMessage="1" sqref="B342:D346">
      <formula1>0</formula1>
      <formula2>1</formula2>
    </dataValidation>
    <dataValidation type="decimal" allowBlank="1" showInputMessage="1" showErrorMessage="1" sqref="B351:D354">
      <formula1>0</formula1>
      <formula2>1</formula2>
    </dataValidation>
    <dataValidation type="decimal" operator="greaterThanOrEqual" allowBlank="1" showInputMessage="1" showErrorMessage="1" sqref="B361:D361">
      <formula1>0</formula1>
    </dataValidation>
    <dataValidation type="decimal" operator="greaterThanOrEqual" allowBlank="1" showInputMessage="1" showErrorMessage="1" sqref="B368:D368">
      <formula1>0</formula1>
    </dataValidation>
    <dataValidation type="decimal" allowBlank="1" showInputMessage="1" showErrorMessage="1" sqref="B375:E383">
      <formula1>0</formula1>
      <formula2>1</formula2>
    </dataValidation>
    <dataValidation type="decimal" allowBlank="1" showInputMessage="1" showErrorMessage="1" sqref="B390:J390">
      <formula1>0</formula1>
      <formula2>1</formula2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1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50.7109375" customWidth="1"/>
    <col min="2" max="251" width="20.7109375" customWidth="1"/>
  </cols>
  <sheetData>
    <row r="1" spans="1:12" ht="21" customHeight="1">
      <c r="A1" s="1" t="str">
        <f>"Tariffs for "&amp;Input!B7&amp;" in "&amp;Input!C7&amp;" ("&amp;Input!D7&amp;")"</f>
        <v>Tariffs for Electricity North West in 2019/20 (Version 1)</v>
      </c>
    </row>
    <row r="3" spans="1:12" ht="21" customHeight="1">
      <c r="A3" s="1" t="s">
        <v>1462</v>
      </c>
    </row>
    <row r="4" spans="1:12">
      <c r="A4" s="2" t="s">
        <v>379</v>
      </c>
    </row>
    <row r="5" spans="1:12">
      <c r="A5" s="29" t="s">
        <v>1463</v>
      </c>
    </row>
    <row r="6" spans="1:12">
      <c r="A6" s="29" t="s">
        <v>1464</v>
      </c>
    </row>
    <row r="7" spans="1:12">
      <c r="A7" s="29" t="s">
        <v>1465</v>
      </c>
    </row>
    <row r="8" spans="1:12">
      <c r="A8" s="29" t="s">
        <v>1466</v>
      </c>
    </row>
    <row r="9" spans="1:12">
      <c r="A9" s="29" t="s">
        <v>1467</v>
      </c>
    </row>
    <row r="10" spans="1:12">
      <c r="A10" s="29" t="s">
        <v>1468</v>
      </c>
    </row>
    <row r="11" spans="1:12">
      <c r="A11" s="29" t="s">
        <v>1469</v>
      </c>
    </row>
    <row r="12" spans="1:12">
      <c r="A12" s="30" t="s">
        <v>382</v>
      </c>
      <c r="B12" s="30" t="s">
        <v>1470</v>
      </c>
      <c r="C12" s="30" t="s">
        <v>383</v>
      </c>
      <c r="D12" s="30" t="s">
        <v>441</v>
      </c>
      <c r="E12" s="30" t="s">
        <v>441</v>
      </c>
      <c r="F12" s="30" t="s">
        <v>441</v>
      </c>
      <c r="G12" s="30" t="s">
        <v>441</v>
      </c>
      <c r="H12" s="30" t="s">
        <v>441</v>
      </c>
      <c r="I12" s="30" t="s">
        <v>441</v>
      </c>
      <c r="J12" s="30" t="s">
        <v>441</v>
      </c>
      <c r="K12" s="30" t="s">
        <v>1470</v>
      </c>
    </row>
    <row r="13" spans="1:12">
      <c r="A13" s="30" t="s">
        <v>385</v>
      </c>
      <c r="B13" s="30" t="s">
        <v>386</v>
      </c>
      <c r="C13" s="30" t="s">
        <v>386</v>
      </c>
      <c r="D13" s="30" t="s">
        <v>1471</v>
      </c>
      <c r="E13" s="30" t="s">
        <v>444</v>
      </c>
      <c r="F13" s="30" t="s">
        <v>1472</v>
      </c>
      <c r="G13" s="30" t="s">
        <v>1048</v>
      </c>
      <c r="H13" s="30" t="s">
        <v>939</v>
      </c>
      <c r="I13" s="30" t="s">
        <v>1473</v>
      </c>
      <c r="J13" s="30" t="s">
        <v>1474</v>
      </c>
      <c r="K13" s="30" t="s">
        <v>386</v>
      </c>
    </row>
    <row r="15" spans="1:12" ht="30">
      <c r="B15" s="15" t="s">
        <v>1475</v>
      </c>
      <c r="C15" s="15" t="s">
        <v>1476</v>
      </c>
      <c r="D15" s="15" t="s">
        <v>1379</v>
      </c>
      <c r="E15" s="15" t="s">
        <v>1380</v>
      </c>
      <c r="F15" s="15" t="s">
        <v>1381</v>
      </c>
      <c r="G15" s="15" t="s">
        <v>1382</v>
      </c>
      <c r="H15" s="15" t="s">
        <v>1383</v>
      </c>
      <c r="I15" s="15" t="s">
        <v>1384</v>
      </c>
      <c r="J15" s="15" t="s">
        <v>1136</v>
      </c>
      <c r="K15" s="15" t="s">
        <v>1477</v>
      </c>
    </row>
    <row r="16" spans="1:12">
      <c r="A16" s="4" t="s">
        <v>180</v>
      </c>
      <c r="B16" s="16" t="s">
        <v>1830</v>
      </c>
      <c r="C16" s="44">
        <v>1</v>
      </c>
      <c r="D16" s="35">
        <f>Adjust!B$252</f>
        <v>2.39</v>
      </c>
      <c r="E16" s="35">
        <f>Adjust!C$252</f>
        <v>0</v>
      </c>
      <c r="F16" s="35">
        <f>Adjust!D$252</f>
        <v>0</v>
      </c>
      <c r="G16" s="45">
        <f>Adjust!E$252</f>
        <v>3.53</v>
      </c>
      <c r="H16" s="45">
        <f>Adjust!F$252</f>
        <v>0</v>
      </c>
      <c r="I16" s="45">
        <f>Adjust!G$252</f>
        <v>0</v>
      </c>
      <c r="J16" s="35">
        <f>Adjust!H$252</f>
        <v>0</v>
      </c>
      <c r="K16" s="16"/>
      <c r="L16" s="17"/>
    </row>
    <row r="17" spans="1:12">
      <c r="A17" s="4" t="s">
        <v>181</v>
      </c>
      <c r="B17" s="16" t="s">
        <v>1831</v>
      </c>
      <c r="C17" s="44">
        <v>2</v>
      </c>
      <c r="D17" s="35">
        <f>Adjust!B$256</f>
        <v>2.794</v>
      </c>
      <c r="E17" s="35">
        <f>Adjust!C$256</f>
        <v>0.77500000000000002</v>
      </c>
      <c r="F17" s="35">
        <f>Adjust!D$256</f>
        <v>0</v>
      </c>
      <c r="G17" s="45">
        <f>Adjust!E$256</f>
        <v>3.53</v>
      </c>
      <c r="H17" s="45">
        <f>Adjust!F$256</f>
        <v>0</v>
      </c>
      <c r="I17" s="45">
        <f>Adjust!G$256</f>
        <v>0</v>
      </c>
      <c r="J17" s="35">
        <f>Adjust!H$256</f>
        <v>0</v>
      </c>
      <c r="K17" s="16"/>
      <c r="L17" s="17"/>
    </row>
    <row r="18" spans="1:12">
      <c r="A18" s="4" t="s">
        <v>226</v>
      </c>
      <c r="B18" s="16" t="s">
        <v>1832</v>
      </c>
      <c r="C18" s="44">
        <v>2</v>
      </c>
      <c r="D18" s="35">
        <f>Adjust!B$260</f>
        <v>0.82199999999999995</v>
      </c>
      <c r="E18" s="35">
        <f>Adjust!C$260</f>
        <v>0</v>
      </c>
      <c r="F18" s="35">
        <f>Adjust!D$260</f>
        <v>0</v>
      </c>
      <c r="G18" s="45">
        <f>Adjust!E$260</f>
        <v>0</v>
      </c>
      <c r="H18" s="45">
        <f>Adjust!F$260</f>
        <v>0</v>
      </c>
      <c r="I18" s="45">
        <f>Adjust!G$260</f>
        <v>0</v>
      </c>
      <c r="J18" s="35">
        <f>Adjust!H$260</f>
        <v>0</v>
      </c>
      <c r="K18" s="16"/>
      <c r="L18" s="17"/>
    </row>
    <row r="19" spans="1:12">
      <c r="A19" s="4" t="s">
        <v>182</v>
      </c>
      <c r="B19" s="16" t="s">
        <v>1833</v>
      </c>
      <c r="C19" s="44">
        <v>3</v>
      </c>
      <c r="D19" s="35">
        <f>Adjust!B$264</f>
        <v>2.2519999999999998</v>
      </c>
      <c r="E19" s="35">
        <f>Adjust!C$264</f>
        <v>0</v>
      </c>
      <c r="F19" s="35">
        <f>Adjust!D$264</f>
        <v>0</v>
      </c>
      <c r="G19" s="45">
        <f>Adjust!E$264</f>
        <v>3.53</v>
      </c>
      <c r="H19" s="45">
        <f>Adjust!F$264</f>
        <v>0</v>
      </c>
      <c r="I19" s="45">
        <f>Adjust!G$264</f>
        <v>0</v>
      </c>
      <c r="J19" s="35">
        <f>Adjust!H$264</f>
        <v>0</v>
      </c>
      <c r="K19" s="16"/>
      <c r="L19" s="17"/>
    </row>
    <row r="20" spans="1:12">
      <c r="A20" s="4" t="s">
        <v>183</v>
      </c>
      <c r="B20" s="16" t="s">
        <v>1834</v>
      </c>
      <c r="C20" s="44">
        <v>4</v>
      </c>
      <c r="D20" s="35">
        <f>Adjust!B$268</f>
        <v>2.3559999999999999</v>
      </c>
      <c r="E20" s="35">
        <f>Adjust!C$268</f>
        <v>0.73499999999999999</v>
      </c>
      <c r="F20" s="35">
        <f>Adjust!D$268</f>
        <v>0</v>
      </c>
      <c r="G20" s="45">
        <f>Adjust!E$268</f>
        <v>3.53</v>
      </c>
      <c r="H20" s="45">
        <f>Adjust!F$268</f>
        <v>0</v>
      </c>
      <c r="I20" s="45">
        <f>Adjust!G$268</f>
        <v>0</v>
      </c>
      <c r="J20" s="35">
        <f>Adjust!H$268</f>
        <v>0</v>
      </c>
      <c r="K20" s="16"/>
      <c r="L20" s="17"/>
    </row>
    <row r="21" spans="1:12">
      <c r="A21" s="4" t="s">
        <v>227</v>
      </c>
      <c r="B21" s="16" t="s">
        <v>1835</v>
      </c>
      <c r="C21" s="44">
        <v>4</v>
      </c>
      <c r="D21" s="35">
        <f>Adjust!B$272</f>
        <v>0.75800000000000001</v>
      </c>
      <c r="E21" s="35">
        <f>Adjust!C$272</f>
        <v>0</v>
      </c>
      <c r="F21" s="35">
        <f>Adjust!D$272</f>
        <v>0</v>
      </c>
      <c r="G21" s="45">
        <f>Adjust!E$272</f>
        <v>0</v>
      </c>
      <c r="H21" s="45">
        <f>Adjust!F$272</f>
        <v>0</v>
      </c>
      <c r="I21" s="45">
        <f>Adjust!G$272</f>
        <v>0</v>
      </c>
      <c r="J21" s="35">
        <f>Adjust!H$272</f>
        <v>0</v>
      </c>
      <c r="K21" s="16"/>
      <c r="L21" s="17"/>
    </row>
    <row r="22" spans="1:12">
      <c r="A22" s="4" t="s">
        <v>184</v>
      </c>
      <c r="B22" s="16" t="s">
        <v>1836</v>
      </c>
      <c r="C22" s="44" t="s">
        <v>1478</v>
      </c>
      <c r="D22" s="35">
        <f>Adjust!B$276</f>
        <v>2.1970000000000001</v>
      </c>
      <c r="E22" s="35">
        <f>Adjust!C$276</f>
        <v>0.71199999999999997</v>
      </c>
      <c r="F22" s="35">
        <f>Adjust!D$276</f>
        <v>0</v>
      </c>
      <c r="G22" s="45">
        <f>Adjust!E$276</f>
        <v>18.09</v>
      </c>
      <c r="H22" s="45">
        <f>Adjust!F$276</f>
        <v>0</v>
      </c>
      <c r="I22" s="45">
        <f>Adjust!G$276</f>
        <v>0</v>
      </c>
      <c r="J22" s="35">
        <f>Adjust!H$276</f>
        <v>0</v>
      </c>
      <c r="K22" s="16"/>
      <c r="L22" s="17"/>
    </row>
    <row r="23" spans="1:12">
      <c r="A23" s="4" t="s">
        <v>185</v>
      </c>
      <c r="B23" s="16" t="s">
        <v>1837</v>
      </c>
      <c r="C23" s="44" t="s">
        <v>1478</v>
      </c>
      <c r="D23" s="35">
        <f>Adjust!B$280</f>
        <v>3.9569999999999999</v>
      </c>
      <c r="E23" s="35">
        <f>Adjust!C$280</f>
        <v>0.85799999999999998</v>
      </c>
      <c r="F23" s="35">
        <f>Adjust!D$280</f>
        <v>0</v>
      </c>
      <c r="G23" s="45">
        <f>Adjust!E$280</f>
        <v>131.80000000000001</v>
      </c>
      <c r="H23" s="45">
        <f>Adjust!F$280</f>
        <v>0</v>
      </c>
      <c r="I23" s="45">
        <f>Adjust!G$280</f>
        <v>0</v>
      </c>
      <c r="J23" s="35">
        <f>Adjust!H$280</f>
        <v>0</v>
      </c>
      <c r="K23" s="16"/>
      <c r="L23" s="17"/>
    </row>
    <row r="24" spans="1:12">
      <c r="A24" s="4" t="s">
        <v>205</v>
      </c>
      <c r="B24" s="16" t="s">
        <v>1838</v>
      </c>
      <c r="C24" s="44" t="s">
        <v>1478</v>
      </c>
      <c r="D24" s="35">
        <f>Adjust!B$282</f>
        <v>3.012</v>
      </c>
      <c r="E24" s="35">
        <f>Adjust!C$282</f>
        <v>0.76700000000000002</v>
      </c>
      <c r="F24" s="35">
        <f>Adjust!D$282</f>
        <v>0</v>
      </c>
      <c r="G24" s="45">
        <f>Adjust!E$282</f>
        <v>1193.82</v>
      </c>
      <c r="H24" s="45">
        <f>Adjust!F$282</f>
        <v>0</v>
      </c>
      <c r="I24" s="45">
        <f>Adjust!G$282</f>
        <v>0</v>
      </c>
      <c r="J24" s="35">
        <f>Adjust!H$282</f>
        <v>0</v>
      </c>
      <c r="K24" s="16"/>
      <c r="L24" s="17"/>
    </row>
    <row r="25" spans="1:12">
      <c r="A25" s="4" t="s">
        <v>186</v>
      </c>
      <c r="B25" s="16" t="s">
        <v>1839</v>
      </c>
      <c r="C25" s="44"/>
      <c r="D25" s="35">
        <f>Adjust!B$284</f>
        <v>10.371</v>
      </c>
      <c r="E25" s="35">
        <f>Adjust!C$284</f>
        <v>2.081</v>
      </c>
      <c r="F25" s="35">
        <f>Adjust!D$284</f>
        <v>0.754</v>
      </c>
      <c r="G25" s="45">
        <f>Adjust!E$284</f>
        <v>3.53</v>
      </c>
      <c r="H25" s="45">
        <f>Adjust!F$284</f>
        <v>0</v>
      </c>
      <c r="I25" s="45">
        <f>Adjust!G$284</f>
        <v>0</v>
      </c>
      <c r="J25" s="35">
        <f>Adjust!H$284</f>
        <v>0</v>
      </c>
      <c r="K25" s="16"/>
      <c r="L25" s="17"/>
    </row>
    <row r="26" spans="1:12">
      <c r="A26" s="4" t="s">
        <v>187</v>
      </c>
      <c r="B26" s="16" t="s">
        <v>1840</v>
      </c>
      <c r="C26" s="44"/>
      <c r="D26" s="35">
        <f>Adjust!B$288</f>
        <v>9.5259999999999998</v>
      </c>
      <c r="E26" s="35">
        <f>Adjust!C$288</f>
        <v>1.9510000000000001</v>
      </c>
      <c r="F26" s="35">
        <f>Adjust!D$288</f>
        <v>0.73799999999999999</v>
      </c>
      <c r="G26" s="45">
        <f>Adjust!E$288</f>
        <v>3.53</v>
      </c>
      <c r="H26" s="45">
        <f>Adjust!F$288</f>
        <v>0</v>
      </c>
      <c r="I26" s="45">
        <f>Adjust!G$288</f>
        <v>0</v>
      </c>
      <c r="J26" s="35">
        <f>Adjust!H$288</f>
        <v>0</v>
      </c>
      <c r="K26" s="16"/>
      <c r="L26" s="17"/>
    </row>
    <row r="27" spans="1:12">
      <c r="A27" s="4" t="s">
        <v>188</v>
      </c>
      <c r="B27" s="16" t="s">
        <v>1841</v>
      </c>
      <c r="C27" s="44"/>
      <c r="D27" s="35">
        <f>Adjust!B$292</f>
        <v>7.1820000000000004</v>
      </c>
      <c r="E27" s="35">
        <f>Adjust!C$292</f>
        <v>1.534</v>
      </c>
      <c r="F27" s="35">
        <f>Adjust!D$292</f>
        <v>0.69099999999999995</v>
      </c>
      <c r="G27" s="45">
        <f>Adjust!E$292</f>
        <v>14.05</v>
      </c>
      <c r="H27" s="45">
        <f>Adjust!F$292</f>
        <v>3.26</v>
      </c>
      <c r="I27" s="45">
        <f>Adjust!G$292</f>
        <v>5.0599999999999996</v>
      </c>
      <c r="J27" s="35">
        <f>Adjust!H$292</f>
        <v>0.14799999999999999</v>
      </c>
      <c r="K27" s="16"/>
      <c r="L27" s="17"/>
    </row>
    <row r="28" spans="1:12">
      <c r="A28" s="4" t="s">
        <v>189</v>
      </c>
      <c r="B28" s="16" t="s">
        <v>1842</v>
      </c>
      <c r="C28" s="44"/>
      <c r="D28" s="35">
        <f>Adjust!B$296</f>
        <v>5.78</v>
      </c>
      <c r="E28" s="35">
        <f>Adjust!C$296</f>
        <v>1.284</v>
      </c>
      <c r="F28" s="35">
        <f>Adjust!D$296</f>
        <v>0.66200000000000003</v>
      </c>
      <c r="G28" s="45">
        <f>Adjust!E$296</f>
        <v>45.11</v>
      </c>
      <c r="H28" s="45">
        <f>Adjust!F$296</f>
        <v>3.25</v>
      </c>
      <c r="I28" s="45">
        <f>Adjust!G$296</f>
        <v>5.85</v>
      </c>
      <c r="J28" s="35">
        <f>Adjust!H$296</f>
        <v>0.111</v>
      </c>
      <c r="K28" s="16"/>
      <c r="L28" s="17"/>
    </row>
    <row r="29" spans="1:12">
      <c r="A29" s="4" t="s">
        <v>206</v>
      </c>
      <c r="B29" s="16" t="s">
        <v>1843</v>
      </c>
      <c r="C29" s="44"/>
      <c r="D29" s="35">
        <f>Adjust!B$299</f>
        <v>4.2439999999999998</v>
      </c>
      <c r="E29" s="35">
        <f>Adjust!C$299</f>
        <v>1.018</v>
      </c>
      <c r="F29" s="35">
        <f>Adjust!D$299</f>
        <v>0.63200000000000001</v>
      </c>
      <c r="G29" s="45">
        <f>Adjust!E$299</f>
        <v>99.18</v>
      </c>
      <c r="H29" s="45">
        <f>Adjust!F$299</f>
        <v>2.93</v>
      </c>
      <c r="I29" s="45">
        <f>Adjust!G$299</f>
        <v>5.75</v>
      </c>
      <c r="J29" s="35">
        <f>Adjust!H$299</f>
        <v>7.3999999999999996E-2</v>
      </c>
      <c r="K29" s="16"/>
      <c r="L29" s="17"/>
    </row>
    <row r="30" spans="1:12">
      <c r="A30" s="4" t="s">
        <v>228</v>
      </c>
      <c r="B30" s="16">
        <v>761</v>
      </c>
      <c r="C30" s="44">
        <v>8</v>
      </c>
      <c r="D30" s="35">
        <f>Adjust!B$302</f>
        <v>3.5390000000000001</v>
      </c>
      <c r="E30" s="35">
        <f>Adjust!C$302</f>
        <v>0</v>
      </c>
      <c r="F30" s="35">
        <f>Adjust!D$302</f>
        <v>0</v>
      </c>
      <c r="G30" s="45">
        <f>Adjust!E$302</f>
        <v>0</v>
      </c>
      <c r="H30" s="45">
        <f>Adjust!F$302</f>
        <v>0</v>
      </c>
      <c r="I30" s="45">
        <f>Adjust!G$302</f>
        <v>0</v>
      </c>
      <c r="J30" s="35">
        <f>Adjust!H$302</f>
        <v>0</v>
      </c>
      <c r="K30" s="16"/>
      <c r="L30" s="17"/>
    </row>
    <row r="31" spans="1:12">
      <c r="A31" s="4" t="s">
        <v>229</v>
      </c>
      <c r="B31" s="16">
        <v>771</v>
      </c>
      <c r="C31" s="44">
        <v>1</v>
      </c>
      <c r="D31" s="35">
        <f>Adjust!B$306</f>
        <v>3.7519999999999998</v>
      </c>
      <c r="E31" s="35">
        <f>Adjust!C$306</f>
        <v>0</v>
      </c>
      <c r="F31" s="35">
        <f>Adjust!D$306</f>
        <v>0</v>
      </c>
      <c r="G31" s="45">
        <f>Adjust!E$306</f>
        <v>0</v>
      </c>
      <c r="H31" s="45">
        <f>Adjust!F$306</f>
        <v>0</v>
      </c>
      <c r="I31" s="45">
        <f>Adjust!G$306</f>
        <v>0</v>
      </c>
      <c r="J31" s="35">
        <f>Adjust!H$306</f>
        <v>0</v>
      </c>
      <c r="K31" s="16"/>
      <c r="L31" s="17"/>
    </row>
    <row r="32" spans="1:12">
      <c r="A32" s="4" t="s">
        <v>230</v>
      </c>
      <c r="B32" s="16">
        <v>781</v>
      </c>
      <c r="C32" s="44">
        <v>1</v>
      </c>
      <c r="D32" s="35">
        <f>Adjust!B$310</f>
        <v>4.952</v>
      </c>
      <c r="E32" s="35">
        <f>Adjust!C$310</f>
        <v>0</v>
      </c>
      <c r="F32" s="35">
        <f>Adjust!D$310</f>
        <v>0</v>
      </c>
      <c r="G32" s="45">
        <f>Adjust!E$310</f>
        <v>0</v>
      </c>
      <c r="H32" s="45">
        <f>Adjust!F$310</f>
        <v>0</v>
      </c>
      <c r="I32" s="45">
        <f>Adjust!G$310</f>
        <v>0</v>
      </c>
      <c r="J32" s="35">
        <f>Adjust!H$310</f>
        <v>0</v>
      </c>
      <c r="K32" s="16"/>
      <c r="L32" s="17"/>
    </row>
    <row r="33" spans="1:12">
      <c r="A33" s="4" t="s">
        <v>231</v>
      </c>
      <c r="B33" s="16">
        <v>791</v>
      </c>
      <c r="C33" s="44">
        <v>1</v>
      </c>
      <c r="D33" s="35">
        <f>Adjust!B$314</f>
        <v>3.4620000000000002</v>
      </c>
      <c r="E33" s="35">
        <f>Adjust!C$314</f>
        <v>0</v>
      </c>
      <c r="F33" s="35">
        <f>Adjust!D$314</f>
        <v>0</v>
      </c>
      <c r="G33" s="45">
        <f>Adjust!E$314</f>
        <v>0</v>
      </c>
      <c r="H33" s="45">
        <f>Adjust!F$314</f>
        <v>0</v>
      </c>
      <c r="I33" s="45">
        <f>Adjust!G$314</f>
        <v>0</v>
      </c>
      <c r="J33" s="35">
        <f>Adjust!H$314</f>
        <v>0</v>
      </c>
      <c r="K33" s="16"/>
      <c r="L33" s="17"/>
    </row>
    <row r="34" spans="1:12">
      <c r="A34" s="4" t="s">
        <v>232</v>
      </c>
      <c r="B34" s="16">
        <v>811</v>
      </c>
      <c r="C34" s="44"/>
      <c r="D34" s="35">
        <f>Adjust!B$318</f>
        <v>26.83</v>
      </c>
      <c r="E34" s="35">
        <f>Adjust!C$318</f>
        <v>3.5150000000000001</v>
      </c>
      <c r="F34" s="35">
        <f>Adjust!D$318</f>
        <v>2.4590000000000001</v>
      </c>
      <c r="G34" s="45">
        <f>Adjust!E$318</f>
        <v>0</v>
      </c>
      <c r="H34" s="45">
        <f>Adjust!F$318</f>
        <v>0</v>
      </c>
      <c r="I34" s="45">
        <f>Adjust!G$318</f>
        <v>0</v>
      </c>
      <c r="J34" s="35">
        <f>Adjust!H$318</f>
        <v>0</v>
      </c>
      <c r="K34" s="16"/>
      <c r="L34" s="17"/>
    </row>
    <row r="35" spans="1:12">
      <c r="A35" s="4" t="s">
        <v>190</v>
      </c>
      <c r="B35" s="16">
        <v>961</v>
      </c>
      <c r="C35" s="44" t="s">
        <v>1479</v>
      </c>
      <c r="D35" s="35">
        <f>Adjust!B$322</f>
        <v>-0.97699999999999998</v>
      </c>
      <c r="E35" s="35">
        <f>Adjust!C$322</f>
        <v>0</v>
      </c>
      <c r="F35" s="35">
        <f>Adjust!D$322</f>
        <v>0</v>
      </c>
      <c r="G35" s="45">
        <f>Adjust!E$322</f>
        <v>0</v>
      </c>
      <c r="H35" s="45">
        <f>Adjust!F$322</f>
        <v>0</v>
      </c>
      <c r="I35" s="45">
        <f>Adjust!G$322</f>
        <v>0</v>
      </c>
      <c r="J35" s="35">
        <f>Adjust!H$322</f>
        <v>0</v>
      </c>
      <c r="K35" s="16"/>
      <c r="L35" s="17"/>
    </row>
    <row r="36" spans="1:12">
      <c r="A36" s="4" t="s">
        <v>191</v>
      </c>
      <c r="B36" s="16">
        <v>962</v>
      </c>
      <c r="C36" s="44">
        <v>8</v>
      </c>
      <c r="D36" s="35">
        <f>Adjust!B$326</f>
        <v>-0.78100000000000003</v>
      </c>
      <c r="E36" s="35">
        <f>Adjust!C$326</f>
        <v>0</v>
      </c>
      <c r="F36" s="35">
        <f>Adjust!D$326</f>
        <v>0</v>
      </c>
      <c r="G36" s="45">
        <f>Adjust!E$326</f>
        <v>0</v>
      </c>
      <c r="H36" s="45">
        <f>Adjust!F$326</f>
        <v>0</v>
      </c>
      <c r="I36" s="45">
        <f>Adjust!G$326</f>
        <v>0</v>
      </c>
      <c r="J36" s="35">
        <f>Adjust!H$326</f>
        <v>0</v>
      </c>
      <c r="K36" s="16"/>
      <c r="L36" s="17"/>
    </row>
    <row r="37" spans="1:12">
      <c r="A37" s="4" t="s">
        <v>192</v>
      </c>
      <c r="B37" s="16">
        <v>971</v>
      </c>
      <c r="C37" s="44"/>
      <c r="D37" s="35">
        <f>Adjust!B$329</f>
        <v>-0.97699999999999998</v>
      </c>
      <c r="E37" s="35">
        <f>Adjust!C$329</f>
        <v>0</v>
      </c>
      <c r="F37" s="35">
        <f>Adjust!D$329</f>
        <v>0</v>
      </c>
      <c r="G37" s="45">
        <f>Adjust!E$329</f>
        <v>0</v>
      </c>
      <c r="H37" s="45">
        <f>Adjust!F$329</f>
        <v>0</v>
      </c>
      <c r="I37" s="45">
        <f>Adjust!G$329</f>
        <v>0</v>
      </c>
      <c r="J37" s="35">
        <f>Adjust!H$329</f>
        <v>0.128</v>
      </c>
      <c r="K37" s="16"/>
      <c r="L37" s="17"/>
    </row>
    <row r="38" spans="1:12">
      <c r="A38" s="4" t="s">
        <v>193</v>
      </c>
      <c r="B38" s="16"/>
      <c r="C38" s="44"/>
      <c r="D38" s="35">
        <f>Adjust!B$333</f>
        <v>-0.97699999999999998</v>
      </c>
      <c r="E38" s="35">
        <f>Adjust!C$333</f>
        <v>0</v>
      </c>
      <c r="F38" s="35">
        <f>Adjust!D$333</f>
        <v>0</v>
      </c>
      <c r="G38" s="45">
        <f>Adjust!E$333</f>
        <v>0</v>
      </c>
      <c r="H38" s="45">
        <f>Adjust!F$333</f>
        <v>0</v>
      </c>
      <c r="I38" s="45">
        <f>Adjust!G$333</f>
        <v>0</v>
      </c>
      <c r="J38" s="35">
        <f>Adjust!H$333</f>
        <v>0</v>
      </c>
      <c r="K38" s="16"/>
      <c r="L38" s="17"/>
    </row>
    <row r="39" spans="1:12">
      <c r="A39" s="4" t="s">
        <v>194</v>
      </c>
      <c r="B39" s="16">
        <v>981</v>
      </c>
      <c r="C39" s="44"/>
      <c r="D39" s="35">
        <f>Adjust!B$335</f>
        <v>-6.7210000000000001</v>
      </c>
      <c r="E39" s="35">
        <f>Adjust!C$335</f>
        <v>-1.0329999999999999</v>
      </c>
      <c r="F39" s="35">
        <f>Adjust!D$335</f>
        <v>-0.123</v>
      </c>
      <c r="G39" s="45">
        <f>Adjust!E$335</f>
        <v>0</v>
      </c>
      <c r="H39" s="45">
        <f>Adjust!F$335</f>
        <v>0</v>
      </c>
      <c r="I39" s="45">
        <f>Adjust!G$335</f>
        <v>0</v>
      </c>
      <c r="J39" s="35">
        <f>Adjust!H$335</f>
        <v>0.128</v>
      </c>
      <c r="K39" s="16"/>
      <c r="L39" s="17"/>
    </row>
    <row r="40" spans="1:12">
      <c r="A40" s="4" t="s">
        <v>195</v>
      </c>
      <c r="B40" s="16"/>
      <c r="C40" s="44"/>
      <c r="D40" s="35">
        <f>Adjust!B$339</f>
        <v>-6.7210000000000001</v>
      </c>
      <c r="E40" s="35">
        <f>Adjust!C$339</f>
        <v>-1.0329999999999999</v>
      </c>
      <c r="F40" s="35">
        <f>Adjust!D$339</f>
        <v>-0.123</v>
      </c>
      <c r="G40" s="45">
        <f>Adjust!E$339</f>
        <v>0</v>
      </c>
      <c r="H40" s="45">
        <f>Adjust!F$339</f>
        <v>0</v>
      </c>
      <c r="I40" s="45">
        <f>Adjust!G$339</f>
        <v>0</v>
      </c>
      <c r="J40" s="35">
        <f>Adjust!H$339</f>
        <v>0</v>
      </c>
      <c r="K40" s="16"/>
      <c r="L40" s="17"/>
    </row>
    <row r="41" spans="1:12">
      <c r="A41" s="4" t="s">
        <v>196</v>
      </c>
      <c r="B41" s="16">
        <v>972</v>
      </c>
      <c r="C41" s="44"/>
      <c r="D41" s="35">
        <f>Adjust!B$341</f>
        <v>-0.78100000000000003</v>
      </c>
      <c r="E41" s="35">
        <f>Adjust!C$341</f>
        <v>0</v>
      </c>
      <c r="F41" s="35">
        <f>Adjust!D$341</f>
        <v>0</v>
      </c>
      <c r="G41" s="45">
        <f>Adjust!E$341</f>
        <v>0</v>
      </c>
      <c r="H41" s="45">
        <f>Adjust!F$341</f>
        <v>0</v>
      </c>
      <c r="I41" s="45">
        <f>Adjust!G$341</f>
        <v>0</v>
      </c>
      <c r="J41" s="35">
        <f>Adjust!H$341</f>
        <v>0.107</v>
      </c>
      <c r="K41" s="16"/>
      <c r="L41" s="17"/>
    </row>
    <row r="42" spans="1:12">
      <c r="A42" s="4" t="s">
        <v>197</v>
      </c>
      <c r="B42" s="16"/>
      <c r="C42" s="44"/>
      <c r="D42" s="35">
        <f>Adjust!B$344</f>
        <v>-0.78100000000000003</v>
      </c>
      <c r="E42" s="35">
        <f>Adjust!C$344</f>
        <v>0</v>
      </c>
      <c r="F42" s="35">
        <f>Adjust!D$344</f>
        <v>0</v>
      </c>
      <c r="G42" s="45">
        <f>Adjust!E$344</f>
        <v>0</v>
      </c>
      <c r="H42" s="45">
        <f>Adjust!F$344</f>
        <v>0</v>
      </c>
      <c r="I42" s="45">
        <f>Adjust!G$344</f>
        <v>0</v>
      </c>
      <c r="J42" s="35">
        <f>Adjust!H$344</f>
        <v>0</v>
      </c>
      <c r="K42" s="16"/>
      <c r="L42" s="17"/>
    </row>
    <row r="43" spans="1:12">
      <c r="A43" s="4" t="s">
        <v>198</v>
      </c>
      <c r="B43" s="16">
        <v>982</v>
      </c>
      <c r="C43" s="44"/>
      <c r="D43" s="35">
        <f>Adjust!B$346</f>
        <v>-5.4640000000000004</v>
      </c>
      <c r="E43" s="35">
        <f>Adjust!C$346</f>
        <v>-0.80300000000000005</v>
      </c>
      <c r="F43" s="35">
        <f>Adjust!D$346</f>
        <v>-9.7000000000000003E-2</v>
      </c>
      <c r="G43" s="45">
        <f>Adjust!E$346</f>
        <v>0</v>
      </c>
      <c r="H43" s="45">
        <f>Adjust!F$346</f>
        <v>0</v>
      </c>
      <c r="I43" s="45">
        <f>Adjust!G$346</f>
        <v>0</v>
      </c>
      <c r="J43" s="35">
        <f>Adjust!H$346</f>
        <v>0.107</v>
      </c>
      <c r="K43" s="16"/>
      <c r="L43" s="17"/>
    </row>
    <row r="44" spans="1:12">
      <c r="A44" s="4" t="s">
        <v>199</v>
      </c>
      <c r="B44" s="16"/>
      <c r="C44" s="44"/>
      <c r="D44" s="35">
        <f>Adjust!B$349</f>
        <v>-5.4640000000000004</v>
      </c>
      <c r="E44" s="35">
        <f>Adjust!C$349</f>
        <v>-0.80300000000000005</v>
      </c>
      <c r="F44" s="35">
        <f>Adjust!D$349</f>
        <v>-9.7000000000000003E-2</v>
      </c>
      <c r="G44" s="45">
        <f>Adjust!E$349</f>
        <v>0</v>
      </c>
      <c r="H44" s="45">
        <f>Adjust!F$349</f>
        <v>0</v>
      </c>
      <c r="I44" s="45">
        <f>Adjust!G$349</f>
        <v>0</v>
      </c>
      <c r="J44" s="35">
        <f>Adjust!H$349</f>
        <v>0</v>
      </c>
      <c r="K44" s="16"/>
      <c r="L44" s="17"/>
    </row>
    <row r="45" spans="1:12">
      <c r="A45" s="4" t="s">
        <v>207</v>
      </c>
      <c r="B45" s="16">
        <v>973</v>
      </c>
      <c r="C45" s="44"/>
      <c r="D45" s="35">
        <f>Adjust!B$351</f>
        <v>-0.56499999999999995</v>
      </c>
      <c r="E45" s="35">
        <f>Adjust!C$351</f>
        <v>0</v>
      </c>
      <c r="F45" s="35">
        <f>Adjust!D$351</f>
        <v>0</v>
      </c>
      <c r="G45" s="45">
        <f>Adjust!E$351</f>
        <v>6.68</v>
      </c>
      <c r="H45" s="45">
        <f>Adjust!F$351</f>
        <v>0</v>
      </c>
      <c r="I45" s="45">
        <f>Adjust!G$351</f>
        <v>0</v>
      </c>
      <c r="J45" s="35">
        <f>Adjust!H$351</f>
        <v>8.3000000000000004E-2</v>
      </c>
      <c r="K45" s="16"/>
      <c r="L45" s="17"/>
    </row>
    <row r="46" spans="1:12">
      <c r="A46" s="4" t="s">
        <v>208</v>
      </c>
      <c r="B46" s="16"/>
      <c r="C46" s="44"/>
      <c r="D46" s="35">
        <f>Adjust!B$354</f>
        <v>-0.56499999999999995</v>
      </c>
      <c r="E46" s="35">
        <f>Adjust!C$354</f>
        <v>0</v>
      </c>
      <c r="F46" s="35">
        <f>Adjust!D$354</f>
        <v>0</v>
      </c>
      <c r="G46" s="45">
        <f>Adjust!E$354</f>
        <v>6.68</v>
      </c>
      <c r="H46" s="45">
        <f>Adjust!F$354</f>
        <v>0</v>
      </c>
      <c r="I46" s="45">
        <f>Adjust!G$354</f>
        <v>0</v>
      </c>
      <c r="J46" s="35">
        <f>Adjust!H$354</f>
        <v>0</v>
      </c>
      <c r="K46" s="16"/>
      <c r="L46" s="17"/>
    </row>
    <row r="47" spans="1:12">
      <c r="A47" s="4" t="s">
        <v>209</v>
      </c>
      <c r="B47" s="16">
        <v>983</v>
      </c>
      <c r="C47" s="44"/>
      <c r="D47" s="35">
        <f>Adjust!B$356</f>
        <v>-4.0940000000000003</v>
      </c>
      <c r="E47" s="35">
        <f>Adjust!C$356</f>
        <v>-0.54200000000000004</v>
      </c>
      <c r="F47" s="35">
        <f>Adjust!D$356</f>
        <v>-6.8000000000000005E-2</v>
      </c>
      <c r="G47" s="45">
        <f>Adjust!E$356</f>
        <v>6.68</v>
      </c>
      <c r="H47" s="45">
        <f>Adjust!F$356</f>
        <v>0</v>
      </c>
      <c r="I47" s="45">
        <f>Adjust!G$356</f>
        <v>0</v>
      </c>
      <c r="J47" s="35">
        <f>Adjust!H$356</f>
        <v>8.3000000000000004E-2</v>
      </c>
      <c r="K47" s="16"/>
      <c r="L47" s="17"/>
    </row>
    <row r="48" spans="1:12">
      <c r="A48" s="4" t="s">
        <v>210</v>
      </c>
      <c r="B48" s="16"/>
      <c r="C48" s="44"/>
      <c r="D48" s="35">
        <f>Adjust!B$359</f>
        <v>-4.0940000000000003</v>
      </c>
      <c r="E48" s="35">
        <f>Adjust!C$359</f>
        <v>-0.54200000000000004</v>
      </c>
      <c r="F48" s="35">
        <f>Adjust!D$359</f>
        <v>-6.8000000000000005E-2</v>
      </c>
      <c r="G48" s="45">
        <f>Adjust!E$359</f>
        <v>6.68</v>
      </c>
      <c r="H48" s="45">
        <f>Adjust!F$359</f>
        <v>0</v>
      </c>
      <c r="I48" s="45">
        <f>Adjust!G$359</f>
        <v>0</v>
      </c>
      <c r="J48" s="35">
        <f>Adjust!H$359</f>
        <v>0</v>
      </c>
      <c r="K48" s="16"/>
      <c r="L48" s="17"/>
    </row>
    <row r="49" spans="1:12">
      <c r="A49" s="4" t="s">
        <v>245</v>
      </c>
      <c r="B49" s="16"/>
      <c r="C49" s="44">
        <v>1</v>
      </c>
      <c r="D49" s="35">
        <f>Adjust!B$253</f>
        <v>1.536</v>
      </c>
      <c r="E49" s="35">
        <f>Adjust!C$253</f>
        <v>0</v>
      </c>
      <c r="F49" s="35">
        <f>Adjust!D$253</f>
        <v>0</v>
      </c>
      <c r="G49" s="45">
        <f>Adjust!E$253</f>
        <v>2.27</v>
      </c>
      <c r="H49" s="45">
        <f>Adjust!F$253</f>
        <v>0</v>
      </c>
      <c r="I49" s="45">
        <f>Adjust!G$253</f>
        <v>0</v>
      </c>
      <c r="J49" s="35">
        <f>Adjust!H$253</f>
        <v>0</v>
      </c>
      <c r="K49" s="16"/>
      <c r="L49" s="17"/>
    </row>
    <row r="50" spans="1:12">
      <c r="A50" s="4" t="s">
        <v>248</v>
      </c>
      <c r="B50" s="16"/>
      <c r="C50" s="44">
        <v>2</v>
      </c>
      <c r="D50" s="35">
        <f>Adjust!B$257</f>
        <v>1.796</v>
      </c>
      <c r="E50" s="35">
        <f>Adjust!C$257</f>
        <v>0.498</v>
      </c>
      <c r="F50" s="35">
        <f>Adjust!D$257</f>
        <v>0</v>
      </c>
      <c r="G50" s="45">
        <f>Adjust!E$257</f>
        <v>2.27</v>
      </c>
      <c r="H50" s="45">
        <f>Adjust!F$257</f>
        <v>0</v>
      </c>
      <c r="I50" s="45">
        <f>Adjust!G$257</f>
        <v>0</v>
      </c>
      <c r="J50" s="35">
        <f>Adjust!H$257</f>
        <v>0</v>
      </c>
      <c r="K50" s="16"/>
      <c r="L50" s="17"/>
    </row>
    <row r="51" spans="1:12">
      <c r="A51" s="4" t="s">
        <v>251</v>
      </c>
      <c r="B51" s="16"/>
      <c r="C51" s="44">
        <v>2</v>
      </c>
      <c r="D51" s="35">
        <f>Adjust!B$261</f>
        <v>0.52800000000000002</v>
      </c>
      <c r="E51" s="35">
        <f>Adjust!C$261</f>
        <v>0</v>
      </c>
      <c r="F51" s="35">
        <f>Adjust!D$261</f>
        <v>0</v>
      </c>
      <c r="G51" s="45">
        <f>Adjust!E$261</f>
        <v>0</v>
      </c>
      <c r="H51" s="45">
        <f>Adjust!F$261</f>
        <v>0</v>
      </c>
      <c r="I51" s="45">
        <f>Adjust!G$261</f>
        <v>0</v>
      </c>
      <c r="J51" s="35">
        <f>Adjust!H$261</f>
        <v>0</v>
      </c>
      <c r="K51" s="16"/>
      <c r="L51" s="17"/>
    </row>
    <row r="52" spans="1:12">
      <c r="A52" s="4" t="s">
        <v>254</v>
      </c>
      <c r="B52" s="16"/>
      <c r="C52" s="44">
        <v>3</v>
      </c>
      <c r="D52" s="35">
        <f>Adjust!B$265</f>
        <v>1.4470000000000001</v>
      </c>
      <c r="E52" s="35">
        <f>Adjust!C$265</f>
        <v>0</v>
      </c>
      <c r="F52" s="35">
        <f>Adjust!D$265</f>
        <v>0</v>
      </c>
      <c r="G52" s="45">
        <f>Adjust!E$265</f>
        <v>2.27</v>
      </c>
      <c r="H52" s="45">
        <f>Adjust!F$265</f>
        <v>0</v>
      </c>
      <c r="I52" s="45">
        <f>Adjust!G$265</f>
        <v>0</v>
      </c>
      <c r="J52" s="35">
        <f>Adjust!H$265</f>
        <v>0</v>
      </c>
      <c r="K52" s="16"/>
      <c r="L52" s="17"/>
    </row>
    <row r="53" spans="1:12">
      <c r="A53" s="4" t="s">
        <v>257</v>
      </c>
      <c r="B53" s="16"/>
      <c r="C53" s="44">
        <v>4</v>
      </c>
      <c r="D53" s="35">
        <f>Adjust!B$269</f>
        <v>1.514</v>
      </c>
      <c r="E53" s="35">
        <f>Adjust!C$269</f>
        <v>0.47199999999999998</v>
      </c>
      <c r="F53" s="35">
        <f>Adjust!D$269</f>
        <v>0</v>
      </c>
      <c r="G53" s="45">
        <f>Adjust!E$269</f>
        <v>2.27</v>
      </c>
      <c r="H53" s="45">
        <f>Adjust!F$269</f>
        <v>0</v>
      </c>
      <c r="I53" s="45">
        <f>Adjust!G$269</f>
        <v>0</v>
      </c>
      <c r="J53" s="35">
        <f>Adjust!H$269</f>
        <v>0</v>
      </c>
      <c r="K53" s="16"/>
      <c r="L53" s="17"/>
    </row>
    <row r="54" spans="1:12" ht="30">
      <c r="A54" s="4" t="s">
        <v>260</v>
      </c>
      <c r="B54" s="16"/>
      <c r="C54" s="44">
        <v>4</v>
      </c>
      <c r="D54" s="35">
        <f>Adjust!B$273</f>
        <v>0.48699999999999999</v>
      </c>
      <c r="E54" s="35">
        <f>Adjust!C$273</f>
        <v>0</v>
      </c>
      <c r="F54" s="35">
        <f>Adjust!D$273</f>
        <v>0</v>
      </c>
      <c r="G54" s="45">
        <f>Adjust!E$273</f>
        <v>0</v>
      </c>
      <c r="H54" s="45">
        <f>Adjust!F$273</f>
        <v>0</v>
      </c>
      <c r="I54" s="45">
        <f>Adjust!G$273</f>
        <v>0</v>
      </c>
      <c r="J54" s="35">
        <f>Adjust!H$273</f>
        <v>0</v>
      </c>
      <c r="K54" s="16"/>
      <c r="L54" s="17"/>
    </row>
    <row r="55" spans="1:12">
      <c r="A55" s="4" t="s">
        <v>263</v>
      </c>
      <c r="B55" s="16"/>
      <c r="C55" s="44" t="s">
        <v>1478</v>
      </c>
      <c r="D55" s="35">
        <f>Adjust!B$277</f>
        <v>1.4119999999999999</v>
      </c>
      <c r="E55" s="35">
        <f>Adjust!C$277</f>
        <v>0.45800000000000002</v>
      </c>
      <c r="F55" s="35">
        <f>Adjust!D$277</f>
        <v>0</v>
      </c>
      <c r="G55" s="45">
        <f>Adjust!E$277</f>
        <v>11.63</v>
      </c>
      <c r="H55" s="45">
        <f>Adjust!F$277</f>
        <v>0</v>
      </c>
      <c r="I55" s="45">
        <f>Adjust!G$277</f>
        <v>0</v>
      </c>
      <c r="J55" s="35">
        <f>Adjust!H$277</f>
        <v>0</v>
      </c>
      <c r="K55" s="16"/>
      <c r="L55" s="17"/>
    </row>
    <row r="56" spans="1:12">
      <c r="A56" s="4" t="s">
        <v>268</v>
      </c>
      <c r="B56" s="16"/>
      <c r="C56" s="44"/>
      <c r="D56" s="35">
        <f>Adjust!B$285</f>
        <v>6.665</v>
      </c>
      <c r="E56" s="35">
        <f>Adjust!C$285</f>
        <v>1.337</v>
      </c>
      <c r="F56" s="35">
        <f>Adjust!D$285</f>
        <v>0.48499999999999999</v>
      </c>
      <c r="G56" s="45">
        <f>Adjust!E$285</f>
        <v>2.27</v>
      </c>
      <c r="H56" s="45">
        <f>Adjust!F$285</f>
        <v>0</v>
      </c>
      <c r="I56" s="45">
        <f>Adjust!G$285</f>
        <v>0</v>
      </c>
      <c r="J56" s="35">
        <f>Adjust!H$285</f>
        <v>0</v>
      </c>
      <c r="K56" s="16"/>
      <c r="L56" s="17"/>
    </row>
    <row r="57" spans="1:12">
      <c r="A57" s="4" t="s">
        <v>271</v>
      </c>
      <c r="B57" s="16"/>
      <c r="C57" s="44"/>
      <c r="D57" s="35">
        <f>Adjust!B$289</f>
        <v>6.1219999999999999</v>
      </c>
      <c r="E57" s="35">
        <f>Adjust!C$289</f>
        <v>1.254</v>
      </c>
      <c r="F57" s="35">
        <f>Adjust!D$289</f>
        <v>0.47399999999999998</v>
      </c>
      <c r="G57" s="45">
        <f>Adjust!E$289</f>
        <v>2.27</v>
      </c>
      <c r="H57" s="45">
        <f>Adjust!F$289</f>
        <v>0</v>
      </c>
      <c r="I57" s="45">
        <f>Adjust!G$289</f>
        <v>0</v>
      </c>
      <c r="J57" s="35">
        <f>Adjust!H$289</f>
        <v>0</v>
      </c>
      <c r="K57" s="16"/>
      <c r="L57" s="17"/>
    </row>
    <row r="58" spans="1:12">
      <c r="A58" s="4" t="s">
        <v>274</v>
      </c>
      <c r="B58" s="16"/>
      <c r="C58" s="44"/>
      <c r="D58" s="35">
        <f>Adjust!B$293</f>
        <v>4.6150000000000002</v>
      </c>
      <c r="E58" s="35">
        <f>Adjust!C$293</f>
        <v>0.98599999999999999</v>
      </c>
      <c r="F58" s="35">
        <f>Adjust!D$293</f>
        <v>0.44400000000000001</v>
      </c>
      <c r="G58" s="45">
        <f>Adjust!E$293</f>
        <v>9.0299999999999994</v>
      </c>
      <c r="H58" s="45">
        <f>Adjust!F$293</f>
        <v>2.1</v>
      </c>
      <c r="I58" s="45">
        <f>Adjust!G$293</f>
        <v>3.25</v>
      </c>
      <c r="J58" s="35">
        <f>Adjust!H$293</f>
        <v>9.5000000000000001E-2</v>
      </c>
      <c r="K58" s="16"/>
      <c r="L58" s="17"/>
    </row>
    <row r="59" spans="1:12">
      <c r="A59" s="4" t="s">
        <v>281</v>
      </c>
      <c r="B59" s="16"/>
      <c r="C59" s="44">
        <v>8</v>
      </c>
      <c r="D59" s="35">
        <f>Adjust!B$303</f>
        <v>2.274</v>
      </c>
      <c r="E59" s="35">
        <f>Adjust!C$303</f>
        <v>0</v>
      </c>
      <c r="F59" s="35">
        <f>Adjust!D$303</f>
        <v>0</v>
      </c>
      <c r="G59" s="45">
        <f>Adjust!E$303</f>
        <v>0</v>
      </c>
      <c r="H59" s="45">
        <f>Adjust!F$303</f>
        <v>0</v>
      </c>
      <c r="I59" s="45">
        <f>Adjust!G$303</f>
        <v>0</v>
      </c>
      <c r="J59" s="35">
        <f>Adjust!H$303</f>
        <v>0</v>
      </c>
      <c r="K59" s="16"/>
      <c r="L59" s="17"/>
    </row>
    <row r="60" spans="1:12">
      <c r="A60" s="4" t="s">
        <v>284</v>
      </c>
      <c r="B60" s="16"/>
      <c r="C60" s="44">
        <v>1</v>
      </c>
      <c r="D60" s="35">
        <f>Adjust!B$307</f>
        <v>2.411</v>
      </c>
      <c r="E60" s="35">
        <f>Adjust!C$307</f>
        <v>0</v>
      </c>
      <c r="F60" s="35">
        <f>Adjust!D$307</f>
        <v>0</v>
      </c>
      <c r="G60" s="45">
        <f>Adjust!E$307</f>
        <v>0</v>
      </c>
      <c r="H60" s="45">
        <f>Adjust!F$307</f>
        <v>0</v>
      </c>
      <c r="I60" s="45">
        <f>Adjust!G$307</f>
        <v>0</v>
      </c>
      <c r="J60" s="35">
        <f>Adjust!H$307</f>
        <v>0</v>
      </c>
      <c r="K60" s="16"/>
      <c r="L60" s="17"/>
    </row>
    <row r="61" spans="1:12">
      <c r="A61" s="4" t="s">
        <v>287</v>
      </c>
      <c r="B61" s="16"/>
      <c r="C61" s="44">
        <v>1</v>
      </c>
      <c r="D61" s="35">
        <f>Adjust!B$311</f>
        <v>3.1819999999999999</v>
      </c>
      <c r="E61" s="35">
        <f>Adjust!C$311</f>
        <v>0</v>
      </c>
      <c r="F61" s="35">
        <f>Adjust!D$311</f>
        <v>0</v>
      </c>
      <c r="G61" s="45">
        <f>Adjust!E$311</f>
        <v>0</v>
      </c>
      <c r="H61" s="45">
        <f>Adjust!F$311</f>
        <v>0</v>
      </c>
      <c r="I61" s="45">
        <f>Adjust!G$311</f>
        <v>0</v>
      </c>
      <c r="J61" s="35">
        <f>Adjust!H$311</f>
        <v>0</v>
      </c>
      <c r="K61" s="16"/>
      <c r="L61" s="17"/>
    </row>
    <row r="62" spans="1:12">
      <c r="A62" s="4" t="s">
        <v>290</v>
      </c>
      <c r="B62" s="16"/>
      <c r="C62" s="44">
        <v>1</v>
      </c>
      <c r="D62" s="35">
        <f>Adjust!B$315</f>
        <v>2.2250000000000001</v>
      </c>
      <c r="E62" s="35">
        <f>Adjust!C$315</f>
        <v>0</v>
      </c>
      <c r="F62" s="35">
        <f>Adjust!D$315</f>
        <v>0</v>
      </c>
      <c r="G62" s="45">
        <f>Adjust!E$315</f>
        <v>0</v>
      </c>
      <c r="H62" s="45">
        <f>Adjust!F$315</f>
        <v>0</v>
      </c>
      <c r="I62" s="45">
        <f>Adjust!G$315</f>
        <v>0</v>
      </c>
      <c r="J62" s="35">
        <f>Adjust!H$315</f>
        <v>0</v>
      </c>
      <c r="K62" s="16"/>
      <c r="L62" s="17"/>
    </row>
    <row r="63" spans="1:12">
      <c r="A63" s="4" t="s">
        <v>293</v>
      </c>
      <c r="B63" s="16"/>
      <c r="C63" s="44"/>
      <c r="D63" s="35">
        <f>Adjust!B$319</f>
        <v>17.242000000000001</v>
      </c>
      <c r="E63" s="35">
        <f>Adjust!C$319</f>
        <v>2.2589999999999999</v>
      </c>
      <c r="F63" s="35">
        <f>Adjust!D$319</f>
        <v>1.58</v>
      </c>
      <c r="G63" s="45">
        <f>Adjust!E$319</f>
        <v>0</v>
      </c>
      <c r="H63" s="45">
        <f>Adjust!F$319</f>
        <v>0</v>
      </c>
      <c r="I63" s="45">
        <f>Adjust!G$319</f>
        <v>0</v>
      </c>
      <c r="J63" s="35">
        <f>Adjust!H$319</f>
        <v>0</v>
      </c>
      <c r="K63" s="16"/>
      <c r="L63" s="17"/>
    </row>
    <row r="64" spans="1:12">
      <c r="A64" s="4" t="s">
        <v>296</v>
      </c>
      <c r="B64" s="16"/>
      <c r="C64" s="44" t="s">
        <v>1479</v>
      </c>
      <c r="D64" s="35">
        <f>Adjust!B$323</f>
        <v>-0.97699999999999998</v>
      </c>
      <c r="E64" s="35">
        <f>Adjust!C$323</f>
        <v>0</v>
      </c>
      <c r="F64" s="35">
        <f>Adjust!D$323</f>
        <v>0</v>
      </c>
      <c r="G64" s="45">
        <f>Adjust!E$323</f>
        <v>0</v>
      </c>
      <c r="H64" s="45">
        <f>Adjust!F$323</f>
        <v>0</v>
      </c>
      <c r="I64" s="45">
        <f>Adjust!G$323</f>
        <v>0</v>
      </c>
      <c r="J64" s="35">
        <f>Adjust!H$323</f>
        <v>0</v>
      </c>
      <c r="K64" s="16"/>
      <c r="L64" s="17"/>
    </row>
    <row r="65" spans="1:12">
      <c r="A65" s="4" t="s">
        <v>301</v>
      </c>
      <c r="B65" s="16"/>
      <c r="C65" s="44"/>
      <c r="D65" s="35">
        <f>Adjust!B$330</f>
        <v>-0.97699999999999998</v>
      </c>
      <c r="E65" s="35">
        <f>Adjust!C$330</f>
        <v>0</v>
      </c>
      <c r="F65" s="35">
        <f>Adjust!D$330</f>
        <v>0</v>
      </c>
      <c r="G65" s="45">
        <f>Adjust!E$330</f>
        <v>0</v>
      </c>
      <c r="H65" s="45">
        <f>Adjust!F$330</f>
        <v>0</v>
      </c>
      <c r="I65" s="45">
        <f>Adjust!G$330</f>
        <v>0</v>
      </c>
      <c r="J65" s="35">
        <f>Adjust!H$330</f>
        <v>0.128</v>
      </c>
      <c r="K65" s="16"/>
      <c r="L65" s="17"/>
    </row>
    <row r="66" spans="1:12">
      <c r="A66" s="4" t="s">
        <v>305</v>
      </c>
      <c r="B66" s="16"/>
      <c r="C66" s="44"/>
      <c r="D66" s="35">
        <f>Adjust!B$336</f>
        <v>-6.7210000000000001</v>
      </c>
      <c r="E66" s="35">
        <f>Adjust!C$336</f>
        <v>-1.0329999999999999</v>
      </c>
      <c r="F66" s="35">
        <f>Adjust!D$336</f>
        <v>-0.123</v>
      </c>
      <c r="G66" s="45">
        <f>Adjust!E$336</f>
        <v>0</v>
      </c>
      <c r="H66" s="45">
        <f>Adjust!F$336</f>
        <v>0</v>
      </c>
      <c r="I66" s="45">
        <f>Adjust!G$336</f>
        <v>0</v>
      </c>
      <c r="J66" s="35">
        <f>Adjust!H$336</f>
        <v>0.128</v>
      </c>
      <c r="K66" s="16"/>
      <c r="L66" s="17"/>
    </row>
    <row r="67" spans="1:12">
      <c r="A67" s="4" t="s">
        <v>246</v>
      </c>
      <c r="B67" s="16"/>
      <c r="C67" s="44">
        <v>1</v>
      </c>
      <c r="D67" s="35">
        <f>Adjust!B$254</f>
        <v>1.02</v>
      </c>
      <c r="E67" s="35">
        <f>Adjust!C$254</f>
        <v>0</v>
      </c>
      <c r="F67" s="35">
        <f>Adjust!D$254</f>
        <v>0</v>
      </c>
      <c r="G67" s="45">
        <f>Adjust!E$254</f>
        <v>1.51</v>
      </c>
      <c r="H67" s="45">
        <f>Adjust!F$254</f>
        <v>0</v>
      </c>
      <c r="I67" s="45">
        <f>Adjust!G$254</f>
        <v>0</v>
      </c>
      <c r="J67" s="35">
        <f>Adjust!H$254</f>
        <v>0</v>
      </c>
      <c r="K67" s="16"/>
      <c r="L67" s="17"/>
    </row>
    <row r="68" spans="1:12">
      <c r="A68" s="4" t="s">
        <v>249</v>
      </c>
      <c r="B68" s="16"/>
      <c r="C68" s="44">
        <v>2</v>
      </c>
      <c r="D68" s="35">
        <f>Adjust!B$258</f>
        <v>1.1919999999999999</v>
      </c>
      <c r="E68" s="35">
        <f>Adjust!C$258</f>
        <v>0.33100000000000002</v>
      </c>
      <c r="F68" s="35">
        <f>Adjust!D$258</f>
        <v>0</v>
      </c>
      <c r="G68" s="45">
        <f>Adjust!E$258</f>
        <v>1.51</v>
      </c>
      <c r="H68" s="45">
        <f>Adjust!F$258</f>
        <v>0</v>
      </c>
      <c r="I68" s="45">
        <f>Adjust!G$258</f>
        <v>0</v>
      </c>
      <c r="J68" s="35">
        <f>Adjust!H$258</f>
        <v>0</v>
      </c>
      <c r="K68" s="16"/>
      <c r="L68" s="17"/>
    </row>
    <row r="69" spans="1:12">
      <c r="A69" s="4" t="s">
        <v>252</v>
      </c>
      <c r="B69" s="16"/>
      <c r="C69" s="44">
        <v>2</v>
      </c>
      <c r="D69" s="35">
        <f>Adjust!B$262</f>
        <v>0.35099999999999998</v>
      </c>
      <c r="E69" s="35">
        <f>Adjust!C$262</f>
        <v>0</v>
      </c>
      <c r="F69" s="35">
        <f>Adjust!D$262</f>
        <v>0</v>
      </c>
      <c r="G69" s="45">
        <f>Adjust!E$262</f>
        <v>0</v>
      </c>
      <c r="H69" s="45">
        <f>Adjust!F$262</f>
        <v>0</v>
      </c>
      <c r="I69" s="45">
        <f>Adjust!G$262</f>
        <v>0</v>
      </c>
      <c r="J69" s="35">
        <f>Adjust!H$262</f>
        <v>0</v>
      </c>
      <c r="K69" s="16"/>
      <c r="L69" s="17"/>
    </row>
    <row r="70" spans="1:12">
      <c r="A70" s="4" t="s">
        <v>255</v>
      </c>
      <c r="B70" s="16"/>
      <c r="C70" s="44">
        <v>3</v>
      </c>
      <c r="D70" s="35">
        <f>Adjust!B$266</f>
        <v>0.96099999999999997</v>
      </c>
      <c r="E70" s="35">
        <f>Adjust!C$266</f>
        <v>0</v>
      </c>
      <c r="F70" s="35">
        <f>Adjust!D$266</f>
        <v>0</v>
      </c>
      <c r="G70" s="45">
        <f>Adjust!E$266</f>
        <v>1.51</v>
      </c>
      <c r="H70" s="45">
        <f>Adjust!F$266</f>
        <v>0</v>
      </c>
      <c r="I70" s="45">
        <f>Adjust!G$266</f>
        <v>0</v>
      </c>
      <c r="J70" s="35">
        <f>Adjust!H$266</f>
        <v>0</v>
      </c>
      <c r="K70" s="16"/>
      <c r="L70" s="17"/>
    </row>
    <row r="71" spans="1:12">
      <c r="A71" s="4" t="s">
        <v>258</v>
      </c>
      <c r="B71" s="16"/>
      <c r="C71" s="44">
        <v>4</v>
      </c>
      <c r="D71" s="35">
        <f>Adjust!B$270</f>
        <v>1.0049999999999999</v>
      </c>
      <c r="E71" s="35">
        <f>Adjust!C$270</f>
        <v>0.314</v>
      </c>
      <c r="F71" s="35">
        <f>Adjust!D$270</f>
        <v>0</v>
      </c>
      <c r="G71" s="45">
        <f>Adjust!E$270</f>
        <v>1.51</v>
      </c>
      <c r="H71" s="45">
        <f>Adjust!F$270</f>
        <v>0</v>
      </c>
      <c r="I71" s="45">
        <f>Adjust!G$270</f>
        <v>0</v>
      </c>
      <c r="J71" s="35">
        <f>Adjust!H$270</f>
        <v>0</v>
      </c>
      <c r="K71" s="16"/>
      <c r="L71" s="17"/>
    </row>
    <row r="72" spans="1:12" ht="30">
      <c r="A72" s="4" t="s">
        <v>261</v>
      </c>
      <c r="B72" s="16"/>
      <c r="C72" s="44">
        <v>4</v>
      </c>
      <c r="D72" s="35">
        <f>Adjust!B$274</f>
        <v>0.32300000000000001</v>
      </c>
      <c r="E72" s="35">
        <f>Adjust!C$274</f>
        <v>0</v>
      </c>
      <c r="F72" s="35">
        <f>Adjust!D$274</f>
        <v>0</v>
      </c>
      <c r="G72" s="45">
        <f>Adjust!E$274</f>
        <v>0</v>
      </c>
      <c r="H72" s="45">
        <f>Adjust!F$274</f>
        <v>0</v>
      </c>
      <c r="I72" s="45">
        <f>Adjust!G$274</f>
        <v>0</v>
      </c>
      <c r="J72" s="35">
        <f>Adjust!H$274</f>
        <v>0</v>
      </c>
      <c r="K72" s="16"/>
      <c r="L72" s="17"/>
    </row>
    <row r="73" spans="1:12">
      <c r="A73" s="4" t="s">
        <v>264</v>
      </c>
      <c r="B73" s="16"/>
      <c r="C73" s="44" t="s">
        <v>1478</v>
      </c>
      <c r="D73" s="35">
        <f>Adjust!B$278</f>
        <v>0.93700000000000006</v>
      </c>
      <c r="E73" s="35">
        <f>Adjust!C$278</f>
        <v>0.30399999999999999</v>
      </c>
      <c r="F73" s="35">
        <f>Adjust!D$278</f>
        <v>0</v>
      </c>
      <c r="G73" s="45">
        <f>Adjust!E$278</f>
        <v>7.72</v>
      </c>
      <c r="H73" s="45">
        <f>Adjust!F$278</f>
        <v>0</v>
      </c>
      <c r="I73" s="45">
        <f>Adjust!G$278</f>
        <v>0</v>
      </c>
      <c r="J73" s="35">
        <f>Adjust!H$278</f>
        <v>0</v>
      </c>
      <c r="K73" s="16"/>
      <c r="L73" s="17"/>
    </row>
    <row r="74" spans="1:12">
      <c r="A74" s="4" t="s">
        <v>269</v>
      </c>
      <c r="B74" s="16"/>
      <c r="C74" s="44"/>
      <c r="D74" s="35">
        <f>Adjust!B$286</f>
        <v>4.4240000000000004</v>
      </c>
      <c r="E74" s="35">
        <f>Adjust!C$286</f>
        <v>0.88800000000000001</v>
      </c>
      <c r="F74" s="35">
        <f>Adjust!D$286</f>
        <v>0.32200000000000001</v>
      </c>
      <c r="G74" s="45">
        <f>Adjust!E$286</f>
        <v>1.51</v>
      </c>
      <c r="H74" s="45">
        <f>Adjust!F$286</f>
        <v>0</v>
      </c>
      <c r="I74" s="45">
        <f>Adjust!G$286</f>
        <v>0</v>
      </c>
      <c r="J74" s="35">
        <f>Adjust!H$286</f>
        <v>0</v>
      </c>
      <c r="K74" s="16"/>
      <c r="L74" s="17"/>
    </row>
    <row r="75" spans="1:12">
      <c r="A75" s="4" t="s">
        <v>272</v>
      </c>
      <c r="B75" s="16"/>
      <c r="C75" s="44"/>
      <c r="D75" s="35">
        <f>Adjust!B$290</f>
        <v>4.0640000000000001</v>
      </c>
      <c r="E75" s="35">
        <f>Adjust!C$290</f>
        <v>0.83199999999999996</v>
      </c>
      <c r="F75" s="35">
        <f>Adjust!D$290</f>
        <v>0.315</v>
      </c>
      <c r="G75" s="45">
        <f>Adjust!E$290</f>
        <v>1.51</v>
      </c>
      <c r="H75" s="45">
        <f>Adjust!F$290</f>
        <v>0</v>
      </c>
      <c r="I75" s="45">
        <f>Adjust!G$290</f>
        <v>0</v>
      </c>
      <c r="J75" s="35">
        <f>Adjust!H$290</f>
        <v>0</v>
      </c>
      <c r="K75" s="16"/>
      <c r="L75" s="17"/>
    </row>
    <row r="76" spans="1:12">
      <c r="A76" s="4" t="s">
        <v>275</v>
      </c>
      <c r="B76" s="16"/>
      <c r="C76" s="44"/>
      <c r="D76" s="35">
        <f>Adjust!B$294</f>
        <v>3.0640000000000001</v>
      </c>
      <c r="E76" s="35">
        <f>Adjust!C$294</f>
        <v>0.65400000000000003</v>
      </c>
      <c r="F76" s="35">
        <f>Adjust!D$294</f>
        <v>0.29499999999999998</v>
      </c>
      <c r="G76" s="45">
        <f>Adjust!E$294</f>
        <v>5.99</v>
      </c>
      <c r="H76" s="45">
        <f>Adjust!F$294</f>
        <v>1.39</v>
      </c>
      <c r="I76" s="45">
        <f>Adjust!G$294</f>
        <v>2.16</v>
      </c>
      <c r="J76" s="35">
        <f>Adjust!H$294</f>
        <v>6.3E-2</v>
      </c>
      <c r="K76" s="16"/>
      <c r="L76" s="17"/>
    </row>
    <row r="77" spans="1:12">
      <c r="A77" s="4" t="s">
        <v>277</v>
      </c>
      <c r="B77" s="16"/>
      <c r="C77" s="44"/>
      <c r="D77" s="35">
        <f>Adjust!B$297</f>
        <v>3.8849999999999998</v>
      </c>
      <c r="E77" s="35">
        <f>Adjust!C$297</f>
        <v>0.86299999999999999</v>
      </c>
      <c r="F77" s="35">
        <f>Adjust!D$297</f>
        <v>0.44500000000000001</v>
      </c>
      <c r="G77" s="45">
        <f>Adjust!E$297</f>
        <v>30.32</v>
      </c>
      <c r="H77" s="45">
        <f>Adjust!F$297</f>
        <v>2.1800000000000002</v>
      </c>
      <c r="I77" s="45">
        <f>Adjust!G$297</f>
        <v>3.93</v>
      </c>
      <c r="J77" s="35">
        <f>Adjust!H$297</f>
        <v>7.4999999999999997E-2</v>
      </c>
      <c r="K77" s="16"/>
      <c r="L77" s="17"/>
    </row>
    <row r="78" spans="1:12">
      <c r="A78" s="4" t="s">
        <v>279</v>
      </c>
      <c r="B78" s="16"/>
      <c r="C78" s="44"/>
      <c r="D78" s="35">
        <f>Adjust!B$300</f>
        <v>3.3769999999999998</v>
      </c>
      <c r="E78" s="35">
        <f>Adjust!C$300</f>
        <v>0.81</v>
      </c>
      <c r="F78" s="35">
        <f>Adjust!D$300</f>
        <v>0.503</v>
      </c>
      <c r="G78" s="45">
        <f>Adjust!E$300</f>
        <v>78.92</v>
      </c>
      <c r="H78" s="45">
        <f>Adjust!F$300</f>
        <v>2.33</v>
      </c>
      <c r="I78" s="45">
        <f>Adjust!G$300</f>
        <v>4.58</v>
      </c>
      <c r="J78" s="35">
        <f>Adjust!H$300</f>
        <v>5.8999999999999997E-2</v>
      </c>
      <c r="K78" s="16"/>
      <c r="L78" s="17"/>
    </row>
    <row r="79" spans="1:12">
      <c r="A79" s="4" t="s">
        <v>282</v>
      </c>
      <c r="B79" s="16"/>
      <c r="C79" s="44">
        <v>8</v>
      </c>
      <c r="D79" s="35">
        <f>Adjust!B$304</f>
        <v>1.51</v>
      </c>
      <c r="E79" s="35">
        <f>Adjust!C$304</f>
        <v>0</v>
      </c>
      <c r="F79" s="35">
        <f>Adjust!D$304</f>
        <v>0</v>
      </c>
      <c r="G79" s="45">
        <f>Adjust!E$304</f>
        <v>0</v>
      </c>
      <c r="H79" s="45">
        <f>Adjust!F$304</f>
        <v>0</v>
      </c>
      <c r="I79" s="45">
        <f>Adjust!G$304</f>
        <v>0</v>
      </c>
      <c r="J79" s="35">
        <f>Adjust!H$304</f>
        <v>0</v>
      </c>
      <c r="K79" s="16"/>
      <c r="L79" s="17"/>
    </row>
    <row r="80" spans="1:12">
      <c r="A80" s="4" t="s">
        <v>285</v>
      </c>
      <c r="B80" s="16"/>
      <c r="C80" s="44">
        <v>1</v>
      </c>
      <c r="D80" s="35">
        <f>Adjust!B$308</f>
        <v>1.601</v>
      </c>
      <c r="E80" s="35">
        <f>Adjust!C$308</f>
        <v>0</v>
      </c>
      <c r="F80" s="35">
        <f>Adjust!D$308</f>
        <v>0</v>
      </c>
      <c r="G80" s="45">
        <f>Adjust!E$308</f>
        <v>0</v>
      </c>
      <c r="H80" s="45">
        <f>Adjust!F$308</f>
        <v>0</v>
      </c>
      <c r="I80" s="45">
        <f>Adjust!G$308</f>
        <v>0</v>
      </c>
      <c r="J80" s="35">
        <f>Adjust!H$308</f>
        <v>0</v>
      </c>
      <c r="K80" s="16"/>
      <c r="L80" s="17"/>
    </row>
    <row r="81" spans="1:12">
      <c r="A81" s="4" t="s">
        <v>288</v>
      </c>
      <c r="B81" s="16"/>
      <c r="C81" s="44">
        <v>1</v>
      </c>
      <c r="D81" s="35">
        <f>Adjust!B$312</f>
        <v>2.1120000000000001</v>
      </c>
      <c r="E81" s="35">
        <f>Adjust!C$312</f>
        <v>0</v>
      </c>
      <c r="F81" s="35">
        <f>Adjust!D$312</f>
        <v>0</v>
      </c>
      <c r="G81" s="45">
        <f>Adjust!E$312</f>
        <v>0</v>
      </c>
      <c r="H81" s="45">
        <f>Adjust!F$312</f>
        <v>0</v>
      </c>
      <c r="I81" s="45">
        <f>Adjust!G$312</f>
        <v>0</v>
      </c>
      <c r="J81" s="35">
        <f>Adjust!H$312</f>
        <v>0</v>
      </c>
      <c r="K81" s="16"/>
      <c r="L81" s="17"/>
    </row>
    <row r="82" spans="1:12">
      <c r="A82" s="4" t="s">
        <v>291</v>
      </c>
      <c r="B82" s="16"/>
      <c r="C82" s="44">
        <v>1</v>
      </c>
      <c r="D82" s="35">
        <f>Adjust!B$316</f>
        <v>1.4770000000000001</v>
      </c>
      <c r="E82" s="35">
        <f>Adjust!C$316</f>
        <v>0</v>
      </c>
      <c r="F82" s="35">
        <f>Adjust!D$316</f>
        <v>0</v>
      </c>
      <c r="G82" s="45">
        <f>Adjust!E$316</f>
        <v>0</v>
      </c>
      <c r="H82" s="45">
        <f>Adjust!F$316</f>
        <v>0</v>
      </c>
      <c r="I82" s="45">
        <f>Adjust!G$316</f>
        <v>0</v>
      </c>
      <c r="J82" s="35">
        <f>Adjust!H$316</f>
        <v>0</v>
      </c>
      <c r="K82" s="16"/>
      <c r="L82" s="17"/>
    </row>
    <row r="83" spans="1:12">
      <c r="A83" s="4" t="s">
        <v>294</v>
      </c>
      <c r="B83" s="16"/>
      <c r="C83" s="44"/>
      <c r="D83" s="35">
        <f>Adjust!B$320</f>
        <v>11.445</v>
      </c>
      <c r="E83" s="35">
        <f>Adjust!C$320</f>
        <v>1.4990000000000001</v>
      </c>
      <c r="F83" s="35">
        <f>Adjust!D$320</f>
        <v>1.0489999999999999</v>
      </c>
      <c r="G83" s="45">
        <f>Adjust!E$320</f>
        <v>0</v>
      </c>
      <c r="H83" s="45">
        <f>Adjust!F$320</f>
        <v>0</v>
      </c>
      <c r="I83" s="45">
        <f>Adjust!G$320</f>
        <v>0</v>
      </c>
      <c r="J83" s="35">
        <f>Adjust!H$320</f>
        <v>0</v>
      </c>
      <c r="K83" s="16"/>
      <c r="L83" s="17"/>
    </row>
    <row r="84" spans="1:12">
      <c r="A84" s="4" t="s">
        <v>297</v>
      </c>
      <c r="B84" s="16"/>
      <c r="C84" s="44" t="s">
        <v>1479</v>
      </c>
      <c r="D84" s="35">
        <f>Adjust!B$324</f>
        <v>-0.97699999999999998</v>
      </c>
      <c r="E84" s="35">
        <f>Adjust!C$324</f>
        <v>0</v>
      </c>
      <c r="F84" s="35">
        <f>Adjust!D$324</f>
        <v>0</v>
      </c>
      <c r="G84" s="45">
        <f>Adjust!E$324</f>
        <v>0</v>
      </c>
      <c r="H84" s="45">
        <f>Adjust!F$324</f>
        <v>0</v>
      </c>
      <c r="I84" s="45">
        <f>Adjust!G$324</f>
        <v>0</v>
      </c>
      <c r="J84" s="35">
        <f>Adjust!H$324</f>
        <v>0</v>
      </c>
      <c r="K84" s="16"/>
      <c r="L84" s="17"/>
    </row>
    <row r="85" spans="1:12">
      <c r="A85" s="4" t="s">
        <v>299</v>
      </c>
      <c r="B85" s="16"/>
      <c r="C85" s="44">
        <v>8</v>
      </c>
      <c r="D85" s="35">
        <f>Adjust!B$327</f>
        <v>-0.78100000000000003</v>
      </c>
      <c r="E85" s="35">
        <f>Adjust!C$327</f>
        <v>0</v>
      </c>
      <c r="F85" s="35">
        <f>Adjust!D$327</f>
        <v>0</v>
      </c>
      <c r="G85" s="45">
        <f>Adjust!E$327</f>
        <v>0</v>
      </c>
      <c r="H85" s="45">
        <f>Adjust!F$327</f>
        <v>0</v>
      </c>
      <c r="I85" s="45">
        <f>Adjust!G$327</f>
        <v>0</v>
      </c>
      <c r="J85" s="35">
        <f>Adjust!H$327</f>
        <v>0</v>
      </c>
      <c r="K85" s="16"/>
      <c r="L85" s="17"/>
    </row>
    <row r="86" spans="1:12">
      <c r="A86" s="4" t="s">
        <v>302</v>
      </c>
      <c r="B86" s="16"/>
      <c r="C86" s="44"/>
      <c r="D86" s="35">
        <f>Adjust!B$331</f>
        <v>-0.97699999999999998</v>
      </c>
      <c r="E86" s="35">
        <f>Adjust!C$331</f>
        <v>0</v>
      </c>
      <c r="F86" s="35">
        <f>Adjust!D$331</f>
        <v>0</v>
      </c>
      <c r="G86" s="45">
        <f>Adjust!E$331</f>
        <v>0</v>
      </c>
      <c r="H86" s="45">
        <f>Adjust!F$331</f>
        <v>0</v>
      </c>
      <c r="I86" s="45">
        <f>Adjust!G$331</f>
        <v>0</v>
      </c>
      <c r="J86" s="35">
        <f>Adjust!H$331</f>
        <v>0.128</v>
      </c>
      <c r="K86" s="16"/>
      <c r="L86" s="17"/>
    </row>
    <row r="87" spans="1:12">
      <c r="A87" s="4" t="s">
        <v>306</v>
      </c>
      <c r="B87" s="16"/>
      <c r="C87" s="44"/>
      <c r="D87" s="35">
        <f>Adjust!B$337</f>
        <v>-6.7210000000000001</v>
      </c>
      <c r="E87" s="35">
        <f>Adjust!C$337</f>
        <v>-1.0329999999999999</v>
      </c>
      <c r="F87" s="35">
        <f>Adjust!D$337</f>
        <v>-0.123</v>
      </c>
      <c r="G87" s="45">
        <f>Adjust!E$337</f>
        <v>0</v>
      </c>
      <c r="H87" s="45">
        <f>Adjust!F$337</f>
        <v>0</v>
      </c>
      <c r="I87" s="45">
        <f>Adjust!G$337</f>
        <v>0</v>
      </c>
      <c r="J87" s="35">
        <f>Adjust!H$337</f>
        <v>0.128</v>
      </c>
      <c r="K87" s="16"/>
      <c r="L87" s="17"/>
    </row>
    <row r="88" spans="1:12">
      <c r="A88" s="4" t="s">
        <v>309</v>
      </c>
      <c r="B88" s="16"/>
      <c r="C88" s="44"/>
      <c r="D88" s="35">
        <f>Adjust!B$342</f>
        <v>-0.78100000000000003</v>
      </c>
      <c r="E88" s="35">
        <f>Adjust!C$342</f>
        <v>0</v>
      </c>
      <c r="F88" s="35">
        <f>Adjust!D$342</f>
        <v>0</v>
      </c>
      <c r="G88" s="45">
        <f>Adjust!E$342</f>
        <v>0</v>
      </c>
      <c r="H88" s="45">
        <f>Adjust!F$342</f>
        <v>0</v>
      </c>
      <c r="I88" s="45">
        <f>Adjust!G$342</f>
        <v>0</v>
      </c>
      <c r="J88" s="35">
        <f>Adjust!H$342</f>
        <v>0.107</v>
      </c>
      <c r="K88" s="16"/>
      <c r="L88" s="17"/>
    </row>
    <row r="89" spans="1:12">
      <c r="A89" s="4" t="s">
        <v>312</v>
      </c>
      <c r="B89" s="16"/>
      <c r="C89" s="44"/>
      <c r="D89" s="35">
        <f>Adjust!B$347</f>
        <v>-5.4640000000000004</v>
      </c>
      <c r="E89" s="35">
        <f>Adjust!C$347</f>
        <v>-0.80300000000000005</v>
      </c>
      <c r="F89" s="35">
        <f>Adjust!D$347</f>
        <v>-9.7000000000000003E-2</v>
      </c>
      <c r="G89" s="45">
        <f>Adjust!E$347</f>
        <v>0</v>
      </c>
      <c r="H89" s="45">
        <f>Adjust!F$347</f>
        <v>0</v>
      </c>
      <c r="I89" s="45">
        <f>Adjust!G$347</f>
        <v>0</v>
      </c>
      <c r="J89" s="35">
        <f>Adjust!H$347</f>
        <v>0.107</v>
      </c>
      <c r="K89" s="16"/>
      <c r="L89" s="17"/>
    </row>
    <row r="90" spans="1:12">
      <c r="A90" s="4" t="s">
        <v>315</v>
      </c>
      <c r="B90" s="16"/>
      <c r="C90" s="44"/>
      <c r="D90" s="35">
        <f>Adjust!B$352</f>
        <v>-0.56499999999999995</v>
      </c>
      <c r="E90" s="35">
        <f>Adjust!C$352</f>
        <v>0</v>
      </c>
      <c r="F90" s="35">
        <f>Adjust!D$352</f>
        <v>0</v>
      </c>
      <c r="G90" s="45">
        <f>Adjust!E$352</f>
        <v>0</v>
      </c>
      <c r="H90" s="45">
        <f>Adjust!F$352</f>
        <v>0</v>
      </c>
      <c r="I90" s="45">
        <f>Adjust!G$352</f>
        <v>0</v>
      </c>
      <c r="J90" s="35">
        <f>Adjust!H$352</f>
        <v>8.3000000000000004E-2</v>
      </c>
      <c r="K90" s="16"/>
      <c r="L90" s="17"/>
    </row>
    <row r="91" spans="1:12">
      <c r="A91" s="4" t="s">
        <v>318</v>
      </c>
      <c r="B91" s="16"/>
      <c r="C91" s="44"/>
      <c r="D91" s="35">
        <f>Adjust!B$357</f>
        <v>-4.0940000000000003</v>
      </c>
      <c r="E91" s="35">
        <f>Adjust!C$357</f>
        <v>-0.54200000000000004</v>
      </c>
      <c r="F91" s="35">
        <f>Adjust!D$357</f>
        <v>-6.8000000000000005E-2</v>
      </c>
      <c r="G91" s="45">
        <f>Adjust!E$357</f>
        <v>0</v>
      </c>
      <c r="H91" s="45">
        <f>Adjust!F$357</f>
        <v>0</v>
      </c>
      <c r="I91" s="45">
        <f>Adjust!G$357</f>
        <v>0</v>
      </c>
      <c r="J91" s="35">
        <f>Adjust!H$357</f>
        <v>8.3000000000000004E-2</v>
      </c>
      <c r="K91" s="16"/>
      <c r="L91" s="17"/>
    </row>
  </sheetData>
  <sheetProtection sheet="1" objects="1" scenarios="1"/>
  <hyperlinks>
    <hyperlink ref="A5" location="'Adjust'!B250" display="x1 = 3607. Unit rate 1 p/kWh (in Tariffs)"/>
    <hyperlink ref="A6" location="'Adjust'!C250" display="x2 = 3607. Unit rate 2 p/kWh (in Tariffs)"/>
    <hyperlink ref="A7" location="'Adjust'!D250" display="x3 = 3607. Unit rate 3 p/kWh (in Tariffs)"/>
    <hyperlink ref="A8" location="'Adjust'!E250" display="x4 = 3607. Fixed charge p/MPAN/day (in Tariffs)"/>
    <hyperlink ref="A9" location="'Adjust'!F250" display="x5 = 3607. Capacity charge p/kVA/day (in Tariffs)"/>
    <hyperlink ref="A10" location="'Adjust'!G250" display="x6 = 3607. Exceeded capacity charge p/kVA/day (in Tariffs)"/>
    <hyperlink ref="A11" location="'Adjust'!H250" display="x7 = 3607. Reactive power charge p/kVArh (in Tariff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7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50.7109375" customWidth="1"/>
    <col min="2" max="251" width="20.7109375" customWidth="1"/>
  </cols>
  <sheetData>
    <row r="1" spans="1:6" ht="21" customHeight="1">
      <c r="A1" s="1" t="str">
        <f>"Summary for "&amp;Input!B7&amp;" in "&amp;Input!C7&amp;" ("&amp;Input!D7&amp;")"</f>
        <v>Summary for Electricity North West in 2019/20 (Version 1)</v>
      </c>
    </row>
    <row r="2" spans="1:6">
      <c r="A2" s="2" t="s">
        <v>1480</v>
      </c>
    </row>
    <row r="4" spans="1:6" ht="21" customHeight="1">
      <c r="A4" s="1" t="s">
        <v>1481</v>
      </c>
    </row>
    <row r="5" spans="1:6">
      <c r="A5" s="2" t="s">
        <v>379</v>
      </c>
    </row>
    <row r="6" spans="1:6">
      <c r="A6" s="29" t="s">
        <v>496</v>
      </c>
    </row>
    <row r="7" spans="1:6">
      <c r="A7" s="29" t="s">
        <v>1482</v>
      </c>
    </row>
    <row r="8" spans="1:6">
      <c r="A8" s="29" t="s">
        <v>1483</v>
      </c>
    </row>
    <row r="9" spans="1:6">
      <c r="A9" s="29" t="s">
        <v>1484</v>
      </c>
    </row>
    <row r="10" spans="1:6">
      <c r="A10" s="30" t="s">
        <v>382</v>
      </c>
      <c r="B10" s="30" t="s">
        <v>441</v>
      </c>
      <c r="C10" s="30" t="s">
        <v>441</v>
      </c>
      <c r="D10" s="30" t="s">
        <v>441</v>
      </c>
      <c r="E10" s="30" t="s">
        <v>512</v>
      </c>
    </row>
    <row r="11" spans="1:6">
      <c r="A11" s="30" t="s">
        <v>385</v>
      </c>
      <c r="B11" s="30" t="s">
        <v>1471</v>
      </c>
      <c r="C11" s="30" t="s">
        <v>444</v>
      </c>
      <c r="D11" s="30" t="s">
        <v>1472</v>
      </c>
      <c r="E11" s="30" t="s">
        <v>1485</v>
      </c>
    </row>
    <row r="13" spans="1:6" ht="45">
      <c r="B13" s="15" t="s">
        <v>137</v>
      </c>
      <c r="C13" s="15" t="s">
        <v>1440</v>
      </c>
      <c r="D13" s="15" t="s">
        <v>1443</v>
      </c>
      <c r="E13" s="15" t="s">
        <v>1486</v>
      </c>
    </row>
    <row r="14" spans="1:6">
      <c r="A14" s="4" t="s">
        <v>1487</v>
      </c>
      <c r="B14" s="26">
        <f>Input!D60</f>
        <v>0</v>
      </c>
      <c r="C14" s="41">
        <f>Adjust!C234</f>
        <v>106250023.08477232</v>
      </c>
      <c r="D14" s="41">
        <f>Adjust!F234</f>
        <v>52855.508914709091</v>
      </c>
      <c r="E14" s="36">
        <f>Adjust!F234/Revenue!B$66</f>
        <v>1.2651099839869351E-4</v>
      </c>
      <c r="F14" s="17"/>
    </row>
    <row r="16" spans="1:6" ht="21" customHeight="1">
      <c r="A16" s="1" t="s">
        <v>1488</v>
      </c>
    </row>
    <row r="17" spans="1:1">
      <c r="A17" s="2" t="s">
        <v>379</v>
      </c>
    </row>
    <row r="18" spans="1:1">
      <c r="A18" s="29" t="s">
        <v>1489</v>
      </c>
    </row>
    <row r="19" spans="1:1">
      <c r="A19" s="29" t="s">
        <v>1490</v>
      </c>
    </row>
    <row r="20" spans="1:1">
      <c r="A20" s="29" t="s">
        <v>1491</v>
      </c>
    </row>
    <row r="21" spans="1:1">
      <c r="A21" s="29" t="s">
        <v>1492</v>
      </c>
    </row>
    <row r="22" spans="1:1">
      <c r="A22" s="29" t="s">
        <v>773</v>
      </c>
    </row>
    <row r="23" spans="1:1">
      <c r="A23" s="29" t="s">
        <v>1493</v>
      </c>
    </row>
    <row r="24" spans="1:1">
      <c r="A24" s="29" t="s">
        <v>1494</v>
      </c>
    </row>
    <row r="25" spans="1:1">
      <c r="A25" s="29" t="s">
        <v>1495</v>
      </c>
    </row>
    <row r="26" spans="1:1">
      <c r="A26" s="29" t="s">
        <v>1496</v>
      </c>
    </row>
    <row r="27" spans="1:1">
      <c r="A27" s="29" t="s">
        <v>1497</v>
      </c>
    </row>
    <row r="28" spans="1:1">
      <c r="A28" s="29" t="s">
        <v>1498</v>
      </c>
    </row>
    <row r="29" spans="1:1">
      <c r="A29" s="29" t="s">
        <v>1499</v>
      </c>
    </row>
    <row r="30" spans="1:1">
      <c r="A30" s="29" t="s">
        <v>1500</v>
      </c>
    </row>
    <row r="31" spans="1:1">
      <c r="A31" s="29" t="s">
        <v>1501</v>
      </c>
    </row>
    <row r="32" spans="1:1">
      <c r="A32" s="29" t="s">
        <v>1502</v>
      </c>
    </row>
    <row r="33" spans="1:23">
      <c r="A33" s="29" t="s">
        <v>1503</v>
      </c>
    </row>
    <row r="34" spans="1:23">
      <c r="A34" s="29" t="s">
        <v>1504</v>
      </c>
    </row>
    <row r="35" spans="1:23">
      <c r="A35" s="29" t="s">
        <v>1505</v>
      </c>
    </row>
    <row r="36" spans="1:23">
      <c r="A36" s="29" t="s">
        <v>1506</v>
      </c>
    </row>
    <row r="37" spans="1:23">
      <c r="A37" s="29" t="s">
        <v>1507</v>
      </c>
    </row>
    <row r="38" spans="1:23">
      <c r="A38" s="29" t="s">
        <v>1508</v>
      </c>
    </row>
    <row r="39" spans="1:23">
      <c r="A39" s="29" t="s">
        <v>1509</v>
      </c>
    </row>
    <row r="40" spans="1:23">
      <c r="A40" s="29" t="s">
        <v>1510</v>
      </c>
    </row>
    <row r="41" spans="1:23">
      <c r="A41" s="29" t="s">
        <v>1511</v>
      </c>
    </row>
    <row r="42" spans="1:23">
      <c r="A42" s="29" t="s">
        <v>1512</v>
      </c>
    </row>
    <row r="43" spans="1:23">
      <c r="A43" s="29" t="s">
        <v>1513</v>
      </c>
    </row>
    <row r="44" spans="1:23">
      <c r="A44" s="30" t="s">
        <v>382</v>
      </c>
      <c r="B44" s="30" t="s">
        <v>512</v>
      </c>
      <c r="C44" s="30" t="s">
        <v>441</v>
      </c>
      <c r="D44" s="30" t="s">
        <v>512</v>
      </c>
      <c r="E44" s="30" t="s">
        <v>512</v>
      </c>
      <c r="F44" s="30" t="s">
        <v>512</v>
      </c>
      <c r="G44" s="30" t="s">
        <v>512</v>
      </c>
      <c r="H44" s="30" t="s">
        <v>512</v>
      </c>
      <c r="I44" s="30" t="s">
        <v>512</v>
      </c>
      <c r="J44" s="30" t="s">
        <v>512</v>
      </c>
      <c r="K44" s="30" t="s">
        <v>512</v>
      </c>
      <c r="L44" s="30" t="s">
        <v>512</v>
      </c>
      <c r="M44" s="30" t="s">
        <v>512</v>
      </c>
      <c r="N44" s="30" t="s">
        <v>512</v>
      </c>
      <c r="O44" s="30" t="s">
        <v>512</v>
      </c>
      <c r="P44" s="30" t="s">
        <v>512</v>
      </c>
      <c r="Q44" s="30" t="s">
        <v>512</v>
      </c>
      <c r="R44" s="30" t="s">
        <v>512</v>
      </c>
      <c r="S44" s="30" t="s">
        <v>512</v>
      </c>
      <c r="T44" s="30" t="s">
        <v>512</v>
      </c>
      <c r="U44" s="30" t="s">
        <v>512</v>
      </c>
      <c r="V44" s="30" t="s">
        <v>512</v>
      </c>
    </row>
    <row r="45" spans="1:23" ht="60">
      <c r="A45" s="30" t="s">
        <v>385</v>
      </c>
      <c r="B45" s="30" t="s">
        <v>1514</v>
      </c>
      <c r="C45" s="30" t="s">
        <v>1048</v>
      </c>
      <c r="D45" s="30" t="s">
        <v>1515</v>
      </c>
      <c r="E45" s="30" t="s">
        <v>1516</v>
      </c>
      <c r="F45" s="30" t="s">
        <v>1517</v>
      </c>
      <c r="G45" s="30" t="s">
        <v>1518</v>
      </c>
      <c r="H45" s="30" t="s">
        <v>1519</v>
      </c>
      <c r="I45" s="30" t="s">
        <v>1520</v>
      </c>
      <c r="J45" s="30" t="s">
        <v>1521</v>
      </c>
      <c r="K45" s="30" t="s">
        <v>1522</v>
      </c>
      <c r="L45" s="30" t="s">
        <v>1523</v>
      </c>
      <c r="M45" s="30" t="s">
        <v>1524</v>
      </c>
      <c r="N45" s="30" t="s">
        <v>1525</v>
      </c>
      <c r="O45" s="30" t="s">
        <v>1526</v>
      </c>
      <c r="P45" s="30" t="s">
        <v>1527</v>
      </c>
      <c r="Q45" s="30" t="s">
        <v>1528</v>
      </c>
      <c r="R45" s="30" t="s">
        <v>1529</v>
      </c>
      <c r="S45" s="30" t="s">
        <v>1530</v>
      </c>
      <c r="T45" s="30" t="s">
        <v>1531</v>
      </c>
      <c r="U45" s="30" t="s">
        <v>1532</v>
      </c>
      <c r="V45" s="30" t="s">
        <v>1533</v>
      </c>
    </row>
    <row r="47" spans="1:23" ht="45">
      <c r="B47" s="15" t="s">
        <v>604</v>
      </c>
      <c r="C47" s="15" t="s">
        <v>240</v>
      </c>
      <c r="D47" s="15" t="s">
        <v>1534</v>
      </c>
      <c r="E47" s="15" t="s">
        <v>1535</v>
      </c>
      <c r="F47" s="15" t="s">
        <v>1536</v>
      </c>
      <c r="G47" s="15" t="s">
        <v>1537</v>
      </c>
      <c r="H47" s="15" t="s">
        <v>1538</v>
      </c>
      <c r="I47" s="15" t="s">
        <v>1539</v>
      </c>
      <c r="J47" s="15" t="s">
        <v>1540</v>
      </c>
      <c r="K47" s="15" t="s">
        <v>1541</v>
      </c>
      <c r="L47" s="15" t="s">
        <v>1542</v>
      </c>
      <c r="M47" s="15" t="s">
        <v>1543</v>
      </c>
      <c r="N47" s="15" t="s">
        <v>1544</v>
      </c>
      <c r="O47" s="15" t="s">
        <v>1545</v>
      </c>
      <c r="P47" s="15" t="s">
        <v>1546</v>
      </c>
      <c r="Q47" s="15" t="s">
        <v>1547</v>
      </c>
      <c r="R47" s="15" t="s">
        <v>1548</v>
      </c>
      <c r="S47" s="15" t="s">
        <v>1549</v>
      </c>
      <c r="T47" s="15" t="s">
        <v>1550</v>
      </c>
      <c r="U47" s="15" t="s">
        <v>1551</v>
      </c>
      <c r="V47" s="15" t="s">
        <v>1552</v>
      </c>
    </row>
    <row r="48" spans="1:23">
      <c r="A48" s="27" t="s">
        <v>244</v>
      </c>
      <c r="W48" s="17"/>
    </row>
    <row r="49" spans="1:23">
      <c r="A49" s="4" t="s">
        <v>180</v>
      </c>
      <c r="B49" s="39">
        <f>Input!B195+Input!C195+Input!D195</f>
        <v>6432881.8466872061</v>
      </c>
      <c r="C49" s="41">
        <f>Input!E195</f>
        <v>2027175.5163934426</v>
      </c>
      <c r="D49" s="39">
        <f>0.01*Input!F$60*(Adjust!$E252*Input!E195+Adjust!$F252*Input!F195+Adjust!$G252*Input!G195)+10*(Adjust!$B252*Input!B195+Adjust!$C252*Input!C195+Adjust!$D252*Input!D195+Adjust!$H252*Input!H195)</f>
        <v>179936578.37252423</v>
      </c>
      <c r="E49" s="39">
        <f>10*(Adjust!$B252*Input!B195+Adjust!$C252*Input!C195+Adjust!$D252*Input!D195)</f>
        <v>153745876.13582423</v>
      </c>
      <c r="F49" s="39">
        <f>Adjust!E252*Input!$F$60*Input!$E195/100</f>
        <v>26190702.236700002</v>
      </c>
      <c r="G49" s="39">
        <f>Adjust!F252*Input!$F$60*Input!$F195/100</f>
        <v>0</v>
      </c>
      <c r="H49" s="39">
        <f>Adjust!G252*Input!$F$60*Input!$G195/100</f>
        <v>0</v>
      </c>
      <c r="I49" s="39">
        <f>Adjust!H252*Input!$H195*10</f>
        <v>0</v>
      </c>
      <c r="J49" s="34">
        <f>IF(B49&lt;&gt;0,0.1*D49/B49,"")</f>
        <v>2.7971379338357916</v>
      </c>
      <c r="K49" s="43">
        <f>IF(C49&lt;&gt;0,D49/C49,"")</f>
        <v>88.76220974326398</v>
      </c>
      <c r="L49" s="34">
        <f>IF(B49&lt;&gt;0,0.1*E49/B49,0)</f>
        <v>2.3900000000000006</v>
      </c>
      <c r="M49" s="39">
        <f>Adjust!B252*Input!$B195*10</f>
        <v>153745876.13582423</v>
      </c>
      <c r="N49" s="39">
        <f>Adjust!C252*Input!$C195*10</f>
        <v>0</v>
      </c>
      <c r="O49" s="39">
        <f>Adjust!D252*Input!$D195*10</f>
        <v>0</v>
      </c>
      <c r="P49" s="36">
        <f>IF(E49&lt;&gt;0,$M49/E49,"")</f>
        <v>1</v>
      </c>
      <c r="Q49" s="36">
        <f>IF(E49&lt;&gt;0,$N49/E49,"")</f>
        <v>0</v>
      </c>
      <c r="R49" s="36">
        <f>IF(E49&lt;&gt;0,$O49/E49,"")</f>
        <v>0</v>
      </c>
      <c r="S49" s="36">
        <f>IF(D49&lt;&gt;0,$F49/D49,"")</f>
        <v>0.14555518657511185</v>
      </c>
      <c r="T49" s="36">
        <f>IF(D49&lt;&gt;0,$G49/D49,"")</f>
        <v>0</v>
      </c>
      <c r="U49" s="36">
        <f>IF(D49&lt;&gt;0,$H49/D49,"")</f>
        <v>0</v>
      </c>
      <c r="V49" s="36">
        <f>IF(D49&lt;&gt;0,$I49/D49,"")</f>
        <v>0</v>
      </c>
      <c r="W49" s="17"/>
    </row>
    <row r="50" spans="1:23">
      <c r="A50" s="4" t="s">
        <v>245</v>
      </c>
      <c r="B50" s="39">
        <f>Input!B196+Input!C196+Input!D196</f>
        <v>113806.00135704137</v>
      </c>
      <c r="C50" s="41">
        <f>Input!E196</f>
        <v>39023.016393442624</v>
      </c>
      <c r="D50" s="39">
        <f>0.01*Input!F$60*(Adjust!$E253*Input!E196+Adjust!$F253*Input!F196+Adjust!$G253*Input!G196)+10*(Adjust!$B253*Input!B196+Adjust!$C253*Input!C196+Adjust!$D253*Input!D196+Adjust!$H253*Input!H196)</f>
        <v>2072271.2056441556</v>
      </c>
      <c r="E50" s="39">
        <f>10*(Adjust!$B253*Input!B196+Adjust!$C253*Input!C196+Adjust!$D253*Input!D196)</f>
        <v>1748060.1808441556</v>
      </c>
      <c r="F50" s="39">
        <f>Adjust!E253*Input!$F$60*Input!$E196/100</f>
        <v>324211.02480000001</v>
      </c>
      <c r="G50" s="39">
        <f>Adjust!F253*Input!$F$60*Input!$F196/100</f>
        <v>0</v>
      </c>
      <c r="H50" s="39">
        <f>Adjust!G253*Input!$F$60*Input!$G196/100</f>
        <v>0</v>
      </c>
      <c r="I50" s="39">
        <f>Adjust!H253*Input!$H196*10</f>
        <v>0</v>
      </c>
      <c r="J50" s="34">
        <f>IF(B50&lt;&gt;0,0.1*D50/B50,"")</f>
        <v>1.8208804289176801</v>
      </c>
      <c r="K50" s="43">
        <f>IF(C50&lt;&gt;0,D50/C50,"")</f>
        <v>53.103819160232248</v>
      </c>
      <c r="L50" s="34">
        <f>IF(B50&lt;&gt;0,0.1*E50/B50,0)</f>
        <v>1.5360000000000003</v>
      </c>
      <c r="M50" s="39">
        <f>Adjust!B253*Input!$B196*10</f>
        <v>1748060.1808441556</v>
      </c>
      <c r="N50" s="39">
        <f>Adjust!C253*Input!$C196*10</f>
        <v>0</v>
      </c>
      <c r="O50" s="39">
        <f>Adjust!D253*Input!$D196*10</f>
        <v>0</v>
      </c>
      <c r="P50" s="36">
        <f>IF(E50&lt;&gt;0,$M50/E50,"")</f>
        <v>1</v>
      </c>
      <c r="Q50" s="36">
        <f>IF(E50&lt;&gt;0,$N50/E50,"")</f>
        <v>0</v>
      </c>
      <c r="R50" s="36">
        <f>IF(E50&lt;&gt;0,$O50/E50,"")</f>
        <v>0</v>
      </c>
      <c r="S50" s="36">
        <f>IF(D50&lt;&gt;0,$F50/D50,"")</f>
        <v>0.15645202419304985</v>
      </c>
      <c r="T50" s="36">
        <f>IF(D50&lt;&gt;0,$G50/D50,"")</f>
        <v>0</v>
      </c>
      <c r="U50" s="36">
        <f>IF(D50&lt;&gt;0,$H50/D50,"")</f>
        <v>0</v>
      </c>
      <c r="V50" s="36">
        <f>IF(D50&lt;&gt;0,$I50/D50,"")</f>
        <v>0</v>
      </c>
      <c r="W50" s="17"/>
    </row>
    <row r="51" spans="1:23">
      <c r="A51" s="4" t="s">
        <v>246</v>
      </c>
      <c r="B51" s="39">
        <f>Input!B197+Input!C197+Input!D197</f>
        <v>92235.485412453971</v>
      </c>
      <c r="C51" s="41">
        <f>Input!E197</f>
        <v>30193.852459016394</v>
      </c>
      <c r="D51" s="39">
        <f>0.01*Input!F$60*(Adjust!$E254*Input!E197+Adjust!$F254*Input!F197+Adjust!$G254*Input!G197)+10*(Adjust!$B254*Input!B197+Adjust!$C254*Input!C197+Adjust!$D254*Input!D197+Adjust!$H254*Input!H197)</f>
        <v>1107671.2962070305</v>
      </c>
      <c r="E51" s="39">
        <f>10*(Adjust!$B254*Input!B197+Adjust!$C254*Input!C197+Adjust!$D254*Input!D197)</f>
        <v>940801.95120703056</v>
      </c>
      <c r="F51" s="39">
        <f>Adjust!E254*Input!$F$60*Input!$E197/100</f>
        <v>166869.345</v>
      </c>
      <c r="G51" s="39">
        <f>Adjust!F254*Input!$F$60*Input!$F197/100</f>
        <v>0</v>
      </c>
      <c r="H51" s="39">
        <f>Adjust!G254*Input!$F$60*Input!$G197/100</f>
        <v>0</v>
      </c>
      <c r="I51" s="39">
        <f>Adjust!H254*Input!$H197*10</f>
        <v>0</v>
      </c>
      <c r="J51" s="34">
        <f>IF(B51&lt;&gt;0,0.1*D51/B51,"")</f>
        <v>1.2009166442327508</v>
      </c>
      <c r="K51" s="43">
        <f>IF(C51&lt;&gt;0,D51/C51,"")</f>
        <v>36.685325190302478</v>
      </c>
      <c r="L51" s="34">
        <f>IF(B51&lt;&gt;0,0.1*E51/B51,0)</f>
        <v>1.0200000000000002</v>
      </c>
      <c r="M51" s="39">
        <f>Adjust!B254*Input!$B197*10</f>
        <v>940801.95120703056</v>
      </c>
      <c r="N51" s="39">
        <f>Adjust!C254*Input!$C197*10</f>
        <v>0</v>
      </c>
      <c r="O51" s="39">
        <f>Adjust!D254*Input!$D197*10</f>
        <v>0</v>
      </c>
      <c r="P51" s="36">
        <f>IF(E51&lt;&gt;0,$M51/E51,"")</f>
        <v>1</v>
      </c>
      <c r="Q51" s="36">
        <f>IF(E51&lt;&gt;0,$N51/E51,"")</f>
        <v>0</v>
      </c>
      <c r="R51" s="36">
        <f>IF(E51&lt;&gt;0,$O51/E51,"")</f>
        <v>0</v>
      </c>
      <c r="S51" s="36">
        <f>IF(D51&lt;&gt;0,$F51/D51,"")</f>
        <v>0.15064879407041265</v>
      </c>
      <c r="T51" s="36">
        <f>IF(D51&lt;&gt;0,$G51/D51,"")</f>
        <v>0</v>
      </c>
      <c r="U51" s="36">
        <f>IF(D51&lt;&gt;0,$H51/D51,"")</f>
        <v>0</v>
      </c>
      <c r="V51" s="36">
        <f>IF(D51&lt;&gt;0,$I51/D51,"")</f>
        <v>0</v>
      </c>
      <c r="W51" s="17"/>
    </row>
    <row r="52" spans="1:23">
      <c r="A52" s="27" t="s">
        <v>247</v>
      </c>
      <c r="W52" s="17"/>
    </row>
    <row r="53" spans="1:23">
      <c r="A53" s="4" t="s">
        <v>181</v>
      </c>
      <c r="B53" s="39">
        <f>Input!B199+Input!C199+Input!D199</f>
        <v>934347.20569405961</v>
      </c>
      <c r="C53" s="41">
        <f>Input!E199</f>
        <v>178282</v>
      </c>
      <c r="D53" s="39">
        <f>0.01*Input!F$60*(Adjust!$E256*Input!E199+Adjust!$F256*Input!F199+Adjust!$G256*Input!G199)+10*(Adjust!$B256*Input!B199+Adjust!$C256*Input!C199+Adjust!$D256*Input!D199+Adjust!$H256*Input!H199)</f>
        <v>19004988.499996319</v>
      </c>
      <c r="E53" s="39">
        <f>10*(Adjust!$B256*Input!B199+Adjust!$C256*Input!C199+Adjust!$D256*Input!D199)</f>
        <v>16701620.716396319</v>
      </c>
      <c r="F53" s="39">
        <f>Adjust!E256*Input!$F$60*Input!$E199/100</f>
        <v>2303367.7836000002</v>
      </c>
      <c r="G53" s="39">
        <f>Adjust!F256*Input!$F$60*Input!$F199/100</f>
        <v>0</v>
      </c>
      <c r="H53" s="39">
        <f>Adjust!G256*Input!$F$60*Input!$G199/100</f>
        <v>0</v>
      </c>
      <c r="I53" s="39">
        <f>Adjust!H256*Input!$H199*10</f>
        <v>0</v>
      </c>
      <c r="J53" s="34">
        <f>IF(B53&lt;&gt;0,0.1*D53/B53,"")</f>
        <v>2.03403920771389</v>
      </c>
      <c r="K53" s="43">
        <f>IF(C53&lt;&gt;0,D53/C53,"")</f>
        <v>106.60071403729103</v>
      </c>
      <c r="L53" s="34">
        <f>IF(B53&lt;&gt;0,0.1*E53/B53,0)</f>
        <v>1.7875175967364167</v>
      </c>
      <c r="M53" s="39">
        <f>Adjust!B256*Input!$B199*10</f>
        <v>13091847.975787517</v>
      </c>
      <c r="N53" s="39">
        <f>Adjust!C256*Input!$C199*10</f>
        <v>3609772.7406088035</v>
      </c>
      <c r="O53" s="39">
        <f>Adjust!D256*Input!$D199*10</f>
        <v>0</v>
      </c>
      <c r="P53" s="36">
        <f>IF(E53&lt;&gt;0,$M53/E53,"")</f>
        <v>0.78386691915084539</v>
      </c>
      <c r="Q53" s="36">
        <f>IF(E53&lt;&gt;0,$N53/E53,"")</f>
        <v>0.21613308084915475</v>
      </c>
      <c r="R53" s="36">
        <f>IF(E53&lt;&gt;0,$O53/E53,"")</f>
        <v>0</v>
      </c>
      <c r="S53" s="36">
        <f>IF(D53&lt;&gt;0,$F53/D53,"")</f>
        <v>0.12119806247714626</v>
      </c>
      <c r="T53" s="36">
        <f>IF(D53&lt;&gt;0,$G53/D53,"")</f>
        <v>0</v>
      </c>
      <c r="U53" s="36">
        <f>IF(D53&lt;&gt;0,$H53/D53,"")</f>
        <v>0</v>
      </c>
      <c r="V53" s="36">
        <f>IF(D53&lt;&gt;0,$I53/D53,"")</f>
        <v>0</v>
      </c>
      <c r="W53" s="17"/>
    </row>
    <row r="54" spans="1:23">
      <c r="A54" s="4" t="s">
        <v>248</v>
      </c>
      <c r="B54" s="39">
        <f>Input!B200+Input!C200+Input!D200</f>
        <v>1729.1362373442194</v>
      </c>
      <c r="C54" s="41">
        <f>Input!E200</f>
        <v>440.49180327868851</v>
      </c>
      <c r="D54" s="39">
        <f>0.01*Input!F$60*(Adjust!$E257*Input!E200+Adjust!$F257*Input!F200+Adjust!$G257*Input!G200)+10*(Adjust!$B257*Input!B200+Adjust!$C257*Input!C200+Adjust!$D257*Input!D200+Adjust!$H257*Input!H200)</f>
        <v>28658.726046234016</v>
      </c>
      <c r="E54" s="39">
        <f>10*(Adjust!$B257*Input!B200+Adjust!$C257*Input!C200+Adjust!$D257*Input!D200)</f>
        <v>24999.032046234017</v>
      </c>
      <c r="F54" s="39">
        <f>Adjust!E257*Input!$F$60*Input!$E200/100</f>
        <v>3659.6940000000004</v>
      </c>
      <c r="G54" s="39">
        <f>Adjust!F257*Input!$F$60*Input!$F200/100</f>
        <v>0</v>
      </c>
      <c r="H54" s="39">
        <f>Adjust!G257*Input!$F$60*Input!$G200/100</f>
        <v>0</v>
      </c>
      <c r="I54" s="39">
        <f>Adjust!H257*Input!$H200*10</f>
        <v>0</v>
      </c>
      <c r="J54" s="34">
        <f>IF(B54&lt;&gt;0,0.1*D54/B54,"")</f>
        <v>1.6574012751158904</v>
      </c>
      <c r="K54" s="43">
        <f>IF(C54&lt;&gt;0,D54/C54,"")</f>
        <v>65.060747630080954</v>
      </c>
      <c r="L54" s="34">
        <f>IF(B54&lt;&gt;0,0.1*E54/B54,0)</f>
        <v>1.4457525963732063</v>
      </c>
      <c r="M54" s="39">
        <f>Adjust!B257*Input!$B200*10</f>
        <v>22675.445853105244</v>
      </c>
      <c r="N54" s="39">
        <f>Adjust!C257*Input!$C200*10</f>
        <v>2323.5861931287714</v>
      </c>
      <c r="O54" s="39">
        <f>Adjust!D257*Input!$D200*10</f>
        <v>0</v>
      </c>
      <c r="P54" s="36">
        <f>IF(E54&lt;&gt;0,$M54/E54,"")</f>
        <v>0.90705295353710269</v>
      </c>
      <c r="Q54" s="36">
        <f>IF(E54&lt;&gt;0,$N54/E54,"")</f>
        <v>9.2947046462897281E-2</v>
      </c>
      <c r="R54" s="36">
        <f>IF(E54&lt;&gt;0,$O54/E54,"")</f>
        <v>0</v>
      </c>
      <c r="S54" s="36">
        <f>IF(D54&lt;&gt;0,$F54/D54,"")</f>
        <v>0.12769911663539954</v>
      </c>
      <c r="T54" s="36">
        <f>IF(D54&lt;&gt;0,$G54/D54,"")</f>
        <v>0</v>
      </c>
      <c r="U54" s="36">
        <f>IF(D54&lt;&gt;0,$H54/D54,"")</f>
        <v>0</v>
      </c>
      <c r="V54" s="36">
        <f>IF(D54&lt;&gt;0,$I54/D54,"")</f>
        <v>0</v>
      </c>
      <c r="W54" s="17"/>
    </row>
    <row r="55" spans="1:23">
      <c r="A55" s="4" t="s">
        <v>249</v>
      </c>
      <c r="B55" s="39">
        <f>Input!B201+Input!C201+Input!D201</f>
        <v>7975.4522494536113</v>
      </c>
      <c r="C55" s="41">
        <f>Input!E201</f>
        <v>1559.2240437158471</v>
      </c>
      <c r="D55" s="39">
        <f>0.01*Input!F$60*(Adjust!$E258*Input!E201+Adjust!$F258*Input!F201+Adjust!$G258*Input!G201)+10*(Adjust!$B258*Input!B201+Adjust!$C258*Input!C201+Adjust!$D258*Input!D201+Adjust!$H258*Input!H201)</f>
        <v>79129.220260346192</v>
      </c>
      <c r="E55" s="39">
        <f>10*(Adjust!$B258*Input!B201+Adjust!$C258*Input!C201+Adjust!$D258*Input!D201)</f>
        <v>70512.012660346183</v>
      </c>
      <c r="F55" s="39">
        <f>Adjust!E258*Input!$F$60*Input!$E201/100</f>
        <v>8617.2075999999997</v>
      </c>
      <c r="G55" s="39">
        <f>Adjust!F258*Input!$F$60*Input!$F201/100</f>
        <v>0</v>
      </c>
      <c r="H55" s="39">
        <f>Adjust!G258*Input!$F$60*Input!$G201/100</f>
        <v>0</v>
      </c>
      <c r="I55" s="39">
        <f>Adjust!H258*Input!$H201*10</f>
        <v>0</v>
      </c>
      <c r="J55" s="34">
        <f>IF(B55&lt;&gt;0,0.1*D55/B55,"")</f>
        <v>0.99215966424684243</v>
      </c>
      <c r="K55" s="43">
        <f>IF(C55&lt;&gt;0,D55/C55,"")</f>
        <v>50.749102144275746</v>
      </c>
      <c r="L55" s="34">
        <f>IF(B55&lt;&gt;0,0.1*E55/B55,0)</f>
        <v>0.88411303152340837</v>
      </c>
      <c r="M55" s="39">
        <f>Adjust!B258*Input!$B201*10</f>
        <v>61072.024078825125</v>
      </c>
      <c r="N55" s="39">
        <f>Adjust!C258*Input!$C201*10</f>
        <v>9439.9885815210528</v>
      </c>
      <c r="O55" s="39">
        <f>Adjust!D258*Input!$D201*10</f>
        <v>0</v>
      </c>
      <c r="P55" s="36">
        <f>IF(E55&lt;&gt;0,$M55/E55,"")</f>
        <v>0.86612226448572471</v>
      </c>
      <c r="Q55" s="36">
        <f>IF(E55&lt;&gt;0,$N55/E55,"")</f>
        <v>0.13387773551427523</v>
      </c>
      <c r="R55" s="36">
        <f>IF(E55&lt;&gt;0,$O55/E55,"")</f>
        <v>0</v>
      </c>
      <c r="S55" s="36">
        <f>IF(D55&lt;&gt;0,$F55/D55,"")</f>
        <v>0.10890044880574057</v>
      </c>
      <c r="T55" s="36">
        <f>IF(D55&lt;&gt;0,$G55/D55,"")</f>
        <v>0</v>
      </c>
      <c r="U55" s="36">
        <f>IF(D55&lt;&gt;0,$H55/D55,"")</f>
        <v>0</v>
      </c>
      <c r="V55" s="36">
        <f>IF(D55&lt;&gt;0,$I55/D55,"")</f>
        <v>0</v>
      </c>
      <c r="W55" s="17"/>
    </row>
    <row r="56" spans="1:23">
      <c r="A56" s="27" t="s">
        <v>250</v>
      </c>
      <c r="W56" s="17"/>
    </row>
    <row r="57" spans="1:23">
      <c r="A57" s="4" t="s">
        <v>226</v>
      </c>
      <c r="B57" s="39">
        <f>Input!B203+Input!C203+Input!D203</f>
        <v>14279.502094378502</v>
      </c>
      <c r="C57" s="41">
        <f>Input!E203</f>
        <v>4270</v>
      </c>
      <c r="D57" s="39">
        <f>0.01*Input!F$60*(Adjust!$E260*Input!E203+Adjust!$F260*Input!F203+Adjust!$G260*Input!G203)+10*(Adjust!$B260*Input!B203+Adjust!$C260*Input!C203+Adjust!$D260*Input!D203+Adjust!$H260*Input!H203)</f>
        <v>117377.50721579128</v>
      </c>
      <c r="E57" s="39">
        <f>10*(Adjust!$B260*Input!B203+Adjust!$C260*Input!C203+Adjust!$D260*Input!D203)</f>
        <v>117377.50721579128</v>
      </c>
      <c r="F57" s="39">
        <f>Adjust!E260*Input!$F$60*Input!$E203/100</f>
        <v>0</v>
      </c>
      <c r="G57" s="39">
        <f>Adjust!F260*Input!$F$60*Input!$F203/100</f>
        <v>0</v>
      </c>
      <c r="H57" s="39">
        <f>Adjust!G260*Input!$F$60*Input!$G203/100</f>
        <v>0</v>
      </c>
      <c r="I57" s="39">
        <f>Adjust!H260*Input!$H203*10</f>
        <v>0</v>
      </c>
      <c r="J57" s="34">
        <f>IF(B57&lt;&gt;0,0.1*D57/B57,"")</f>
        <v>0.82199999999999995</v>
      </c>
      <c r="K57" s="43">
        <f>IF(C57&lt;&gt;0,D57/C57,"")</f>
        <v>27.488877568101003</v>
      </c>
      <c r="L57" s="34">
        <f>IF(B57&lt;&gt;0,0.1*E57/B57,0)</f>
        <v>0.82199999999999995</v>
      </c>
      <c r="M57" s="39">
        <f>Adjust!B260*Input!$B203*10</f>
        <v>117377.50721579128</v>
      </c>
      <c r="N57" s="39">
        <f>Adjust!C260*Input!$C203*10</f>
        <v>0</v>
      </c>
      <c r="O57" s="39">
        <f>Adjust!D260*Input!$D203*10</f>
        <v>0</v>
      </c>
      <c r="P57" s="36">
        <f>IF(E57&lt;&gt;0,$M57/E57,"")</f>
        <v>1</v>
      </c>
      <c r="Q57" s="36">
        <f>IF(E57&lt;&gt;0,$N57/E57,"")</f>
        <v>0</v>
      </c>
      <c r="R57" s="36">
        <f>IF(E57&lt;&gt;0,$O57/E57,"")</f>
        <v>0</v>
      </c>
      <c r="S57" s="36">
        <f>IF(D57&lt;&gt;0,$F57/D57,"")</f>
        <v>0</v>
      </c>
      <c r="T57" s="36">
        <f>IF(D57&lt;&gt;0,$G57/D57,"")</f>
        <v>0</v>
      </c>
      <c r="U57" s="36">
        <f>IF(D57&lt;&gt;0,$H57/D57,"")</f>
        <v>0</v>
      </c>
      <c r="V57" s="36">
        <f>IF(D57&lt;&gt;0,$I57/D57,"")</f>
        <v>0</v>
      </c>
      <c r="W57" s="17"/>
    </row>
    <row r="58" spans="1:23">
      <c r="A58" s="4" t="s">
        <v>251</v>
      </c>
      <c r="B58" s="39">
        <f>Input!B204+Input!C204+Input!D204</f>
        <v>0</v>
      </c>
      <c r="C58" s="41">
        <f>Input!E204</f>
        <v>0</v>
      </c>
      <c r="D58" s="39">
        <f>0.01*Input!F$60*(Adjust!$E261*Input!E204+Adjust!$F261*Input!F204+Adjust!$G261*Input!G204)+10*(Adjust!$B261*Input!B204+Adjust!$C261*Input!C204+Adjust!$D261*Input!D204+Adjust!$H261*Input!H204)</f>
        <v>0</v>
      </c>
      <c r="E58" s="39">
        <f>10*(Adjust!$B261*Input!B204+Adjust!$C261*Input!C204+Adjust!$D261*Input!D204)</f>
        <v>0</v>
      </c>
      <c r="F58" s="39">
        <f>Adjust!E261*Input!$F$60*Input!$E204/100</f>
        <v>0</v>
      </c>
      <c r="G58" s="39">
        <f>Adjust!F261*Input!$F$60*Input!$F204/100</f>
        <v>0</v>
      </c>
      <c r="H58" s="39">
        <f>Adjust!G261*Input!$F$60*Input!$G204/100</f>
        <v>0</v>
      </c>
      <c r="I58" s="39">
        <f>Adjust!H261*Input!$H204*10</f>
        <v>0</v>
      </c>
      <c r="J58" s="34" t="str">
        <f>IF(B58&lt;&gt;0,0.1*D58/B58,"")</f>
        <v/>
      </c>
      <c r="K58" s="43" t="str">
        <f>IF(C58&lt;&gt;0,D58/C58,"")</f>
        <v/>
      </c>
      <c r="L58" s="34">
        <f>IF(B58&lt;&gt;0,0.1*E58/B58,0)</f>
        <v>0</v>
      </c>
      <c r="M58" s="39">
        <f>Adjust!B261*Input!$B204*10</f>
        <v>0</v>
      </c>
      <c r="N58" s="39">
        <f>Adjust!C261*Input!$C204*10</f>
        <v>0</v>
      </c>
      <c r="O58" s="39">
        <f>Adjust!D261*Input!$D204*10</f>
        <v>0</v>
      </c>
      <c r="P58" s="36" t="str">
        <f>IF(E58&lt;&gt;0,$M58/E58,"")</f>
        <v/>
      </c>
      <c r="Q58" s="36" t="str">
        <f>IF(E58&lt;&gt;0,$N58/E58,"")</f>
        <v/>
      </c>
      <c r="R58" s="36" t="str">
        <f>IF(E58&lt;&gt;0,$O58/E58,"")</f>
        <v/>
      </c>
      <c r="S58" s="36" t="str">
        <f>IF(D58&lt;&gt;0,$F58/D58,"")</f>
        <v/>
      </c>
      <c r="T58" s="36" t="str">
        <f>IF(D58&lt;&gt;0,$G58/D58,"")</f>
        <v/>
      </c>
      <c r="U58" s="36" t="str">
        <f>IF(D58&lt;&gt;0,$H58/D58,"")</f>
        <v/>
      </c>
      <c r="V58" s="36" t="str">
        <f>IF(D58&lt;&gt;0,$I58/D58,"")</f>
        <v/>
      </c>
      <c r="W58" s="17"/>
    </row>
    <row r="59" spans="1:23">
      <c r="A59" s="4" t="s">
        <v>252</v>
      </c>
      <c r="B59" s="39">
        <f>Input!B205+Input!C205+Input!D205</f>
        <v>0</v>
      </c>
      <c r="C59" s="41">
        <f>Input!E205</f>
        <v>0</v>
      </c>
      <c r="D59" s="39">
        <f>0.01*Input!F$60*(Adjust!$E262*Input!E205+Adjust!$F262*Input!F205+Adjust!$G262*Input!G205)+10*(Adjust!$B262*Input!B205+Adjust!$C262*Input!C205+Adjust!$D262*Input!D205+Adjust!$H262*Input!H205)</f>
        <v>0</v>
      </c>
      <c r="E59" s="39">
        <f>10*(Adjust!$B262*Input!B205+Adjust!$C262*Input!C205+Adjust!$D262*Input!D205)</f>
        <v>0</v>
      </c>
      <c r="F59" s="39">
        <f>Adjust!E262*Input!$F$60*Input!$E205/100</f>
        <v>0</v>
      </c>
      <c r="G59" s="39">
        <f>Adjust!F262*Input!$F$60*Input!$F205/100</f>
        <v>0</v>
      </c>
      <c r="H59" s="39">
        <f>Adjust!G262*Input!$F$60*Input!$G205/100</f>
        <v>0</v>
      </c>
      <c r="I59" s="39">
        <f>Adjust!H262*Input!$H205*10</f>
        <v>0</v>
      </c>
      <c r="J59" s="34" t="str">
        <f>IF(B59&lt;&gt;0,0.1*D59/B59,"")</f>
        <v/>
      </c>
      <c r="K59" s="43" t="str">
        <f>IF(C59&lt;&gt;0,D59/C59,"")</f>
        <v/>
      </c>
      <c r="L59" s="34">
        <f>IF(B59&lt;&gt;0,0.1*E59/B59,0)</f>
        <v>0</v>
      </c>
      <c r="M59" s="39">
        <f>Adjust!B262*Input!$B205*10</f>
        <v>0</v>
      </c>
      <c r="N59" s="39">
        <f>Adjust!C262*Input!$C205*10</f>
        <v>0</v>
      </c>
      <c r="O59" s="39">
        <f>Adjust!D262*Input!$D205*10</f>
        <v>0</v>
      </c>
      <c r="P59" s="36" t="str">
        <f>IF(E59&lt;&gt;0,$M59/E59,"")</f>
        <v/>
      </c>
      <c r="Q59" s="36" t="str">
        <f>IF(E59&lt;&gt;0,$N59/E59,"")</f>
        <v/>
      </c>
      <c r="R59" s="36" t="str">
        <f>IF(E59&lt;&gt;0,$O59/E59,"")</f>
        <v/>
      </c>
      <c r="S59" s="36" t="str">
        <f>IF(D59&lt;&gt;0,$F59/D59,"")</f>
        <v/>
      </c>
      <c r="T59" s="36" t="str">
        <f>IF(D59&lt;&gt;0,$G59/D59,"")</f>
        <v/>
      </c>
      <c r="U59" s="36" t="str">
        <f>IF(D59&lt;&gt;0,$H59/D59,"")</f>
        <v/>
      </c>
      <c r="V59" s="36" t="str">
        <f>IF(D59&lt;&gt;0,$I59/D59,"")</f>
        <v/>
      </c>
      <c r="W59" s="17"/>
    </row>
    <row r="60" spans="1:23">
      <c r="A60" s="27" t="s">
        <v>253</v>
      </c>
      <c r="W60" s="17"/>
    </row>
    <row r="61" spans="1:23">
      <c r="A61" s="4" t="s">
        <v>182</v>
      </c>
      <c r="B61" s="39">
        <f>Input!B207+Input!C207+Input!D207</f>
        <v>1494625.6412496041</v>
      </c>
      <c r="C61" s="41">
        <f>Input!E207</f>
        <v>121609.01092896175</v>
      </c>
      <c r="D61" s="39">
        <f>0.01*Input!F$60*(Adjust!$E264*Input!E207+Adjust!$F264*Input!F207+Adjust!$G264*Input!G207)+10*(Adjust!$B264*Input!B207+Adjust!$C264*Input!C207+Adjust!$D264*Input!D207+Adjust!$H264*Input!H207)</f>
        <v>35230133.540341079</v>
      </c>
      <c r="E61" s="39">
        <f>10*(Adjust!$B264*Input!B207+Adjust!$C264*Input!C207+Adjust!$D264*Input!D207)</f>
        <v>33658969.44094108</v>
      </c>
      <c r="F61" s="39">
        <f>Adjust!E264*Input!$F$60*Input!$E207/100</f>
        <v>1571164.0993999999</v>
      </c>
      <c r="G61" s="39">
        <f>Adjust!F264*Input!$F$60*Input!$F207/100</f>
        <v>0</v>
      </c>
      <c r="H61" s="39">
        <f>Adjust!G264*Input!$F$60*Input!$G207/100</f>
        <v>0</v>
      </c>
      <c r="I61" s="39">
        <f>Adjust!H264*Input!$H207*10</f>
        <v>0</v>
      </c>
      <c r="J61" s="34">
        <f>IF(B61&lt;&gt;0,0.1*D61/B61,"")</f>
        <v>2.3571209116208123</v>
      </c>
      <c r="K61" s="43">
        <f>IF(C61&lt;&gt;0,D61/C61,"")</f>
        <v>289.70002527954824</v>
      </c>
      <c r="L61" s="34">
        <f>IF(B61&lt;&gt;0,0.1*E61/B61,0)</f>
        <v>2.2520000000000002</v>
      </c>
      <c r="M61" s="39">
        <f>Adjust!B264*Input!$B207*10</f>
        <v>33658969.44094108</v>
      </c>
      <c r="N61" s="39">
        <f>Adjust!C264*Input!$C207*10</f>
        <v>0</v>
      </c>
      <c r="O61" s="39">
        <f>Adjust!D264*Input!$D207*10</f>
        <v>0</v>
      </c>
      <c r="P61" s="36">
        <f>IF(E61&lt;&gt;0,$M61/E61,"")</f>
        <v>1</v>
      </c>
      <c r="Q61" s="36">
        <f>IF(E61&lt;&gt;0,$N61/E61,"")</f>
        <v>0</v>
      </c>
      <c r="R61" s="36">
        <f>IF(E61&lt;&gt;0,$O61/E61,"")</f>
        <v>0</v>
      </c>
      <c r="S61" s="36">
        <f>IF(D61&lt;&gt;0,$F61/D61,"")</f>
        <v>4.4597165594075942E-2</v>
      </c>
      <c r="T61" s="36">
        <f>IF(D61&lt;&gt;0,$G61/D61,"")</f>
        <v>0</v>
      </c>
      <c r="U61" s="36">
        <f>IF(D61&lt;&gt;0,$H61/D61,"")</f>
        <v>0</v>
      </c>
      <c r="V61" s="36">
        <f>IF(D61&lt;&gt;0,$I61/D61,"")</f>
        <v>0</v>
      </c>
      <c r="W61" s="17"/>
    </row>
    <row r="62" spans="1:23">
      <c r="A62" s="4" t="s">
        <v>254</v>
      </c>
      <c r="B62" s="39">
        <f>Input!B208+Input!C208+Input!D208</f>
        <v>5111.4510491658439</v>
      </c>
      <c r="C62" s="41">
        <f>Input!E208</f>
        <v>620.48633879781426</v>
      </c>
      <c r="D62" s="39">
        <f>0.01*Input!F$60*(Adjust!$E265*Input!E208+Adjust!$F265*Input!F208+Adjust!$G265*Input!G208)+10*(Adjust!$B265*Input!B208+Adjust!$C265*Input!C208+Adjust!$D265*Input!D208+Adjust!$H265*Input!H208)</f>
        <v>79117.821281429759</v>
      </c>
      <c r="E62" s="39">
        <f>10*(Adjust!$B265*Input!B208+Adjust!$C265*Input!C208+Adjust!$D265*Input!D208)</f>
        <v>73962.696681429763</v>
      </c>
      <c r="F62" s="39">
        <f>Adjust!E265*Input!$F$60*Input!$E208/100</f>
        <v>5155.124600000001</v>
      </c>
      <c r="G62" s="39">
        <f>Adjust!F265*Input!$F$60*Input!$F208/100</f>
        <v>0</v>
      </c>
      <c r="H62" s="39">
        <f>Adjust!G265*Input!$F$60*Input!$G208/100</f>
        <v>0</v>
      </c>
      <c r="I62" s="39">
        <f>Adjust!H265*Input!$H208*10</f>
        <v>0</v>
      </c>
      <c r="J62" s="34">
        <f>IF(B62&lt;&gt;0,0.1*D62/B62,"")</f>
        <v>1.5478544256887932</v>
      </c>
      <c r="K62" s="43">
        <f>IF(C62&lt;&gt;0,D62/C62,"")</f>
        <v>127.50936859418968</v>
      </c>
      <c r="L62" s="34">
        <f>IF(B62&lt;&gt;0,0.1*E62/B62,0)</f>
        <v>1.4470000000000003</v>
      </c>
      <c r="M62" s="39">
        <f>Adjust!B265*Input!$B208*10</f>
        <v>73962.696681429763</v>
      </c>
      <c r="N62" s="39">
        <f>Adjust!C265*Input!$C208*10</f>
        <v>0</v>
      </c>
      <c r="O62" s="39">
        <f>Adjust!D265*Input!$D208*10</f>
        <v>0</v>
      </c>
      <c r="P62" s="36">
        <f>IF(E62&lt;&gt;0,$M62/E62,"")</f>
        <v>1</v>
      </c>
      <c r="Q62" s="36">
        <f>IF(E62&lt;&gt;0,$N62/E62,"")</f>
        <v>0</v>
      </c>
      <c r="R62" s="36">
        <f>IF(E62&lt;&gt;0,$O62/E62,"")</f>
        <v>0</v>
      </c>
      <c r="S62" s="36">
        <f>IF(D62&lt;&gt;0,$F62/D62,"")</f>
        <v>6.5157565217357577E-2</v>
      </c>
      <c r="T62" s="36">
        <f>IF(D62&lt;&gt;0,$G62/D62,"")</f>
        <v>0</v>
      </c>
      <c r="U62" s="36">
        <f>IF(D62&lt;&gt;0,$H62/D62,"")</f>
        <v>0</v>
      </c>
      <c r="V62" s="36">
        <f>IF(D62&lt;&gt;0,$I62/D62,"")</f>
        <v>0</v>
      </c>
      <c r="W62" s="17"/>
    </row>
    <row r="63" spans="1:23">
      <c r="A63" s="4" t="s">
        <v>255</v>
      </c>
      <c r="B63" s="39">
        <f>Input!B209+Input!C209+Input!D209</f>
        <v>8421.9691212239359</v>
      </c>
      <c r="C63" s="41">
        <f>Input!E209</f>
        <v>630.48633879781426</v>
      </c>
      <c r="D63" s="39">
        <f>0.01*Input!F$60*(Adjust!$E266*Input!E209+Adjust!$F266*Input!F209+Adjust!$G266*Input!G209)+10*(Adjust!$B266*Input!B209+Adjust!$C266*Input!C209+Adjust!$D266*Input!D209+Adjust!$H266*Input!H209)</f>
        <v>84419.569054962019</v>
      </c>
      <c r="E63" s="39">
        <f>10*(Adjust!$B266*Input!B209+Adjust!$C266*Input!C209+Adjust!$D266*Input!D209)</f>
        <v>80935.123254962018</v>
      </c>
      <c r="F63" s="39">
        <f>Adjust!E266*Input!$F$60*Input!$E209/100</f>
        <v>3484.4458</v>
      </c>
      <c r="G63" s="39">
        <f>Adjust!F266*Input!$F$60*Input!$F209/100</f>
        <v>0</v>
      </c>
      <c r="H63" s="39">
        <f>Adjust!G266*Input!$F$60*Input!$G209/100</f>
        <v>0</v>
      </c>
      <c r="I63" s="39">
        <f>Adjust!H266*Input!$H209*10</f>
        <v>0</v>
      </c>
      <c r="J63" s="34">
        <f>IF(B63&lt;&gt;0,0.1*D63/B63,"")</f>
        <v>1.0023732910895977</v>
      </c>
      <c r="K63" s="43">
        <f>IF(C63&lt;&gt;0,D63/C63,"")</f>
        <v>133.89595279087223</v>
      </c>
      <c r="L63" s="34">
        <f>IF(B63&lt;&gt;0,0.1*E63/B63,0)</f>
        <v>0.96099999999999997</v>
      </c>
      <c r="M63" s="39">
        <f>Adjust!B266*Input!$B209*10</f>
        <v>80935.123254962018</v>
      </c>
      <c r="N63" s="39">
        <f>Adjust!C266*Input!$C209*10</f>
        <v>0</v>
      </c>
      <c r="O63" s="39">
        <f>Adjust!D266*Input!$D209*10</f>
        <v>0</v>
      </c>
      <c r="P63" s="36">
        <f>IF(E63&lt;&gt;0,$M63/E63,"")</f>
        <v>1</v>
      </c>
      <c r="Q63" s="36">
        <f>IF(E63&lt;&gt;0,$N63/E63,"")</f>
        <v>0</v>
      </c>
      <c r="R63" s="36">
        <f>IF(E63&lt;&gt;0,$O63/E63,"")</f>
        <v>0</v>
      </c>
      <c r="S63" s="36">
        <f>IF(D63&lt;&gt;0,$F63/D63,"")</f>
        <v>4.127533271025613E-2</v>
      </c>
      <c r="T63" s="36">
        <f>IF(D63&lt;&gt;0,$G63/D63,"")</f>
        <v>0</v>
      </c>
      <c r="U63" s="36">
        <f>IF(D63&lt;&gt;0,$H63/D63,"")</f>
        <v>0</v>
      </c>
      <c r="V63" s="36">
        <f>IF(D63&lt;&gt;0,$I63/D63,"")</f>
        <v>0</v>
      </c>
      <c r="W63" s="17"/>
    </row>
    <row r="64" spans="1:23">
      <c r="A64" s="27" t="s">
        <v>256</v>
      </c>
      <c r="W64" s="17"/>
    </row>
    <row r="65" spans="1:23">
      <c r="A65" s="4" t="s">
        <v>183</v>
      </c>
      <c r="B65" s="39">
        <f>Input!B211+Input!C211+Input!D211</f>
        <v>727326.17819913197</v>
      </c>
      <c r="C65" s="41">
        <f>Input!E211</f>
        <v>34183.400956284153</v>
      </c>
      <c r="D65" s="39">
        <f>0.01*Input!F$60*(Adjust!$E268*Input!E211+Adjust!$F268*Input!F211+Adjust!$G268*Input!G211)+10*(Adjust!$B268*Input!B211+Adjust!$C268*Input!C211+Adjust!$D268*Input!D211+Adjust!$H268*Input!H211)</f>
        <v>14406648.851219656</v>
      </c>
      <c r="E65" s="39">
        <f>10*(Adjust!$B268*Input!B211+Adjust!$C268*Input!C211+Adjust!$D268*Input!D211)</f>
        <v>13965006.147544656</v>
      </c>
      <c r="F65" s="39">
        <f>Adjust!E268*Input!$F$60*Input!$E211/100</f>
        <v>441642.703675</v>
      </c>
      <c r="G65" s="39">
        <f>Adjust!F268*Input!$F$60*Input!$F211/100</f>
        <v>0</v>
      </c>
      <c r="H65" s="39">
        <f>Adjust!G268*Input!$F$60*Input!$G211/100</f>
        <v>0</v>
      </c>
      <c r="I65" s="39">
        <f>Adjust!H268*Input!$H211*10</f>
        <v>0</v>
      </c>
      <c r="J65" s="34">
        <f>IF(B65&lt;&gt;0,0.1*D65/B65,"")</f>
        <v>1.9807686404043214</v>
      </c>
      <c r="K65" s="43">
        <f>IF(C65&lt;&gt;0,D65/C65,"")</f>
        <v>421.45159487330619</v>
      </c>
      <c r="L65" s="34">
        <f>IF(B65&lt;&gt;0,0.1*E65/B65,0)</f>
        <v>1.9200472313704111</v>
      </c>
      <c r="M65" s="39">
        <f>Adjust!B268*Input!$B211*10</f>
        <v>12527290.552876078</v>
      </c>
      <c r="N65" s="39">
        <f>Adjust!C268*Input!$C211*10</f>
        <v>1437715.5946685791</v>
      </c>
      <c r="O65" s="39">
        <f>Adjust!D268*Input!$D211*10</f>
        <v>0</v>
      </c>
      <c r="P65" s="36">
        <f>IF(E65&lt;&gt;0,$M65/E65,"")</f>
        <v>0.89704869589897318</v>
      </c>
      <c r="Q65" s="36">
        <f>IF(E65&lt;&gt;0,$N65/E65,"")</f>
        <v>0.10295130410102683</v>
      </c>
      <c r="R65" s="36">
        <f>IF(E65&lt;&gt;0,$O65/E65,"")</f>
        <v>0</v>
      </c>
      <c r="S65" s="36">
        <f>IF(D65&lt;&gt;0,$F65/D65,"")</f>
        <v>3.0655477775291987E-2</v>
      </c>
      <c r="T65" s="36">
        <f>IF(D65&lt;&gt;0,$G65/D65,"")</f>
        <v>0</v>
      </c>
      <c r="U65" s="36">
        <f>IF(D65&lt;&gt;0,$H65/D65,"")</f>
        <v>0</v>
      </c>
      <c r="V65" s="36">
        <f>IF(D65&lt;&gt;0,$I65/D65,"")</f>
        <v>0</v>
      </c>
      <c r="W65" s="17"/>
    </row>
    <row r="66" spans="1:23">
      <c r="A66" s="4" t="s">
        <v>257</v>
      </c>
      <c r="B66" s="39">
        <f>Input!B212+Input!C212+Input!D212</f>
        <v>21.031321428571431</v>
      </c>
      <c r="C66" s="41">
        <f>Input!E212</f>
        <v>6</v>
      </c>
      <c r="D66" s="39">
        <f>0.01*Input!F$60*(Adjust!$E269*Input!E212+Adjust!$F269*Input!F212+Adjust!$G269*Input!G212)+10*(Adjust!$B269*Input!B212+Adjust!$C269*Input!C212+Adjust!$D269*Input!D212+Adjust!$H269*Input!H212)</f>
        <v>277.03891142857145</v>
      </c>
      <c r="E66" s="39">
        <f>10*(Adjust!$B269*Input!B212+Adjust!$C269*Input!C212+Adjust!$D269*Input!D212)</f>
        <v>227.18971142857143</v>
      </c>
      <c r="F66" s="39">
        <f>Adjust!E269*Input!$F$60*Input!$E212/100</f>
        <v>49.849200000000003</v>
      </c>
      <c r="G66" s="39">
        <f>Adjust!F269*Input!$F$60*Input!$F212/100</f>
        <v>0</v>
      </c>
      <c r="H66" s="39">
        <f>Adjust!G269*Input!$F$60*Input!$G212/100</f>
        <v>0</v>
      </c>
      <c r="I66" s="39">
        <f>Adjust!H269*Input!$H212*10</f>
        <v>0</v>
      </c>
      <c r="J66" s="34">
        <f>IF(B66&lt;&gt;0,0.1*D66/B66,"")</f>
        <v>1.3172682105091555</v>
      </c>
      <c r="K66" s="43">
        <f>IF(C66&lt;&gt;0,D66/C66,"")</f>
        <v>46.173151904761909</v>
      </c>
      <c r="L66" s="34">
        <f>IF(B66&lt;&gt;0,0.1*E66/B66,0)</f>
        <v>1.0802445875794096</v>
      </c>
      <c r="M66" s="39">
        <f>Adjust!B269*Input!$B212*10</f>
        <v>185.86729142857143</v>
      </c>
      <c r="N66" s="39">
        <f>Adjust!C269*Input!$C212*10</f>
        <v>41.322419999999994</v>
      </c>
      <c r="O66" s="39">
        <f>Adjust!D269*Input!$D212*10</f>
        <v>0</v>
      </c>
      <c r="P66" s="36">
        <f>IF(E66&lt;&gt;0,$M66/E66,"")</f>
        <v>0.81811491488692789</v>
      </c>
      <c r="Q66" s="36">
        <f>IF(E66&lt;&gt;0,$N66/E66,"")</f>
        <v>0.18188508511307205</v>
      </c>
      <c r="R66" s="36">
        <f>IF(E66&lt;&gt;0,$O66/E66,"")</f>
        <v>0</v>
      </c>
      <c r="S66" s="36">
        <f>IF(D66&lt;&gt;0,$F66/D66,"")</f>
        <v>0.17993573445314576</v>
      </c>
      <c r="T66" s="36">
        <f>IF(D66&lt;&gt;0,$G66/D66,"")</f>
        <v>0</v>
      </c>
      <c r="U66" s="36">
        <f>IF(D66&lt;&gt;0,$H66/D66,"")</f>
        <v>0</v>
      </c>
      <c r="V66" s="36">
        <f>IF(D66&lt;&gt;0,$I66/D66,"")</f>
        <v>0</v>
      </c>
      <c r="W66" s="17"/>
    </row>
    <row r="67" spans="1:23">
      <c r="A67" s="4" t="s">
        <v>258</v>
      </c>
      <c r="B67" s="39">
        <f>Input!B213+Input!C213+Input!D213</f>
        <v>789.60466964285706</v>
      </c>
      <c r="C67" s="41">
        <f>Input!E213</f>
        <v>17</v>
      </c>
      <c r="D67" s="39">
        <f>0.01*Input!F$60*(Adjust!$E270*Input!E213+Adjust!$F270*Input!F213+Adjust!$G270*Input!G213)+10*(Adjust!$B270*Input!B213+Adjust!$C270*Input!C213+Adjust!$D270*Input!D213+Adjust!$H270*Input!H213)</f>
        <v>6150.7158777380937</v>
      </c>
      <c r="E67" s="39">
        <f>10*(Adjust!$B270*Input!B213+Adjust!$C270*Input!C213+Adjust!$D270*Input!D213)</f>
        <v>6056.763677738094</v>
      </c>
      <c r="F67" s="39">
        <f>Adjust!E270*Input!$F$60*Input!$E213/100</f>
        <v>93.952199999999991</v>
      </c>
      <c r="G67" s="39">
        <f>Adjust!F270*Input!$F$60*Input!$F213/100</f>
        <v>0</v>
      </c>
      <c r="H67" s="39">
        <f>Adjust!G270*Input!$F$60*Input!$G213/100</f>
        <v>0</v>
      </c>
      <c r="I67" s="39">
        <f>Adjust!H270*Input!$H213*10</f>
        <v>0</v>
      </c>
      <c r="J67" s="34">
        <f>IF(B67&lt;&gt;0,0.1*D67/B67,"")</f>
        <v>0.77896143655281314</v>
      </c>
      <c r="K67" s="43">
        <f>IF(C67&lt;&gt;0,D67/C67,"")</f>
        <v>361.80681633753494</v>
      </c>
      <c r="L67" s="34">
        <f>IF(B67&lt;&gt;0,0.1*E67/B67,0)</f>
        <v>0.76706279871389371</v>
      </c>
      <c r="M67" s="39">
        <f>Adjust!B270*Input!$B213*10</f>
        <v>5203.0275544642845</v>
      </c>
      <c r="N67" s="39">
        <f>Adjust!C270*Input!$C213*10</f>
        <v>853.73612327380943</v>
      </c>
      <c r="O67" s="39">
        <f>Adjust!D270*Input!$D213*10</f>
        <v>0</v>
      </c>
      <c r="P67" s="36">
        <f>IF(E67&lt;&gt;0,$M67/E67,"")</f>
        <v>0.85904417462881133</v>
      </c>
      <c r="Q67" s="36">
        <f>IF(E67&lt;&gt;0,$N67/E67,"")</f>
        <v>0.1409558253711887</v>
      </c>
      <c r="R67" s="36">
        <f>IF(E67&lt;&gt;0,$O67/E67,"")</f>
        <v>0</v>
      </c>
      <c r="S67" s="36">
        <f>IF(D67&lt;&gt;0,$F67/D67,"")</f>
        <v>1.5275002433464805E-2</v>
      </c>
      <c r="T67" s="36">
        <f>IF(D67&lt;&gt;0,$G67/D67,"")</f>
        <v>0</v>
      </c>
      <c r="U67" s="36">
        <f>IF(D67&lt;&gt;0,$H67/D67,"")</f>
        <v>0</v>
      </c>
      <c r="V67" s="36">
        <f>IF(D67&lt;&gt;0,$I67/D67,"")</f>
        <v>0</v>
      </c>
      <c r="W67" s="17"/>
    </row>
    <row r="68" spans="1:23">
      <c r="A68" s="27" t="s">
        <v>259</v>
      </c>
      <c r="W68" s="17"/>
    </row>
    <row r="69" spans="1:23">
      <c r="A69" s="4" t="s">
        <v>227</v>
      </c>
      <c r="B69" s="39">
        <f>Input!B215+Input!C215+Input!D215</f>
        <v>20242.629112942406</v>
      </c>
      <c r="C69" s="41">
        <f>Input!E215</f>
        <v>3655</v>
      </c>
      <c r="D69" s="39">
        <f>0.01*Input!F$60*(Adjust!$E272*Input!E215+Adjust!$F272*Input!F215+Adjust!$G272*Input!G215)+10*(Adjust!$B272*Input!B215+Adjust!$C272*Input!C215+Adjust!$D272*Input!D215+Adjust!$H272*Input!H215)</f>
        <v>153439.12867610346</v>
      </c>
      <c r="E69" s="39">
        <f>10*(Adjust!$B272*Input!B215+Adjust!$C272*Input!C215+Adjust!$D272*Input!D215)</f>
        <v>153439.12867610346</v>
      </c>
      <c r="F69" s="39">
        <f>Adjust!E272*Input!$F$60*Input!$E215/100</f>
        <v>0</v>
      </c>
      <c r="G69" s="39">
        <f>Adjust!F272*Input!$F$60*Input!$F215/100</f>
        <v>0</v>
      </c>
      <c r="H69" s="39">
        <f>Adjust!G272*Input!$F$60*Input!$G215/100</f>
        <v>0</v>
      </c>
      <c r="I69" s="39">
        <f>Adjust!H272*Input!$H215*10</f>
        <v>0</v>
      </c>
      <c r="J69" s="34">
        <f>IF(B69&lt;&gt;0,0.1*D69/B69,"")</f>
        <v>0.75800000000000012</v>
      </c>
      <c r="K69" s="43">
        <f>IF(C69&lt;&gt;0,D69/C69,"")</f>
        <v>41.980609760903818</v>
      </c>
      <c r="L69" s="34">
        <f>IF(B69&lt;&gt;0,0.1*E69/B69,0)</f>
        <v>0.75800000000000012</v>
      </c>
      <c r="M69" s="39">
        <f>Adjust!B272*Input!$B215*10</f>
        <v>153439.12867610346</v>
      </c>
      <c r="N69" s="39">
        <f>Adjust!C272*Input!$C215*10</f>
        <v>0</v>
      </c>
      <c r="O69" s="39">
        <f>Adjust!D272*Input!$D215*10</f>
        <v>0</v>
      </c>
      <c r="P69" s="36">
        <f>IF(E69&lt;&gt;0,$M69/E69,"")</f>
        <v>1</v>
      </c>
      <c r="Q69" s="36">
        <f>IF(E69&lt;&gt;0,$N69/E69,"")</f>
        <v>0</v>
      </c>
      <c r="R69" s="36">
        <f>IF(E69&lt;&gt;0,$O69/E69,"")</f>
        <v>0</v>
      </c>
      <c r="S69" s="36">
        <f>IF(D69&lt;&gt;0,$F69/D69,"")</f>
        <v>0</v>
      </c>
      <c r="T69" s="36">
        <f>IF(D69&lt;&gt;0,$G69/D69,"")</f>
        <v>0</v>
      </c>
      <c r="U69" s="36">
        <f>IF(D69&lt;&gt;0,$H69/D69,"")</f>
        <v>0</v>
      </c>
      <c r="V69" s="36">
        <f>IF(D69&lt;&gt;0,$I69/D69,"")</f>
        <v>0</v>
      </c>
      <c r="W69" s="17"/>
    </row>
    <row r="70" spans="1:23" ht="30">
      <c r="A70" s="4" t="s">
        <v>260</v>
      </c>
      <c r="B70" s="39">
        <f>Input!B216+Input!C216+Input!D216</f>
        <v>0</v>
      </c>
      <c r="C70" s="41">
        <f>Input!E216</f>
        <v>0</v>
      </c>
      <c r="D70" s="39">
        <f>0.01*Input!F$60*(Adjust!$E273*Input!E216+Adjust!$F273*Input!F216+Adjust!$G273*Input!G216)+10*(Adjust!$B273*Input!B216+Adjust!$C273*Input!C216+Adjust!$D273*Input!D216+Adjust!$H273*Input!H216)</f>
        <v>0</v>
      </c>
      <c r="E70" s="39">
        <f>10*(Adjust!$B273*Input!B216+Adjust!$C273*Input!C216+Adjust!$D273*Input!D216)</f>
        <v>0</v>
      </c>
      <c r="F70" s="39">
        <f>Adjust!E273*Input!$F$60*Input!$E216/100</f>
        <v>0</v>
      </c>
      <c r="G70" s="39">
        <f>Adjust!F273*Input!$F$60*Input!$F216/100</f>
        <v>0</v>
      </c>
      <c r="H70" s="39">
        <f>Adjust!G273*Input!$F$60*Input!$G216/100</f>
        <v>0</v>
      </c>
      <c r="I70" s="39">
        <f>Adjust!H273*Input!$H216*10</f>
        <v>0</v>
      </c>
      <c r="J70" s="34" t="str">
        <f>IF(B70&lt;&gt;0,0.1*D70/B70,"")</f>
        <v/>
      </c>
      <c r="K70" s="43" t="str">
        <f>IF(C70&lt;&gt;0,D70/C70,"")</f>
        <v/>
      </c>
      <c r="L70" s="34">
        <f>IF(B70&lt;&gt;0,0.1*E70/B70,0)</f>
        <v>0</v>
      </c>
      <c r="M70" s="39">
        <f>Adjust!B273*Input!$B216*10</f>
        <v>0</v>
      </c>
      <c r="N70" s="39">
        <f>Adjust!C273*Input!$C216*10</f>
        <v>0</v>
      </c>
      <c r="O70" s="39">
        <f>Adjust!D273*Input!$D216*10</f>
        <v>0</v>
      </c>
      <c r="P70" s="36" t="str">
        <f>IF(E70&lt;&gt;0,$M70/E70,"")</f>
        <v/>
      </c>
      <c r="Q70" s="36" t="str">
        <f>IF(E70&lt;&gt;0,$N70/E70,"")</f>
        <v/>
      </c>
      <c r="R70" s="36" t="str">
        <f>IF(E70&lt;&gt;0,$O70/E70,"")</f>
        <v/>
      </c>
      <c r="S70" s="36" t="str">
        <f>IF(D70&lt;&gt;0,$F70/D70,"")</f>
        <v/>
      </c>
      <c r="T70" s="36" t="str">
        <f>IF(D70&lt;&gt;0,$G70/D70,"")</f>
        <v/>
      </c>
      <c r="U70" s="36" t="str">
        <f>IF(D70&lt;&gt;0,$H70/D70,"")</f>
        <v/>
      </c>
      <c r="V70" s="36" t="str">
        <f>IF(D70&lt;&gt;0,$I70/D70,"")</f>
        <v/>
      </c>
      <c r="W70" s="17"/>
    </row>
    <row r="71" spans="1:23" ht="30">
      <c r="A71" s="4" t="s">
        <v>261</v>
      </c>
      <c r="B71" s="39">
        <f>Input!B217+Input!C217+Input!D217</f>
        <v>0</v>
      </c>
      <c r="C71" s="41">
        <f>Input!E217</f>
        <v>0</v>
      </c>
      <c r="D71" s="39">
        <f>0.01*Input!F$60*(Adjust!$E274*Input!E217+Adjust!$F274*Input!F217+Adjust!$G274*Input!G217)+10*(Adjust!$B274*Input!B217+Adjust!$C274*Input!C217+Adjust!$D274*Input!D217+Adjust!$H274*Input!H217)</f>
        <v>0</v>
      </c>
      <c r="E71" s="39">
        <f>10*(Adjust!$B274*Input!B217+Adjust!$C274*Input!C217+Adjust!$D274*Input!D217)</f>
        <v>0</v>
      </c>
      <c r="F71" s="39">
        <f>Adjust!E274*Input!$F$60*Input!$E217/100</f>
        <v>0</v>
      </c>
      <c r="G71" s="39">
        <f>Adjust!F274*Input!$F$60*Input!$F217/100</f>
        <v>0</v>
      </c>
      <c r="H71" s="39">
        <f>Adjust!G274*Input!$F$60*Input!$G217/100</f>
        <v>0</v>
      </c>
      <c r="I71" s="39">
        <f>Adjust!H274*Input!$H217*10</f>
        <v>0</v>
      </c>
      <c r="J71" s="34" t="str">
        <f>IF(B71&lt;&gt;0,0.1*D71/B71,"")</f>
        <v/>
      </c>
      <c r="K71" s="43" t="str">
        <f>IF(C71&lt;&gt;0,D71/C71,"")</f>
        <v/>
      </c>
      <c r="L71" s="34">
        <f>IF(B71&lt;&gt;0,0.1*E71/B71,0)</f>
        <v>0</v>
      </c>
      <c r="M71" s="39">
        <f>Adjust!B274*Input!$B217*10</f>
        <v>0</v>
      </c>
      <c r="N71" s="39">
        <f>Adjust!C274*Input!$C217*10</f>
        <v>0</v>
      </c>
      <c r="O71" s="39">
        <f>Adjust!D274*Input!$D217*10</f>
        <v>0</v>
      </c>
      <c r="P71" s="36" t="str">
        <f>IF(E71&lt;&gt;0,$M71/E71,"")</f>
        <v/>
      </c>
      <c r="Q71" s="36" t="str">
        <f>IF(E71&lt;&gt;0,$N71/E71,"")</f>
        <v/>
      </c>
      <c r="R71" s="36" t="str">
        <f>IF(E71&lt;&gt;0,$O71/E71,"")</f>
        <v/>
      </c>
      <c r="S71" s="36" t="str">
        <f>IF(D71&lt;&gt;0,$F71/D71,"")</f>
        <v/>
      </c>
      <c r="T71" s="36" t="str">
        <f>IF(D71&lt;&gt;0,$G71/D71,"")</f>
        <v/>
      </c>
      <c r="U71" s="36" t="str">
        <f>IF(D71&lt;&gt;0,$H71/D71,"")</f>
        <v/>
      </c>
      <c r="V71" s="36" t="str">
        <f>IF(D71&lt;&gt;0,$I71/D71,"")</f>
        <v/>
      </c>
      <c r="W71" s="17"/>
    </row>
    <row r="72" spans="1:23">
      <c r="A72" s="27" t="s">
        <v>262</v>
      </c>
      <c r="W72" s="17"/>
    </row>
    <row r="73" spans="1:23">
      <c r="A73" s="4" t="s">
        <v>184</v>
      </c>
      <c r="B73" s="39">
        <f>Input!B219+Input!C219+Input!D219</f>
        <v>0.99814384687581881</v>
      </c>
      <c r="C73" s="41">
        <f>Input!E219</f>
        <v>1E-3</v>
      </c>
      <c r="D73" s="39">
        <f>0.01*Input!F$60*(Adjust!$E276*Input!E219+Adjust!$F276*Input!F219+Adjust!$G276*Input!G219)+10*(Adjust!$B276*Input!B219+Adjust!$C276*Input!C219+Adjust!$D276*Input!D219+Adjust!$H276*Input!H219)</f>
        <v>20.627672116917037</v>
      </c>
      <c r="E73" s="39">
        <f>10*(Adjust!$B276*Input!B219+Adjust!$C276*Input!C219+Adjust!$D276*Input!D219)</f>
        <v>20.561462716917035</v>
      </c>
      <c r="F73" s="39">
        <f>Adjust!E276*Input!$F$60*Input!$E219/100</f>
        <v>6.6209400000000002E-2</v>
      </c>
      <c r="G73" s="39">
        <f>Adjust!F276*Input!$F$60*Input!$F219/100</f>
        <v>0</v>
      </c>
      <c r="H73" s="39">
        <f>Adjust!G276*Input!$F$60*Input!$G219/100</f>
        <v>0</v>
      </c>
      <c r="I73" s="39">
        <f>Adjust!H276*Input!$H219*10</f>
        <v>0</v>
      </c>
      <c r="J73" s="34">
        <f>IF(B73&lt;&gt;0,0.1*D73/B73,"")</f>
        <v>2.0666031435730896</v>
      </c>
      <c r="K73" s="43">
        <f>IF(C73&lt;&gt;0,D73/C73,"")</f>
        <v>20627.672116917038</v>
      </c>
      <c r="L73" s="34">
        <f>IF(B73&lt;&gt;0,0.1*E73/B73,0)</f>
        <v>2.0599698912410496</v>
      </c>
      <c r="M73" s="39">
        <f>Adjust!B276*Input!$B219*10</f>
        <v>19.905675908534118</v>
      </c>
      <c r="N73" s="39">
        <f>Adjust!C276*Input!$C219*10</f>
        <v>0.65578680838291614</v>
      </c>
      <c r="O73" s="39">
        <f>Adjust!D276*Input!$D219*10</f>
        <v>0</v>
      </c>
      <c r="P73" s="36">
        <f>IF(E73&lt;&gt;0,$M73/E73,"")</f>
        <v>0.96810602351537156</v>
      </c>
      <c r="Q73" s="36">
        <f>IF(E73&lt;&gt;0,$N73/E73,"")</f>
        <v>3.1893976484628432E-2</v>
      </c>
      <c r="R73" s="36">
        <f>IF(E73&lt;&gt;0,$O73/E73,"")</f>
        <v>0</v>
      </c>
      <c r="S73" s="36">
        <f>IF(D73&lt;&gt;0,$F73/D73,"")</f>
        <v>3.2097368828012717E-3</v>
      </c>
      <c r="T73" s="36">
        <f>IF(D73&lt;&gt;0,$G73/D73,"")</f>
        <v>0</v>
      </c>
      <c r="U73" s="36">
        <f>IF(D73&lt;&gt;0,$H73/D73,"")</f>
        <v>0</v>
      </c>
      <c r="V73" s="36">
        <f>IF(D73&lt;&gt;0,$I73/D73,"")</f>
        <v>0</v>
      </c>
      <c r="W73" s="17"/>
    </row>
    <row r="74" spans="1:23">
      <c r="A74" s="4" t="s">
        <v>263</v>
      </c>
      <c r="B74" s="39">
        <f>Input!B220+Input!C220+Input!D220</f>
        <v>125.06594761904762</v>
      </c>
      <c r="C74" s="41">
        <f>Input!E220</f>
        <v>2</v>
      </c>
      <c r="D74" s="39">
        <f>0.01*Input!F$60*(Adjust!$E277*Input!E220+Adjust!$F277*Input!F220+Adjust!$G277*Input!G220)+10*(Adjust!$B277*Input!B220+Adjust!$C277*Input!C220+Adjust!$D277*Input!D220+Adjust!$H277*Input!H220)</f>
        <v>1653.2604203809524</v>
      </c>
      <c r="E74" s="39">
        <f>10*(Adjust!$B277*Input!B220+Adjust!$C277*Input!C220+Adjust!$D277*Input!D220)</f>
        <v>1568.1288203809524</v>
      </c>
      <c r="F74" s="39">
        <f>Adjust!E277*Input!$F$60*Input!$E220/100</f>
        <v>85.131599999999992</v>
      </c>
      <c r="G74" s="39">
        <f>Adjust!F277*Input!$F$60*Input!$F220/100</f>
        <v>0</v>
      </c>
      <c r="H74" s="39">
        <f>Adjust!G277*Input!$F$60*Input!$G220/100</f>
        <v>0</v>
      </c>
      <c r="I74" s="39">
        <f>Adjust!H277*Input!$H220*10</f>
        <v>0</v>
      </c>
      <c r="J74" s="34">
        <f>IF(B74&lt;&gt;0,0.1*D74/B74,"")</f>
        <v>1.3219109212819491</v>
      </c>
      <c r="K74" s="43">
        <f>IF(C74&lt;&gt;0,D74/C74,"")</f>
        <v>826.63021019047619</v>
      </c>
      <c r="L74" s="34">
        <f>IF(B74&lt;&gt;0,0.1*E74/B74,0)</f>
        <v>1.2538415533838931</v>
      </c>
      <c r="M74" s="39">
        <f>Adjust!B277*Input!$B220*10</f>
        <v>1473.1671003809524</v>
      </c>
      <c r="N74" s="39">
        <f>Adjust!C277*Input!$C220*10</f>
        <v>94.961720000000014</v>
      </c>
      <c r="O74" s="39">
        <f>Adjust!D277*Input!$D220*10</f>
        <v>0</v>
      </c>
      <c r="P74" s="36">
        <f>IF(E74&lt;&gt;0,$M74/E74,"")</f>
        <v>0.93944265371200142</v>
      </c>
      <c r="Q74" s="36">
        <f>IF(E74&lt;&gt;0,$N74/E74,"")</f>
        <v>6.0557346287998547E-2</v>
      </c>
      <c r="R74" s="36">
        <f>IF(E74&lt;&gt;0,$O74/E74,"")</f>
        <v>0</v>
      </c>
      <c r="S74" s="36">
        <f>IF(D74&lt;&gt;0,$F74/D74,"")</f>
        <v>5.149315797470283E-2</v>
      </c>
      <c r="T74" s="36">
        <f>IF(D74&lt;&gt;0,$G74/D74,"")</f>
        <v>0</v>
      </c>
      <c r="U74" s="36">
        <f>IF(D74&lt;&gt;0,$H74/D74,"")</f>
        <v>0</v>
      </c>
      <c r="V74" s="36">
        <f>IF(D74&lt;&gt;0,$I74/D74,"")</f>
        <v>0</v>
      </c>
      <c r="W74" s="17"/>
    </row>
    <row r="75" spans="1:23">
      <c r="A75" s="4" t="s">
        <v>264</v>
      </c>
      <c r="B75" s="39">
        <f>Input!B221+Input!C221+Input!D221</f>
        <v>0</v>
      </c>
      <c r="C75" s="41">
        <f>Input!E221</f>
        <v>0</v>
      </c>
      <c r="D75" s="39">
        <f>0.01*Input!F$60*(Adjust!$E278*Input!E221+Adjust!$F278*Input!F221+Adjust!$G278*Input!G221)+10*(Adjust!$B278*Input!B221+Adjust!$C278*Input!C221+Adjust!$D278*Input!D221+Adjust!$H278*Input!H221)</f>
        <v>0</v>
      </c>
      <c r="E75" s="39">
        <f>10*(Adjust!$B278*Input!B221+Adjust!$C278*Input!C221+Adjust!$D278*Input!D221)</f>
        <v>0</v>
      </c>
      <c r="F75" s="39">
        <f>Adjust!E278*Input!$F$60*Input!$E221/100</f>
        <v>0</v>
      </c>
      <c r="G75" s="39">
        <f>Adjust!F278*Input!$F$60*Input!$F221/100</f>
        <v>0</v>
      </c>
      <c r="H75" s="39">
        <f>Adjust!G278*Input!$F$60*Input!$G221/100</f>
        <v>0</v>
      </c>
      <c r="I75" s="39">
        <f>Adjust!H278*Input!$H221*10</f>
        <v>0</v>
      </c>
      <c r="J75" s="34" t="str">
        <f>IF(B75&lt;&gt;0,0.1*D75/B75,"")</f>
        <v/>
      </c>
      <c r="K75" s="43" t="str">
        <f>IF(C75&lt;&gt;0,D75/C75,"")</f>
        <v/>
      </c>
      <c r="L75" s="34">
        <f>IF(B75&lt;&gt;0,0.1*E75/B75,0)</f>
        <v>0</v>
      </c>
      <c r="M75" s="39">
        <f>Adjust!B278*Input!$B221*10</f>
        <v>0</v>
      </c>
      <c r="N75" s="39">
        <f>Adjust!C278*Input!$C221*10</f>
        <v>0</v>
      </c>
      <c r="O75" s="39">
        <f>Adjust!D278*Input!$D221*10</f>
        <v>0</v>
      </c>
      <c r="P75" s="36" t="str">
        <f>IF(E75&lt;&gt;0,$M75/E75,"")</f>
        <v/>
      </c>
      <c r="Q75" s="36" t="str">
        <f>IF(E75&lt;&gt;0,$N75/E75,"")</f>
        <v/>
      </c>
      <c r="R75" s="36" t="str">
        <f>IF(E75&lt;&gt;0,$O75/E75,"")</f>
        <v/>
      </c>
      <c r="S75" s="36" t="str">
        <f>IF(D75&lt;&gt;0,$F75/D75,"")</f>
        <v/>
      </c>
      <c r="T75" s="36" t="str">
        <f>IF(D75&lt;&gt;0,$G75/D75,"")</f>
        <v/>
      </c>
      <c r="U75" s="36" t="str">
        <f>IF(D75&lt;&gt;0,$H75/D75,"")</f>
        <v/>
      </c>
      <c r="V75" s="36" t="str">
        <f>IF(D75&lt;&gt;0,$I75/D75,"")</f>
        <v/>
      </c>
      <c r="W75" s="17"/>
    </row>
    <row r="76" spans="1:23">
      <c r="A76" s="27" t="s">
        <v>265</v>
      </c>
      <c r="W76" s="17"/>
    </row>
    <row r="77" spans="1:23">
      <c r="A77" s="4" t="s">
        <v>185</v>
      </c>
      <c r="B77" s="39">
        <f>Input!B223+Input!C223+Input!D223</f>
        <v>0.42399965042935406</v>
      </c>
      <c r="C77" s="41">
        <f>Input!E223</f>
        <v>1E-3</v>
      </c>
      <c r="D77" s="39">
        <f>0.01*Input!F$60*(Adjust!$E280*Input!E223+Adjust!$F280*Input!F223+Adjust!$G280*Input!G223)+10*(Adjust!$B280*Input!B223+Adjust!$C280*Input!C223+Adjust!$D280*Input!D223+Adjust!$H280*Input!H223)</f>
        <v>8.3338045386603348</v>
      </c>
      <c r="E77" s="39">
        <f>10*(Adjust!$B280*Input!B223+Adjust!$C280*Input!C223+Adjust!$D280*Input!D223)</f>
        <v>7.8514165386603345</v>
      </c>
      <c r="F77" s="39">
        <f>Adjust!E280*Input!$F$60*Input!$E223/100</f>
        <v>0.48238800000000004</v>
      </c>
      <c r="G77" s="39">
        <f>Adjust!F280*Input!$F$60*Input!$F223/100</f>
        <v>0</v>
      </c>
      <c r="H77" s="39">
        <f>Adjust!G280*Input!$F$60*Input!$G223/100</f>
        <v>0</v>
      </c>
      <c r="I77" s="39">
        <f>Adjust!H280*Input!$H223*10</f>
        <v>0</v>
      </c>
      <c r="J77" s="34">
        <f>IF(B77&lt;&gt;0,0.1*D77/B77,"")</f>
        <v>1.9655215588553643</v>
      </c>
      <c r="K77" s="43">
        <f>IF(C77&lt;&gt;0,D77/C77,"")</f>
        <v>8333.8045386603353</v>
      </c>
      <c r="L77" s="34">
        <f>IF(B77&lt;&gt;0,0.1*E77/B77,0)</f>
        <v>1.8517507103389752</v>
      </c>
      <c r="M77" s="39">
        <f>Adjust!B280*Input!$B223*10</f>
        <v>5.380063785664059</v>
      </c>
      <c r="N77" s="39">
        <f>Adjust!C280*Input!$C223*10</f>
        <v>2.4713527529962755</v>
      </c>
      <c r="O77" s="39">
        <f>Adjust!D280*Input!$D223*10</f>
        <v>0</v>
      </c>
      <c r="P77" s="36">
        <f>IF(E77&lt;&gt;0,$M77/E77,"")</f>
        <v>0.6852347928775212</v>
      </c>
      <c r="Q77" s="36">
        <f>IF(E77&lt;&gt;0,$N77/E77,"")</f>
        <v>0.3147652071224788</v>
      </c>
      <c r="R77" s="36">
        <f>IF(E77&lt;&gt;0,$O77/E77,"")</f>
        <v>0</v>
      </c>
      <c r="S77" s="36">
        <f>IF(D77&lt;&gt;0,$F77/D77,"")</f>
        <v>5.7883287010417964E-2</v>
      </c>
      <c r="T77" s="36">
        <f>IF(D77&lt;&gt;0,$G77/D77,"")</f>
        <v>0</v>
      </c>
      <c r="U77" s="36">
        <f>IF(D77&lt;&gt;0,$H77/D77,"")</f>
        <v>0</v>
      </c>
      <c r="V77" s="36">
        <f>IF(D77&lt;&gt;0,$I77/D77,"")</f>
        <v>0</v>
      </c>
      <c r="W77" s="17"/>
    </row>
    <row r="78" spans="1:23">
      <c r="A78" s="27" t="s">
        <v>266</v>
      </c>
      <c r="W78" s="17"/>
    </row>
    <row r="79" spans="1:23">
      <c r="A79" s="4" t="s">
        <v>205</v>
      </c>
      <c r="B79" s="39">
        <f>Input!B225+Input!C225+Input!D225</f>
        <v>1.6067355679710611</v>
      </c>
      <c r="C79" s="41">
        <f>Input!E225</f>
        <v>1E-3</v>
      </c>
      <c r="D79" s="39">
        <f>0.01*Input!F$60*(Adjust!$E282*Input!E225+Adjust!$F282*Input!F225+Adjust!$G282*Input!G225)+10*(Adjust!$B282*Input!B225+Adjust!$C282*Input!C225+Adjust!$D282*Input!D225+Adjust!$H282*Input!H225)</f>
        <v>26.863330310539016</v>
      </c>
      <c r="E79" s="39">
        <f>10*(Adjust!$B282*Input!B225+Adjust!$C282*Input!C225+Adjust!$D282*Input!D225)</f>
        <v>22.493949110539017</v>
      </c>
      <c r="F79" s="39">
        <f>Adjust!E282*Input!$F$60*Input!$E225/100</f>
        <v>4.3693812000000003</v>
      </c>
      <c r="G79" s="39">
        <f>Adjust!F282*Input!$F$60*Input!$F225/100</f>
        <v>0</v>
      </c>
      <c r="H79" s="39">
        <f>Adjust!G282*Input!$F$60*Input!$G225/100</f>
        <v>0</v>
      </c>
      <c r="I79" s="39">
        <f>Adjust!H282*Input!$H225*10</f>
        <v>0</v>
      </c>
      <c r="J79" s="34">
        <f>IF(B79&lt;&gt;0,0.1*D79/B79,"")</f>
        <v>1.6719198134426845</v>
      </c>
      <c r="K79" s="43">
        <f>IF(C79&lt;&gt;0,D79/C79,"")</f>
        <v>26863.330310539015</v>
      </c>
      <c r="L79" s="34">
        <f>IF(B79&lt;&gt;0,0.1*E79/B79,0)</f>
        <v>1.3999782888321644</v>
      </c>
      <c r="M79" s="39">
        <f>Adjust!B282*Input!$B225*10</f>
        <v>13.644946708353382</v>
      </c>
      <c r="N79" s="39">
        <f>Adjust!C282*Input!$C225*10</f>
        <v>8.8490024021856346</v>
      </c>
      <c r="O79" s="39">
        <f>Adjust!D282*Input!$D225*10</f>
        <v>0</v>
      </c>
      <c r="P79" s="36">
        <f>IF(E79&lt;&gt;0,$M79/E79,"")</f>
        <v>0.60660520930761597</v>
      </c>
      <c r="Q79" s="36">
        <f>IF(E79&lt;&gt;0,$N79/E79,"")</f>
        <v>0.39339479069238403</v>
      </c>
      <c r="R79" s="36">
        <f>IF(E79&lt;&gt;0,$O79/E79,"")</f>
        <v>0</v>
      </c>
      <c r="S79" s="36">
        <f>IF(D79&lt;&gt;0,$F79/D79,"")</f>
        <v>0.16265225307101278</v>
      </c>
      <c r="T79" s="36">
        <f>IF(D79&lt;&gt;0,$G79/D79,"")</f>
        <v>0</v>
      </c>
      <c r="U79" s="36">
        <f>IF(D79&lt;&gt;0,$H79/D79,"")</f>
        <v>0</v>
      </c>
      <c r="V79" s="36">
        <f>IF(D79&lt;&gt;0,$I79/D79,"")</f>
        <v>0</v>
      </c>
      <c r="W79" s="17"/>
    </row>
    <row r="80" spans="1:23">
      <c r="A80" s="27" t="s">
        <v>267</v>
      </c>
      <c r="W80" s="17"/>
    </row>
    <row r="81" spans="1:23">
      <c r="A81" s="4" t="s">
        <v>186</v>
      </c>
      <c r="B81" s="39">
        <f>Input!B227+Input!C227+Input!D227</f>
        <v>656.53452083945115</v>
      </c>
      <c r="C81" s="41">
        <f>Input!E227</f>
        <v>339.80327868852459</v>
      </c>
      <c r="D81" s="39">
        <f>0.01*Input!F$60*(Adjust!$E284*Input!E227+Adjust!$F284*Input!F227+Adjust!$G284*Input!G227)+10*(Adjust!$B284*Input!B227+Adjust!$C284*Input!C227+Adjust!$D284*Input!D227+Adjust!$H284*Input!H227)</f>
        <v>18704.715715386094</v>
      </c>
      <c r="E81" s="39">
        <f>10*(Adjust!$B284*Input!B227+Adjust!$C284*Input!C227+Adjust!$D284*Input!D227)</f>
        <v>14314.525315386094</v>
      </c>
      <c r="F81" s="39">
        <f>Adjust!E284*Input!$F$60*Input!$E227/100</f>
        <v>4390.1903999999995</v>
      </c>
      <c r="G81" s="39">
        <f>Adjust!F284*Input!$F$60*Input!$F227/100</f>
        <v>0</v>
      </c>
      <c r="H81" s="39">
        <f>Adjust!G284*Input!$F$60*Input!$G227/100</f>
        <v>0</v>
      </c>
      <c r="I81" s="39">
        <f>Adjust!H284*Input!$H227*10</f>
        <v>0</v>
      </c>
      <c r="J81" s="34">
        <f>IF(B81&lt;&gt;0,0.1*D81/B81,"")</f>
        <v>2.8490071918031163</v>
      </c>
      <c r="K81" s="43">
        <f>IF(C81&lt;&gt;0,D81/C81,"")</f>
        <v>55.04571876874526</v>
      </c>
      <c r="L81" s="34">
        <f>IF(B81&lt;&gt;0,0.1*E81/B81,0)</f>
        <v>2.1803157124294712</v>
      </c>
      <c r="M81" s="39">
        <f>Adjust!B284*Input!$B227*10</f>
        <v>7141.9134884110172</v>
      </c>
      <c r="N81" s="39">
        <f>Adjust!C284*Input!$C227*10</f>
        <v>4299.3399452491658</v>
      </c>
      <c r="O81" s="39">
        <f>Adjust!D284*Input!$D227*10</f>
        <v>2873.2718817259129</v>
      </c>
      <c r="P81" s="36">
        <f>IF(E81&lt;&gt;0,$M81/E81,"")</f>
        <v>0.49892772069322261</v>
      </c>
      <c r="Q81" s="36">
        <f>IF(E81&lt;&gt;0,$N81/E81,"")</f>
        <v>0.30034806258143831</v>
      </c>
      <c r="R81" s="36">
        <f>IF(E81&lt;&gt;0,$O81/E81,"")</f>
        <v>0.20072421672533922</v>
      </c>
      <c r="S81" s="36">
        <f>IF(D81&lt;&gt;0,$F81/D81,"")</f>
        <v>0.23471035148578731</v>
      </c>
      <c r="T81" s="36">
        <f>IF(D81&lt;&gt;0,$G81/D81,"")</f>
        <v>0</v>
      </c>
      <c r="U81" s="36">
        <f>IF(D81&lt;&gt;0,$H81/D81,"")</f>
        <v>0</v>
      </c>
      <c r="V81" s="36">
        <f>IF(D81&lt;&gt;0,$I81/D81,"")</f>
        <v>0</v>
      </c>
      <c r="W81" s="17"/>
    </row>
    <row r="82" spans="1:23">
      <c r="A82" s="4" t="s">
        <v>268</v>
      </c>
      <c r="B82" s="39">
        <f>Input!B228+Input!C228+Input!D228</f>
        <v>0</v>
      </c>
      <c r="C82" s="41">
        <f>Input!E228</f>
        <v>0</v>
      </c>
      <c r="D82" s="39">
        <f>0.01*Input!F$60*(Adjust!$E285*Input!E228+Adjust!$F285*Input!F228+Adjust!$G285*Input!G228)+10*(Adjust!$B285*Input!B228+Adjust!$C285*Input!C228+Adjust!$D285*Input!D228+Adjust!$H285*Input!H228)</f>
        <v>0</v>
      </c>
      <c r="E82" s="39">
        <f>10*(Adjust!$B285*Input!B228+Adjust!$C285*Input!C228+Adjust!$D285*Input!D228)</f>
        <v>0</v>
      </c>
      <c r="F82" s="39">
        <f>Adjust!E285*Input!$F$60*Input!$E228/100</f>
        <v>0</v>
      </c>
      <c r="G82" s="39">
        <f>Adjust!F285*Input!$F$60*Input!$F228/100</f>
        <v>0</v>
      </c>
      <c r="H82" s="39">
        <f>Adjust!G285*Input!$F$60*Input!$G228/100</f>
        <v>0</v>
      </c>
      <c r="I82" s="39">
        <f>Adjust!H285*Input!$H228*10</f>
        <v>0</v>
      </c>
      <c r="J82" s="34" t="str">
        <f>IF(B82&lt;&gt;0,0.1*D82/B82,"")</f>
        <v/>
      </c>
      <c r="K82" s="43" t="str">
        <f>IF(C82&lt;&gt;0,D82/C82,"")</f>
        <v/>
      </c>
      <c r="L82" s="34">
        <f>IF(B82&lt;&gt;0,0.1*E82/B82,0)</f>
        <v>0</v>
      </c>
      <c r="M82" s="39">
        <f>Adjust!B285*Input!$B228*10</f>
        <v>0</v>
      </c>
      <c r="N82" s="39">
        <f>Adjust!C285*Input!$C228*10</f>
        <v>0</v>
      </c>
      <c r="O82" s="39">
        <f>Adjust!D285*Input!$D228*10</f>
        <v>0</v>
      </c>
      <c r="P82" s="36" t="str">
        <f>IF(E82&lt;&gt;0,$M82/E82,"")</f>
        <v/>
      </c>
      <c r="Q82" s="36" t="str">
        <f>IF(E82&lt;&gt;0,$N82/E82,"")</f>
        <v/>
      </c>
      <c r="R82" s="36" t="str">
        <f>IF(E82&lt;&gt;0,$O82/E82,"")</f>
        <v/>
      </c>
      <c r="S82" s="36" t="str">
        <f>IF(D82&lt;&gt;0,$F82/D82,"")</f>
        <v/>
      </c>
      <c r="T82" s="36" t="str">
        <f>IF(D82&lt;&gt;0,$G82/D82,"")</f>
        <v/>
      </c>
      <c r="U82" s="36" t="str">
        <f>IF(D82&lt;&gt;0,$H82/D82,"")</f>
        <v/>
      </c>
      <c r="V82" s="36" t="str">
        <f>IF(D82&lt;&gt;0,$I82/D82,"")</f>
        <v/>
      </c>
      <c r="W82" s="17"/>
    </row>
    <row r="83" spans="1:23">
      <c r="A83" s="4" t="s">
        <v>269</v>
      </c>
      <c r="B83" s="39">
        <f>Input!B229+Input!C229+Input!D229</f>
        <v>0</v>
      </c>
      <c r="C83" s="41">
        <f>Input!E229</f>
        <v>0</v>
      </c>
      <c r="D83" s="39">
        <f>0.01*Input!F$60*(Adjust!$E286*Input!E229+Adjust!$F286*Input!F229+Adjust!$G286*Input!G229)+10*(Adjust!$B286*Input!B229+Adjust!$C286*Input!C229+Adjust!$D286*Input!D229+Adjust!$H286*Input!H229)</f>
        <v>0</v>
      </c>
      <c r="E83" s="39">
        <f>10*(Adjust!$B286*Input!B229+Adjust!$C286*Input!C229+Adjust!$D286*Input!D229)</f>
        <v>0</v>
      </c>
      <c r="F83" s="39">
        <f>Adjust!E286*Input!$F$60*Input!$E229/100</f>
        <v>0</v>
      </c>
      <c r="G83" s="39">
        <f>Adjust!F286*Input!$F$60*Input!$F229/100</f>
        <v>0</v>
      </c>
      <c r="H83" s="39">
        <f>Adjust!G286*Input!$F$60*Input!$G229/100</f>
        <v>0</v>
      </c>
      <c r="I83" s="39">
        <f>Adjust!H286*Input!$H229*10</f>
        <v>0</v>
      </c>
      <c r="J83" s="34" t="str">
        <f>IF(B83&lt;&gt;0,0.1*D83/B83,"")</f>
        <v/>
      </c>
      <c r="K83" s="43" t="str">
        <f>IF(C83&lt;&gt;0,D83/C83,"")</f>
        <v/>
      </c>
      <c r="L83" s="34">
        <f>IF(B83&lt;&gt;0,0.1*E83/B83,0)</f>
        <v>0</v>
      </c>
      <c r="M83" s="39">
        <f>Adjust!B286*Input!$B229*10</f>
        <v>0</v>
      </c>
      <c r="N83" s="39">
        <f>Adjust!C286*Input!$C229*10</f>
        <v>0</v>
      </c>
      <c r="O83" s="39">
        <f>Adjust!D286*Input!$D229*10</f>
        <v>0</v>
      </c>
      <c r="P83" s="36" t="str">
        <f>IF(E83&lt;&gt;0,$M83/E83,"")</f>
        <v/>
      </c>
      <c r="Q83" s="36" t="str">
        <f>IF(E83&lt;&gt;0,$N83/E83,"")</f>
        <v/>
      </c>
      <c r="R83" s="36" t="str">
        <f>IF(E83&lt;&gt;0,$O83/E83,"")</f>
        <v/>
      </c>
      <c r="S83" s="36" t="str">
        <f>IF(D83&lt;&gt;0,$F83/D83,"")</f>
        <v/>
      </c>
      <c r="T83" s="36" t="str">
        <f>IF(D83&lt;&gt;0,$G83/D83,"")</f>
        <v/>
      </c>
      <c r="U83" s="36" t="str">
        <f>IF(D83&lt;&gt;0,$H83/D83,"")</f>
        <v/>
      </c>
      <c r="V83" s="36" t="str">
        <f>IF(D83&lt;&gt;0,$I83/D83,"")</f>
        <v/>
      </c>
      <c r="W83" s="17"/>
    </row>
    <row r="84" spans="1:23">
      <c r="A84" s="27" t="s">
        <v>270</v>
      </c>
      <c r="W84" s="17"/>
    </row>
    <row r="85" spans="1:23">
      <c r="A85" s="4" t="s">
        <v>187</v>
      </c>
      <c r="B85" s="39">
        <f>Input!B231+Input!C231+Input!D231</f>
        <v>216063.06005970848</v>
      </c>
      <c r="C85" s="41">
        <f>Input!E231</f>
        <v>3574</v>
      </c>
      <c r="D85" s="39">
        <f>0.01*Input!F$60*(Adjust!$E288*Input!E231+Adjust!$F288*Input!F231+Adjust!$G288*Input!G231)+10*(Adjust!$B288*Input!B231+Adjust!$C288*Input!C231+Adjust!$D288*Input!D231+Adjust!$H288*Input!H231)</f>
        <v>4590036.2251456911</v>
      </c>
      <c r="E85" s="39">
        <f>10*(Adjust!$B288*Input!B231+Adjust!$C288*Input!C231+Adjust!$D288*Input!D231)</f>
        <v>4543860.8599456912</v>
      </c>
      <c r="F85" s="39">
        <f>Adjust!E288*Input!$F$60*Input!$E231/100</f>
        <v>46175.365200000007</v>
      </c>
      <c r="G85" s="39">
        <f>Adjust!F288*Input!$F$60*Input!$F231/100</f>
        <v>0</v>
      </c>
      <c r="H85" s="39">
        <f>Adjust!G288*Input!$F$60*Input!$G231/100</f>
        <v>0</v>
      </c>
      <c r="I85" s="39">
        <f>Adjust!H288*Input!$H231*10</f>
        <v>0</v>
      </c>
      <c r="J85" s="34">
        <f>IF(B85&lt;&gt;0,0.1*D85/B85,"")</f>
        <v>2.1243965645387259</v>
      </c>
      <c r="K85" s="43">
        <f>IF(C85&lt;&gt;0,D85/C85,"")</f>
        <v>1284.2854575113854</v>
      </c>
      <c r="L85" s="34">
        <f>IF(B85&lt;&gt;0,0.1*E85/B85,0)</f>
        <v>2.1030253198718962</v>
      </c>
      <c r="M85" s="39">
        <f>Adjust!B288*Input!$B231*10</f>
        <v>2137250.0207716729</v>
      </c>
      <c r="N85" s="39">
        <f>Adjust!C288*Input!$C231*10</f>
        <v>1572449.5082337735</v>
      </c>
      <c r="O85" s="39">
        <f>Adjust!D288*Input!$D231*10</f>
        <v>834161.33094024507</v>
      </c>
      <c r="P85" s="36">
        <f>IF(E85&lt;&gt;0,$M85/E85,"")</f>
        <v>0.47035991784247055</v>
      </c>
      <c r="Q85" s="36">
        <f>IF(E85&lt;&gt;0,$N85/E85,"")</f>
        <v>0.34606022426764355</v>
      </c>
      <c r="R85" s="36">
        <f>IF(E85&lt;&gt;0,$O85/E85,"")</f>
        <v>0.18357985788988598</v>
      </c>
      <c r="S85" s="36">
        <f>IF(D85&lt;&gt;0,$F85/D85,"")</f>
        <v>1.0059913023569737E-2</v>
      </c>
      <c r="T85" s="36">
        <f>IF(D85&lt;&gt;0,$G85/D85,"")</f>
        <v>0</v>
      </c>
      <c r="U85" s="36">
        <f>IF(D85&lt;&gt;0,$H85/D85,"")</f>
        <v>0</v>
      </c>
      <c r="V85" s="36">
        <f>IF(D85&lt;&gt;0,$I85/D85,"")</f>
        <v>0</v>
      </c>
      <c r="W85" s="17"/>
    </row>
    <row r="86" spans="1:23">
      <c r="A86" s="4" t="s">
        <v>271</v>
      </c>
      <c r="B86" s="39">
        <f>Input!B232+Input!C232+Input!D232</f>
        <v>0</v>
      </c>
      <c r="C86" s="41">
        <f>Input!E232</f>
        <v>0</v>
      </c>
      <c r="D86" s="39">
        <f>0.01*Input!F$60*(Adjust!$E289*Input!E232+Adjust!$F289*Input!F232+Adjust!$G289*Input!G232)+10*(Adjust!$B289*Input!B232+Adjust!$C289*Input!C232+Adjust!$D289*Input!D232+Adjust!$H289*Input!H232)</f>
        <v>0</v>
      </c>
      <c r="E86" s="39">
        <f>10*(Adjust!$B289*Input!B232+Adjust!$C289*Input!C232+Adjust!$D289*Input!D232)</f>
        <v>0</v>
      </c>
      <c r="F86" s="39">
        <f>Adjust!E289*Input!$F$60*Input!$E232/100</f>
        <v>0</v>
      </c>
      <c r="G86" s="39">
        <f>Adjust!F289*Input!$F$60*Input!$F232/100</f>
        <v>0</v>
      </c>
      <c r="H86" s="39">
        <f>Adjust!G289*Input!$F$60*Input!$G232/100</f>
        <v>0</v>
      </c>
      <c r="I86" s="39">
        <f>Adjust!H289*Input!$H232*10</f>
        <v>0</v>
      </c>
      <c r="J86" s="34" t="str">
        <f>IF(B86&lt;&gt;0,0.1*D86/B86,"")</f>
        <v/>
      </c>
      <c r="K86" s="43" t="str">
        <f>IF(C86&lt;&gt;0,D86/C86,"")</f>
        <v/>
      </c>
      <c r="L86" s="34">
        <f>IF(B86&lt;&gt;0,0.1*E86/B86,0)</f>
        <v>0</v>
      </c>
      <c r="M86" s="39">
        <f>Adjust!B289*Input!$B232*10</f>
        <v>0</v>
      </c>
      <c r="N86" s="39">
        <f>Adjust!C289*Input!$C232*10</f>
        <v>0</v>
      </c>
      <c r="O86" s="39">
        <f>Adjust!D289*Input!$D232*10</f>
        <v>0</v>
      </c>
      <c r="P86" s="36" t="str">
        <f>IF(E86&lt;&gt;0,$M86/E86,"")</f>
        <v/>
      </c>
      <c r="Q86" s="36" t="str">
        <f>IF(E86&lt;&gt;0,$N86/E86,"")</f>
        <v/>
      </c>
      <c r="R86" s="36" t="str">
        <f>IF(E86&lt;&gt;0,$O86/E86,"")</f>
        <v/>
      </c>
      <c r="S86" s="36" t="str">
        <f>IF(D86&lt;&gt;0,$F86/D86,"")</f>
        <v/>
      </c>
      <c r="T86" s="36" t="str">
        <f>IF(D86&lt;&gt;0,$G86/D86,"")</f>
        <v/>
      </c>
      <c r="U86" s="36" t="str">
        <f>IF(D86&lt;&gt;0,$H86/D86,"")</f>
        <v/>
      </c>
      <c r="V86" s="36" t="str">
        <f>IF(D86&lt;&gt;0,$I86/D86,"")</f>
        <v/>
      </c>
      <c r="W86" s="17"/>
    </row>
    <row r="87" spans="1:23">
      <c r="A87" s="4" t="s">
        <v>272</v>
      </c>
      <c r="B87" s="39">
        <f>Input!B233+Input!C233+Input!D233</f>
        <v>0</v>
      </c>
      <c r="C87" s="41">
        <f>Input!E233</f>
        <v>0</v>
      </c>
      <c r="D87" s="39">
        <f>0.01*Input!F$60*(Adjust!$E290*Input!E233+Adjust!$F290*Input!F233+Adjust!$G290*Input!G233)+10*(Adjust!$B290*Input!B233+Adjust!$C290*Input!C233+Adjust!$D290*Input!D233+Adjust!$H290*Input!H233)</f>
        <v>0</v>
      </c>
      <c r="E87" s="39">
        <f>10*(Adjust!$B290*Input!B233+Adjust!$C290*Input!C233+Adjust!$D290*Input!D233)</f>
        <v>0</v>
      </c>
      <c r="F87" s="39">
        <f>Adjust!E290*Input!$F$60*Input!$E233/100</f>
        <v>0</v>
      </c>
      <c r="G87" s="39">
        <f>Adjust!F290*Input!$F$60*Input!$F233/100</f>
        <v>0</v>
      </c>
      <c r="H87" s="39">
        <f>Adjust!G290*Input!$F$60*Input!$G233/100</f>
        <v>0</v>
      </c>
      <c r="I87" s="39">
        <f>Adjust!H290*Input!$H233*10</f>
        <v>0</v>
      </c>
      <c r="J87" s="34" t="str">
        <f>IF(B87&lt;&gt;0,0.1*D87/B87,"")</f>
        <v/>
      </c>
      <c r="K87" s="43" t="str">
        <f>IF(C87&lt;&gt;0,D87/C87,"")</f>
        <v/>
      </c>
      <c r="L87" s="34">
        <f>IF(B87&lt;&gt;0,0.1*E87/B87,0)</f>
        <v>0</v>
      </c>
      <c r="M87" s="39">
        <f>Adjust!B290*Input!$B233*10</f>
        <v>0</v>
      </c>
      <c r="N87" s="39">
        <f>Adjust!C290*Input!$C233*10</f>
        <v>0</v>
      </c>
      <c r="O87" s="39">
        <f>Adjust!D290*Input!$D233*10</f>
        <v>0</v>
      </c>
      <c r="P87" s="36" t="str">
        <f>IF(E87&lt;&gt;0,$M87/E87,"")</f>
        <v/>
      </c>
      <c r="Q87" s="36" t="str">
        <f>IF(E87&lt;&gt;0,$N87/E87,"")</f>
        <v/>
      </c>
      <c r="R87" s="36" t="str">
        <f>IF(E87&lt;&gt;0,$O87/E87,"")</f>
        <v/>
      </c>
      <c r="S87" s="36" t="str">
        <f>IF(D87&lt;&gt;0,$F87/D87,"")</f>
        <v/>
      </c>
      <c r="T87" s="36" t="str">
        <f>IF(D87&lt;&gt;0,$G87/D87,"")</f>
        <v/>
      </c>
      <c r="U87" s="36" t="str">
        <f>IF(D87&lt;&gt;0,$H87/D87,"")</f>
        <v/>
      </c>
      <c r="V87" s="36" t="str">
        <f>IF(D87&lt;&gt;0,$I87/D87,"")</f>
        <v/>
      </c>
      <c r="W87" s="17"/>
    </row>
    <row r="88" spans="1:23">
      <c r="A88" s="27" t="s">
        <v>273</v>
      </c>
      <c r="W88" s="17"/>
    </row>
    <row r="89" spans="1:23">
      <c r="A89" s="4" t="s">
        <v>188</v>
      </c>
      <c r="B89" s="39">
        <f>Input!B235+Input!C235+Input!D235</f>
        <v>2380817.2240606127</v>
      </c>
      <c r="C89" s="41">
        <f>Input!E235</f>
        <v>12971.084699453551</v>
      </c>
      <c r="D89" s="39">
        <f>0.01*Input!F$60*(Adjust!$E292*Input!E235+Adjust!$F292*Input!F235+Adjust!$G292*Input!G235)+10*(Adjust!$B292*Input!B235+Adjust!$C292*Input!C235+Adjust!$D292*Input!D235+Adjust!$H292*Input!H235)</f>
        <v>57164677.892335862</v>
      </c>
      <c r="E89" s="39">
        <f>10*(Adjust!$B292*Input!B235+Adjust!$C292*Input!C235+Adjust!$D292*Input!D235)</f>
        <v>41090804.886339515</v>
      </c>
      <c r="F89" s="39">
        <f>Adjust!E292*Input!$F$60*Input!$E235/100</f>
        <v>667012.08850000007</v>
      </c>
      <c r="G89" s="39">
        <f>Adjust!F292*Input!$F$60*Input!$F235/100</f>
        <v>14880533.118805083</v>
      </c>
      <c r="H89" s="39">
        <f>Adjust!G292*Input!$F$60*Input!$G235/100</f>
        <v>230967.7839912691</v>
      </c>
      <c r="I89" s="39">
        <f>Adjust!H292*Input!$H235*10</f>
        <v>295360.0147</v>
      </c>
      <c r="J89" s="34">
        <f>IF(B89&lt;&gt;0,0.1*D89/B89,"")</f>
        <v>2.4010527693864048</v>
      </c>
      <c r="K89" s="43">
        <f>IF(C89&lt;&gt;0,D89/C89,"")</f>
        <v>4407.0853916129399</v>
      </c>
      <c r="L89" s="34">
        <f>IF(B89&lt;&gt;0,0.1*E89/B89,0)</f>
        <v>1.7259117781522482</v>
      </c>
      <c r="M89" s="39">
        <f>Adjust!B292*Input!$B235*10</f>
        <v>18616731.16517064</v>
      </c>
      <c r="N89" s="39">
        <f>Adjust!C292*Input!$C235*10</f>
        <v>14218694.550808605</v>
      </c>
      <c r="O89" s="39">
        <f>Adjust!D292*Input!$D235*10</f>
        <v>8255379.170360269</v>
      </c>
      <c r="P89" s="36">
        <f>IF(E89&lt;&gt;0,$M89/E89,"")</f>
        <v>0.45306319057672445</v>
      </c>
      <c r="Q89" s="36">
        <f>IF(E89&lt;&gt;0,$N89/E89,"")</f>
        <v>0.3460310546395638</v>
      </c>
      <c r="R89" s="36">
        <f>IF(E89&lt;&gt;0,$O89/E89,"")</f>
        <v>0.2009057547837117</v>
      </c>
      <c r="S89" s="36">
        <f>IF(D89&lt;&gt;0,$F89/D89,"")</f>
        <v>1.1668255872205784E-2</v>
      </c>
      <c r="T89" s="36">
        <f>IF(D89&lt;&gt;0,$G89/D89,"")</f>
        <v>0.26030992681933984</v>
      </c>
      <c r="U89" s="36">
        <f>IF(D89&lt;&gt;0,$H89/D89,"")</f>
        <v>4.0403933426560118E-3</v>
      </c>
      <c r="V89" s="36">
        <f>IF(D89&lt;&gt;0,$I89/D89,"")</f>
        <v>5.166827236502268E-3</v>
      </c>
      <c r="W89" s="17"/>
    </row>
    <row r="90" spans="1:23">
      <c r="A90" s="4" t="s">
        <v>274</v>
      </c>
      <c r="B90" s="39">
        <f>Input!B236+Input!C236+Input!D236</f>
        <v>16969.353099202897</v>
      </c>
      <c r="C90" s="41">
        <f>Input!E236</f>
        <v>109.99453551912568</v>
      </c>
      <c r="D90" s="39">
        <f>0.01*Input!F$60*(Adjust!$E293*Input!E236+Adjust!$F293*Input!F236+Adjust!$G293*Input!G236)+10*(Adjust!$B293*Input!B236+Adjust!$C293*Input!C236+Adjust!$D293*Input!D236+Adjust!$H293*Input!H236)</f>
        <v>254579.17530215162</v>
      </c>
      <c r="E90" s="39">
        <f>10*(Adjust!$B293*Input!B236+Adjust!$C293*Input!C236+Adjust!$D293*Input!D236)</f>
        <v>190321.85289024899</v>
      </c>
      <c r="F90" s="39">
        <f>Adjust!E293*Input!$F$60*Input!$E236/100</f>
        <v>3635.2973999999995</v>
      </c>
      <c r="G90" s="39">
        <f>Adjust!F293*Input!$F$60*Input!$F236/100</f>
        <v>59031.240312776325</v>
      </c>
      <c r="H90" s="39">
        <f>Adjust!G293*Input!$F$60*Input!$G236/100</f>
        <v>913.57871912630026</v>
      </c>
      <c r="I90" s="39">
        <f>Adjust!H293*Input!$H236*10</f>
        <v>677.20597999999995</v>
      </c>
      <c r="J90" s="34">
        <f>IF(B90&lt;&gt;0,0.1*D90/B90,"")</f>
        <v>1.500229111940101</v>
      </c>
      <c r="K90" s="43">
        <f>IF(C90&lt;&gt;0,D90/C90,"")</f>
        <v>2314.4711153208677</v>
      </c>
      <c r="L90" s="34">
        <f>IF(B90&lt;&gt;0,0.1*E90/B90,0)</f>
        <v>1.1215622173551743</v>
      </c>
      <c r="M90" s="39">
        <f>Adjust!B293*Input!$B236*10</f>
        <v>87810.004032212571</v>
      </c>
      <c r="N90" s="39">
        <f>Adjust!C293*Input!$C236*10</f>
        <v>64792.111112262275</v>
      </c>
      <c r="O90" s="39">
        <f>Adjust!D293*Input!$D236*10</f>
        <v>37719.737745774139</v>
      </c>
      <c r="P90" s="36">
        <f>IF(E90&lt;&gt;0,$M90/E90,"")</f>
        <v>0.46137636166693424</v>
      </c>
      <c r="Q90" s="36">
        <f>IF(E90&lt;&gt;0,$N90/E90,"")</f>
        <v>0.34043442793521611</v>
      </c>
      <c r="R90" s="36">
        <f>IF(E90&lt;&gt;0,$O90/E90,"")</f>
        <v>0.19818921039784962</v>
      </c>
      <c r="S90" s="36">
        <f>IF(D90&lt;&gt;0,$F90/D90,"")</f>
        <v>1.4279633814059556E-2</v>
      </c>
      <c r="T90" s="36">
        <f>IF(D90&lt;&gt;0,$G90/D90,"")</f>
        <v>0.2318777262229485</v>
      </c>
      <c r="U90" s="36">
        <f>IF(D90&lt;&gt;0,$H90/D90,"")</f>
        <v>3.5885838582122983E-3</v>
      </c>
      <c r="V90" s="36">
        <f>IF(D90&lt;&gt;0,$I90/D90,"")</f>
        <v>2.6600996691746154E-3</v>
      </c>
      <c r="W90" s="17"/>
    </row>
    <row r="91" spans="1:23">
      <c r="A91" s="4" t="s">
        <v>275</v>
      </c>
      <c r="B91" s="39">
        <f>Input!B237+Input!C237+Input!D237</f>
        <v>122812.71373423624</v>
      </c>
      <c r="C91" s="41">
        <f>Input!E237</f>
        <v>334.4863387978142</v>
      </c>
      <c r="D91" s="39">
        <f>0.01*Input!F$60*(Adjust!$E294*Input!E237+Adjust!$F294*Input!F237+Adjust!$G294*Input!G237)+10*(Adjust!$B294*Input!B237+Adjust!$C294*Input!C237+Adjust!$D294*Input!D237+Adjust!$H294*Input!H237)</f>
        <v>1198148.3702682336</v>
      </c>
      <c r="E91" s="39">
        <f>10*(Adjust!$B294*Input!B237+Adjust!$C294*Input!C237+Adjust!$D294*Input!D237)</f>
        <v>893334.10495364352</v>
      </c>
      <c r="F91" s="39">
        <f>Adjust!E294*Input!$F$60*Input!$E237/100</f>
        <v>7333.0778</v>
      </c>
      <c r="G91" s="39">
        <f>Adjust!F294*Input!$F$60*Input!$F237/100</f>
        <v>291019.17020755034</v>
      </c>
      <c r="H91" s="39">
        <f>Adjust!G294*Input!$F$60*Input!$G237/100</f>
        <v>4522.3122852396318</v>
      </c>
      <c r="I91" s="39">
        <f>Adjust!H294*Input!$H237*10</f>
        <v>1939.7050217999999</v>
      </c>
      <c r="J91" s="34">
        <f>IF(B91&lt;&gt;0,0.1*D91/B91,"")</f>
        <v>0.97558985046206048</v>
      </c>
      <c r="K91" s="43">
        <f>IF(C91&lt;&gt;0,D91/C91,"")</f>
        <v>3582.0547247894456</v>
      </c>
      <c r="L91" s="34">
        <f>IF(B91&lt;&gt;0,0.1*E91/B91,0)</f>
        <v>0.72739546077191741</v>
      </c>
      <c r="M91" s="39">
        <f>Adjust!B294*Input!$B237*10</f>
        <v>407191.52544033009</v>
      </c>
      <c r="N91" s="39">
        <f>Adjust!C294*Input!$C237*10</f>
        <v>297031.16759199265</v>
      </c>
      <c r="O91" s="39">
        <f>Adjust!D294*Input!$D237*10</f>
        <v>189111.41192132086</v>
      </c>
      <c r="P91" s="36">
        <f>IF(E91&lt;&gt;0,$M91/E91,"")</f>
        <v>0.45581101536637281</v>
      </c>
      <c r="Q91" s="36">
        <f>IF(E91&lt;&gt;0,$N91/E91,"")</f>
        <v>0.33249728846678933</v>
      </c>
      <c r="R91" s="36">
        <f>IF(E91&lt;&gt;0,$O91/E91,"")</f>
        <v>0.211691696166838</v>
      </c>
      <c r="S91" s="36">
        <f>IF(D91&lt;&gt;0,$F91/D91,"")</f>
        <v>6.1203420060224421E-3</v>
      </c>
      <c r="T91" s="36">
        <f>IF(D91&lt;&gt;0,$G91/D91,"")</f>
        <v>0.24289076163613935</v>
      </c>
      <c r="U91" s="36">
        <f>IF(D91&lt;&gt;0,$H91/D91,"")</f>
        <v>3.7744175908925254E-3</v>
      </c>
      <c r="V91" s="36">
        <f>IF(D91&lt;&gt;0,$I91/D91,"")</f>
        <v>1.618918883448259E-3</v>
      </c>
      <c r="W91" s="17"/>
    </row>
    <row r="92" spans="1:23">
      <c r="A92" s="27" t="s">
        <v>276</v>
      </c>
      <c r="W92" s="17"/>
    </row>
    <row r="93" spans="1:23">
      <c r="A93" s="4" t="s">
        <v>189</v>
      </c>
      <c r="B93" s="39">
        <f>Input!B239+Input!C239+Input!D239</f>
        <v>1211473.5049953174</v>
      </c>
      <c r="C93" s="41">
        <f>Input!E239</f>
        <v>2163.4890710382515</v>
      </c>
      <c r="D93" s="39">
        <f>0.01*Input!F$60*(Adjust!$E296*Input!E239+Adjust!$F296*Input!F239+Adjust!$G296*Input!G239)+10*(Adjust!$B296*Input!B239+Adjust!$C296*Input!C239+Adjust!$D296*Input!D239+Adjust!$H296*Input!H239)</f>
        <v>25688213.939525582</v>
      </c>
      <c r="E93" s="39">
        <f>10*(Adjust!$B296*Input!B239+Adjust!$C296*Input!C239+Adjust!$D296*Input!D239)</f>
        <v>17349105.5069624</v>
      </c>
      <c r="F93" s="39">
        <f>Adjust!E296*Input!$F$60*Input!$E239/100</f>
        <v>357197.67070000002</v>
      </c>
      <c r="G93" s="39">
        <f>Adjust!F296*Input!$F$60*Input!$F239/100</f>
        <v>7734919.1495542061</v>
      </c>
      <c r="H93" s="39">
        <f>Adjust!G296*Input!$F$60*Input!$G239/100</f>
        <v>139228.54469197572</v>
      </c>
      <c r="I93" s="39">
        <f>Adjust!H296*Input!$H239*10</f>
        <v>107763.06761699998</v>
      </c>
      <c r="J93" s="34">
        <f>IF(B93&lt;&gt;0,0.1*D93/B93,"")</f>
        <v>2.120410709239974</v>
      </c>
      <c r="K93" s="43">
        <f>IF(C93&lt;&gt;0,D93/C93,"")</f>
        <v>11873.512227726618</v>
      </c>
      <c r="L93" s="34">
        <f>IF(B93&lt;&gt;0,0.1*E93/B93,0)</f>
        <v>1.4320664410262491</v>
      </c>
      <c r="M93" s="39">
        <f>Adjust!B296*Input!$B239*10</f>
        <v>7289104.5298721828</v>
      </c>
      <c r="N93" s="39">
        <f>Adjust!C296*Input!$C239*10</f>
        <v>5934657.1860372089</v>
      </c>
      <c r="O93" s="39">
        <f>Adjust!D296*Input!$D239*10</f>
        <v>4125343.7910530092</v>
      </c>
      <c r="P93" s="36">
        <f>IF(E93&lt;&gt;0,$M93/E93,"")</f>
        <v>0.42014295935585727</v>
      </c>
      <c r="Q93" s="36">
        <f>IF(E93&lt;&gt;0,$N93/E93,"")</f>
        <v>0.34207280505934795</v>
      </c>
      <c r="R93" s="36">
        <f>IF(E93&lt;&gt;0,$O93/E93,"")</f>
        <v>0.23778423558479486</v>
      </c>
      <c r="S93" s="36">
        <f>IF(D93&lt;&gt;0,$F93/D93,"")</f>
        <v>1.3905118960037627E-2</v>
      </c>
      <c r="T93" s="36">
        <f>IF(D93&lt;&gt;0,$G93/D93,"")</f>
        <v>0.30110770518197644</v>
      </c>
      <c r="U93" s="36">
        <f>IF(D93&lt;&gt;0,$H93/D93,"")</f>
        <v>5.4199386932755758E-3</v>
      </c>
      <c r="V93" s="36">
        <f>IF(D93&lt;&gt;0,$I93/D93,"")</f>
        <v>4.1950393231188644E-3</v>
      </c>
      <c r="W93" s="17"/>
    </row>
    <row r="94" spans="1:23">
      <c r="A94" s="4" t="s">
        <v>277</v>
      </c>
      <c r="B94" s="39">
        <f>Input!B240+Input!C240+Input!D240</f>
        <v>13794.800518398268</v>
      </c>
      <c r="C94" s="41">
        <f>Input!E240</f>
        <v>10</v>
      </c>
      <c r="D94" s="39">
        <f>0.01*Input!F$60*(Adjust!$E297*Input!E240+Adjust!$F297*Input!F240+Adjust!$G297*Input!G240)+10*(Adjust!$B297*Input!B240+Adjust!$C297*Input!C240+Adjust!$D297*Input!D240+Adjust!$H297*Input!H240)</f>
        <v>178573.60851360735</v>
      </c>
      <c r="E94" s="39">
        <f>10*(Adjust!$B297*Input!B240+Adjust!$C297*Input!C240+Adjust!$D297*Input!D240)</f>
        <v>126650.95383879871</v>
      </c>
      <c r="F94" s="39">
        <f>Adjust!E297*Input!$F$60*Input!$E240/100</f>
        <v>1109.7120000000002</v>
      </c>
      <c r="G94" s="39">
        <f>Adjust!F297*Input!$F$60*Input!$F240/100</f>
        <v>49856.09797507451</v>
      </c>
      <c r="H94" s="39">
        <f>Adjust!G297*Input!$F$60*Input!$G240/100</f>
        <v>898.78194973414134</v>
      </c>
      <c r="I94" s="39">
        <f>Adjust!H297*Input!$H240*10</f>
        <v>58.062750000000001</v>
      </c>
      <c r="J94" s="34">
        <f>IF(B94&lt;&gt;0,0.1*D94/B94,"")</f>
        <v>1.2944993896464243</v>
      </c>
      <c r="K94" s="43">
        <f>IF(C94&lt;&gt;0,D94/C94,"")</f>
        <v>17857.360851360736</v>
      </c>
      <c r="L94" s="34">
        <f>IF(B94&lt;&gt;0,0.1*E94/B94,0)</f>
        <v>0.91810645373148414</v>
      </c>
      <c r="M94" s="39">
        <f>Adjust!B297*Input!$B240*10</f>
        <v>52496.499688636359</v>
      </c>
      <c r="N94" s="39">
        <f>Adjust!C297*Input!$C240*10</f>
        <v>38774.51654226191</v>
      </c>
      <c r="O94" s="39">
        <f>Adjust!D297*Input!$D240*10</f>
        <v>35379.937607900436</v>
      </c>
      <c r="P94" s="36">
        <f>IF(E94&lt;&gt;0,$M94/E94,"")</f>
        <v>0.4144974680210769</v>
      </c>
      <c r="Q94" s="36">
        <f>IF(E94&lt;&gt;0,$N94/E94,"")</f>
        <v>0.30615258209278157</v>
      </c>
      <c r="R94" s="36">
        <f>IF(E94&lt;&gt;0,$O94/E94,"")</f>
        <v>0.27934994988614148</v>
      </c>
      <c r="S94" s="36">
        <f>IF(D94&lt;&gt;0,$F94/D94,"")</f>
        <v>6.2143113376993773E-3</v>
      </c>
      <c r="T94" s="36">
        <f>IF(D94&lt;&gt;0,$G94/D94,"")</f>
        <v>0.27919074039026021</v>
      </c>
      <c r="U94" s="36">
        <f>IF(D94&lt;&gt;0,$H94/D94,"")</f>
        <v>5.0331174758427638E-3</v>
      </c>
      <c r="V94" s="36">
        <f>IF(D94&lt;&gt;0,$I94/D94,"")</f>
        <v>3.2514743070544833E-4</v>
      </c>
      <c r="W94" s="17"/>
    </row>
    <row r="95" spans="1:23">
      <c r="A95" s="27" t="s">
        <v>278</v>
      </c>
      <c r="W95" s="17"/>
    </row>
    <row r="96" spans="1:23">
      <c r="A96" s="4" t="s">
        <v>206</v>
      </c>
      <c r="B96" s="39">
        <f>Input!B242+Input!C242+Input!D242</f>
        <v>4599281.0708083175</v>
      </c>
      <c r="C96" s="41">
        <f>Input!E242</f>
        <v>2232.9262295081967</v>
      </c>
      <c r="D96" s="39">
        <f>0.01*Input!F$60*(Adjust!$E299*Input!E242+Adjust!$F299*Input!F242+Adjust!$G299*Input!G242)+10*(Adjust!$B299*Input!B242+Adjust!$C299*Input!C242+Adjust!$D299*Input!D242+Adjust!$H299*Input!H242)</f>
        <v>72579110.484231979</v>
      </c>
      <c r="E96" s="39">
        <f>10*(Adjust!$B299*Input!B242+Adjust!$C299*Input!C242+Adjust!$D299*Input!D242)</f>
        <v>51640669.773244545</v>
      </c>
      <c r="F96" s="39">
        <f>Adjust!E299*Input!$F$60*Input!$E242/100</f>
        <v>810549.54180000012</v>
      </c>
      <c r="G96" s="39">
        <f>Adjust!F299*Input!$F$60*Input!$F242/100</f>
        <v>19474831.602662455</v>
      </c>
      <c r="H96" s="39">
        <f>Adjust!G299*Input!$F$60*Input!$G242/100</f>
        <v>382185.26182699361</v>
      </c>
      <c r="I96" s="39">
        <f>Adjust!H299*Input!$H242*10</f>
        <v>270874.30469799996</v>
      </c>
      <c r="J96" s="34">
        <f>IF(B96&lt;&gt;0,0.1*D96/B96,"")</f>
        <v>1.5780533819707674</v>
      </c>
      <c r="K96" s="43">
        <f>IF(C96&lt;&gt;0,D96/C96,"")</f>
        <v>32504.034179497979</v>
      </c>
      <c r="L96" s="34">
        <f>IF(B96&lt;&gt;0,0.1*E96/B96,0)</f>
        <v>1.1227987369810555</v>
      </c>
      <c r="M96" s="39">
        <f>Adjust!B299*Input!$B242*10</f>
        <v>19422913.759269163</v>
      </c>
      <c r="N96" s="39">
        <f>Adjust!C299*Input!$C242*10</f>
        <v>15936406.382299904</v>
      </c>
      <c r="O96" s="39">
        <f>Adjust!D299*Input!$D242*10</f>
        <v>16281349.631675472</v>
      </c>
      <c r="P96" s="36">
        <f>IF(E96&lt;&gt;0,$M96/E96,"")</f>
        <v>0.37611661205316771</v>
      </c>
      <c r="Q96" s="36">
        <f>IF(E96&lt;&gt;0,$N96/E96,"")</f>
        <v>0.30860185300223753</v>
      </c>
      <c r="R96" s="36">
        <f>IF(E96&lt;&gt;0,$O96/E96,"")</f>
        <v>0.31528153494459465</v>
      </c>
      <c r="S96" s="36">
        <f>IF(D96&lt;&gt;0,$F96/D96,"")</f>
        <v>1.1167807601831857E-2</v>
      </c>
      <c r="T96" s="36">
        <f>IF(D96&lt;&gt;0,$G96/D96,"")</f>
        <v>0.26832557567502041</v>
      </c>
      <c r="U96" s="36">
        <f>IF(D96&lt;&gt;0,$H96/D96,"")</f>
        <v>5.2657749492538144E-3</v>
      </c>
      <c r="V96" s="36">
        <f>IF(D96&lt;&gt;0,$I96/D96,"")</f>
        <v>3.7321248895279338E-3</v>
      </c>
      <c r="W96" s="17"/>
    </row>
    <row r="97" spans="1:23">
      <c r="A97" s="4" t="s">
        <v>279</v>
      </c>
      <c r="B97" s="39">
        <f>Input!B243+Input!C243+Input!D243</f>
        <v>27679.346183928574</v>
      </c>
      <c r="C97" s="41">
        <f>Input!E243</f>
        <v>13</v>
      </c>
      <c r="D97" s="39">
        <f>0.01*Input!F$60*(Adjust!$E300*Input!E243+Adjust!$F300*Input!F243+Adjust!$G300*Input!G243)+10*(Adjust!$B300*Input!B243+Adjust!$C300*Input!C243+Adjust!$D300*Input!D243+Adjust!$H300*Input!H243)</f>
        <v>399312.10614927835</v>
      </c>
      <c r="E97" s="39">
        <f>10*(Adjust!$B300*Input!B243+Adjust!$C300*Input!C243+Adjust!$D300*Input!D243)</f>
        <v>239450.62788683275</v>
      </c>
      <c r="F97" s="39">
        <f>Adjust!E300*Input!$F$60*Input!$E243/100</f>
        <v>3755.0135999999998</v>
      </c>
      <c r="G97" s="39">
        <f>Adjust!F300*Input!$F$60*Input!$F243/100</f>
        <v>153044.74230926775</v>
      </c>
      <c r="H97" s="39">
        <f>Adjust!G300*Input!$F$60*Input!$G243/100</f>
        <v>3008.3472951778817</v>
      </c>
      <c r="I97" s="39">
        <f>Adjust!H300*Input!$H243*10</f>
        <v>53.37505800000001</v>
      </c>
      <c r="J97" s="34">
        <f>IF(B97&lt;&gt;0,0.1*D97/B97,"")</f>
        <v>1.4426356153641033</v>
      </c>
      <c r="K97" s="43">
        <f>IF(C97&lt;&gt;0,D97/C97,"")</f>
        <v>30716.315857636797</v>
      </c>
      <c r="L97" s="34">
        <f>IF(B97&lt;&gt;0,0.1*E97/B97,0)</f>
        <v>0.86508773110350679</v>
      </c>
      <c r="M97" s="39">
        <f>Adjust!B300*Input!$B243*10</f>
        <v>87127.578692792275</v>
      </c>
      <c r="N97" s="39">
        <f>Adjust!C300*Input!$C243*10</f>
        <v>68793.230514053575</v>
      </c>
      <c r="O97" s="39">
        <f>Adjust!D300*Input!$D243*10</f>
        <v>83529.818679986915</v>
      </c>
      <c r="P97" s="36">
        <f>IF(E97&lt;&gt;0,$M97/E97,"")</f>
        <v>0.36386448205084604</v>
      </c>
      <c r="Q97" s="36">
        <f>IF(E97&lt;&gt;0,$N97/E97,"")</f>
        <v>0.28729609573864257</v>
      </c>
      <c r="R97" s="36">
        <f>IF(E97&lt;&gt;0,$O97/E97,"")</f>
        <v>0.34883942221051145</v>
      </c>
      <c r="S97" s="36">
        <f>IF(D97&lt;&gt;0,$F97/D97,"")</f>
        <v>9.403705878619743E-3</v>
      </c>
      <c r="T97" s="36">
        <f>IF(D97&lt;&gt;0,$G97/D97,"")</f>
        <v>0.3832709801491811</v>
      </c>
      <c r="U97" s="36">
        <f>IF(D97&lt;&gt;0,$H97/D97,"")</f>
        <v>7.533824416666308E-3</v>
      </c>
      <c r="V97" s="36">
        <f>IF(D97&lt;&gt;0,$I97/D97,"")</f>
        <v>1.3366751765859646E-4</v>
      </c>
      <c r="W97" s="17"/>
    </row>
    <row r="98" spans="1:23">
      <c r="A98" s="27" t="s">
        <v>280</v>
      </c>
      <c r="W98" s="17"/>
    </row>
    <row r="99" spans="1:23">
      <c r="A99" s="4" t="s">
        <v>228</v>
      </c>
      <c r="B99" s="39">
        <f>Input!B245+Input!C245+Input!D245</f>
        <v>17466.3968856461</v>
      </c>
      <c r="C99" s="41">
        <f>Input!E245</f>
        <v>203.50273224043715</v>
      </c>
      <c r="D99" s="39">
        <f>0.01*Input!F$60*(Adjust!$E302*Input!E245+Adjust!$F302*Input!F245+Adjust!$G302*Input!G245)+10*(Adjust!$B302*Input!B245+Adjust!$C302*Input!C245+Adjust!$D302*Input!D245+Adjust!$H302*Input!H245)</f>
        <v>618135.78578301554</v>
      </c>
      <c r="E99" s="39">
        <f>10*(Adjust!$B302*Input!B245+Adjust!$C302*Input!C245+Adjust!$D302*Input!D245)</f>
        <v>618135.78578301554</v>
      </c>
      <c r="F99" s="39">
        <f>Adjust!E302*Input!$F$60*Input!$E245/100</f>
        <v>0</v>
      </c>
      <c r="G99" s="39">
        <f>Adjust!F302*Input!$F$60*Input!$F245/100</f>
        <v>0</v>
      </c>
      <c r="H99" s="39">
        <f>Adjust!G302*Input!$F$60*Input!$G245/100</f>
        <v>0</v>
      </c>
      <c r="I99" s="39">
        <f>Adjust!H302*Input!$H245*10</f>
        <v>0</v>
      </c>
      <c r="J99" s="34">
        <f>IF(B99&lt;&gt;0,0.1*D99/B99,"")</f>
        <v>3.5390000000000006</v>
      </c>
      <c r="K99" s="43">
        <f>IF(C99&lt;&gt;0,D99/C99,"")</f>
        <v>3037.4815068954067</v>
      </c>
      <c r="L99" s="34">
        <f>IF(B99&lt;&gt;0,0.1*E99/B99,0)</f>
        <v>3.5390000000000006</v>
      </c>
      <c r="M99" s="39">
        <f>Adjust!B302*Input!$B245*10</f>
        <v>618135.78578301554</v>
      </c>
      <c r="N99" s="39">
        <f>Adjust!C302*Input!$C245*10</f>
        <v>0</v>
      </c>
      <c r="O99" s="39">
        <f>Adjust!D302*Input!$D245*10</f>
        <v>0</v>
      </c>
      <c r="P99" s="36">
        <f>IF(E99&lt;&gt;0,$M99/E99,"")</f>
        <v>1</v>
      </c>
      <c r="Q99" s="36">
        <f>IF(E99&lt;&gt;0,$N99/E99,"")</f>
        <v>0</v>
      </c>
      <c r="R99" s="36">
        <f>IF(E99&lt;&gt;0,$O99/E99,"")</f>
        <v>0</v>
      </c>
      <c r="S99" s="36">
        <f>IF(D99&lt;&gt;0,$F99/D99,"")</f>
        <v>0</v>
      </c>
      <c r="T99" s="36">
        <f>IF(D99&lt;&gt;0,$G99/D99,"")</f>
        <v>0</v>
      </c>
      <c r="U99" s="36">
        <f>IF(D99&lt;&gt;0,$H99/D99,"")</f>
        <v>0</v>
      </c>
      <c r="V99" s="36">
        <f>IF(D99&lt;&gt;0,$I99/D99,"")</f>
        <v>0</v>
      </c>
      <c r="W99" s="17"/>
    </row>
    <row r="100" spans="1:23">
      <c r="A100" s="4" t="s">
        <v>281</v>
      </c>
      <c r="B100" s="39">
        <f>Input!B246+Input!C246+Input!D246</f>
        <v>0</v>
      </c>
      <c r="C100" s="41">
        <f>Input!E246</f>
        <v>0</v>
      </c>
      <c r="D100" s="39">
        <f>0.01*Input!F$60*(Adjust!$E303*Input!E246+Adjust!$F303*Input!F246+Adjust!$G303*Input!G246)+10*(Adjust!$B303*Input!B246+Adjust!$C303*Input!C246+Adjust!$D303*Input!D246+Adjust!$H303*Input!H246)</f>
        <v>0</v>
      </c>
      <c r="E100" s="39">
        <f>10*(Adjust!$B303*Input!B246+Adjust!$C303*Input!C246+Adjust!$D303*Input!D246)</f>
        <v>0</v>
      </c>
      <c r="F100" s="39">
        <f>Adjust!E303*Input!$F$60*Input!$E246/100</f>
        <v>0</v>
      </c>
      <c r="G100" s="39">
        <f>Adjust!F303*Input!$F$60*Input!$F246/100</f>
        <v>0</v>
      </c>
      <c r="H100" s="39">
        <f>Adjust!G303*Input!$F$60*Input!$G246/100</f>
        <v>0</v>
      </c>
      <c r="I100" s="39">
        <f>Adjust!H303*Input!$H246*10</f>
        <v>0</v>
      </c>
      <c r="J100" s="34" t="str">
        <f>IF(B100&lt;&gt;0,0.1*D100/B100,"")</f>
        <v/>
      </c>
      <c r="K100" s="43" t="str">
        <f>IF(C100&lt;&gt;0,D100/C100,"")</f>
        <v/>
      </c>
      <c r="L100" s="34">
        <f>IF(B100&lt;&gt;0,0.1*E100/B100,0)</f>
        <v>0</v>
      </c>
      <c r="M100" s="39">
        <f>Adjust!B303*Input!$B246*10</f>
        <v>0</v>
      </c>
      <c r="N100" s="39">
        <f>Adjust!C303*Input!$C246*10</f>
        <v>0</v>
      </c>
      <c r="O100" s="39">
        <f>Adjust!D303*Input!$D246*10</f>
        <v>0</v>
      </c>
      <c r="P100" s="36" t="str">
        <f>IF(E100&lt;&gt;0,$M100/E100,"")</f>
        <v/>
      </c>
      <c r="Q100" s="36" t="str">
        <f>IF(E100&lt;&gt;0,$N100/E100,"")</f>
        <v/>
      </c>
      <c r="R100" s="36" t="str">
        <f>IF(E100&lt;&gt;0,$O100/E100,"")</f>
        <v/>
      </c>
      <c r="S100" s="36" t="str">
        <f>IF(D100&lt;&gt;0,$F100/D100,"")</f>
        <v/>
      </c>
      <c r="T100" s="36" t="str">
        <f>IF(D100&lt;&gt;0,$G100/D100,"")</f>
        <v/>
      </c>
      <c r="U100" s="36" t="str">
        <f>IF(D100&lt;&gt;0,$H100/D100,"")</f>
        <v/>
      </c>
      <c r="V100" s="36" t="str">
        <f>IF(D100&lt;&gt;0,$I100/D100,"")</f>
        <v/>
      </c>
      <c r="W100" s="17"/>
    </row>
    <row r="101" spans="1:23">
      <c r="A101" s="4" t="s">
        <v>282</v>
      </c>
      <c r="B101" s="39">
        <f>Input!B247+Input!C247+Input!D247</f>
        <v>0</v>
      </c>
      <c r="C101" s="41">
        <f>Input!E247</f>
        <v>0</v>
      </c>
      <c r="D101" s="39">
        <f>0.01*Input!F$60*(Adjust!$E304*Input!E247+Adjust!$F304*Input!F247+Adjust!$G304*Input!G247)+10*(Adjust!$B304*Input!B247+Adjust!$C304*Input!C247+Adjust!$D304*Input!D247+Adjust!$H304*Input!H247)</f>
        <v>0</v>
      </c>
      <c r="E101" s="39">
        <f>10*(Adjust!$B304*Input!B247+Adjust!$C304*Input!C247+Adjust!$D304*Input!D247)</f>
        <v>0</v>
      </c>
      <c r="F101" s="39">
        <f>Adjust!E304*Input!$F$60*Input!$E247/100</f>
        <v>0</v>
      </c>
      <c r="G101" s="39">
        <f>Adjust!F304*Input!$F$60*Input!$F247/100</f>
        <v>0</v>
      </c>
      <c r="H101" s="39">
        <f>Adjust!G304*Input!$F$60*Input!$G247/100</f>
        <v>0</v>
      </c>
      <c r="I101" s="39">
        <f>Adjust!H304*Input!$H247*10</f>
        <v>0</v>
      </c>
      <c r="J101" s="34" t="str">
        <f>IF(B101&lt;&gt;0,0.1*D101/B101,"")</f>
        <v/>
      </c>
      <c r="K101" s="43" t="str">
        <f>IF(C101&lt;&gt;0,D101/C101,"")</f>
        <v/>
      </c>
      <c r="L101" s="34">
        <f>IF(B101&lt;&gt;0,0.1*E101/B101,0)</f>
        <v>0</v>
      </c>
      <c r="M101" s="39">
        <f>Adjust!B304*Input!$B247*10</f>
        <v>0</v>
      </c>
      <c r="N101" s="39">
        <f>Adjust!C304*Input!$C247*10</f>
        <v>0</v>
      </c>
      <c r="O101" s="39">
        <f>Adjust!D304*Input!$D247*10</f>
        <v>0</v>
      </c>
      <c r="P101" s="36" t="str">
        <f>IF(E101&lt;&gt;0,$M101/E101,"")</f>
        <v/>
      </c>
      <c r="Q101" s="36" t="str">
        <f>IF(E101&lt;&gt;0,$N101/E101,"")</f>
        <v/>
      </c>
      <c r="R101" s="36" t="str">
        <f>IF(E101&lt;&gt;0,$O101/E101,"")</f>
        <v/>
      </c>
      <c r="S101" s="36" t="str">
        <f>IF(D101&lt;&gt;0,$F101/D101,"")</f>
        <v/>
      </c>
      <c r="T101" s="36" t="str">
        <f>IF(D101&lt;&gt;0,$G101/D101,"")</f>
        <v/>
      </c>
      <c r="U101" s="36" t="str">
        <f>IF(D101&lt;&gt;0,$H101/D101,"")</f>
        <v/>
      </c>
      <c r="V101" s="36" t="str">
        <f>IF(D101&lt;&gt;0,$I101/D101,"")</f>
        <v/>
      </c>
      <c r="W101" s="17"/>
    </row>
    <row r="102" spans="1:23">
      <c r="A102" s="27" t="s">
        <v>283</v>
      </c>
      <c r="W102" s="17"/>
    </row>
    <row r="103" spans="1:23">
      <c r="A103" s="4" t="s">
        <v>229</v>
      </c>
      <c r="B103" s="39">
        <f>Input!B249+Input!C249+Input!D249</f>
        <v>9156.6311677309714</v>
      </c>
      <c r="C103" s="41">
        <f>Input!E249</f>
        <v>326</v>
      </c>
      <c r="D103" s="39">
        <f>0.01*Input!F$60*(Adjust!$E306*Input!E249+Adjust!$F306*Input!F249+Adjust!$G306*Input!G249)+10*(Adjust!$B306*Input!B249+Adjust!$C306*Input!C249+Adjust!$D306*Input!D249+Adjust!$H306*Input!H249)</f>
        <v>343556.80141326599</v>
      </c>
      <c r="E103" s="39">
        <f>10*(Adjust!$B306*Input!B249+Adjust!$C306*Input!C249+Adjust!$D306*Input!D249)</f>
        <v>343556.80141326599</v>
      </c>
      <c r="F103" s="39">
        <f>Adjust!E306*Input!$F$60*Input!$E249/100</f>
        <v>0</v>
      </c>
      <c r="G103" s="39">
        <f>Adjust!F306*Input!$F$60*Input!$F249/100</f>
        <v>0</v>
      </c>
      <c r="H103" s="39">
        <f>Adjust!G306*Input!$F$60*Input!$G249/100</f>
        <v>0</v>
      </c>
      <c r="I103" s="39">
        <f>Adjust!H306*Input!$H249*10</f>
        <v>0</v>
      </c>
      <c r="J103" s="34">
        <f>IF(B103&lt;&gt;0,0.1*D103/B103,"")</f>
        <v>3.7519999999999993</v>
      </c>
      <c r="K103" s="43">
        <f>IF(C103&lt;&gt;0,D103/C103,"")</f>
        <v>1053.8552190590981</v>
      </c>
      <c r="L103" s="34">
        <f>IF(B103&lt;&gt;0,0.1*E103/B103,0)</f>
        <v>3.7519999999999993</v>
      </c>
      <c r="M103" s="39">
        <f>Adjust!B306*Input!$B249*10</f>
        <v>343556.80141326599</v>
      </c>
      <c r="N103" s="39">
        <f>Adjust!C306*Input!$C249*10</f>
        <v>0</v>
      </c>
      <c r="O103" s="39">
        <f>Adjust!D306*Input!$D249*10</f>
        <v>0</v>
      </c>
      <c r="P103" s="36">
        <f>IF(E103&lt;&gt;0,$M103/E103,"")</f>
        <v>1</v>
      </c>
      <c r="Q103" s="36">
        <f>IF(E103&lt;&gt;0,$N103/E103,"")</f>
        <v>0</v>
      </c>
      <c r="R103" s="36">
        <f>IF(E103&lt;&gt;0,$O103/E103,"")</f>
        <v>0</v>
      </c>
      <c r="S103" s="36">
        <f>IF(D103&lt;&gt;0,$F103/D103,"")</f>
        <v>0</v>
      </c>
      <c r="T103" s="36">
        <f>IF(D103&lt;&gt;0,$G103/D103,"")</f>
        <v>0</v>
      </c>
      <c r="U103" s="36">
        <f>IF(D103&lt;&gt;0,$H103/D103,"")</f>
        <v>0</v>
      </c>
      <c r="V103" s="36">
        <f>IF(D103&lt;&gt;0,$I103/D103,"")</f>
        <v>0</v>
      </c>
      <c r="W103" s="17"/>
    </row>
    <row r="104" spans="1:23">
      <c r="A104" s="4" t="s">
        <v>284</v>
      </c>
      <c r="B104" s="39">
        <f>Input!B250+Input!C250+Input!D250</f>
        <v>217.54138402919887</v>
      </c>
      <c r="C104" s="41">
        <f>Input!E250</f>
        <v>85</v>
      </c>
      <c r="D104" s="39">
        <f>0.01*Input!F$60*(Adjust!$E307*Input!E250+Adjust!$F307*Input!F250+Adjust!$G307*Input!G250)+10*(Adjust!$B307*Input!B250+Adjust!$C307*Input!C250+Adjust!$D307*Input!D250+Adjust!$H307*Input!H250)</f>
        <v>5244.9227689439849</v>
      </c>
      <c r="E104" s="39">
        <f>10*(Adjust!$B307*Input!B250+Adjust!$C307*Input!C250+Adjust!$D307*Input!D250)</f>
        <v>5244.9227689439849</v>
      </c>
      <c r="F104" s="39">
        <f>Adjust!E307*Input!$F$60*Input!$E250/100</f>
        <v>0</v>
      </c>
      <c r="G104" s="39">
        <f>Adjust!F307*Input!$F$60*Input!$F250/100</f>
        <v>0</v>
      </c>
      <c r="H104" s="39">
        <f>Adjust!G307*Input!$F$60*Input!$G250/100</f>
        <v>0</v>
      </c>
      <c r="I104" s="39">
        <f>Adjust!H307*Input!$H250*10</f>
        <v>0</v>
      </c>
      <c r="J104" s="34">
        <f>IF(B104&lt;&gt;0,0.1*D104/B104,"")</f>
        <v>2.411</v>
      </c>
      <c r="K104" s="43">
        <f>IF(C104&lt;&gt;0,D104/C104,"")</f>
        <v>61.704973752282179</v>
      </c>
      <c r="L104" s="34">
        <f>IF(B104&lt;&gt;0,0.1*E104/B104,0)</f>
        <v>2.411</v>
      </c>
      <c r="M104" s="39">
        <f>Adjust!B307*Input!$B250*10</f>
        <v>5244.9227689439849</v>
      </c>
      <c r="N104" s="39">
        <f>Adjust!C307*Input!$C250*10</f>
        <v>0</v>
      </c>
      <c r="O104" s="39">
        <f>Adjust!D307*Input!$D250*10</f>
        <v>0</v>
      </c>
      <c r="P104" s="36">
        <f>IF(E104&lt;&gt;0,$M104/E104,"")</f>
        <v>1</v>
      </c>
      <c r="Q104" s="36">
        <f>IF(E104&lt;&gt;0,$N104/E104,"")</f>
        <v>0</v>
      </c>
      <c r="R104" s="36">
        <f>IF(E104&lt;&gt;0,$O104/E104,"")</f>
        <v>0</v>
      </c>
      <c r="S104" s="36">
        <f>IF(D104&lt;&gt;0,$F104/D104,"")</f>
        <v>0</v>
      </c>
      <c r="T104" s="36">
        <f>IF(D104&lt;&gt;0,$G104/D104,"")</f>
        <v>0</v>
      </c>
      <c r="U104" s="36">
        <f>IF(D104&lt;&gt;0,$H104/D104,"")</f>
        <v>0</v>
      </c>
      <c r="V104" s="36">
        <f>IF(D104&lt;&gt;0,$I104/D104,"")</f>
        <v>0</v>
      </c>
      <c r="W104" s="17"/>
    </row>
    <row r="105" spans="1:23">
      <c r="A105" s="4" t="s">
        <v>285</v>
      </c>
      <c r="B105" s="39">
        <f>Input!B251+Input!C251+Input!D251</f>
        <v>60.744857142857143</v>
      </c>
      <c r="C105" s="41">
        <f>Input!E251</f>
        <v>7</v>
      </c>
      <c r="D105" s="39">
        <f>0.01*Input!F$60*(Adjust!$E308*Input!E251+Adjust!$F308*Input!F251+Adjust!$G308*Input!G251)+10*(Adjust!$B308*Input!B251+Adjust!$C308*Input!C251+Adjust!$D308*Input!D251+Adjust!$H308*Input!H251)</f>
        <v>972.52516285714273</v>
      </c>
      <c r="E105" s="39">
        <f>10*(Adjust!$B308*Input!B251+Adjust!$C308*Input!C251+Adjust!$D308*Input!D251)</f>
        <v>972.52516285714273</v>
      </c>
      <c r="F105" s="39">
        <f>Adjust!E308*Input!$F$60*Input!$E251/100</f>
        <v>0</v>
      </c>
      <c r="G105" s="39">
        <f>Adjust!F308*Input!$F$60*Input!$F251/100</f>
        <v>0</v>
      </c>
      <c r="H105" s="39">
        <f>Adjust!G308*Input!$F$60*Input!$G251/100</f>
        <v>0</v>
      </c>
      <c r="I105" s="39">
        <f>Adjust!H308*Input!$H251*10</f>
        <v>0</v>
      </c>
      <c r="J105" s="34">
        <f>IF(B105&lt;&gt;0,0.1*D105/B105,"")</f>
        <v>1.601</v>
      </c>
      <c r="K105" s="43">
        <f>IF(C105&lt;&gt;0,D105/C105,"")</f>
        <v>138.93216612244896</v>
      </c>
      <c r="L105" s="34">
        <f>IF(B105&lt;&gt;0,0.1*E105/B105,0)</f>
        <v>1.601</v>
      </c>
      <c r="M105" s="39">
        <f>Adjust!B308*Input!$B251*10</f>
        <v>972.52516285714273</v>
      </c>
      <c r="N105" s="39">
        <f>Adjust!C308*Input!$C251*10</f>
        <v>0</v>
      </c>
      <c r="O105" s="39">
        <f>Adjust!D308*Input!$D251*10</f>
        <v>0</v>
      </c>
      <c r="P105" s="36">
        <f>IF(E105&lt;&gt;0,$M105/E105,"")</f>
        <v>1</v>
      </c>
      <c r="Q105" s="36">
        <f>IF(E105&lt;&gt;0,$N105/E105,"")</f>
        <v>0</v>
      </c>
      <c r="R105" s="36">
        <f>IF(E105&lt;&gt;0,$O105/E105,"")</f>
        <v>0</v>
      </c>
      <c r="S105" s="36">
        <f>IF(D105&lt;&gt;0,$F105/D105,"")</f>
        <v>0</v>
      </c>
      <c r="T105" s="36">
        <f>IF(D105&lt;&gt;0,$G105/D105,"")</f>
        <v>0</v>
      </c>
      <c r="U105" s="36">
        <f>IF(D105&lt;&gt;0,$H105/D105,"")</f>
        <v>0</v>
      </c>
      <c r="V105" s="36">
        <f>IF(D105&lt;&gt;0,$I105/D105,"")</f>
        <v>0</v>
      </c>
      <c r="W105" s="17"/>
    </row>
    <row r="106" spans="1:23">
      <c r="A106" s="27" t="s">
        <v>286</v>
      </c>
      <c r="W106" s="17"/>
    </row>
    <row r="107" spans="1:23">
      <c r="A107" s="4" t="s">
        <v>230</v>
      </c>
      <c r="B107" s="39">
        <f>Input!B253+Input!C253+Input!D253</f>
        <v>411.24693034888236</v>
      </c>
      <c r="C107" s="41">
        <f>Input!E253</f>
        <v>8</v>
      </c>
      <c r="D107" s="39">
        <f>0.01*Input!F$60*(Adjust!$E310*Input!E253+Adjust!$F310*Input!F253+Adjust!$G310*Input!G253)+10*(Adjust!$B310*Input!B253+Adjust!$C310*Input!C253+Adjust!$D310*Input!D253+Adjust!$H310*Input!H253)</f>
        <v>20364.947990876652</v>
      </c>
      <c r="E107" s="39">
        <f>10*(Adjust!$B310*Input!B253+Adjust!$C310*Input!C253+Adjust!$D310*Input!D253)</f>
        <v>20364.947990876652</v>
      </c>
      <c r="F107" s="39">
        <f>Adjust!E310*Input!$F$60*Input!$E253/100</f>
        <v>0</v>
      </c>
      <c r="G107" s="39">
        <f>Adjust!F310*Input!$F$60*Input!$F253/100</f>
        <v>0</v>
      </c>
      <c r="H107" s="39">
        <f>Adjust!G310*Input!$F$60*Input!$G253/100</f>
        <v>0</v>
      </c>
      <c r="I107" s="39">
        <f>Adjust!H310*Input!$H253*10</f>
        <v>0</v>
      </c>
      <c r="J107" s="34">
        <f>IF(B107&lt;&gt;0,0.1*D107/B107,"")</f>
        <v>4.952</v>
      </c>
      <c r="K107" s="43">
        <f>IF(C107&lt;&gt;0,D107/C107,"")</f>
        <v>2545.6184988595815</v>
      </c>
      <c r="L107" s="34">
        <f>IF(B107&lt;&gt;0,0.1*E107/B107,0)</f>
        <v>4.952</v>
      </c>
      <c r="M107" s="39">
        <f>Adjust!B310*Input!$B253*10</f>
        <v>20364.947990876652</v>
      </c>
      <c r="N107" s="39">
        <f>Adjust!C310*Input!$C253*10</f>
        <v>0</v>
      </c>
      <c r="O107" s="39">
        <f>Adjust!D310*Input!$D253*10</f>
        <v>0</v>
      </c>
      <c r="P107" s="36">
        <f>IF(E107&lt;&gt;0,$M107/E107,"")</f>
        <v>1</v>
      </c>
      <c r="Q107" s="36">
        <f>IF(E107&lt;&gt;0,$N107/E107,"")</f>
        <v>0</v>
      </c>
      <c r="R107" s="36">
        <f>IF(E107&lt;&gt;0,$O107/E107,"")</f>
        <v>0</v>
      </c>
      <c r="S107" s="36">
        <f>IF(D107&lt;&gt;0,$F107/D107,"")</f>
        <v>0</v>
      </c>
      <c r="T107" s="36">
        <f>IF(D107&lt;&gt;0,$G107/D107,"")</f>
        <v>0</v>
      </c>
      <c r="U107" s="36">
        <f>IF(D107&lt;&gt;0,$H107/D107,"")</f>
        <v>0</v>
      </c>
      <c r="V107" s="36">
        <f>IF(D107&lt;&gt;0,$I107/D107,"")</f>
        <v>0</v>
      </c>
      <c r="W107" s="17"/>
    </row>
    <row r="108" spans="1:23">
      <c r="A108" s="4" t="s">
        <v>287</v>
      </c>
      <c r="B108" s="39">
        <f>Input!B254+Input!C254+Input!D254</f>
        <v>0</v>
      </c>
      <c r="C108" s="41">
        <f>Input!E254</f>
        <v>0</v>
      </c>
      <c r="D108" s="39">
        <f>0.01*Input!F$60*(Adjust!$E311*Input!E254+Adjust!$F311*Input!F254+Adjust!$G311*Input!G254)+10*(Adjust!$B311*Input!B254+Adjust!$C311*Input!C254+Adjust!$D311*Input!D254+Adjust!$H311*Input!H254)</f>
        <v>0</v>
      </c>
      <c r="E108" s="39">
        <f>10*(Adjust!$B311*Input!B254+Adjust!$C311*Input!C254+Adjust!$D311*Input!D254)</f>
        <v>0</v>
      </c>
      <c r="F108" s="39">
        <f>Adjust!E311*Input!$F$60*Input!$E254/100</f>
        <v>0</v>
      </c>
      <c r="G108" s="39">
        <f>Adjust!F311*Input!$F$60*Input!$F254/100</f>
        <v>0</v>
      </c>
      <c r="H108" s="39">
        <f>Adjust!G311*Input!$F$60*Input!$G254/100</f>
        <v>0</v>
      </c>
      <c r="I108" s="39">
        <f>Adjust!H311*Input!$H254*10</f>
        <v>0</v>
      </c>
      <c r="J108" s="34" t="str">
        <f>IF(B108&lt;&gt;0,0.1*D108/B108,"")</f>
        <v/>
      </c>
      <c r="K108" s="43" t="str">
        <f>IF(C108&lt;&gt;0,D108/C108,"")</f>
        <v/>
      </c>
      <c r="L108" s="34">
        <f>IF(B108&lt;&gt;0,0.1*E108/B108,0)</f>
        <v>0</v>
      </c>
      <c r="M108" s="39">
        <f>Adjust!B311*Input!$B254*10</f>
        <v>0</v>
      </c>
      <c r="N108" s="39">
        <f>Adjust!C311*Input!$C254*10</f>
        <v>0</v>
      </c>
      <c r="O108" s="39">
        <f>Adjust!D311*Input!$D254*10</f>
        <v>0</v>
      </c>
      <c r="P108" s="36" t="str">
        <f>IF(E108&lt;&gt;0,$M108/E108,"")</f>
        <v/>
      </c>
      <c r="Q108" s="36" t="str">
        <f>IF(E108&lt;&gt;0,$N108/E108,"")</f>
        <v/>
      </c>
      <c r="R108" s="36" t="str">
        <f>IF(E108&lt;&gt;0,$O108/E108,"")</f>
        <v/>
      </c>
      <c r="S108" s="36" t="str">
        <f>IF(D108&lt;&gt;0,$F108/D108,"")</f>
        <v/>
      </c>
      <c r="T108" s="36" t="str">
        <f>IF(D108&lt;&gt;0,$G108/D108,"")</f>
        <v/>
      </c>
      <c r="U108" s="36" t="str">
        <f>IF(D108&lt;&gt;0,$H108/D108,"")</f>
        <v/>
      </c>
      <c r="V108" s="36" t="str">
        <f>IF(D108&lt;&gt;0,$I108/D108,"")</f>
        <v/>
      </c>
      <c r="W108" s="17"/>
    </row>
    <row r="109" spans="1:23">
      <c r="A109" s="4" t="s">
        <v>288</v>
      </c>
      <c r="B109" s="39">
        <f>Input!B255+Input!C255+Input!D255</f>
        <v>0</v>
      </c>
      <c r="C109" s="41">
        <f>Input!E255</f>
        <v>0</v>
      </c>
      <c r="D109" s="39">
        <f>0.01*Input!F$60*(Adjust!$E312*Input!E255+Adjust!$F312*Input!F255+Adjust!$G312*Input!G255)+10*(Adjust!$B312*Input!B255+Adjust!$C312*Input!C255+Adjust!$D312*Input!D255+Adjust!$H312*Input!H255)</f>
        <v>0</v>
      </c>
      <c r="E109" s="39">
        <f>10*(Adjust!$B312*Input!B255+Adjust!$C312*Input!C255+Adjust!$D312*Input!D255)</f>
        <v>0</v>
      </c>
      <c r="F109" s="39">
        <f>Adjust!E312*Input!$F$60*Input!$E255/100</f>
        <v>0</v>
      </c>
      <c r="G109" s="39">
        <f>Adjust!F312*Input!$F$60*Input!$F255/100</f>
        <v>0</v>
      </c>
      <c r="H109" s="39">
        <f>Adjust!G312*Input!$F$60*Input!$G255/100</f>
        <v>0</v>
      </c>
      <c r="I109" s="39">
        <f>Adjust!H312*Input!$H255*10</f>
        <v>0</v>
      </c>
      <c r="J109" s="34" t="str">
        <f>IF(B109&lt;&gt;0,0.1*D109/B109,"")</f>
        <v/>
      </c>
      <c r="K109" s="43" t="str">
        <f>IF(C109&lt;&gt;0,D109/C109,"")</f>
        <v/>
      </c>
      <c r="L109" s="34">
        <f>IF(B109&lt;&gt;0,0.1*E109/B109,0)</f>
        <v>0</v>
      </c>
      <c r="M109" s="39">
        <f>Adjust!B312*Input!$B255*10</f>
        <v>0</v>
      </c>
      <c r="N109" s="39">
        <f>Adjust!C312*Input!$C255*10</f>
        <v>0</v>
      </c>
      <c r="O109" s="39">
        <f>Adjust!D312*Input!$D255*10</f>
        <v>0</v>
      </c>
      <c r="P109" s="36" t="str">
        <f>IF(E109&lt;&gt;0,$M109/E109,"")</f>
        <v/>
      </c>
      <c r="Q109" s="36" t="str">
        <f>IF(E109&lt;&gt;0,$N109/E109,"")</f>
        <v/>
      </c>
      <c r="R109" s="36" t="str">
        <f>IF(E109&lt;&gt;0,$O109/E109,"")</f>
        <v/>
      </c>
      <c r="S109" s="36" t="str">
        <f>IF(D109&lt;&gt;0,$F109/D109,"")</f>
        <v/>
      </c>
      <c r="T109" s="36" t="str">
        <f>IF(D109&lt;&gt;0,$G109/D109,"")</f>
        <v/>
      </c>
      <c r="U109" s="36" t="str">
        <f>IF(D109&lt;&gt;0,$H109/D109,"")</f>
        <v/>
      </c>
      <c r="V109" s="36" t="str">
        <f>IF(D109&lt;&gt;0,$I109/D109,"")</f>
        <v/>
      </c>
      <c r="W109" s="17"/>
    </row>
    <row r="110" spans="1:23">
      <c r="A110" s="27" t="s">
        <v>289</v>
      </c>
      <c r="W110" s="17"/>
    </row>
    <row r="111" spans="1:23">
      <c r="A111" s="4" t="s">
        <v>231</v>
      </c>
      <c r="B111" s="39">
        <f>Input!B257+Input!C257+Input!D257</f>
        <v>5.1405866293610297E-2</v>
      </c>
      <c r="C111" s="41">
        <f>Input!E257</f>
        <v>1E-3</v>
      </c>
      <c r="D111" s="39">
        <f>0.01*Input!F$60*(Adjust!$E314*Input!E257+Adjust!$F314*Input!F257+Adjust!$G314*Input!G257)+10*(Adjust!$B314*Input!B257+Adjust!$C314*Input!C257+Adjust!$D314*Input!D257+Adjust!$H314*Input!H257)</f>
        <v>1.7796710910847886</v>
      </c>
      <c r="E111" s="39">
        <f>10*(Adjust!$B314*Input!B257+Adjust!$C314*Input!C257+Adjust!$D314*Input!D257)</f>
        <v>1.7796710910847886</v>
      </c>
      <c r="F111" s="39">
        <f>Adjust!E314*Input!$F$60*Input!$E257/100</f>
        <v>0</v>
      </c>
      <c r="G111" s="39">
        <f>Adjust!F314*Input!$F$60*Input!$F257/100</f>
        <v>0</v>
      </c>
      <c r="H111" s="39">
        <f>Adjust!G314*Input!$F$60*Input!$G257/100</f>
        <v>0</v>
      </c>
      <c r="I111" s="39">
        <f>Adjust!H314*Input!$H257*10</f>
        <v>0</v>
      </c>
      <c r="J111" s="34">
        <f>IF(B111&lt;&gt;0,0.1*D111/B111,"")</f>
        <v>3.4620000000000006</v>
      </c>
      <c r="K111" s="43">
        <f>IF(C111&lt;&gt;0,D111/C111,"")</f>
        <v>1779.6710910847885</v>
      </c>
      <c r="L111" s="34">
        <f>IF(B111&lt;&gt;0,0.1*E111/B111,0)</f>
        <v>3.4620000000000006</v>
      </c>
      <c r="M111" s="39">
        <f>Adjust!B314*Input!$B257*10</f>
        <v>1.7796710910847886</v>
      </c>
      <c r="N111" s="39">
        <f>Adjust!C314*Input!$C257*10</f>
        <v>0</v>
      </c>
      <c r="O111" s="39">
        <f>Adjust!D314*Input!$D257*10</f>
        <v>0</v>
      </c>
      <c r="P111" s="36">
        <f>IF(E111&lt;&gt;0,$M111/E111,"")</f>
        <v>1</v>
      </c>
      <c r="Q111" s="36">
        <f>IF(E111&lt;&gt;0,$N111/E111,"")</f>
        <v>0</v>
      </c>
      <c r="R111" s="36">
        <f>IF(E111&lt;&gt;0,$O111/E111,"")</f>
        <v>0</v>
      </c>
      <c r="S111" s="36">
        <f>IF(D111&lt;&gt;0,$F111/D111,"")</f>
        <v>0</v>
      </c>
      <c r="T111" s="36">
        <f>IF(D111&lt;&gt;0,$G111/D111,"")</f>
        <v>0</v>
      </c>
      <c r="U111" s="36">
        <f>IF(D111&lt;&gt;0,$H111/D111,"")</f>
        <v>0</v>
      </c>
      <c r="V111" s="36">
        <f>IF(D111&lt;&gt;0,$I111/D111,"")</f>
        <v>0</v>
      </c>
      <c r="W111" s="17"/>
    </row>
    <row r="112" spans="1:23">
      <c r="A112" s="4" t="s">
        <v>290</v>
      </c>
      <c r="B112" s="39">
        <f>Input!B258+Input!C258+Input!D258</f>
        <v>0</v>
      </c>
      <c r="C112" s="41">
        <f>Input!E258</f>
        <v>0</v>
      </c>
      <c r="D112" s="39">
        <f>0.01*Input!F$60*(Adjust!$E315*Input!E258+Adjust!$F315*Input!F258+Adjust!$G315*Input!G258)+10*(Adjust!$B315*Input!B258+Adjust!$C315*Input!C258+Adjust!$D315*Input!D258+Adjust!$H315*Input!H258)</f>
        <v>0</v>
      </c>
      <c r="E112" s="39">
        <f>10*(Adjust!$B315*Input!B258+Adjust!$C315*Input!C258+Adjust!$D315*Input!D258)</f>
        <v>0</v>
      </c>
      <c r="F112" s="39">
        <f>Adjust!E315*Input!$F$60*Input!$E258/100</f>
        <v>0</v>
      </c>
      <c r="G112" s="39">
        <f>Adjust!F315*Input!$F$60*Input!$F258/100</f>
        <v>0</v>
      </c>
      <c r="H112" s="39">
        <f>Adjust!G315*Input!$F$60*Input!$G258/100</f>
        <v>0</v>
      </c>
      <c r="I112" s="39">
        <f>Adjust!H315*Input!$H258*10</f>
        <v>0</v>
      </c>
      <c r="J112" s="34" t="str">
        <f>IF(B112&lt;&gt;0,0.1*D112/B112,"")</f>
        <v/>
      </c>
      <c r="K112" s="43" t="str">
        <f>IF(C112&lt;&gt;0,D112/C112,"")</f>
        <v/>
      </c>
      <c r="L112" s="34">
        <f>IF(B112&lt;&gt;0,0.1*E112/B112,0)</f>
        <v>0</v>
      </c>
      <c r="M112" s="39">
        <f>Adjust!B315*Input!$B258*10</f>
        <v>0</v>
      </c>
      <c r="N112" s="39">
        <f>Adjust!C315*Input!$C258*10</f>
        <v>0</v>
      </c>
      <c r="O112" s="39">
        <f>Adjust!D315*Input!$D258*10</f>
        <v>0</v>
      </c>
      <c r="P112" s="36" t="str">
        <f>IF(E112&lt;&gt;0,$M112/E112,"")</f>
        <v/>
      </c>
      <c r="Q112" s="36" t="str">
        <f>IF(E112&lt;&gt;0,$N112/E112,"")</f>
        <v/>
      </c>
      <c r="R112" s="36" t="str">
        <f>IF(E112&lt;&gt;0,$O112/E112,"")</f>
        <v/>
      </c>
      <c r="S112" s="36" t="str">
        <f>IF(D112&lt;&gt;0,$F112/D112,"")</f>
        <v/>
      </c>
      <c r="T112" s="36" t="str">
        <f>IF(D112&lt;&gt;0,$G112/D112,"")</f>
        <v/>
      </c>
      <c r="U112" s="36" t="str">
        <f>IF(D112&lt;&gt;0,$H112/D112,"")</f>
        <v/>
      </c>
      <c r="V112" s="36" t="str">
        <f>IF(D112&lt;&gt;0,$I112/D112,"")</f>
        <v/>
      </c>
      <c r="W112" s="17"/>
    </row>
    <row r="113" spans="1:23">
      <c r="A113" s="4" t="s">
        <v>291</v>
      </c>
      <c r="B113" s="39">
        <f>Input!B259+Input!C259+Input!D259</f>
        <v>0</v>
      </c>
      <c r="C113" s="41">
        <f>Input!E259</f>
        <v>0</v>
      </c>
      <c r="D113" s="39">
        <f>0.01*Input!F$60*(Adjust!$E316*Input!E259+Adjust!$F316*Input!F259+Adjust!$G316*Input!G259)+10*(Adjust!$B316*Input!B259+Adjust!$C316*Input!C259+Adjust!$D316*Input!D259+Adjust!$H316*Input!H259)</f>
        <v>0</v>
      </c>
      <c r="E113" s="39">
        <f>10*(Adjust!$B316*Input!B259+Adjust!$C316*Input!C259+Adjust!$D316*Input!D259)</f>
        <v>0</v>
      </c>
      <c r="F113" s="39">
        <f>Adjust!E316*Input!$F$60*Input!$E259/100</f>
        <v>0</v>
      </c>
      <c r="G113" s="39">
        <f>Adjust!F316*Input!$F$60*Input!$F259/100</f>
        <v>0</v>
      </c>
      <c r="H113" s="39">
        <f>Adjust!G316*Input!$F$60*Input!$G259/100</f>
        <v>0</v>
      </c>
      <c r="I113" s="39">
        <f>Adjust!H316*Input!$H259*10</f>
        <v>0</v>
      </c>
      <c r="J113" s="34" t="str">
        <f>IF(B113&lt;&gt;0,0.1*D113/B113,"")</f>
        <v/>
      </c>
      <c r="K113" s="43" t="str">
        <f>IF(C113&lt;&gt;0,D113/C113,"")</f>
        <v/>
      </c>
      <c r="L113" s="34">
        <f>IF(B113&lt;&gt;0,0.1*E113/B113,0)</f>
        <v>0</v>
      </c>
      <c r="M113" s="39">
        <f>Adjust!B316*Input!$B259*10</f>
        <v>0</v>
      </c>
      <c r="N113" s="39">
        <f>Adjust!C316*Input!$C259*10</f>
        <v>0</v>
      </c>
      <c r="O113" s="39">
        <f>Adjust!D316*Input!$D259*10</f>
        <v>0</v>
      </c>
      <c r="P113" s="36" t="str">
        <f>IF(E113&lt;&gt;0,$M113/E113,"")</f>
        <v/>
      </c>
      <c r="Q113" s="36" t="str">
        <f>IF(E113&lt;&gt;0,$N113/E113,"")</f>
        <v/>
      </c>
      <c r="R113" s="36" t="str">
        <f>IF(E113&lt;&gt;0,$O113/E113,"")</f>
        <v/>
      </c>
      <c r="S113" s="36" t="str">
        <f>IF(D113&lt;&gt;0,$F113/D113,"")</f>
        <v/>
      </c>
      <c r="T113" s="36" t="str">
        <f>IF(D113&lt;&gt;0,$G113/D113,"")</f>
        <v/>
      </c>
      <c r="U113" s="36" t="str">
        <f>IF(D113&lt;&gt;0,$H113/D113,"")</f>
        <v/>
      </c>
      <c r="V113" s="36" t="str">
        <f>IF(D113&lt;&gt;0,$I113/D113,"")</f>
        <v/>
      </c>
      <c r="W113" s="17"/>
    </row>
    <row r="114" spans="1:23">
      <c r="A114" s="27" t="s">
        <v>292</v>
      </c>
      <c r="W114" s="17"/>
    </row>
    <row r="115" spans="1:23">
      <c r="A115" s="4" t="s">
        <v>232</v>
      </c>
      <c r="B115" s="39">
        <f>Input!B261+Input!C261+Input!D261</f>
        <v>215855.29517257059</v>
      </c>
      <c r="C115" s="41">
        <f>Input!E261</f>
        <v>25</v>
      </c>
      <c r="D115" s="39">
        <f>0.01*Input!F$60*(Adjust!$E318*Input!E261+Adjust!$F318*Input!F261+Adjust!$G318*Input!G261)+10*(Adjust!$B318*Input!B261+Adjust!$C318*Input!C261+Adjust!$D318*Input!D261+Adjust!$H318*Input!H261)</f>
        <v>8181403.6745397048</v>
      </c>
      <c r="E115" s="39">
        <f>10*(Adjust!$B318*Input!B261+Adjust!$C318*Input!C261+Adjust!$D318*Input!D261)</f>
        <v>8181403.6745397048</v>
      </c>
      <c r="F115" s="39">
        <f>Adjust!E318*Input!$F$60*Input!$E261/100</f>
        <v>0</v>
      </c>
      <c r="G115" s="39">
        <f>Adjust!F318*Input!$F$60*Input!$F261/100</f>
        <v>0</v>
      </c>
      <c r="H115" s="39">
        <f>Adjust!G318*Input!$F$60*Input!$G261/100</f>
        <v>0</v>
      </c>
      <c r="I115" s="39">
        <f>Adjust!H318*Input!$H261*10</f>
        <v>0</v>
      </c>
      <c r="J115" s="34">
        <f>IF(B115&lt;&gt;0,0.1*D115/B115,"")</f>
        <v>3.7902260715906411</v>
      </c>
      <c r="K115" s="43">
        <f>IF(C115&lt;&gt;0,D115/C115,"")</f>
        <v>327256.14698158822</v>
      </c>
      <c r="L115" s="34">
        <f>IF(B115&lt;&gt;0,0.1*E115/B115,0)</f>
        <v>3.7902260715906411</v>
      </c>
      <c r="M115" s="39">
        <f>Adjust!B318*Input!$B261*10</f>
        <v>2833437.5469129882</v>
      </c>
      <c r="N115" s="39">
        <f>Adjust!C318*Input!$C261*10</f>
        <v>997821.26250401349</v>
      </c>
      <c r="O115" s="39">
        <f>Adjust!D318*Input!$D261*10</f>
        <v>4350144.865122702</v>
      </c>
      <c r="P115" s="36">
        <f>IF(E115&lt;&gt;0,$M115/E115,"")</f>
        <v>0.34632657910898162</v>
      </c>
      <c r="Q115" s="36">
        <f>IF(E115&lt;&gt;0,$N115/E115,"")</f>
        <v>0.12196211092837343</v>
      </c>
      <c r="R115" s="36">
        <f>IF(E115&lt;&gt;0,$O115/E115,"")</f>
        <v>0.53171130996264482</v>
      </c>
      <c r="S115" s="36">
        <f>IF(D115&lt;&gt;0,$F115/D115,"")</f>
        <v>0</v>
      </c>
      <c r="T115" s="36">
        <f>IF(D115&lt;&gt;0,$G115/D115,"")</f>
        <v>0</v>
      </c>
      <c r="U115" s="36">
        <f>IF(D115&lt;&gt;0,$H115/D115,"")</f>
        <v>0</v>
      </c>
      <c r="V115" s="36">
        <f>IF(D115&lt;&gt;0,$I115/D115,"")</f>
        <v>0</v>
      </c>
      <c r="W115" s="17"/>
    </row>
    <row r="116" spans="1:23">
      <c r="A116" s="4" t="s">
        <v>293</v>
      </c>
      <c r="B116" s="39">
        <f>Input!B262+Input!C262+Input!D262</f>
        <v>0</v>
      </c>
      <c r="C116" s="41">
        <f>Input!E262</f>
        <v>0</v>
      </c>
      <c r="D116" s="39">
        <f>0.01*Input!F$60*(Adjust!$E319*Input!E262+Adjust!$F319*Input!F262+Adjust!$G319*Input!G262)+10*(Adjust!$B319*Input!B262+Adjust!$C319*Input!C262+Adjust!$D319*Input!D262+Adjust!$H319*Input!H262)</f>
        <v>0</v>
      </c>
      <c r="E116" s="39">
        <f>10*(Adjust!$B319*Input!B262+Adjust!$C319*Input!C262+Adjust!$D319*Input!D262)</f>
        <v>0</v>
      </c>
      <c r="F116" s="39">
        <f>Adjust!E319*Input!$F$60*Input!$E262/100</f>
        <v>0</v>
      </c>
      <c r="G116" s="39">
        <f>Adjust!F319*Input!$F$60*Input!$F262/100</f>
        <v>0</v>
      </c>
      <c r="H116" s="39">
        <f>Adjust!G319*Input!$F$60*Input!$G262/100</f>
        <v>0</v>
      </c>
      <c r="I116" s="39">
        <f>Adjust!H319*Input!$H262*10</f>
        <v>0</v>
      </c>
      <c r="J116" s="34" t="str">
        <f>IF(B116&lt;&gt;0,0.1*D116/B116,"")</f>
        <v/>
      </c>
      <c r="K116" s="43" t="str">
        <f>IF(C116&lt;&gt;0,D116/C116,"")</f>
        <v/>
      </c>
      <c r="L116" s="34">
        <f>IF(B116&lt;&gt;0,0.1*E116/B116,0)</f>
        <v>0</v>
      </c>
      <c r="M116" s="39">
        <f>Adjust!B319*Input!$B262*10</f>
        <v>0</v>
      </c>
      <c r="N116" s="39">
        <f>Adjust!C319*Input!$C262*10</f>
        <v>0</v>
      </c>
      <c r="O116" s="39">
        <f>Adjust!D319*Input!$D262*10</f>
        <v>0</v>
      </c>
      <c r="P116" s="36" t="str">
        <f>IF(E116&lt;&gt;0,$M116/E116,"")</f>
        <v/>
      </c>
      <c r="Q116" s="36" t="str">
        <f>IF(E116&lt;&gt;0,$N116/E116,"")</f>
        <v/>
      </c>
      <c r="R116" s="36" t="str">
        <f>IF(E116&lt;&gt;0,$O116/E116,"")</f>
        <v/>
      </c>
      <c r="S116" s="36" t="str">
        <f>IF(D116&lt;&gt;0,$F116/D116,"")</f>
        <v/>
      </c>
      <c r="T116" s="36" t="str">
        <f>IF(D116&lt;&gt;0,$G116/D116,"")</f>
        <v/>
      </c>
      <c r="U116" s="36" t="str">
        <f>IF(D116&lt;&gt;0,$H116/D116,"")</f>
        <v/>
      </c>
      <c r="V116" s="36" t="str">
        <f>IF(D116&lt;&gt;0,$I116/D116,"")</f>
        <v/>
      </c>
      <c r="W116" s="17"/>
    </row>
    <row r="117" spans="1:23">
      <c r="A117" s="4" t="s">
        <v>294</v>
      </c>
      <c r="B117" s="39">
        <f>Input!B263+Input!C263+Input!D263</f>
        <v>0</v>
      </c>
      <c r="C117" s="41">
        <f>Input!E263</f>
        <v>0</v>
      </c>
      <c r="D117" s="39">
        <f>0.01*Input!F$60*(Adjust!$E320*Input!E263+Adjust!$F320*Input!F263+Adjust!$G320*Input!G263)+10*(Adjust!$B320*Input!B263+Adjust!$C320*Input!C263+Adjust!$D320*Input!D263+Adjust!$H320*Input!H263)</f>
        <v>0</v>
      </c>
      <c r="E117" s="39">
        <f>10*(Adjust!$B320*Input!B263+Adjust!$C320*Input!C263+Adjust!$D320*Input!D263)</f>
        <v>0</v>
      </c>
      <c r="F117" s="39">
        <f>Adjust!E320*Input!$F$60*Input!$E263/100</f>
        <v>0</v>
      </c>
      <c r="G117" s="39">
        <f>Adjust!F320*Input!$F$60*Input!$F263/100</f>
        <v>0</v>
      </c>
      <c r="H117" s="39">
        <f>Adjust!G320*Input!$F$60*Input!$G263/100</f>
        <v>0</v>
      </c>
      <c r="I117" s="39">
        <f>Adjust!H320*Input!$H263*10</f>
        <v>0</v>
      </c>
      <c r="J117" s="34" t="str">
        <f>IF(B117&lt;&gt;0,0.1*D117/B117,"")</f>
        <v/>
      </c>
      <c r="K117" s="43" t="str">
        <f>IF(C117&lt;&gt;0,D117/C117,"")</f>
        <v/>
      </c>
      <c r="L117" s="34">
        <f>IF(B117&lt;&gt;0,0.1*E117/B117,0)</f>
        <v>0</v>
      </c>
      <c r="M117" s="39">
        <f>Adjust!B320*Input!$B263*10</f>
        <v>0</v>
      </c>
      <c r="N117" s="39">
        <f>Adjust!C320*Input!$C263*10</f>
        <v>0</v>
      </c>
      <c r="O117" s="39">
        <f>Adjust!D320*Input!$D263*10</f>
        <v>0</v>
      </c>
      <c r="P117" s="36" t="str">
        <f>IF(E117&lt;&gt;0,$M117/E117,"")</f>
        <v/>
      </c>
      <c r="Q117" s="36" t="str">
        <f>IF(E117&lt;&gt;0,$N117/E117,"")</f>
        <v/>
      </c>
      <c r="R117" s="36" t="str">
        <f>IF(E117&lt;&gt;0,$O117/E117,"")</f>
        <v/>
      </c>
      <c r="S117" s="36" t="str">
        <f>IF(D117&lt;&gt;0,$F117/D117,"")</f>
        <v/>
      </c>
      <c r="T117" s="36" t="str">
        <f>IF(D117&lt;&gt;0,$G117/D117,"")</f>
        <v/>
      </c>
      <c r="U117" s="36" t="str">
        <f>IF(D117&lt;&gt;0,$H117/D117,"")</f>
        <v/>
      </c>
      <c r="V117" s="36" t="str">
        <f>IF(D117&lt;&gt;0,$I117/D117,"")</f>
        <v/>
      </c>
      <c r="W117" s="17"/>
    </row>
    <row r="118" spans="1:23">
      <c r="A118" s="27" t="s">
        <v>295</v>
      </c>
      <c r="W118" s="17"/>
    </row>
    <row r="119" spans="1:23">
      <c r="A119" s="4" t="s">
        <v>190</v>
      </c>
      <c r="B119" s="39">
        <f>Input!B265+Input!C265+Input!D265</f>
        <v>3259.869342874948</v>
      </c>
      <c r="C119" s="41">
        <f>Input!E265</f>
        <v>270.06557377049182</v>
      </c>
      <c r="D119" s="39">
        <f>0.01*Input!F$60*(Adjust!$E322*Input!E265+Adjust!$F322*Input!F265+Adjust!$G322*Input!G265)+10*(Adjust!$B322*Input!B265+Adjust!$C322*Input!C265+Adjust!$D322*Input!D265+Adjust!$H322*Input!H265)</f>
        <v>-31848.923479888239</v>
      </c>
      <c r="E119" s="39">
        <f>10*(Adjust!$B322*Input!B265+Adjust!$C322*Input!C265+Adjust!$D322*Input!D265)</f>
        <v>-31848.923479888239</v>
      </c>
      <c r="F119" s="39">
        <f>Adjust!E322*Input!$F$60*Input!$E265/100</f>
        <v>0</v>
      </c>
      <c r="G119" s="39">
        <f>Adjust!F322*Input!$F$60*Input!$F265/100</f>
        <v>0</v>
      </c>
      <c r="H119" s="39">
        <f>Adjust!G322*Input!$F$60*Input!$G265/100</f>
        <v>0</v>
      </c>
      <c r="I119" s="39">
        <f>Adjust!H322*Input!$H265*10</f>
        <v>0</v>
      </c>
      <c r="J119" s="34">
        <f>IF(B119&lt;&gt;0,0.1*D119/B119,"")</f>
        <v>-0.97699999999999998</v>
      </c>
      <c r="K119" s="43">
        <f>IF(C119&lt;&gt;0,D119/C119,"")</f>
        <v>-117.93033460441802</v>
      </c>
      <c r="L119" s="34">
        <f>IF(B119&lt;&gt;0,0.1*E119/B119,0)</f>
        <v>-0.97699999999999998</v>
      </c>
      <c r="M119" s="39">
        <f>Adjust!B322*Input!$B265*10</f>
        <v>-31848.923479888239</v>
      </c>
      <c r="N119" s="39">
        <f>Adjust!C322*Input!$C265*10</f>
        <v>0</v>
      </c>
      <c r="O119" s="39">
        <f>Adjust!D322*Input!$D265*10</f>
        <v>0</v>
      </c>
      <c r="P119" s="36">
        <f>IF(E119&lt;&gt;0,$M119/E119,"")</f>
        <v>1</v>
      </c>
      <c r="Q119" s="36">
        <f>IF(E119&lt;&gt;0,$N119/E119,"")</f>
        <v>0</v>
      </c>
      <c r="R119" s="36">
        <f>IF(E119&lt;&gt;0,$O119/E119,"")</f>
        <v>0</v>
      </c>
      <c r="S119" s="36">
        <f>IF(D119&lt;&gt;0,$F119/D119,"")</f>
        <v>0</v>
      </c>
      <c r="T119" s="36">
        <f>IF(D119&lt;&gt;0,$G119/D119,"")</f>
        <v>0</v>
      </c>
      <c r="U119" s="36">
        <f>IF(D119&lt;&gt;0,$H119/D119,"")</f>
        <v>0</v>
      </c>
      <c r="V119" s="36">
        <f>IF(D119&lt;&gt;0,$I119/D119,"")</f>
        <v>0</v>
      </c>
      <c r="W119" s="17"/>
    </row>
    <row r="120" spans="1:23">
      <c r="A120" s="4" t="s">
        <v>296</v>
      </c>
      <c r="B120" s="39">
        <f>Input!B266+Input!C266+Input!D266</f>
        <v>0</v>
      </c>
      <c r="C120" s="41">
        <f>Input!E266</f>
        <v>0</v>
      </c>
      <c r="D120" s="39">
        <f>0.01*Input!F$60*(Adjust!$E323*Input!E266+Adjust!$F323*Input!F266+Adjust!$G323*Input!G266)+10*(Adjust!$B323*Input!B266+Adjust!$C323*Input!C266+Adjust!$D323*Input!D266+Adjust!$H323*Input!H266)</f>
        <v>0</v>
      </c>
      <c r="E120" s="39">
        <f>10*(Adjust!$B323*Input!B266+Adjust!$C323*Input!C266+Adjust!$D323*Input!D266)</f>
        <v>0</v>
      </c>
      <c r="F120" s="39">
        <f>Adjust!E323*Input!$F$60*Input!$E266/100</f>
        <v>0</v>
      </c>
      <c r="G120" s="39">
        <f>Adjust!F323*Input!$F$60*Input!$F266/100</f>
        <v>0</v>
      </c>
      <c r="H120" s="39">
        <f>Adjust!G323*Input!$F$60*Input!$G266/100</f>
        <v>0</v>
      </c>
      <c r="I120" s="39">
        <f>Adjust!H323*Input!$H266*10</f>
        <v>0</v>
      </c>
      <c r="J120" s="34" t="str">
        <f>IF(B120&lt;&gt;0,0.1*D120/B120,"")</f>
        <v/>
      </c>
      <c r="K120" s="43" t="str">
        <f>IF(C120&lt;&gt;0,D120/C120,"")</f>
        <v/>
      </c>
      <c r="L120" s="34">
        <f>IF(B120&lt;&gt;0,0.1*E120/B120,0)</f>
        <v>0</v>
      </c>
      <c r="M120" s="39">
        <f>Adjust!B323*Input!$B266*10</f>
        <v>0</v>
      </c>
      <c r="N120" s="39">
        <f>Adjust!C323*Input!$C266*10</f>
        <v>0</v>
      </c>
      <c r="O120" s="39">
        <f>Adjust!D323*Input!$D266*10</f>
        <v>0</v>
      </c>
      <c r="P120" s="36" t="str">
        <f>IF(E120&lt;&gt;0,$M120/E120,"")</f>
        <v/>
      </c>
      <c r="Q120" s="36" t="str">
        <f>IF(E120&lt;&gt;0,$N120/E120,"")</f>
        <v/>
      </c>
      <c r="R120" s="36" t="str">
        <f>IF(E120&lt;&gt;0,$O120/E120,"")</f>
        <v/>
      </c>
      <c r="S120" s="36" t="str">
        <f>IF(D120&lt;&gt;0,$F120/D120,"")</f>
        <v/>
      </c>
      <c r="T120" s="36" t="str">
        <f>IF(D120&lt;&gt;0,$G120/D120,"")</f>
        <v/>
      </c>
      <c r="U120" s="36" t="str">
        <f>IF(D120&lt;&gt;0,$H120/D120,"")</f>
        <v/>
      </c>
      <c r="V120" s="36" t="str">
        <f>IF(D120&lt;&gt;0,$I120/D120,"")</f>
        <v/>
      </c>
      <c r="W120" s="17"/>
    </row>
    <row r="121" spans="1:23">
      <c r="A121" s="4" t="s">
        <v>297</v>
      </c>
      <c r="B121" s="39">
        <f>Input!B267+Input!C267+Input!D267</f>
        <v>0</v>
      </c>
      <c r="C121" s="41">
        <f>Input!E267</f>
        <v>0</v>
      </c>
      <c r="D121" s="39">
        <f>0.01*Input!F$60*(Adjust!$E324*Input!E267+Adjust!$F324*Input!F267+Adjust!$G324*Input!G267)+10*(Adjust!$B324*Input!B267+Adjust!$C324*Input!C267+Adjust!$D324*Input!D267+Adjust!$H324*Input!H267)</f>
        <v>0</v>
      </c>
      <c r="E121" s="39">
        <f>10*(Adjust!$B324*Input!B267+Adjust!$C324*Input!C267+Adjust!$D324*Input!D267)</f>
        <v>0</v>
      </c>
      <c r="F121" s="39">
        <f>Adjust!E324*Input!$F$60*Input!$E267/100</f>
        <v>0</v>
      </c>
      <c r="G121" s="39">
        <f>Adjust!F324*Input!$F$60*Input!$F267/100</f>
        <v>0</v>
      </c>
      <c r="H121" s="39">
        <f>Adjust!G324*Input!$F$60*Input!$G267/100</f>
        <v>0</v>
      </c>
      <c r="I121" s="39">
        <f>Adjust!H324*Input!$H267*10</f>
        <v>0</v>
      </c>
      <c r="J121" s="34" t="str">
        <f>IF(B121&lt;&gt;0,0.1*D121/B121,"")</f>
        <v/>
      </c>
      <c r="K121" s="43" t="str">
        <f>IF(C121&lt;&gt;0,D121/C121,"")</f>
        <v/>
      </c>
      <c r="L121" s="34">
        <f>IF(B121&lt;&gt;0,0.1*E121/B121,0)</f>
        <v>0</v>
      </c>
      <c r="M121" s="39">
        <f>Adjust!B324*Input!$B267*10</f>
        <v>0</v>
      </c>
      <c r="N121" s="39">
        <f>Adjust!C324*Input!$C267*10</f>
        <v>0</v>
      </c>
      <c r="O121" s="39">
        <f>Adjust!D324*Input!$D267*10</f>
        <v>0</v>
      </c>
      <c r="P121" s="36" t="str">
        <f>IF(E121&lt;&gt;0,$M121/E121,"")</f>
        <v/>
      </c>
      <c r="Q121" s="36" t="str">
        <f>IF(E121&lt;&gt;0,$N121/E121,"")</f>
        <v/>
      </c>
      <c r="R121" s="36" t="str">
        <f>IF(E121&lt;&gt;0,$O121/E121,"")</f>
        <v/>
      </c>
      <c r="S121" s="36" t="str">
        <f>IF(D121&lt;&gt;0,$F121/D121,"")</f>
        <v/>
      </c>
      <c r="T121" s="36" t="str">
        <f>IF(D121&lt;&gt;0,$G121/D121,"")</f>
        <v/>
      </c>
      <c r="U121" s="36" t="str">
        <f>IF(D121&lt;&gt;0,$H121/D121,"")</f>
        <v/>
      </c>
      <c r="V121" s="36" t="str">
        <f>IF(D121&lt;&gt;0,$I121/D121,"")</f>
        <v/>
      </c>
      <c r="W121" s="17"/>
    </row>
    <row r="122" spans="1:23">
      <c r="A122" s="27" t="s">
        <v>298</v>
      </c>
      <c r="W122" s="17"/>
    </row>
    <row r="123" spans="1:23">
      <c r="A123" s="4" t="s">
        <v>191</v>
      </c>
      <c r="B123" s="39">
        <f>Input!B269+Input!C269+Input!D269</f>
        <v>0.95981427317991785</v>
      </c>
      <c r="C123" s="41">
        <f>Input!E269</f>
        <v>0.01</v>
      </c>
      <c r="D123" s="39">
        <f>0.01*Input!F$60*(Adjust!$E326*Input!E269+Adjust!$F326*Input!F269+Adjust!$G326*Input!G269)+10*(Adjust!$B326*Input!B269+Adjust!$C326*Input!C269+Adjust!$D326*Input!D269+Adjust!$H326*Input!H269)</f>
        <v>-7.4961494735351586</v>
      </c>
      <c r="E123" s="39">
        <f>10*(Adjust!$B326*Input!B269+Adjust!$C326*Input!C269+Adjust!$D326*Input!D269)</f>
        <v>-7.4961494735351586</v>
      </c>
      <c r="F123" s="39">
        <f>Adjust!E326*Input!$F$60*Input!$E269/100</f>
        <v>0</v>
      </c>
      <c r="G123" s="39">
        <f>Adjust!F326*Input!$F$60*Input!$F269/100</f>
        <v>0</v>
      </c>
      <c r="H123" s="39">
        <f>Adjust!G326*Input!$F$60*Input!$G269/100</f>
        <v>0</v>
      </c>
      <c r="I123" s="39">
        <f>Adjust!H326*Input!$H269*10</f>
        <v>0</v>
      </c>
      <c r="J123" s="34">
        <f>IF(B123&lt;&gt;0,0.1*D123/B123,"")</f>
        <v>-0.78100000000000003</v>
      </c>
      <c r="K123" s="43">
        <f>IF(C123&lt;&gt;0,D123/C123,"")</f>
        <v>-749.61494735351584</v>
      </c>
      <c r="L123" s="34">
        <f>IF(B123&lt;&gt;0,0.1*E123/B123,0)</f>
        <v>-0.78100000000000003</v>
      </c>
      <c r="M123" s="39">
        <f>Adjust!B326*Input!$B269*10</f>
        <v>-7.4961494735351586</v>
      </c>
      <c r="N123" s="39">
        <f>Adjust!C326*Input!$C269*10</f>
        <v>0</v>
      </c>
      <c r="O123" s="39">
        <f>Adjust!D326*Input!$D269*10</f>
        <v>0</v>
      </c>
      <c r="P123" s="36">
        <f>IF(E123&lt;&gt;0,$M123/E123,"")</f>
        <v>1</v>
      </c>
      <c r="Q123" s="36">
        <f>IF(E123&lt;&gt;0,$N123/E123,"")</f>
        <v>0</v>
      </c>
      <c r="R123" s="36">
        <f>IF(E123&lt;&gt;0,$O123/E123,"")</f>
        <v>0</v>
      </c>
      <c r="S123" s="36">
        <f>IF(D123&lt;&gt;0,$F123/D123,"")</f>
        <v>0</v>
      </c>
      <c r="T123" s="36">
        <f>IF(D123&lt;&gt;0,$G123/D123,"")</f>
        <v>0</v>
      </c>
      <c r="U123" s="36">
        <f>IF(D123&lt;&gt;0,$H123/D123,"")</f>
        <v>0</v>
      </c>
      <c r="V123" s="36">
        <f>IF(D123&lt;&gt;0,$I123/D123,"")</f>
        <v>0</v>
      </c>
      <c r="W123" s="17"/>
    </row>
    <row r="124" spans="1:23">
      <c r="A124" s="4" t="s">
        <v>299</v>
      </c>
      <c r="B124" s="39">
        <f>Input!B270+Input!C270+Input!D270</f>
        <v>0</v>
      </c>
      <c r="C124" s="41">
        <f>Input!E270</f>
        <v>0</v>
      </c>
      <c r="D124" s="39">
        <f>0.01*Input!F$60*(Adjust!$E327*Input!E270+Adjust!$F327*Input!F270+Adjust!$G327*Input!G270)+10*(Adjust!$B327*Input!B270+Adjust!$C327*Input!C270+Adjust!$D327*Input!D270+Adjust!$H327*Input!H270)</f>
        <v>0</v>
      </c>
      <c r="E124" s="39">
        <f>10*(Adjust!$B327*Input!B270+Adjust!$C327*Input!C270+Adjust!$D327*Input!D270)</f>
        <v>0</v>
      </c>
      <c r="F124" s="39">
        <f>Adjust!E327*Input!$F$60*Input!$E270/100</f>
        <v>0</v>
      </c>
      <c r="G124" s="39">
        <f>Adjust!F327*Input!$F$60*Input!$F270/100</f>
        <v>0</v>
      </c>
      <c r="H124" s="39">
        <f>Adjust!G327*Input!$F$60*Input!$G270/100</f>
        <v>0</v>
      </c>
      <c r="I124" s="39">
        <f>Adjust!H327*Input!$H270*10</f>
        <v>0</v>
      </c>
      <c r="J124" s="34" t="str">
        <f>IF(B124&lt;&gt;0,0.1*D124/B124,"")</f>
        <v/>
      </c>
      <c r="K124" s="43" t="str">
        <f>IF(C124&lt;&gt;0,D124/C124,"")</f>
        <v/>
      </c>
      <c r="L124" s="34">
        <f>IF(B124&lt;&gt;0,0.1*E124/B124,0)</f>
        <v>0</v>
      </c>
      <c r="M124" s="39">
        <f>Adjust!B327*Input!$B270*10</f>
        <v>0</v>
      </c>
      <c r="N124" s="39">
        <f>Adjust!C327*Input!$C270*10</f>
        <v>0</v>
      </c>
      <c r="O124" s="39">
        <f>Adjust!D327*Input!$D270*10</f>
        <v>0</v>
      </c>
      <c r="P124" s="36" t="str">
        <f>IF(E124&lt;&gt;0,$M124/E124,"")</f>
        <v/>
      </c>
      <c r="Q124" s="36" t="str">
        <f>IF(E124&lt;&gt;0,$N124/E124,"")</f>
        <v/>
      </c>
      <c r="R124" s="36" t="str">
        <f>IF(E124&lt;&gt;0,$O124/E124,"")</f>
        <v/>
      </c>
      <c r="S124" s="36" t="str">
        <f>IF(D124&lt;&gt;0,$F124/D124,"")</f>
        <v/>
      </c>
      <c r="T124" s="36" t="str">
        <f>IF(D124&lt;&gt;0,$G124/D124,"")</f>
        <v/>
      </c>
      <c r="U124" s="36" t="str">
        <f>IF(D124&lt;&gt;0,$H124/D124,"")</f>
        <v/>
      </c>
      <c r="V124" s="36" t="str">
        <f>IF(D124&lt;&gt;0,$I124/D124,"")</f>
        <v/>
      </c>
      <c r="W124" s="17"/>
    </row>
    <row r="125" spans="1:23">
      <c r="A125" s="27" t="s">
        <v>300</v>
      </c>
      <c r="W125" s="17"/>
    </row>
    <row r="126" spans="1:23">
      <c r="A126" s="4" t="s">
        <v>192</v>
      </c>
      <c r="B126" s="39">
        <f>Input!B272+Input!C272+Input!D272</f>
        <v>20683.735342690296</v>
      </c>
      <c r="C126" s="41">
        <f>Input!E272</f>
        <v>215.49726775956285</v>
      </c>
      <c r="D126" s="39">
        <f>0.01*Input!F$60*(Adjust!$E329*Input!E272+Adjust!$F329*Input!F272+Adjust!$G329*Input!G272)+10*(Adjust!$B329*Input!B272+Adjust!$C329*Input!C272+Adjust!$D329*Input!D272+Adjust!$H329*Input!H272)</f>
        <v>-199795.97180208418</v>
      </c>
      <c r="E126" s="39">
        <f>10*(Adjust!$B329*Input!B272+Adjust!$C329*Input!C272+Adjust!$D329*Input!D272)</f>
        <v>-202080.09429808418</v>
      </c>
      <c r="F126" s="39">
        <f>Adjust!E329*Input!$F$60*Input!$E272/100</f>
        <v>0</v>
      </c>
      <c r="G126" s="39">
        <f>Adjust!F329*Input!$F$60*Input!$F272/100</f>
        <v>0</v>
      </c>
      <c r="H126" s="39">
        <f>Adjust!G329*Input!$F$60*Input!$G272/100</f>
        <v>0</v>
      </c>
      <c r="I126" s="39">
        <f>Adjust!H329*Input!$H272*10</f>
        <v>2284.1224960000004</v>
      </c>
      <c r="J126" s="34">
        <f>IF(B126&lt;&gt;0,0.1*D126/B126,"")</f>
        <v>-0.96595691489880142</v>
      </c>
      <c r="K126" s="43">
        <f>IF(C126&lt;&gt;0,D126/C126,"")</f>
        <v>-927.13923419670868</v>
      </c>
      <c r="L126" s="34">
        <f>IF(B126&lt;&gt;0,0.1*E126/B126,0)</f>
        <v>-0.97699999999999998</v>
      </c>
      <c r="M126" s="39">
        <f>Adjust!B329*Input!$B272*10</f>
        <v>-202080.09429808418</v>
      </c>
      <c r="N126" s="39">
        <f>Adjust!C329*Input!$C272*10</f>
        <v>0</v>
      </c>
      <c r="O126" s="39">
        <f>Adjust!D329*Input!$D272*10</f>
        <v>0</v>
      </c>
      <c r="P126" s="36">
        <f>IF(E126&lt;&gt;0,$M126/E126,"")</f>
        <v>1</v>
      </c>
      <c r="Q126" s="36">
        <f>IF(E126&lt;&gt;0,$N126/E126,"")</f>
        <v>0</v>
      </c>
      <c r="R126" s="36">
        <f>IF(E126&lt;&gt;0,$O126/E126,"")</f>
        <v>0</v>
      </c>
      <c r="S126" s="36">
        <f>IF(D126&lt;&gt;0,$F126/D126,"")</f>
        <v>0</v>
      </c>
      <c r="T126" s="36">
        <f>IF(D126&lt;&gt;0,$G126/D126,"")</f>
        <v>0</v>
      </c>
      <c r="U126" s="36">
        <f>IF(D126&lt;&gt;0,$H126/D126,"")</f>
        <v>0</v>
      </c>
      <c r="V126" s="36">
        <f>IF(D126&lt;&gt;0,$I126/D126,"")</f>
        <v>-1.1432275012344235E-2</v>
      </c>
      <c r="W126" s="17"/>
    </row>
    <row r="127" spans="1:23">
      <c r="A127" s="4" t="s">
        <v>301</v>
      </c>
      <c r="B127" s="39">
        <f>Input!B273+Input!C273+Input!D273</f>
        <v>0</v>
      </c>
      <c r="C127" s="41">
        <f>Input!E273</f>
        <v>0</v>
      </c>
      <c r="D127" s="39">
        <f>0.01*Input!F$60*(Adjust!$E330*Input!E273+Adjust!$F330*Input!F273+Adjust!$G330*Input!G273)+10*(Adjust!$B330*Input!B273+Adjust!$C330*Input!C273+Adjust!$D330*Input!D273+Adjust!$H330*Input!H273)</f>
        <v>0</v>
      </c>
      <c r="E127" s="39">
        <f>10*(Adjust!$B330*Input!B273+Adjust!$C330*Input!C273+Adjust!$D330*Input!D273)</f>
        <v>0</v>
      </c>
      <c r="F127" s="39">
        <f>Adjust!E330*Input!$F$60*Input!$E273/100</f>
        <v>0</v>
      </c>
      <c r="G127" s="39">
        <f>Adjust!F330*Input!$F$60*Input!$F273/100</f>
        <v>0</v>
      </c>
      <c r="H127" s="39">
        <f>Adjust!G330*Input!$F$60*Input!$G273/100</f>
        <v>0</v>
      </c>
      <c r="I127" s="39">
        <f>Adjust!H330*Input!$H273*10</f>
        <v>0</v>
      </c>
      <c r="J127" s="34" t="str">
        <f>IF(B127&lt;&gt;0,0.1*D127/B127,"")</f>
        <v/>
      </c>
      <c r="K127" s="43" t="str">
        <f>IF(C127&lt;&gt;0,D127/C127,"")</f>
        <v/>
      </c>
      <c r="L127" s="34">
        <f>IF(B127&lt;&gt;0,0.1*E127/B127,0)</f>
        <v>0</v>
      </c>
      <c r="M127" s="39">
        <f>Adjust!B330*Input!$B273*10</f>
        <v>0</v>
      </c>
      <c r="N127" s="39">
        <f>Adjust!C330*Input!$C273*10</f>
        <v>0</v>
      </c>
      <c r="O127" s="39">
        <f>Adjust!D330*Input!$D273*10</f>
        <v>0</v>
      </c>
      <c r="P127" s="36" t="str">
        <f>IF(E127&lt;&gt;0,$M127/E127,"")</f>
        <v/>
      </c>
      <c r="Q127" s="36" t="str">
        <f>IF(E127&lt;&gt;0,$N127/E127,"")</f>
        <v/>
      </c>
      <c r="R127" s="36" t="str">
        <f>IF(E127&lt;&gt;0,$O127/E127,"")</f>
        <v/>
      </c>
      <c r="S127" s="36" t="str">
        <f>IF(D127&lt;&gt;0,$F127/D127,"")</f>
        <v/>
      </c>
      <c r="T127" s="36" t="str">
        <f>IF(D127&lt;&gt;0,$G127/D127,"")</f>
        <v/>
      </c>
      <c r="U127" s="36" t="str">
        <f>IF(D127&lt;&gt;0,$H127/D127,"")</f>
        <v/>
      </c>
      <c r="V127" s="36" t="str">
        <f>IF(D127&lt;&gt;0,$I127/D127,"")</f>
        <v/>
      </c>
      <c r="W127" s="17"/>
    </row>
    <row r="128" spans="1:23">
      <c r="A128" s="4" t="s">
        <v>302</v>
      </c>
      <c r="B128" s="39">
        <f>Input!B274+Input!C274+Input!D274</f>
        <v>0</v>
      </c>
      <c r="C128" s="41">
        <f>Input!E274</f>
        <v>0</v>
      </c>
      <c r="D128" s="39">
        <f>0.01*Input!F$60*(Adjust!$E331*Input!E274+Adjust!$F331*Input!F274+Adjust!$G331*Input!G274)+10*(Adjust!$B331*Input!B274+Adjust!$C331*Input!C274+Adjust!$D331*Input!D274+Adjust!$H331*Input!H274)</f>
        <v>0</v>
      </c>
      <c r="E128" s="39">
        <f>10*(Adjust!$B331*Input!B274+Adjust!$C331*Input!C274+Adjust!$D331*Input!D274)</f>
        <v>0</v>
      </c>
      <c r="F128" s="39">
        <f>Adjust!E331*Input!$F$60*Input!$E274/100</f>
        <v>0</v>
      </c>
      <c r="G128" s="39">
        <f>Adjust!F331*Input!$F$60*Input!$F274/100</f>
        <v>0</v>
      </c>
      <c r="H128" s="39">
        <f>Adjust!G331*Input!$F$60*Input!$G274/100</f>
        <v>0</v>
      </c>
      <c r="I128" s="39">
        <f>Adjust!H331*Input!$H274*10</f>
        <v>0</v>
      </c>
      <c r="J128" s="34" t="str">
        <f>IF(B128&lt;&gt;0,0.1*D128/B128,"")</f>
        <v/>
      </c>
      <c r="K128" s="43" t="str">
        <f>IF(C128&lt;&gt;0,D128/C128,"")</f>
        <v/>
      </c>
      <c r="L128" s="34">
        <f>IF(B128&lt;&gt;0,0.1*E128/B128,0)</f>
        <v>0</v>
      </c>
      <c r="M128" s="39">
        <f>Adjust!B331*Input!$B274*10</f>
        <v>0</v>
      </c>
      <c r="N128" s="39">
        <f>Adjust!C331*Input!$C274*10</f>
        <v>0</v>
      </c>
      <c r="O128" s="39">
        <f>Adjust!D331*Input!$D274*10</f>
        <v>0</v>
      </c>
      <c r="P128" s="36" t="str">
        <f>IF(E128&lt;&gt;0,$M128/E128,"")</f>
        <v/>
      </c>
      <c r="Q128" s="36" t="str">
        <f>IF(E128&lt;&gt;0,$N128/E128,"")</f>
        <v/>
      </c>
      <c r="R128" s="36" t="str">
        <f>IF(E128&lt;&gt;0,$O128/E128,"")</f>
        <v/>
      </c>
      <c r="S128" s="36" t="str">
        <f>IF(D128&lt;&gt;0,$F128/D128,"")</f>
        <v/>
      </c>
      <c r="T128" s="36" t="str">
        <f>IF(D128&lt;&gt;0,$G128/D128,"")</f>
        <v/>
      </c>
      <c r="U128" s="36" t="str">
        <f>IF(D128&lt;&gt;0,$H128/D128,"")</f>
        <v/>
      </c>
      <c r="V128" s="36" t="str">
        <f>IF(D128&lt;&gt;0,$I128/D128,"")</f>
        <v/>
      </c>
      <c r="W128" s="17"/>
    </row>
    <row r="129" spans="1:23">
      <c r="A129" s="27" t="s">
        <v>303</v>
      </c>
      <c r="W129" s="17"/>
    </row>
    <row r="130" spans="1:23">
      <c r="A130" s="4" t="s">
        <v>193</v>
      </c>
      <c r="B130" s="39">
        <f>Input!B276+Input!C276+Input!D276</f>
        <v>0</v>
      </c>
      <c r="C130" s="41">
        <f>Input!E276</f>
        <v>0</v>
      </c>
      <c r="D130" s="39">
        <f>0.01*Input!F$60*(Adjust!$E333*Input!E276+Adjust!$F333*Input!F276+Adjust!$G333*Input!G276)+10*(Adjust!$B333*Input!B276+Adjust!$C333*Input!C276+Adjust!$D333*Input!D276+Adjust!$H333*Input!H276)</f>
        <v>0</v>
      </c>
      <c r="E130" s="39">
        <f>10*(Adjust!$B333*Input!B276+Adjust!$C333*Input!C276+Adjust!$D333*Input!D276)</f>
        <v>0</v>
      </c>
      <c r="F130" s="39">
        <f>Adjust!E333*Input!$F$60*Input!$E276/100</f>
        <v>0</v>
      </c>
      <c r="G130" s="39">
        <f>Adjust!F333*Input!$F$60*Input!$F276/100</f>
        <v>0</v>
      </c>
      <c r="H130" s="39">
        <f>Adjust!G333*Input!$F$60*Input!$G276/100</f>
        <v>0</v>
      </c>
      <c r="I130" s="39">
        <f>Adjust!H333*Input!$H276*10</f>
        <v>0</v>
      </c>
      <c r="J130" s="34" t="str">
        <f>IF(B130&lt;&gt;0,0.1*D130/B130,"")</f>
        <v/>
      </c>
      <c r="K130" s="43" t="str">
        <f>IF(C130&lt;&gt;0,D130/C130,"")</f>
        <v/>
      </c>
      <c r="L130" s="34">
        <f>IF(B130&lt;&gt;0,0.1*E130/B130,0)</f>
        <v>0</v>
      </c>
      <c r="M130" s="39">
        <f>Adjust!B333*Input!$B276*10</f>
        <v>0</v>
      </c>
      <c r="N130" s="39">
        <f>Adjust!C333*Input!$C276*10</f>
        <v>0</v>
      </c>
      <c r="O130" s="39">
        <f>Adjust!D333*Input!$D276*10</f>
        <v>0</v>
      </c>
      <c r="P130" s="36" t="str">
        <f>IF(E130&lt;&gt;0,$M130/E130,"")</f>
        <v/>
      </c>
      <c r="Q130" s="36" t="str">
        <f>IF(E130&lt;&gt;0,$N130/E130,"")</f>
        <v/>
      </c>
      <c r="R130" s="36" t="str">
        <f>IF(E130&lt;&gt;0,$O130/E130,"")</f>
        <v/>
      </c>
      <c r="S130" s="36" t="str">
        <f>IF(D130&lt;&gt;0,$F130/D130,"")</f>
        <v/>
      </c>
      <c r="T130" s="36" t="str">
        <f>IF(D130&lt;&gt;0,$G130/D130,"")</f>
        <v/>
      </c>
      <c r="U130" s="36" t="str">
        <f>IF(D130&lt;&gt;0,$H130/D130,"")</f>
        <v/>
      </c>
      <c r="V130" s="36" t="str">
        <f>IF(D130&lt;&gt;0,$I130/D130,"")</f>
        <v/>
      </c>
      <c r="W130" s="17"/>
    </row>
    <row r="131" spans="1:23">
      <c r="A131" s="27" t="s">
        <v>304</v>
      </c>
      <c r="W131" s="17"/>
    </row>
    <row r="132" spans="1:23">
      <c r="A132" s="4" t="s">
        <v>194</v>
      </c>
      <c r="B132" s="39">
        <f>Input!B278+Input!C278+Input!D278</f>
        <v>5998.4385976608191</v>
      </c>
      <c r="C132" s="41">
        <f>Input!E278</f>
        <v>20</v>
      </c>
      <c r="D132" s="39">
        <f>0.01*Input!F$60*(Adjust!$E335*Input!E278+Adjust!$F335*Input!F278+Adjust!$G335*Input!G278)+10*(Adjust!$B335*Input!B278+Adjust!$C335*Input!C278+Adjust!$D335*Input!D278+Adjust!$H335*Input!H278)</f>
        <v>-54993.829418135341</v>
      </c>
      <c r="E132" s="39">
        <f>10*(Adjust!$B335*Input!B278+Adjust!$C335*Input!C278+Adjust!$D335*Input!D278)</f>
        <v>-56055.078058135339</v>
      </c>
      <c r="F132" s="39">
        <f>Adjust!E335*Input!$F$60*Input!$E278/100</f>
        <v>0</v>
      </c>
      <c r="G132" s="39">
        <f>Adjust!F335*Input!$F$60*Input!$F278/100</f>
        <v>0</v>
      </c>
      <c r="H132" s="39">
        <f>Adjust!G335*Input!$F$60*Input!$G278/100</f>
        <v>0</v>
      </c>
      <c r="I132" s="39">
        <f>Adjust!H335*Input!$H278*10</f>
        <v>1061.24864</v>
      </c>
      <c r="J132" s="34">
        <f>IF(B132&lt;&gt;0,0.1*D132/B132,"")</f>
        <v>-0.91680240653927858</v>
      </c>
      <c r="K132" s="43">
        <f>IF(C132&lt;&gt;0,D132/C132,"")</f>
        <v>-2749.6914709067669</v>
      </c>
      <c r="L132" s="34">
        <f>IF(B132&lt;&gt;0,0.1*E132/B132,0)</f>
        <v>-0.93449448794882817</v>
      </c>
      <c r="M132" s="39">
        <f>Adjust!B335*Input!$B278*10</f>
        <v>-33747.855161010448</v>
      </c>
      <c r="N132" s="39">
        <f>Adjust!C335*Input!$C278*10</f>
        <v>-17648.132746987052</v>
      </c>
      <c r="O132" s="39">
        <f>Adjust!D335*Input!$D278*10</f>
        <v>-4659.0901501378457</v>
      </c>
      <c r="P132" s="36">
        <f>IF(E132&lt;&gt;0,$M132/E132,"")</f>
        <v>0.60204813426555526</v>
      </c>
      <c r="Q132" s="36">
        <f>IF(E132&lt;&gt;0,$N132/E132,"")</f>
        <v>0.31483557526552686</v>
      </c>
      <c r="R132" s="36">
        <f>IF(E132&lt;&gt;0,$O132/E132,"")</f>
        <v>8.3116290468917942E-2</v>
      </c>
      <c r="S132" s="36">
        <f>IF(D132&lt;&gt;0,$F132/D132,"")</f>
        <v>0</v>
      </c>
      <c r="T132" s="36">
        <f>IF(D132&lt;&gt;0,$G132/D132,"")</f>
        <v>0</v>
      </c>
      <c r="U132" s="36">
        <f>IF(D132&lt;&gt;0,$H132/D132,"")</f>
        <v>0</v>
      </c>
      <c r="V132" s="36">
        <f>IF(D132&lt;&gt;0,$I132/D132,"")</f>
        <v>-1.9297594861616085E-2</v>
      </c>
      <c r="W132" s="17"/>
    </row>
    <row r="133" spans="1:23">
      <c r="A133" s="4" t="s">
        <v>305</v>
      </c>
      <c r="B133" s="39">
        <f>Input!B279+Input!C279+Input!D279</f>
        <v>1.5841071428571429</v>
      </c>
      <c r="C133" s="41">
        <f>Input!E279</f>
        <v>2</v>
      </c>
      <c r="D133" s="39">
        <f>0.01*Input!F$60*(Adjust!$E336*Input!E279+Adjust!$F336*Input!F279+Adjust!$G336*Input!G279)+10*(Adjust!$B336*Input!B279+Adjust!$C336*Input!C279+Adjust!$D336*Input!D279+Adjust!$H336*Input!H279)</f>
        <v>-2.4772317857142854</v>
      </c>
      <c r="E133" s="39">
        <f>10*(Adjust!$B336*Input!B279+Adjust!$C336*Input!C279+Adjust!$D336*Input!D279)</f>
        <v>-3.7047517857142855</v>
      </c>
      <c r="F133" s="39">
        <f>Adjust!E336*Input!$F$60*Input!$E279/100</f>
        <v>0</v>
      </c>
      <c r="G133" s="39">
        <f>Adjust!F336*Input!$F$60*Input!$F279/100</f>
        <v>0</v>
      </c>
      <c r="H133" s="39">
        <f>Adjust!G336*Input!$F$60*Input!$G279/100</f>
        <v>0</v>
      </c>
      <c r="I133" s="39">
        <f>Adjust!H336*Input!$H279*10</f>
        <v>1.2275199999999999</v>
      </c>
      <c r="J133" s="34">
        <f>IF(B133&lt;&gt;0,0.1*D133/B133,"")</f>
        <v>-0.15638031788975312</v>
      </c>
      <c r="K133" s="43">
        <f>IF(C133&lt;&gt;0,D133/C133,"")</f>
        <v>-1.2386158928571427</v>
      </c>
      <c r="L133" s="34">
        <f>IF(B133&lt;&gt;0,0.1*E133/B133,0)</f>
        <v>-0.23387002592717845</v>
      </c>
      <c r="M133" s="39">
        <f>Adjust!B336*Input!$B279*10</f>
        <v>0</v>
      </c>
      <c r="N133" s="39">
        <f>Adjust!C336*Input!$C279*10</f>
        <v>-1.99369</v>
      </c>
      <c r="O133" s="39">
        <f>Adjust!D336*Input!$D279*10</f>
        <v>-1.7110617857142856</v>
      </c>
      <c r="P133" s="36">
        <f>IF(E133&lt;&gt;0,$M133/E133,"")</f>
        <v>0</v>
      </c>
      <c r="Q133" s="36">
        <f>IF(E133&lt;&gt;0,$N133/E133,"")</f>
        <v>0.53814401485351104</v>
      </c>
      <c r="R133" s="36">
        <f>IF(E133&lt;&gt;0,$O133/E133,"")</f>
        <v>0.46185598514648896</v>
      </c>
      <c r="S133" s="36">
        <f>IF(D133&lt;&gt;0,$F133/D133,"")</f>
        <v>0</v>
      </c>
      <c r="T133" s="36">
        <f>IF(D133&lt;&gt;0,$G133/D133,"")</f>
        <v>0</v>
      </c>
      <c r="U133" s="36">
        <f>IF(D133&lt;&gt;0,$H133/D133,"")</f>
        <v>0</v>
      </c>
      <c r="V133" s="36">
        <f>IF(D133&lt;&gt;0,$I133/D133,"")</f>
        <v>-0.49552084995795281</v>
      </c>
      <c r="W133" s="17"/>
    </row>
    <row r="134" spans="1:23">
      <c r="A134" s="4" t="s">
        <v>306</v>
      </c>
      <c r="B134" s="39">
        <f>Input!B280+Input!C280+Input!D280</f>
        <v>0</v>
      </c>
      <c r="C134" s="41">
        <f>Input!E280</f>
        <v>0</v>
      </c>
      <c r="D134" s="39">
        <f>0.01*Input!F$60*(Adjust!$E337*Input!E280+Adjust!$F337*Input!F280+Adjust!$G337*Input!G280)+10*(Adjust!$B337*Input!B280+Adjust!$C337*Input!C280+Adjust!$D337*Input!D280+Adjust!$H337*Input!H280)</f>
        <v>0</v>
      </c>
      <c r="E134" s="39">
        <f>10*(Adjust!$B337*Input!B280+Adjust!$C337*Input!C280+Adjust!$D337*Input!D280)</f>
        <v>0</v>
      </c>
      <c r="F134" s="39">
        <f>Adjust!E337*Input!$F$60*Input!$E280/100</f>
        <v>0</v>
      </c>
      <c r="G134" s="39">
        <f>Adjust!F337*Input!$F$60*Input!$F280/100</f>
        <v>0</v>
      </c>
      <c r="H134" s="39">
        <f>Adjust!G337*Input!$F$60*Input!$G280/100</f>
        <v>0</v>
      </c>
      <c r="I134" s="39">
        <f>Adjust!H337*Input!$H280*10</f>
        <v>0</v>
      </c>
      <c r="J134" s="34" t="str">
        <f>IF(B134&lt;&gt;0,0.1*D134/B134,"")</f>
        <v/>
      </c>
      <c r="K134" s="43" t="str">
        <f>IF(C134&lt;&gt;0,D134/C134,"")</f>
        <v/>
      </c>
      <c r="L134" s="34">
        <f>IF(B134&lt;&gt;0,0.1*E134/B134,0)</f>
        <v>0</v>
      </c>
      <c r="M134" s="39">
        <f>Adjust!B337*Input!$B280*10</f>
        <v>0</v>
      </c>
      <c r="N134" s="39">
        <f>Adjust!C337*Input!$C280*10</f>
        <v>0</v>
      </c>
      <c r="O134" s="39">
        <f>Adjust!D337*Input!$D280*10</f>
        <v>0</v>
      </c>
      <c r="P134" s="36" t="str">
        <f>IF(E134&lt;&gt;0,$M134/E134,"")</f>
        <v/>
      </c>
      <c r="Q134" s="36" t="str">
        <f>IF(E134&lt;&gt;0,$N134/E134,"")</f>
        <v/>
      </c>
      <c r="R134" s="36" t="str">
        <f>IF(E134&lt;&gt;0,$O134/E134,"")</f>
        <v/>
      </c>
      <c r="S134" s="36" t="str">
        <f>IF(D134&lt;&gt;0,$F134/D134,"")</f>
        <v/>
      </c>
      <c r="T134" s="36" t="str">
        <f>IF(D134&lt;&gt;0,$G134/D134,"")</f>
        <v/>
      </c>
      <c r="U134" s="36" t="str">
        <f>IF(D134&lt;&gt;0,$H134/D134,"")</f>
        <v/>
      </c>
      <c r="V134" s="36" t="str">
        <f>IF(D134&lt;&gt;0,$I134/D134,"")</f>
        <v/>
      </c>
      <c r="W134" s="17"/>
    </row>
    <row r="135" spans="1:23">
      <c r="A135" s="27" t="s">
        <v>307</v>
      </c>
      <c r="W135" s="17"/>
    </row>
    <row r="136" spans="1:23">
      <c r="A136" s="4" t="s">
        <v>195</v>
      </c>
      <c r="B136" s="39">
        <f>Input!B282+Input!C282+Input!D282</f>
        <v>0</v>
      </c>
      <c r="C136" s="41">
        <f>Input!E282</f>
        <v>0</v>
      </c>
      <c r="D136" s="39">
        <f>0.01*Input!F$60*(Adjust!$E339*Input!E282+Adjust!$F339*Input!F282+Adjust!$G339*Input!G282)+10*(Adjust!$B339*Input!B282+Adjust!$C339*Input!C282+Adjust!$D339*Input!D282+Adjust!$H339*Input!H282)</f>
        <v>0</v>
      </c>
      <c r="E136" s="39">
        <f>10*(Adjust!$B339*Input!B282+Adjust!$C339*Input!C282+Adjust!$D339*Input!D282)</f>
        <v>0</v>
      </c>
      <c r="F136" s="39">
        <f>Adjust!E339*Input!$F$60*Input!$E282/100</f>
        <v>0</v>
      </c>
      <c r="G136" s="39">
        <f>Adjust!F339*Input!$F$60*Input!$F282/100</f>
        <v>0</v>
      </c>
      <c r="H136" s="39">
        <f>Adjust!G339*Input!$F$60*Input!$G282/100</f>
        <v>0</v>
      </c>
      <c r="I136" s="39">
        <f>Adjust!H339*Input!$H282*10</f>
        <v>0</v>
      </c>
      <c r="J136" s="34" t="str">
        <f>IF(B136&lt;&gt;0,0.1*D136/B136,"")</f>
        <v/>
      </c>
      <c r="K136" s="43" t="str">
        <f>IF(C136&lt;&gt;0,D136/C136,"")</f>
        <v/>
      </c>
      <c r="L136" s="34">
        <f>IF(B136&lt;&gt;0,0.1*E136/B136,0)</f>
        <v>0</v>
      </c>
      <c r="M136" s="39">
        <f>Adjust!B339*Input!$B282*10</f>
        <v>0</v>
      </c>
      <c r="N136" s="39">
        <f>Adjust!C339*Input!$C282*10</f>
        <v>0</v>
      </c>
      <c r="O136" s="39">
        <f>Adjust!D339*Input!$D282*10</f>
        <v>0</v>
      </c>
      <c r="P136" s="36" t="str">
        <f>IF(E136&lt;&gt;0,$M136/E136,"")</f>
        <v/>
      </c>
      <c r="Q136" s="36" t="str">
        <f>IF(E136&lt;&gt;0,$N136/E136,"")</f>
        <v/>
      </c>
      <c r="R136" s="36" t="str">
        <f>IF(E136&lt;&gt;0,$O136/E136,"")</f>
        <v/>
      </c>
      <c r="S136" s="36" t="str">
        <f>IF(D136&lt;&gt;0,$F136/D136,"")</f>
        <v/>
      </c>
      <c r="T136" s="36" t="str">
        <f>IF(D136&lt;&gt;0,$G136/D136,"")</f>
        <v/>
      </c>
      <c r="U136" s="36" t="str">
        <f>IF(D136&lt;&gt;0,$H136/D136,"")</f>
        <v/>
      </c>
      <c r="V136" s="36" t="str">
        <f>IF(D136&lt;&gt;0,$I136/D136,"")</f>
        <v/>
      </c>
      <c r="W136" s="17"/>
    </row>
    <row r="137" spans="1:23">
      <c r="A137" s="27" t="s">
        <v>308</v>
      </c>
      <c r="W137" s="17"/>
    </row>
    <row r="138" spans="1:23">
      <c r="A138" s="4" t="s">
        <v>196</v>
      </c>
      <c r="B138" s="39">
        <f>Input!B284+Input!C284+Input!D284</f>
        <v>4182.5823952552873</v>
      </c>
      <c r="C138" s="41">
        <f>Input!E284</f>
        <v>50.497267759562838</v>
      </c>
      <c r="D138" s="39">
        <f>0.01*Input!F$60*(Adjust!$E341*Input!E284+Adjust!$F341*Input!F284+Adjust!$G341*Input!G284)+10*(Adjust!$B341*Input!B284+Adjust!$C341*Input!C284+Adjust!$D341*Input!D284+Adjust!$H341*Input!H284)</f>
        <v>-32421.518874943795</v>
      </c>
      <c r="E138" s="39">
        <f>10*(Adjust!$B341*Input!B284+Adjust!$C341*Input!C284+Adjust!$D341*Input!D284)</f>
        <v>-32665.968506943795</v>
      </c>
      <c r="F138" s="39">
        <f>Adjust!E341*Input!$F$60*Input!$E284/100</f>
        <v>0</v>
      </c>
      <c r="G138" s="39">
        <f>Adjust!F341*Input!$F$60*Input!$F284/100</f>
        <v>0</v>
      </c>
      <c r="H138" s="39">
        <f>Adjust!G341*Input!$F$60*Input!$G284/100</f>
        <v>0</v>
      </c>
      <c r="I138" s="39">
        <f>Adjust!H341*Input!$H284*10</f>
        <v>244.44963200000004</v>
      </c>
      <c r="J138" s="34">
        <f>IF(B138&lt;&gt;0,0.1*D138/B138,"")</f>
        <v>-0.77515553337867771</v>
      </c>
      <c r="K138" s="43">
        <f>IF(C138&lt;&gt;0,D138/C138,"")</f>
        <v>-642.04501180767397</v>
      </c>
      <c r="L138" s="34">
        <f>IF(B138&lt;&gt;0,0.1*E138/B138,0)</f>
        <v>-0.78100000000000003</v>
      </c>
      <c r="M138" s="39">
        <f>Adjust!B341*Input!$B284*10</f>
        <v>-32665.968506943795</v>
      </c>
      <c r="N138" s="39">
        <f>Adjust!C341*Input!$C284*10</f>
        <v>0</v>
      </c>
      <c r="O138" s="39">
        <f>Adjust!D341*Input!$D284*10</f>
        <v>0</v>
      </c>
      <c r="P138" s="36">
        <f>IF(E138&lt;&gt;0,$M138/E138,"")</f>
        <v>1</v>
      </c>
      <c r="Q138" s="36">
        <f>IF(E138&lt;&gt;0,$N138/E138,"")</f>
        <v>0</v>
      </c>
      <c r="R138" s="36">
        <f>IF(E138&lt;&gt;0,$O138/E138,"")</f>
        <v>0</v>
      </c>
      <c r="S138" s="36">
        <f>IF(D138&lt;&gt;0,$F138/D138,"")</f>
        <v>0</v>
      </c>
      <c r="T138" s="36">
        <f>IF(D138&lt;&gt;0,$G138/D138,"")</f>
        <v>0</v>
      </c>
      <c r="U138" s="36">
        <f>IF(D138&lt;&gt;0,$H138/D138,"")</f>
        <v>0</v>
      </c>
      <c r="V138" s="36">
        <f>IF(D138&lt;&gt;0,$I138/D138,"")</f>
        <v>-7.5397341174203028E-3</v>
      </c>
      <c r="W138" s="17"/>
    </row>
    <row r="139" spans="1:23">
      <c r="A139" s="4" t="s">
        <v>309</v>
      </c>
      <c r="B139" s="39">
        <f>Input!B285+Input!C285+Input!D285</f>
        <v>0</v>
      </c>
      <c r="C139" s="41">
        <f>Input!E285</f>
        <v>0</v>
      </c>
      <c r="D139" s="39">
        <f>0.01*Input!F$60*(Adjust!$E342*Input!E285+Adjust!$F342*Input!F285+Adjust!$G342*Input!G285)+10*(Adjust!$B342*Input!B285+Adjust!$C342*Input!C285+Adjust!$D342*Input!D285+Adjust!$H342*Input!H285)</f>
        <v>0</v>
      </c>
      <c r="E139" s="39">
        <f>10*(Adjust!$B342*Input!B285+Adjust!$C342*Input!C285+Adjust!$D342*Input!D285)</f>
        <v>0</v>
      </c>
      <c r="F139" s="39">
        <f>Adjust!E342*Input!$F$60*Input!$E285/100</f>
        <v>0</v>
      </c>
      <c r="G139" s="39">
        <f>Adjust!F342*Input!$F$60*Input!$F285/100</f>
        <v>0</v>
      </c>
      <c r="H139" s="39">
        <f>Adjust!G342*Input!$F$60*Input!$G285/100</f>
        <v>0</v>
      </c>
      <c r="I139" s="39">
        <f>Adjust!H342*Input!$H285*10</f>
        <v>0</v>
      </c>
      <c r="J139" s="34" t="str">
        <f>IF(B139&lt;&gt;0,0.1*D139/B139,"")</f>
        <v/>
      </c>
      <c r="K139" s="43" t="str">
        <f>IF(C139&lt;&gt;0,D139/C139,"")</f>
        <v/>
      </c>
      <c r="L139" s="34">
        <f>IF(B139&lt;&gt;0,0.1*E139/B139,0)</f>
        <v>0</v>
      </c>
      <c r="M139" s="39">
        <f>Adjust!B342*Input!$B285*10</f>
        <v>0</v>
      </c>
      <c r="N139" s="39">
        <f>Adjust!C342*Input!$C285*10</f>
        <v>0</v>
      </c>
      <c r="O139" s="39">
        <f>Adjust!D342*Input!$D285*10</f>
        <v>0</v>
      </c>
      <c r="P139" s="36" t="str">
        <f>IF(E139&lt;&gt;0,$M139/E139,"")</f>
        <v/>
      </c>
      <c r="Q139" s="36" t="str">
        <f>IF(E139&lt;&gt;0,$N139/E139,"")</f>
        <v/>
      </c>
      <c r="R139" s="36" t="str">
        <f>IF(E139&lt;&gt;0,$O139/E139,"")</f>
        <v/>
      </c>
      <c r="S139" s="36" t="str">
        <f>IF(D139&lt;&gt;0,$F139/D139,"")</f>
        <v/>
      </c>
      <c r="T139" s="36" t="str">
        <f>IF(D139&lt;&gt;0,$G139/D139,"")</f>
        <v/>
      </c>
      <c r="U139" s="36" t="str">
        <f>IF(D139&lt;&gt;0,$H139/D139,"")</f>
        <v/>
      </c>
      <c r="V139" s="36" t="str">
        <f>IF(D139&lt;&gt;0,$I139/D139,"")</f>
        <v/>
      </c>
      <c r="W139" s="17"/>
    </row>
    <row r="140" spans="1:23">
      <c r="A140" s="27" t="s">
        <v>310</v>
      </c>
      <c r="W140" s="17"/>
    </row>
    <row r="141" spans="1:23">
      <c r="A141" s="4" t="s">
        <v>197</v>
      </c>
      <c r="B141" s="39">
        <f>Input!B287+Input!C287+Input!D287</f>
        <v>0</v>
      </c>
      <c r="C141" s="41">
        <f>Input!E287</f>
        <v>0</v>
      </c>
      <c r="D141" s="39">
        <f>0.01*Input!F$60*(Adjust!$E344*Input!E287+Adjust!$F344*Input!F287+Adjust!$G344*Input!G287)+10*(Adjust!$B344*Input!B287+Adjust!$C344*Input!C287+Adjust!$D344*Input!D287+Adjust!$H344*Input!H287)</f>
        <v>0</v>
      </c>
      <c r="E141" s="39">
        <f>10*(Adjust!$B344*Input!B287+Adjust!$C344*Input!C287+Adjust!$D344*Input!D287)</f>
        <v>0</v>
      </c>
      <c r="F141" s="39">
        <f>Adjust!E344*Input!$F$60*Input!$E287/100</f>
        <v>0</v>
      </c>
      <c r="G141" s="39">
        <f>Adjust!F344*Input!$F$60*Input!$F287/100</f>
        <v>0</v>
      </c>
      <c r="H141" s="39">
        <f>Adjust!G344*Input!$F$60*Input!$G287/100</f>
        <v>0</v>
      </c>
      <c r="I141" s="39">
        <f>Adjust!H344*Input!$H287*10</f>
        <v>0</v>
      </c>
      <c r="J141" s="34" t="str">
        <f>IF(B141&lt;&gt;0,0.1*D141/B141,"")</f>
        <v/>
      </c>
      <c r="K141" s="43" t="str">
        <f>IF(C141&lt;&gt;0,D141/C141,"")</f>
        <v/>
      </c>
      <c r="L141" s="34">
        <f>IF(B141&lt;&gt;0,0.1*E141/B141,0)</f>
        <v>0</v>
      </c>
      <c r="M141" s="39">
        <f>Adjust!B344*Input!$B287*10</f>
        <v>0</v>
      </c>
      <c r="N141" s="39">
        <f>Adjust!C344*Input!$C287*10</f>
        <v>0</v>
      </c>
      <c r="O141" s="39">
        <f>Adjust!D344*Input!$D287*10</f>
        <v>0</v>
      </c>
      <c r="P141" s="36" t="str">
        <f>IF(E141&lt;&gt;0,$M141/E141,"")</f>
        <v/>
      </c>
      <c r="Q141" s="36" t="str">
        <f>IF(E141&lt;&gt;0,$N141/E141,"")</f>
        <v/>
      </c>
      <c r="R141" s="36" t="str">
        <f>IF(E141&lt;&gt;0,$O141/E141,"")</f>
        <v/>
      </c>
      <c r="S141" s="36" t="str">
        <f>IF(D141&lt;&gt;0,$F141/D141,"")</f>
        <v/>
      </c>
      <c r="T141" s="36" t="str">
        <f>IF(D141&lt;&gt;0,$G141/D141,"")</f>
        <v/>
      </c>
      <c r="U141" s="36" t="str">
        <f>IF(D141&lt;&gt;0,$H141/D141,"")</f>
        <v/>
      </c>
      <c r="V141" s="36" t="str">
        <f>IF(D141&lt;&gt;0,$I141/D141,"")</f>
        <v/>
      </c>
      <c r="W141" s="17"/>
    </row>
    <row r="142" spans="1:23">
      <c r="A142" s="27" t="s">
        <v>311</v>
      </c>
      <c r="W142" s="17"/>
    </row>
    <row r="143" spans="1:23">
      <c r="A143" s="4" t="s">
        <v>198</v>
      </c>
      <c r="B143" s="39">
        <f>Input!B289+Input!C289+Input!D289</f>
        <v>1597.4507545454544</v>
      </c>
      <c r="C143" s="41">
        <f>Input!E289</f>
        <v>12</v>
      </c>
      <c r="D143" s="39">
        <f>0.01*Input!F$60*(Adjust!$E346*Input!E289+Adjust!$F346*Input!F289+Adjust!$G346*Input!G289)+10*(Adjust!$B346*Input!B289+Adjust!$C346*Input!C289+Adjust!$D346*Input!D289+Adjust!$H346*Input!H289)</f>
        <v>-12873.45281822078</v>
      </c>
      <c r="E143" s="39">
        <f>10*(Adjust!$B346*Input!B289+Adjust!$C346*Input!C289+Adjust!$D346*Input!D289)</f>
        <v>-13116.849035220781</v>
      </c>
      <c r="F143" s="39">
        <f>Adjust!E346*Input!$F$60*Input!$E289/100</f>
        <v>0</v>
      </c>
      <c r="G143" s="39">
        <f>Adjust!F346*Input!$F$60*Input!$F289/100</f>
        <v>0</v>
      </c>
      <c r="H143" s="39">
        <f>Adjust!G346*Input!$F$60*Input!$G289/100</f>
        <v>0</v>
      </c>
      <c r="I143" s="39">
        <f>Adjust!H346*Input!$H289*10</f>
        <v>243.39621699999998</v>
      </c>
      <c r="J143" s="34">
        <f>IF(B143&lt;&gt;0,0.1*D143/B143,"")</f>
        <v>-0.8058747840326288</v>
      </c>
      <c r="K143" s="43">
        <f>IF(C143&lt;&gt;0,D143/C143,"")</f>
        <v>-1072.7877348517316</v>
      </c>
      <c r="L143" s="34">
        <f>IF(B143&lt;&gt;0,0.1*E143/B143,0)</f>
        <v>-0.82111132364472217</v>
      </c>
      <c r="M143" s="39">
        <f>Adjust!B346*Input!$B289*10</f>
        <v>-8680.6572967272732</v>
      </c>
      <c r="N143" s="39">
        <f>Adjust!C346*Input!$C289*10</f>
        <v>-3458.551044714286</v>
      </c>
      <c r="O143" s="39">
        <f>Adjust!D346*Input!$D289*10</f>
        <v>-977.64069377922078</v>
      </c>
      <c r="P143" s="36">
        <f>IF(E143&lt;&gt;0,$M143/E143,"")</f>
        <v>0.66179440454169725</v>
      </c>
      <c r="Q143" s="36">
        <f>IF(E143&lt;&gt;0,$N143/E143,"")</f>
        <v>0.2636723984111991</v>
      </c>
      <c r="R143" s="36">
        <f>IF(E143&lt;&gt;0,$O143/E143,"")</f>
        <v>7.4533197047103567E-2</v>
      </c>
      <c r="S143" s="36">
        <f>IF(D143&lt;&gt;0,$F143/D143,"")</f>
        <v>0</v>
      </c>
      <c r="T143" s="36">
        <f>IF(D143&lt;&gt;0,$G143/D143,"")</f>
        <v>0</v>
      </c>
      <c r="U143" s="36">
        <f>IF(D143&lt;&gt;0,$H143/D143,"")</f>
        <v>0</v>
      </c>
      <c r="V143" s="36">
        <f>IF(D143&lt;&gt;0,$I143/D143,"")</f>
        <v>-1.8906832567522423E-2</v>
      </c>
      <c r="W143" s="17"/>
    </row>
    <row r="144" spans="1:23">
      <c r="A144" s="4" t="s">
        <v>312</v>
      </c>
      <c r="B144" s="39">
        <f>Input!B290+Input!C290+Input!D290</f>
        <v>0</v>
      </c>
      <c r="C144" s="41">
        <f>Input!E290</f>
        <v>0</v>
      </c>
      <c r="D144" s="39">
        <f>0.01*Input!F$60*(Adjust!$E347*Input!E290+Adjust!$F347*Input!F290+Adjust!$G347*Input!G290)+10*(Adjust!$B347*Input!B290+Adjust!$C347*Input!C290+Adjust!$D347*Input!D290+Adjust!$H347*Input!H290)</f>
        <v>0</v>
      </c>
      <c r="E144" s="39">
        <f>10*(Adjust!$B347*Input!B290+Adjust!$C347*Input!C290+Adjust!$D347*Input!D290)</f>
        <v>0</v>
      </c>
      <c r="F144" s="39">
        <f>Adjust!E347*Input!$F$60*Input!$E290/100</f>
        <v>0</v>
      </c>
      <c r="G144" s="39">
        <f>Adjust!F347*Input!$F$60*Input!$F290/100</f>
        <v>0</v>
      </c>
      <c r="H144" s="39">
        <f>Adjust!G347*Input!$F$60*Input!$G290/100</f>
        <v>0</v>
      </c>
      <c r="I144" s="39">
        <f>Adjust!H347*Input!$H290*10</f>
        <v>0</v>
      </c>
      <c r="J144" s="34" t="str">
        <f>IF(B144&lt;&gt;0,0.1*D144/B144,"")</f>
        <v/>
      </c>
      <c r="K144" s="43" t="str">
        <f>IF(C144&lt;&gt;0,D144/C144,"")</f>
        <v/>
      </c>
      <c r="L144" s="34">
        <f>IF(B144&lt;&gt;0,0.1*E144/B144,0)</f>
        <v>0</v>
      </c>
      <c r="M144" s="39">
        <f>Adjust!B347*Input!$B290*10</f>
        <v>0</v>
      </c>
      <c r="N144" s="39">
        <f>Adjust!C347*Input!$C290*10</f>
        <v>0</v>
      </c>
      <c r="O144" s="39">
        <f>Adjust!D347*Input!$D290*10</f>
        <v>0</v>
      </c>
      <c r="P144" s="36" t="str">
        <f>IF(E144&lt;&gt;0,$M144/E144,"")</f>
        <v/>
      </c>
      <c r="Q144" s="36" t="str">
        <f>IF(E144&lt;&gt;0,$N144/E144,"")</f>
        <v/>
      </c>
      <c r="R144" s="36" t="str">
        <f>IF(E144&lt;&gt;0,$O144/E144,"")</f>
        <v/>
      </c>
      <c r="S144" s="36" t="str">
        <f>IF(D144&lt;&gt;0,$F144/D144,"")</f>
        <v/>
      </c>
      <c r="T144" s="36" t="str">
        <f>IF(D144&lt;&gt;0,$G144/D144,"")</f>
        <v/>
      </c>
      <c r="U144" s="36" t="str">
        <f>IF(D144&lt;&gt;0,$H144/D144,"")</f>
        <v/>
      </c>
      <c r="V144" s="36" t="str">
        <f>IF(D144&lt;&gt;0,$I144/D144,"")</f>
        <v/>
      </c>
      <c r="W144" s="17"/>
    </row>
    <row r="145" spans="1:23">
      <c r="A145" s="27" t="s">
        <v>313</v>
      </c>
      <c r="W145" s="17"/>
    </row>
    <row r="146" spans="1:23">
      <c r="A146" s="4" t="s">
        <v>199</v>
      </c>
      <c r="B146" s="39">
        <f>Input!B292+Input!C292+Input!D292</f>
        <v>0</v>
      </c>
      <c r="C146" s="41">
        <f>Input!E292</f>
        <v>0</v>
      </c>
      <c r="D146" s="39">
        <f>0.01*Input!F$60*(Adjust!$E349*Input!E292+Adjust!$F349*Input!F292+Adjust!$G349*Input!G292)+10*(Adjust!$B349*Input!B292+Adjust!$C349*Input!C292+Adjust!$D349*Input!D292+Adjust!$H349*Input!H292)</f>
        <v>0</v>
      </c>
      <c r="E146" s="39">
        <f>10*(Adjust!$B349*Input!B292+Adjust!$C349*Input!C292+Adjust!$D349*Input!D292)</f>
        <v>0</v>
      </c>
      <c r="F146" s="39">
        <f>Adjust!E349*Input!$F$60*Input!$E292/100</f>
        <v>0</v>
      </c>
      <c r="G146" s="39">
        <f>Adjust!F349*Input!$F$60*Input!$F292/100</f>
        <v>0</v>
      </c>
      <c r="H146" s="39">
        <f>Adjust!G349*Input!$F$60*Input!$G292/100</f>
        <v>0</v>
      </c>
      <c r="I146" s="39">
        <f>Adjust!H349*Input!$H292*10</f>
        <v>0</v>
      </c>
      <c r="J146" s="34" t="str">
        <f>IF(B146&lt;&gt;0,0.1*D146/B146,"")</f>
        <v/>
      </c>
      <c r="K146" s="43" t="str">
        <f>IF(C146&lt;&gt;0,D146/C146,"")</f>
        <v/>
      </c>
      <c r="L146" s="34">
        <f>IF(B146&lt;&gt;0,0.1*E146/B146,0)</f>
        <v>0</v>
      </c>
      <c r="M146" s="39">
        <f>Adjust!B349*Input!$B292*10</f>
        <v>0</v>
      </c>
      <c r="N146" s="39">
        <f>Adjust!C349*Input!$C292*10</f>
        <v>0</v>
      </c>
      <c r="O146" s="39">
        <f>Adjust!D349*Input!$D292*10</f>
        <v>0</v>
      </c>
      <c r="P146" s="36" t="str">
        <f>IF(E146&lt;&gt;0,$M146/E146,"")</f>
        <v/>
      </c>
      <c r="Q146" s="36" t="str">
        <f>IF(E146&lt;&gt;0,$N146/E146,"")</f>
        <v/>
      </c>
      <c r="R146" s="36" t="str">
        <f>IF(E146&lt;&gt;0,$O146/E146,"")</f>
        <v/>
      </c>
      <c r="S146" s="36" t="str">
        <f>IF(D146&lt;&gt;0,$F146/D146,"")</f>
        <v/>
      </c>
      <c r="T146" s="36" t="str">
        <f>IF(D146&lt;&gt;0,$G146/D146,"")</f>
        <v/>
      </c>
      <c r="U146" s="36" t="str">
        <f>IF(D146&lt;&gt;0,$H146/D146,"")</f>
        <v/>
      </c>
      <c r="V146" s="36" t="str">
        <f>IF(D146&lt;&gt;0,$I146/D146,"")</f>
        <v/>
      </c>
      <c r="W146" s="17"/>
    </row>
    <row r="147" spans="1:23">
      <c r="A147" s="27" t="s">
        <v>314</v>
      </c>
      <c r="W147" s="17"/>
    </row>
    <row r="148" spans="1:23">
      <c r="A148" s="4" t="s">
        <v>207</v>
      </c>
      <c r="B148" s="39">
        <f>Input!B294+Input!C294+Input!D294</f>
        <v>405655.95821367676</v>
      </c>
      <c r="C148" s="41">
        <f>Input!E294</f>
        <v>186.99453551912569</v>
      </c>
      <c r="D148" s="39">
        <f>0.01*Input!F$60*(Adjust!$E351*Input!E294+Adjust!$F351*Input!F294+Adjust!$G351*Input!G294)+10*(Adjust!$B351*Input!B294+Adjust!$C351*Input!C294+Adjust!$D351*Input!D294+Adjust!$H351*Input!H294)</f>
        <v>-2279349.2066472736</v>
      </c>
      <c r="E148" s="39">
        <f>10*(Adjust!$B351*Input!B294+Adjust!$C351*Input!C294+Adjust!$D351*Input!D294)</f>
        <v>-2291956.1639072737</v>
      </c>
      <c r="F148" s="39">
        <f>Adjust!E351*Input!$F$60*Input!$E294/100</f>
        <v>4571.7920000000004</v>
      </c>
      <c r="G148" s="39">
        <f>Adjust!F351*Input!$F$60*Input!$F294/100</f>
        <v>0</v>
      </c>
      <c r="H148" s="39">
        <f>Adjust!G351*Input!$F$60*Input!$G294/100</f>
        <v>0</v>
      </c>
      <c r="I148" s="39">
        <f>Adjust!H351*Input!$H294*10</f>
        <v>8035.1652600000016</v>
      </c>
      <c r="J148" s="34">
        <f>IF(B148&lt;&gt;0,0.1*D148/B148,"")</f>
        <v>-0.5618922045874748</v>
      </c>
      <c r="K148" s="43">
        <f>IF(C148&lt;&gt;0,D148/C148,"")</f>
        <v>-12189.389386804531</v>
      </c>
      <c r="L148" s="34">
        <f>IF(B148&lt;&gt;0,0.1*E148/B148,0)</f>
        <v>-0.56500000000000006</v>
      </c>
      <c r="M148" s="39">
        <f>Adjust!B351*Input!$B294*10</f>
        <v>-2291956.1639072737</v>
      </c>
      <c r="N148" s="39">
        <f>Adjust!C351*Input!$C294*10</f>
        <v>0</v>
      </c>
      <c r="O148" s="39">
        <f>Adjust!D351*Input!$D294*10</f>
        <v>0</v>
      </c>
      <c r="P148" s="36">
        <f>IF(E148&lt;&gt;0,$M148/E148,"")</f>
        <v>1</v>
      </c>
      <c r="Q148" s="36">
        <f>IF(E148&lt;&gt;0,$N148/E148,"")</f>
        <v>0</v>
      </c>
      <c r="R148" s="36">
        <f>IF(E148&lt;&gt;0,$O148/E148,"")</f>
        <v>0</v>
      </c>
      <c r="S148" s="36">
        <f>IF(D148&lt;&gt;0,$F148/D148,"")</f>
        <v>-2.0057444408549899E-3</v>
      </c>
      <c r="T148" s="36">
        <f>IF(D148&lt;&gt;0,$G148/D148,"")</f>
        <v>0</v>
      </c>
      <c r="U148" s="36">
        <f>IF(D148&lt;&gt;0,$H148/D148,"")</f>
        <v>0</v>
      </c>
      <c r="V148" s="36">
        <f>IF(D148&lt;&gt;0,$I148/D148,"")</f>
        <v>-3.5252015077667882E-3</v>
      </c>
      <c r="W148" s="17"/>
    </row>
    <row r="149" spans="1:23">
      <c r="A149" s="4" t="s">
        <v>315</v>
      </c>
      <c r="B149" s="39">
        <f>Input!B295+Input!C295+Input!D295</f>
        <v>0</v>
      </c>
      <c r="C149" s="41">
        <f>Input!E295</f>
        <v>0</v>
      </c>
      <c r="D149" s="39">
        <f>0.01*Input!F$60*(Adjust!$E352*Input!E295+Adjust!$F352*Input!F295+Adjust!$G352*Input!G295)+10*(Adjust!$B352*Input!B295+Adjust!$C352*Input!C295+Adjust!$D352*Input!D295+Adjust!$H352*Input!H295)</f>
        <v>0</v>
      </c>
      <c r="E149" s="39">
        <f>10*(Adjust!$B352*Input!B295+Adjust!$C352*Input!C295+Adjust!$D352*Input!D295)</f>
        <v>0</v>
      </c>
      <c r="F149" s="39">
        <f>Adjust!E352*Input!$F$60*Input!$E295/100</f>
        <v>0</v>
      </c>
      <c r="G149" s="39">
        <f>Adjust!F352*Input!$F$60*Input!$F295/100</f>
        <v>0</v>
      </c>
      <c r="H149" s="39">
        <f>Adjust!G352*Input!$F$60*Input!$G295/100</f>
        <v>0</v>
      </c>
      <c r="I149" s="39">
        <f>Adjust!H352*Input!$H295*10</f>
        <v>0</v>
      </c>
      <c r="J149" s="34" t="str">
        <f>IF(B149&lt;&gt;0,0.1*D149/B149,"")</f>
        <v/>
      </c>
      <c r="K149" s="43" t="str">
        <f>IF(C149&lt;&gt;0,D149/C149,"")</f>
        <v/>
      </c>
      <c r="L149" s="34">
        <f>IF(B149&lt;&gt;0,0.1*E149/B149,0)</f>
        <v>0</v>
      </c>
      <c r="M149" s="39">
        <f>Adjust!B352*Input!$B295*10</f>
        <v>0</v>
      </c>
      <c r="N149" s="39">
        <f>Adjust!C352*Input!$C295*10</f>
        <v>0</v>
      </c>
      <c r="O149" s="39">
        <f>Adjust!D352*Input!$D295*10</f>
        <v>0</v>
      </c>
      <c r="P149" s="36" t="str">
        <f>IF(E149&lt;&gt;0,$M149/E149,"")</f>
        <v/>
      </c>
      <c r="Q149" s="36" t="str">
        <f>IF(E149&lt;&gt;0,$N149/E149,"")</f>
        <v/>
      </c>
      <c r="R149" s="36" t="str">
        <f>IF(E149&lt;&gt;0,$O149/E149,"")</f>
        <v/>
      </c>
      <c r="S149" s="36" t="str">
        <f>IF(D149&lt;&gt;0,$F149/D149,"")</f>
        <v/>
      </c>
      <c r="T149" s="36" t="str">
        <f>IF(D149&lt;&gt;0,$G149/D149,"")</f>
        <v/>
      </c>
      <c r="U149" s="36" t="str">
        <f>IF(D149&lt;&gt;0,$H149/D149,"")</f>
        <v/>
      </c>
      <c r="V149" s="36" t="str">
        <f>IF(D149&lt;&gt;0,$I149/D149,"")</f>
        <v/>
      </c>
      <c r="W149" s="17"/>
    </row>
    <row r="150" spans="1:23">
      <c r="A150" s="27" t="s">
        <v>316</v>
      </c>
      <c r="W150" s="17"/>
    </row>
    <row r="151" spans="1:23">
      <c r="A151" s="4" t="s">
        <v>208</v>
      </c>
      <c r="B151" s="39">
        <f>Input!B297+Input!C297+Input!D297</f>
        <v>0</v>
      </c>
      <c r="C151" s="41">
        <f>Input!E297</f>
        <v>0</v>
      </c>
      <c r="D151" s="39">
        <f>0.01*Input!F$60*(Adjust!$E354*Input!E297+Adjust!$F354*Input!F297+Adjust!$G354*Input!G297)+10*(Adjust!$B354*Input!B297+Adjust!$C354*Input!C297+Adjust!$D354*Input!D297+Adjust!$H354*Input!H297)</f>
        <v>0</v>
      </c>
      <c r="E151" s="39">
        <f>10*(Adjust!$B354*Input!B297+Adjust!$C354*Input!C297+Adjust!$D354*Input!D297)</f>
        <v>0</v>
      </c>
      <c r="F151" s="39">
        <f>Adjust!E354*Input!$F$60*Input!$E297/100</f>
        <v>0</v>
      </c>
      <c r="G151" s="39">
        <f>Adjust!F354*Input!$F$60*Input!$F297/100</f>
        <v>0</v>
      </c>
      <c r="H151" s="39">
        <f>Adjust!G354*Input!$F$60*Input!$G297/100</f>
        <v>0</v>
      </c>
      <c r="I151" s="39">
        <f>Adjust!H354*Input!$H297*10</f>
        <v>0</v>
      </c>
      <c r="J151" s="34" t="str">
        <f>IF(B151&lt;&gt;0,0.1*D151/B151,"")</f>
        <v/>
      </c>
      <c r="K151" s="43" t="str">
        <f>IF(C151&lt;&gt;0,D151/C151,"")</f>
        <v/>
      </c>
      <c r="L151" s="34">
        <f>IF(B151&lt;&gt;0,0.1*E151/B151,0)</f>
        <v>0</v>
      </c>
      <c r="M151" s="39">
        <f>Adjust!B354*Input!$B297*10</f>
        <v>0</v>
      </c>
      <c r="N151" s="39">
        <f>Adjust!C354*Input!$C297*10</f>
        <v>0</v>
      </c>
      <c r="O151" s="39">
        <f>Adjust!D354*Input!$D297*10</f>
        <v>0</v>
      </c>
      <c r="P151" s="36" t="str">
        <f>IF(E151&lt;&gt;0,$M151/E151,"")</f>
        <v/>
      </c>
      <c r="Q151" s="36" t="str">
        <f>IF(E151&lt;&gt;0,$N151/E151,"")</f>
        <v/>
      </c>
      <c r="R151" s="36" t="str">
        <f>IF(E151&lt;&gt;0,$O151/E151,"")</f>
        <v/>
      </c>
      <c r="S151" s="36" t="str">
        <f>IF(D151&lt;&gt;0,$F151/D151,"")</f>
        <v/>
      </c>
      <c r="T151" s="36" t="str">
        <f>IF(D151&lt;&gt;0,$G151/D151,"")</f>
        <v/>
      </c>
      <c r="U151" s="36" t="str">
        <f>IF(D151&lt;&gt;0,$H151/D151,"")</f>
        <v/>
      </c>
      <c r="V151" s="36" t="str">
        <f>IF(D151&lt;&gt;0,$I151/D151,"")</f>
        <v/>
      </c>
      <c r="W151" s="17"/>
    </row>
    <row r="152" spans="1:23">
      <c r="A152" s="27" t="s">
        <v>317</v>
      </c>
      <c r="W152" s="17"/>
    </row>
    <row r="153" spans="1:23">
      <c r="A153" s="4" t="s">
        <v>209</v>
      </c>
      <c r="B153" s="39">
        <f>Input!B299+Input!C299+Input!D299</f>
        <v>469174.25482875959</v>
      </c>
      <c r="C153" s="41">
        <f>Input!E299</f>
        <v>139.49726775956285</v>
      </c>
      <c r="D153" s="39">
        <f>0.01*Input!F$60*(Adjust!$E356*Input!E299+Adjust!$F356*Input!F299+Adjust!$G356*Input!G299)+10*(Adjust!$B356*Input!B299+Adjust!$C356*Input!C299+Adjust!$D356*Input!D299+Adjust!$H356*Input!H299)</f>
        <v>-3090606.7259768355</v>
      </c>
      <c r="E153" s="39">
        <f>10*(Adjust!$B356*Input!B299+Adjust!$C356*Input!C299+Adjust!$D356*Input!D299)</f>
        <v>-3110815.8029428353</v>
      </c>
      <c r="F153" s="39">
        <f>Adjust!E356*Input!$F$60*Input!$E299/100</f>
        <v>3410.5408000000002</v>
      </c>
      <c r="G153" s="39">
        <f>Adjust!F356*Input!$F$60*Input!$F299/100</f>
        <v>0</v>
      </c>
      <c r="H153" s="39">
        <f>Adjust!G356*Input!$F$60*Input!$G299/100</f>
        <v>0</v>
      </c>
      <c r="I153" s="39">
        <f>Adjust!H356*Input!$H299*10</f>
        <v>16798.536166000002</v>
      </c>
      <c r="J153" s="34">
        <f>IF(B153&lt;&gt;0,0.1*D153/B153,"")</f>
        <v>-0.65873323059997257</v>
      </c>
      <c r="K153" s="43">
        <f>IF(C153&lt;&gt;0,D153/C153,"")</f>
        <v>-22155.32085763714</v>
      </c>
      <c r="L153" s="34">
        <f>IF(B153&lt;&gt;0,0.1*E153/B153,0)</f>
        <v>-0.66304060185020774</v>
      </c>
      <c r="M153" s="39">
        <f>Adjust!B356*Input!$B299*10</f>
        <v>-2171090.4734414406</v>
      </c>
      <c r="N153" s="39">
        <f>Adjust!C356*Input!$C299*10</f>
        <v>-750964.94218206313</v>
      </c>
      <c r="O153" s="39">
        <f>Adjust!D356*Input!$D299*10</f>
        <v>-188760.38731933082</v>
      </c>
      <c r="P153" s="36">
        <f>IF(E153&lt;&gt;0,$M153/E153,"")</f>
        <v>0.69791675591579116</v>
      </c>
      <c r="Q153" s="36">
        <f>IF(E153&lt;&gt;0,$N153/E153,"")</f>
        <v>0.24140450279044148</v>
      </c>
      <c r="R153" s="36">
        <f>IF(E153&lt;&gt;0,$O153/E153,"")</f>
        <v>6.0678741293767151E-2</v>
      </c>
      <c r="S153" s="36">
        <f>IF(D153&lt;&gt;0,$F153/D153,"")</f>
        <v>-1.1035182093321965E-3</v>
      </c>
      <c r="T153" s="36">
        <f>IF(D153&lt;&gt;0,$G153/D153,"")</f>
        <v>0</v>
      </c>
      <c r="U153" s="36">
        <f>IF(D153&lt;&gt;0,$H153/D153,"")</f>
        <v>0</v>
      </c>
      <c r="V153" s="36">
        <f>IF(D153&lt;&gt;0,$I153/D153,"")</f>
        <v>-5.4353522319118613E-3</v>
      </c>
      <c r="W153" s="17"/>
    </row>
    <row r="154" spans="1:23">
      <c r="A154" s="4" t="s">
        <v>318</v>
      </c>
      <c r="B154" s="39">
        <f>Input!B300+Input!C300+Input!D300</f>
        <v>0</v>
      </c>
      <c r="C154" s="41">
        <f>Input!E300</f>
        <v>0</v>
      </c>
      <c r="D154" s="39">
        <f>0.01*Input!F$60*(Adjust!$E357*Input!E300+Adjust!$F357*Input!F300+Adjust!$G357*Input!G300)+10*(Adjust!$B357*Input!B300+Adjust!$C357*Input!C300+Adjust!$D357*Input!D300+Adjust!$H357*Input!H300)</f>
        <v>0</v>
      </c>
      <c r="E154" s="39">
        <f>10*(Adjust!$B357*Input!B300+Adjust!$C357*Input!C300+Adjust!$D357*Input!D300)</f>
        <v>0</v>
      </c>
      <c r="F154" s="39">
        <f>Adjust!E357*Input!$F$60*Input!$E300/100</f>
        <v>0</v>
      </c>
      <c r="G154" s="39">
        <f>Adjust!F357*Input!$F$60*Input!$F300/100</f>
        <v>0</v>
      </c>
      <c r="H154" s="39">
        <f>Adjust!G357*Input!$F$60*Input!$G300/100</f>
        <v>0</v>
      </c>
      <c r="I154" s="39">
        <f>Adjust!H357*Input!$H300*10</f>
        <v>0</v>
      </c>
      <c r="J154" s="34" t="str">
        <f>IF(B154&lt;&gt;0,0.1*D154/B154,"")</f>
        <v/>
      </c>
      <c r="K154" s="43" t="str">
        <f>IF(C154&lt;&gt;0,D154/C154,"")</f>
        <v/>
      </c>
      <c r="L154" s="34">
        <f>IF(B154&lt;&gt;0,0.1*E154/B154,0)</f>
        <v>0</v>
      </c>
      <c r="M154" s="39">
        <f>Adjust!B357*Input!$B300*10</f>
        <v>0</v>
      </c>
      <c r="N154" s="39">
        <f>Adjust!C357*Input!$C300*10</f>
        <v>0</v>
      </c>
      <c r="O154" s="39">
        <f>Adjust!D357*Input!$D300*10</f>
        <v>0</v>
      </c>
      <c r="P154" s="36" t="str">
        <f>IF(E154&lt;&gt;0,$M154/E154,"")</f>
        <v/>
      </c>
      <c r="Q154" s="36" t="str">
        <f>IF(E154&lt;&gt;0,$N154/E154,"")</f>
        <v/>
      </c>
      <c r="R154" s="36" t="str">
        <f>IF(E154&lt;&gt;0,$O154/E154,"")</f>
        <v/>
      </c>
      <c r="S154" s="36" t="str">
        <f>IF(D154&lt;&gt;0,$F154/D154,"")</f>
        <v/>
      </c>
      <c r="T154" s="36" t="str">
        <f>IF(D154&lt;&gt;0,$G154/D154,"")</f>
        <v/>
      </c>
      <c r="U154" s="36" t="str">
        <f>IF(D154&lt;&gt;0,$H154/D154,"")</f>
        <v/>
      </c>
      <c r="V154" s="36" t="str">
        <f>IF(D154&lt;&gt;0,$I154/D154,"")</f>
        <v/>
      </c>
      <c r="W154" s="17"/>
    </row>
    <row r="155" spans="1:23">
      <c r="A155" s="27" t="s">
        <v>319</v>
      </c>
      <c r="W155" s="17"/>
    </row>
    <row r="156" spans="1:23">
      <c r="A156" s="4" t="s">
        <v>210</v>
      </c>
      <c r="B156" s="39">
        <f>Input!B302+Input!C302+Input!D302</f>
        <v>0</v>
      </c>
      <c r="C156" s="41">
        <f>Input!E302</f>
        <v>0</v>
      </c>
      <c r="D156" s="39">
        <f>0.01*Input!F$60*(Adjust!$E359*Input!E302+Adjust!$F359*Input!F302+Adjust!$G359*Input!G302)+10*(Adjust!$B359*Input!B302+Adjust!$C359*Input!C302+Adjust!$D359*Input!D302+Adjust!$H359*Input!H302)</f>
        <v>0</v>
      </c>
      <c r="E156" s="39">
        <f>10*(Adjust!$B359*Input!B302+Adjust!$C359*Input!C302+Adjust!$D359*Input!D302)</f>
        <v>0</v>
      </c>
      <c r="F156" s="39">
        <f>Adjust!E359*Input!$F$60*Input!$E302/100</f>
        <v>0</v>
      </c>
      <c r="G156" s="39">
        <f>Adjust!F359*Input!$F$60*Input!$F302/100</f>
        <v>0</v>
      </c>
      <c r="H156" s="39">
        <f>Adjust!G359*Input!$F$60*Input!$G302/100</f>
        <v>0</v>
      </c>
      <c r="I156" s="39">
        <f>Adjust!H359*Input!$H302*10</f>
        <v>0</v>
      </c>
      <c r="J156" s="34" t="str">
        <f>IF(B156&lt;&gt;0,0.1*D156/B156,"")</f>
        <v/>
      </c>
      <c r="K156" s="43" t="str">
        <f>IF(C156&lt;&gt;0,D156/C156,"")</f>
        <v/>
      </c>
      <c r="L156" s="34">
        <f>IF(B156&lt;&gt;0,0.1*E156/B156,0)</f>
        <v>0</v>
      </c>
      <c r="M156" s="39">
        <f>Adjust!B359*Input!$B302*10</f>
        <v>0</v>
      </c>
      <c r="N156" s="39">
        <f>Adjust!C359*Input!$C302*10</f>
        <v>0</v>
      </c>
      <c r="O156" s="39">
        <f>Adjust!D359*Input!$D302*10</f>
        <v>0</v>
      </c>
      <c r="P156" s="36" t="str">
        <f>IF(E156&lt;&gt;0,$M156/E156,"")</f>
        <v/>
      </c>
      <c r="Q156" s="36" t="str">
        <f>IF(E156&lt;&gt;0,$N156/E156,"")</f>
        <v/>
      </c>
      <c r="R156" s="36" t="str">
        <f>IF(E156&lt;&gt;0,$O156/E156,"")</f>
        <v/>
      </c>
      <c r="S156" s="36" t="str">
        <f>IF(D156&lt;&gt;0,$F156/D156,"")</f>
        <v/>
      </c>
      <c r="T156" s="36" t="str">
        <f>IF(D156&lt;&gt;0,$G156/D156,"")</f>
        <v/>
      </c>
      <c r="U156" s="36" t="str">
        <f>IF(D156&lt;&gt;0,$H156/D156,"")</f>
        <v/>
      </c>
      <c r="V156" s="36" t="str">
        <f>IF(D156&lt;&gt;0,$I156/D156,"")</f>
        <v/>
      </c>
      <c r="W156" s="17"/>
    </row>
    <row r="158" spans="1:23" ht="21" customHeight="1">
      <c r="A158" s="1" t="s">
        <v>1553</v>
      </c>
    </row>
    <row r="159" spans="1:23">
      <c r="A159" s="2" t="s">
        <v>379</v>
      </c>
    </row>
    <row r="160" spans="1:23">
      <c r="A160" s="29" t="s">
        <v>1554</v>
      </c>
    </row>
    <row r="161" spans="1:10">
      <c r="A161" s="29" t="s">
        <v>1555</v>
      </c>
    </row>
    <row r="162" spans="1:10">
      <c r="A162" s="29" t="s">
        <v>1556</v>
      </c>
    </row>
    <row r="163" spans="1:10">
      <c r="A163" s="29" t="s">
        <v>1557</v>
      </c>
    </row>
    <row r="164" spans="1:10">
      <c r="A164" s="29" t="s">
        <v>1558</v>
      </c>
    </row>
    <row r="165" spans="1:10">
      <c r="A165" s="29" t="s">
        <v>1559</v>
      </c>
    </row>
    <row r="166" spans="1:10">
      <c r="A166" s="29" t="s">
        <v>1560</v>
      </c>
    </row>
    <row r="167" spans="1:10">
      <c r="A167" s="29" t="s">
        <v>1561</v>
      </c>
    </row>
    <row r="168" spans="1:10">
      <c r="A168" s="30" t="s">
        <v>382</v>
      </c>
      <c r="B168" s="30" t="s">
        <v>513</v>
      </c>
      <c r="C168" s="30" t="s">
        <v>513</v>
      </c>
      <c r="D168" s="30" t="s">
        <v>513</v>
      </c>
      <c r="E168" s="30" t="s">
        <v>513</v>
      </c>
      <c r="F168" s="30" t="s">
        <v>513</v>
      </c>
      <c r="G168" s="30" t="s">
        <v>513</v>
      </c>
      <c r="H168" s="30" t="s">
        <v>513</v>
      </c>
      <c r="I168" s="30" t="s">
        <v>513</v>
      </c>
    </row>
    <row r="169" spans="1:10">
      <c r="A169" s="30" t="s">
        <v>385</v>
      </c>
      <c r="B169" s="30" t="s">
        <v>566</v>
      </c>
      <c r="C169" s="30" t="s">
        <v>567</v>
      </c>
      <c r="D169" s="30" t="s">
        <v>568</v>
      </c>
      <c r="E169" s="30" t="s">
        <v>569</v>
      </c>
      <c r="F169" s="30" t="s">
        <v>515</v>
      </c>
      <c r="G169" s="30" t="s">
        <v>570</v>
      </c>
      <c r="H169" s="30" t="s">
        <v>571</v>
      </c>
      <c r="I169" s="30" t="s">
        <v>1562</v>
      </c>
    </row>
    <row r="171" spans="1:10" ht="45">
      <c r="B171" s="15" t="s">
        <v>1563</v>
      </c>
      <c r="C171" s="15" t="s">
        <v>1564</v>
      </c>
      <c r="D171" s="15" t="s">
        <v>1442</v>
      </c>
      <c r="E171" s="15" t="s">
        <v>1565</v>
      </c>
      <c r="F171" s="15" t="s">
        <v>1566</v>
      </c>
      <c r="G171" s="15" t="s">
        <v>1567</v>
      </c>
      <c r="H171" s="15" t="s">
        <v>1568</v>
      </c>
      <c r="I171" s="15" t="s">
        <v>1569</v>
      </c>
    </row>
    <row r="172" spans="1:10">
      <c r="A172" s="4" t="s">
        <v>1570</v>
      </c>
      <c r="B172" s="39">
        <f>SUM(B$48:B$156)</f>
        <v>19597191.578462534</v>
      </c>
      <c r="C172" s="39">
        <f>SUM(C$48:C$156)</f>
        <v>2464967.3384535522</v>
      </c>
      <c r="D172" s="39">
        <f>SUM(D$48:D$156)</f>
        <v>417847707.93060267</v>
      </c>
      <c r="E172" s="39">
        <f>SUM(E$48:E$156)</f>
        <v>340809106.50990754</v>
      </c>
      <c r="F172" s="39">
        <f>SUM($F$48:$F$156)</f>
        <v>32928247.806353599</v>
      </c>
      <c r="G172" s="39">
        <f>SUM($G$48:$G$156)</f>
        <v>42643235.12182641</v>
      </c>
      <c r="H172" s="39">
        <f>SUM($H$48:$H$156)</f>
        <v>761724.61075951636</v>
      </c>
      <c r="I172" s="39">
        <f>SUM($I$48:$I$156)</f>
        <v>705393.88175579975</v>
      </c>
      <c r="J172" s="17"/>
    </row>
  </sheetData>
  <sheetProtection sheet="1" objects="1" scenarios="1"/>
  <hyperlinks>
    <hyperlink ref="A6" location="'Input'!D59" display="x1 = 1010. Annuity proportion for customer-contributed assets (in Financial and general assumptions)"/>
    <hyperlink ref="A7" location="'Adjust'!C233" display="x2 = 3606. Total net revenues from adder (£) (in Revenue forecast summary)"/>
    <hyperlink ref="A8" location="'Adjust'!F233" display="x3 = 3606. Deviation from target revenue (£) (in Revenue forecast summary)"/>
    <hyperlink ref="A9" location="'Revenue'!B65" display="x4 = 3402. Target CDCM revenue (£/year) (in Target CDCM revenue)"/>
    <hyperlink ref="A18" location="'Input'!B193" display="x1 = 1053. Rate 1 units (MWh) by tariff (in Volume forecasts for the charging year)"/>
    <hyperlink ref="A19" location="'Input'!C193" display="x2 = 1053. Rate 2 units (MWh) by tariff (in Volume forecasts for the charging year)"/>
    <hyperlink ref="A20" location="'Input'!D193" display="x3 = 1053. Rate 3 units (MWh) by tariff (in Volume forecasts for the charging year)"/>
    <hyperlink ref="A21" location="'Input'!E193" display="x4 = 1053. MPANs by tariff (in Volume forecasts for the charging year)"/>
    <hyperlink ref="A22" location="'Input'!F59" display="x5 = 1010. Days in the charging year (in Financial and general assumptions)"/>
    <hyperlink ref="A23" location="'Adjust'!E250" display="x6 = 3607. Fixed charge p/MPAN/day (in Tariffs)"/>
    <hyperlink ref="A24" location="'Adjust'!F250" display="x7 = 3607. Capacity charge p/kVA/day (in Tariffs)"/>
    <hyperlink ref="A25" location="'Input'!F193" display="x8 = 1053. Import capacity (kVA) by tariff (in Volume forecasts for the charging year)"/>
    <hyperlink ref="A26" location="'Adjust'!G250" display="x9 = 3607. Exceeded capacity charge p/kVA/day (in Tariffs)"/>
    <hyperlink ref="A27" location="'Input'!G193" display="x10 = 1053. Exceeded capacity (kVA) by tariff (in Volume forecasts for the charging year)"/>
    <hyperlink ref="A28" location="'Adjust'!B250" display="x11 = 3607. Unit rate 1 p/kWh (in Tariffs)"/>
    <hyperlink ref="A29" location="'Adjust'!C250" display="x12 = 3607. Unit rate 2 p/kWh (in Tariffs)"/>
    <hyperlink ref="A30" location="'Adjust'!D250" display="x13 = 3607. Unit rate 3 p/kWh (in Tariffs)"/>
    <hyperlink ref="A31" location="'Adjust'!H250" display="x14 = 3607. Reactive power charge p/kVArh (in Tariffs)"/>
    <hyperlink ref="A32" location="'Input'!H193" display="x15 = 1053. Reactive power units (MVArh) by tariff (in Volume forecasts for the charging year)"/>
    <hyperlink ref="A33" location="'Summary'!B47" display="x16 = All units (MWh) (in Revenue summary)"/>
    <hyperlink ref="A34" location="'Summary'!D47" display="x17 = Net revenues (£) (in Revenue summary)"/>
    <hyperlink ref="A35" location="'Summary'!C47" display="x18 = MPANs (in Revenue summary)"/>
    <hyperlink ref="A36" location="'Summary'!E47" display="x19 = Revenues from unit rates (£) (in Revenue summary)"/>
    <hyperlink ref="A37" location="'Summary'!M47" display="x20 = Net revenues from unit rate 1 (£) (in Revenue summary)"/>
    <hyperlink ref="A38" location="'Summary'!N47" display="x21 = Net revenues from unit rate 2 (£) (in Revenue summary)"/>
    <hyperlink ref="A39" location="'Summary'!O47" display="x22 = Net revenues from unit rate 3 (£) (in Revenue summary)"/>
    <hyperlink ref="A40" location="'Summary'!F47" display="x23 = Revenues from fixed charges (£) (in Revenue summary)"/>
    <hyperlink ref="A41" location="'Summary'!G47" display="x24 = Revenues from capacity charges (£) (in Revenue summary)"/>
    <hyperlink ref="A42" location="'Summary'!H47" display="x25 = Revenues from exceeded capacity charges (£) (in Revenue summary)"/>
    <hyperlink ref="A43" location="'Summary'!I47" display="x26 = Revenues from reactive power charges (£) (in Revenue summary)"/>
    <hyperlink ref="A160" location="'Summary'!B47" display="x1 = 3802. All units (MWh) (in Revenue summary)"/>
    <hyperlink ref="A161" location="'Summary'!C47" display="x2 = 3802. MPANs (in Revenue summary)"/>
    <hyperlink ref="A162" location="'Summary'!D47" display="x3 = 3802. Net revenues (£) (in Revenue summary)"/>
    <hyperlink ref="A163" location="'Summary'!E47" display="x4 = 3802. Revenues from unit rates (£) (in Revenue summary)"/>
    <hyperlink ref="A164" location="'Summary'!F47" display="x5 = 3802. Revenues from fixed charges (£) (in Revenue summary)"/>
    <hyperlink ref="A165" location="'Summary'!G47" display="x6 = 3802. Revenues from capacity charges (£) (in Revenue summary)"/>
    <hyperlink ref="A166" location="'Summary'!H47" display="x7 = 3802. Revenues from exceeded capacity charges (£) (in Revenue summary)"/>
    <hyperlink ref="A167" location="'Summary'!I47" display="x8 = 3802. Revenues from reactive power charges (£) (in Revenue summary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75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40.7109375" customWidth="1"/>
    <col min="2" max="251" width="20.7109375" customWidth="1"/>
  </cols>
  <sheetData>
    <row r="1" spans="1:1" ht="21" customHeight="1">
      <c r="A1" s="1" t="str">
        <f>"Tariff matrices for "&amp;Input!B7&amp;" in "&amp;Input!C7&amp;" ("&amp;Input!D7&amp;")"</f>
        <v>Tariff matrices for Electricity North West in 2019/20 (Version 1)</v>
      </c>
    </row>
    <row r="2" spans="1:1">
      <c r="A2" s="2" t="s">
        <v>1593</v>
      </c>
    </row>
    <row r="3" spans="1:1">
      <c r="A3" s="2" t="s">
        <v>1480</v>
      </c>
    </row>
    <row r="4" spans="1:1">
      <c r="A4" s="2"/>
    </row>
    <row r="5" spans="1:1">
      <c r="A5" s="29" t="s">
        <v>180</v>
      </c>
    </row>
    <row r="6" spans="1:1">
      <c r="A6" s="29" t="s">
        <v>181</v>
      </c>
    </row>
    <row r="7" spans="1:1">
      <c r="A7" s="29" t="s">
        <v>226</v>
      </c>
    </row>
    <row r="8" spans="1:1">
      <c r="A8" s="29" t="s">
        <v>182</v>
      </c>
    </row>
    <row r="9" spans="1:1">
      <c r="A9" s="29" t="s">
        <v>183</v>
      </c>
    </row>
    <row r="10" spans="1:1">
      <c r="A10" s="29" t="s">
        <v>227</v>
      </c>
    </row>
    <row r="11" spans="1:1">
      <c r="A11" s="29" t="s">
        <v>184</v>
      </c>
    </row>
    <row r="12" spans="1:1">
      <c r="A12" s="29" t="s">
        <v>185</v>
      </c>
    </row>
    <row r="13" spans="1:1">
      <c r="A13" s="29" t="s">
        <v>205</v>
      </c>
    </row>
    <row r="14" spans="1:1">
      <c r="A14" s="29" t="s">
        <v>186</v>
      </c>
    </row>
    <row r="15" spans="1:1">
      <c r="A15" s="29" t="s">
        <v>187</v>
      </c>
    </row>
    <row r="16" spans="1:1">
      <c r="A16" s="29" t="s">
        <v>188</v>
      </c>
    </row>
    <row r="17" spans="1:1">
      <c r="A17" s="29" t="s">
        <v>189</v>
      </c>
    </row>
    <row r="18" spans="1:1">
      <c r="A18" s="29" t="s">
        <v>206</v>
      </c>
    </row>
    <row r="19" spans="1:1">
      <c r="A19" s="29" t="s">
        <v>228</v>
      </c>
    </row>
    <row r="20" spans="1:1">
      <c r="A20" s="29" t="s">
        <v>229</v>
      </c>
    </row>
    <row r="21" spans="1:1">
      <c r="A21" s="29" t="s">
        <v>230</v>
      </c>
    </row>
    <row r="22" spans="1:1">
      <c r="A22" s="29" t="s">
        <v>231</v>
      </c>
    </row>
    <row r="23" spans="1:1">
      <c r="A23" s="29" t="s">
        <v>232</v>
      </c>
    </row>
    <row r="24" spans="1:1">
      <c r="A24" s="29" t="s">
        <v>190</v>
      </c>
    </row>
    <row r="25" spans="1:1">
      <c r="A25" s="29" t="s">
        <v>191</v>
      </c>
    </row>
    <row r="26" spans="1:1">
      <c r="A26" s="29" t="s">
        <v>192</v>
      </c>
    </row>
    <row r="27" spans="1:1">
      <c r="A27" s="29" t="s">
        <v>193</v>
      </c>
    </row>
    <row r="28" spans="1:1">
      <c r="A28" s="29" t="s">
        <v>194</v>
      </c>
    </row>
    <row r="29" spans="1:1">
      <c r="A29" s="29" t="s">
        <v>195</v>
      </c>
    </row>
    <row r="30" spans="1:1">
      <c r="A30" s="29" t="s">
        <v>196</v>
      </c>
    </row>
    <row r="31" spans="1:1">
      <c r="A31" s="29" t="s">
        <v>197</v>
      </c>
    </row>
    <row r="32" spans="1:1">
      <c r="A32" s="29" t="s">
        <v>198</v>
      </c>
    </row>
    <row r="33" spans="1:7">
      <c r="A33" s="29" t="s">
        <v>199</v>
      </c>
    </row>
    <row r="34" spans="1:7">
      <c r="A34" s="29" t="s">
        <v>207</v>
      </c>
    </row>
    <row r="35" spans="1:7">
      <c r="A35" s="29" t="s">
        <v>208</v>
      </c>
    </row>
    <row r="36" spans="1:7">
      <c r="A36" s="29" t="s">
        <v>209</v>
      </c>
    </row>
    <row r="37" spans="1:7">
      <c r="A37" s="29" t="s">
        <v>210</v>
      </c>
    </row>
    <row r="39" spans="1:7" ht="21" customHeight="1">
      <c r="A39" s="1" t="s">
        <v>180</v>
      </c>
    </row>
    <row r="41" spans="1:7">
      <c r="B41" s="15" t="s">
        <v>237</v>
      </c>
      <c r="C41" s="15" t="s">
        <v>240</v>
      </c>
      <c r="D41" s="15" t="s">
        <v>1571</v>
      </c>
      <c r="E41" s="15" t="s">
        <v>1572</v>
      </c>
    </row>
    <row r="42" spans="1:7">
      <c r="A42" s="4" t="s">
        <v>180</v>
      </c>
      <c r="B42" s="41">
        <f>Loads!B$334</f>
        <v>6545364.9635519525</v>
      </c>
      <c r="C42" s="41">
        <f>Loads!E$334</f>
        <v>2065133.6971907238</v>
      </c>
      <c r="D42" s="41">
        <f>Multi!B$128</f>
        <v>6545364.9635519525</v>
      </c>
      <c r="E42" s="34">
        <f>IF(C42,D42/C42,"")</f>
        <v>3.169463058230007</v>
      </c>
      <c r="F42" s="17"/>
    </row>
    <row r="44" spans="1:7" ht="30">
      <c r="B44" s="15" t="s">
        <v>1379</v>
      </c>
      <c r="C44" s="15" t="s">
        <v>1382</v>
      </c>
      <c r="D44" s="15" t="s">
        <v>1573</v>
      </c>
      <c r="E44" s="15" t="s">
        <v>1540</v>
      </c>
      <c r="F44" s="15" t="s">
        <v>1574</v>
      </c>
    </row>
    <row r="45" spans="1:7">
      <c r="A45" s="4" t="s">
        <v>479</v>
      </c>
      <c r="B45" s="35">
        <f>Standing!$C$79</f>
        <v>0.25586168986668695</v>
      </c>
      <c r="C45" s="45">
        <f>AggCap!$C$89</f>
        <v>0</v>
      </c>
      <c r="D45" s="39">
        <f>0.01*Input!$F$60*(C45*$C$42)+10*(B45*$B$42)</f>
        <v>16747081.403686084</v>
      </c>
      <c r="E45" s="34">
        <f t="shared" ref="E45:E67" si="0">IF($D$42&lt;&gt;0,0.1*D45/$D$42,"")</f>
        <v>0.25586168986668695</v>
      </c>
      <c r="F45" s="43">
        <f t="shared" ref="F45:F67" si="1">IF($C$42&lt;&gt;0,D45/$C$42,"")</f>
        <v>8.1094417404876715</v>
      </c>
      <c r="G45" s="17"/>
    </row>
    <row r="46" spans="1:7">
      <c r="A46" s="4" t="s">
        <v>480</v>
      </c>
      <c r="B46" s="35">
        <f>Standing!$D$79</f>
        <v>0.1012074684698622</v>
      </c>
      <c r="C46" s="45">
        <f>AggCap!$D$89</f>
        <v>0</v>
      </c>
      <c r="D46" s="39">
        <f>0.01*Input!$F$60*(C46*$C$42)+10*(B46*$B$42)</f>
        <v>6624398.1817242503</v>
      </c>
      <c r="E46" s="34">
        <f t="shared" si="0"/>
        <v>0.10120746846986221</v>
      </c>
      <c r="F46" s="43">
        <f t="shared" si="1"/>
        <v>3.2077333253220646</v>
      </c>
      <c r="G46" s="17"/>
    </row>
    <row r="47" spans="1:7">
      <c r="A47" s="4" t="s">
        <v>481</v>
      </c>
      <c r="B47" s="35">
        <f>Standing!$E$79</f>
        <v>0.25008683800099535</v>
      </c>
      <c r="C47" s="45">
        <f>AggCap!$E$89</f>
        <v>0</v>
      </c>
      <c r="D47" s="39">
        <f>0.01*Input!$F$60*(C47*$C$42)+10*(B47*$B$42)</f>
        <v>16369096.272972079</v>
      </c>
      <c r="E47" s="34">
        <f t="shared" si="0"/>
        <v>0.25008683800099535</v>
      </c>
      <c r="F47" s="43">
        <f t="shared" si="1"/>
        <v>7.9264099439370694</v>
      </c>
      <c r="G47" s="17"/>
    </row>
    <row r="48" spans="1:7">
      <c r="A48" s="4" t="s">
        <v>482</v>
      </c>
      <c r="B48" s="35">
        <f>Standing!$F$79</f>
        <v>0.15775562694022249</v>
      </c>
      <c r="C48" s="45">
        <f>AggCap!$F$89</f>
        <v>0</v>
      </c>
      <c r="D48" s="39">
        <f>0.01*Input!$F$60*(C48*$C$42)+10*(B48*$B$42)</f>
        <v>10325681.533777047</v>
      </c>
      <c r="E48" s="34">
        <f t="shared" si="0"/>
        <v>0.15775562694022249</v>
      </c>
      <c r="F48" s="43">
        <f t="shared" si="1"/>
        <v>5.000006318149496</v>
      </c>
      <c r="G48" s="17"/>
    </row>
    <row r="49" spans="1:7">
      <c r="A49" s="4" t="s">
        <v>483</v>
      </c>
      <c r="B49" s="35">
        <f>Standing!$G$79</f>
        <v>0</v>
      </c>
      <c r="C49" s="45">
        <f>AggCap!$G$89</f>
        <v>0</v>
      </c>
      <c r="D49" s="39">
        <f>0.01*Input!$F$60*(C49*$C$42)+10*(B49*$B$42)</f>
        <v>0</v>
      </c>
      <c r="E49" s="34">
        <f t="shared" si="0"/>
        <v>0</v>
      </c>
      <c r="F49" s="43">
        <f t="shared" si="1"/>
        <v>0</v>
      </c>
      <c r="G49" s="17"/>
    </row>
    <row r="50" spans="1:7">
      <c r="A50" s="4" t="s">
        <v>484</v>
      </c>
      <c r="B50" s="35">
        <f>Standing!$H$79</f>
        <v>0.20048160411637819</v>
      </c>
      <c r="C50" s="45">
        <f>AggCap!$H$89</f>
        <v>0</v>
      </c>
      <c r="D50" s="39">
        <f>0.01*Input!$F$60*(C50*$C$42)+10*(B50*$B$42)</f>
        <v>13122252.674200347</v>
      </c>
      <c r="E50" s="34">
        <f t="shared" si="0"/>
        <v>0.20048160411637822</v>
      </c>
      <c r="F50" s="43">
        <f t="shared" si="1"/>
        <v>6.3541903810155356</v>
      </c>
      <c r="G50" s="17"/>
    </row>
    <row r="51" spans="1:7">
      <c r="A51" s="4" t="s">
        <v>485</v>
      </c>
      <c r="B51" s="35">
        <f>Standing!$I$79</f>
        <v>0.18202133865079548</v>
      </c>
      <c r="C51" s="45">
        <f>AggCap!$I$89</f>
        <v>0</v>
      </c>
      <c r="D51" s="39">
        <f>0.01*Input!$F$60*(C51*$C$42)+10*(B51*$B$42)</f>
        <v>11913960.926237416</v>
      </c>
      <c r="E51" s="34">
        <f t="shared" si="0"/>
        <v>0.18202133865079548</v>
      </c>
      <c r="F51" s="43">
        <f t="shared" si="1"/>
        <v>5.7690990866326999</v>
      </c>
      <c r="G51" s="17"/>
    </row>
    <row r="52" spans="1:7">
      <c r="A52" s="4" t="s">
        <v>486</v>
      </c>
      <c r="B52" s="35">
        <f>Standing!$J$79</f>
        <v>0</v>
      </c>
      <c r="C52" s="45">
        <f>AggCap!$J$89</f>
        <v>3.833111014469965E-2</v>
      </c>
      <c r="D52" s="39">
        <f>0.01*Input!$F$60*(C52*$C$42)+10*(B52*$B$42)</f>
        <v>289721.45399060729</v>
      </c>
      <c r="E52" s="34">
        <f t="shared" si="0"/>
        <v>4.4263605712428463E-3</v>
      </c>
      <c r="F52" s="43">
        <f t="shared" si="1"/>
        <v>0.14029186312960071</v>
      </c>
      <c r="G52" s="17"/>
    </row>
    <row r="53" spans="1:7">
      <c r="A53" s="4" t="s">
        <v>1575</v>
      </c>
      <c r="B53" s="10"/>
      <c r="C53" s="45">
        <f>SM!$B$118</f>
        <v>0</v>
      </c>
      <c r="D53" s="39">
        <f>0.01*Input!$F$60*(C53*$C$42)+10*(B53*$B$42)</f>
        <v>0</v>
      </c>
      <c r="E53" s="34">
        <f t="shared" si="0"/>
        <v>0</v>
      </c>
      <c r="F53" s="43">
        <f t="shared" si="1"/>
        <v>0</v>
      </c>
      <c r="G53" s="17"/>
    </row>
    <row r="54" spans="1:7">
      <c r="A54" s="4" t="s">
        <v>1576</v>
      </c>
      <c r="B54" s="10"/>
      <c r="C54" s="45">
        <f>SM!$C$118</f>
        <v>0</v>
      </c>
      <c r="D54" s="39">
        <f>0.01*Input!$F$60*(C54*$C$42)+10*(B54*$B$42)</f>
        <v>0</v>
      </c>
      <c r="E54" s="34">
        <f t="shared" si="0"/>
        <v>0</v>
      </c>
      <c r="F54" s="43">
        <f t="shared" si="1"/>
        <v>0</v>
      </c>
      <c r="G54" s="17"/>
    </row>
    <row r="55" spans="1:7">
      <c r="A55" s="4" t="s">
        <v>1577</v>
      </c>
      <c r="B55" s="35">
        <f>Standing!$K$79</f>
        <v>0.15125305119069615</v>
      </c>
      <c r="C55" s="45">
        <f>AggCap!$K$89</f>
        <v>0</v>
      </c>
      <c r="D55" s="39">
        <f>0.01*Input!$F$60*(C55*$C$42)+10*(B55*$B$42)</f>
        <v>9900064.2189391255</v>
      </c>
      <c r="E55" s="34">
        <f t="shared" si="0"/>
        <v>0.15125305119069615</v>
      </c>
      <c r="F55" s="43">
        <f t="shared" si="1"/>
        <v>4.7939095819348365</v>
      </c>
      <c r="G55" s="17"/>
    </row>
    <row r="56" spans="1:7">
      <c r="A56" s="4" t="s">
        <v>1578</v>
      </c>
      <c r="B56" s="35">
        <f>Standing!$L$79</f>
        <v>0.10077394250123216</v>
      </c>
      <c r="C56" s="45">
        <f>AggCap!$L$89</f>
        <v>0</v>
      </c>
      <c r="D56" s="39">
        <f>0.01*Input!$F$60*(C56*$C$42)+10*(B56*$B$42)</f>
        <v>6596022.3248656392</v>
      </c>
      <c r="E56" s="34">
        <f t="shared" si="0"/>
        <v>0.10077394250123216</v>
      </c>
      <c r="F56" s="43">
        <f t="shared" si="1"/>
        <v>3.1939928798985013</v>
      </c>
      <c r="G56" s="17"/>
    </row>
    <row r="57" spans="1:7">
      <c r="A57" s="4" t="s">
        <v>1579</v>
      </c>
      <c r="B57" s="35">
        <f>Standing!$M$79</f>
        <v>3.9861675319940407E-2</v>
      </c>
      <c r="C57" s="45">
        <f>AggCap!$M$89</f>
        <v>0</v>
      </c>
      <c r="D57" s="39">
        <f>0.01*Input!$F$60*(C57*$C$42)+10*(B57*$B$42)</f>
        <v>2609092.1302762153</v>
      </c>
      <c r="E57" s="34">
        <f t="shared" si="0"/>
        <v>3.9861675319940414E-2</v>
      </c>
      <c r="F57" s="43">
        <f t="shared" si="1"/>
        <v>1.2634010736570991</v>
      </c>
      <c r="G57" s="17"/>
    </row>
    <row r="58" spans="1:7">
      <c r="A58" s="4" t="s">
        <v>1580</v>
      </c>
      <c r="B58" s="35">
        <f>Standing!$N$79</f>
        <v>9.8499453537411241E-2</v>
      </c>
      <c r="C58" s="45">
        <f>AggCap!$N$89</f>
        <v>0</v>
      </c>
      <c r="D58" s="39">
        <f>0.01*Input!$F$60*(C58*$C$42)+10*(B58*$B$42)</f>
        <v>6447148.72112785</v>
      </c>
      <c r="E58" s="34">
        <f t="shared" si="0"/>
        <v>9.8499453537411241E-2</v>
      </c>
      <c r="F58" s="43">
        <f t="shared" si="1"/>
        <v>3.121903792426679</v>
      </c>
      <c r="G58" s="17"/>
    </row>
    <row r="59" spans="1:7">
      <c r="A59" s="4" t="s">
        <v>1581</v>
      </c>
      <c r="B59" s="35">
        <f>Standing!$O$79</f>
        <v>6.2133789887822033E-2</v>
      </c>
      <c r="C59" s="45">
        <f>AggCap!$O$89</f>
        <v>0</v>
      </c>
      <c r="D59" s="39">
        <f>0.01*Input!$F$60*(C59*$C$42)+10*(B59*$B$42)</f>
        <v>4066883.3138444889</v>
      </c>
      <c r="E59" s="34">
        <f t="shared" si="0"/>
        <v>6.2133789887822033E-2</v>
      </c>
      <c r="F59" s="43">
        <f t="shared" si="1"/>
        <v>1.9693075171727707</v>
      </c>
      <c r="G59" s="17"/>
    </row>
    <row r="60" spans="1:7">
      <c r="A60" s="4" t="s">
        <v>1582</v>
      </c>
      <c r="B60" s="35">
        <f>Standing!$P$79</f>
        <v>0</v>
      </c>
      <c r="C60" s="45">
        <f>AggCap!$P$89</f>
        <v>0</v>
      </c>
      <c r="D60" s="39">
        <f>0.01*Input!$F$60*(C60*$C$42)+10*(B60*$B$42)</f>
        <v>0</v>
      </c>
      <c r="E60" s="34">
        <f t="shared" si="0"/>
        <v>0</v>
      </c>
      <c r="F60" s="43">
        <f t="shared" si="1"/>
        <v>0</v>
      </c>
      <c r="G60" s="17"/>
    </row>
    <row r="61" spans="1:7">
      <c r="A61" s="4" t="s">
        <v>1583</v>
      </c>
      <c r="B61" s="35">
        <f>Standing!$Q$79</f>
        <v>0.1128026946137821</v>
      </c>
      <c r="C61" s="45">
        <f>AggCap!$Q$89</f>
        <v>0</v>
      </c>
      <c r="D61" s="39">
        <f>0.01*Input!$F$60*(C61*$C$42)+10*(B61*$B$42)</f>
        <v>7383348.0511929989</v>
      </c>
      <c r="E61" s="34">
        <f t="shared" si="0"/>
        <v>0.1128026946137821</v>
      </c>
      <c r="F61" s="43">
        <f t="shared" si="1"/>
        <v>3.5752397344718334</v>
      </c>
      <c r="G61" s="17"/>
    </row>
    <row r="62" spans="1:7">
      <c r="A62" s="4" t="s">
        <v>1584</v>
      </c>
      <c r="B62" s="35">
        <f>Standing!$R$79</f>
        <v>0.10241586786735069</v>
      </c>
      <c r="C62" s="45">
        <f>AggCap!$R$89</f>
        <v>0</v>
      </c>
      <c r="D62" s="39">
        <f>0.01*Input!$F$60*(C62*$C$42)+10*(B62*$B$42)</f>
        <v>6703492.3325072341</v>
      </c>
      <c r="E62" s="34">
        <f t="shared" si="0"/>
        <v>0.1024158678673507</v>
      </c>
      <c r="F62" s="43">
        <f t="shared" si="1"/>
        <v>3.2460330978213361</v>
      </c>
      <c r="G62" s="17"/>
    </row>
    <row r="63" spans="1:7">
      <c r="A63" s="4" t="s">
        <v>1585</v>
      </c>
      <c r="B63" s="35">
        <f>Standing!$S$79</f>
        <v>0</v>
      </c>
      <c r="C63" s="45">
        <f>AggCap!$S$89</f>
        <v>0.5032376530907513</v>
      </c>
      <c r="D63" s="39">
        <f>0.01*Input!$F$60*(C63*$C$42)+10*(B63*$B$42)</f>
        <v>3803666.1084399638</v>
      </c>
      <c r="E63" s="34">
        <f t="shared" si="0"/>
        <v>5.8112360878587899E-2</v>
      </c>
      <c r="F63" s="43">
        <f t="shared" si="1"/>
        <v>1.8418498103121501</v>
      </c>
      <c r="G63" s="17"/>
    </row>
    <row r="64" spans="1:7">
      <c r="A64" s="4" t="s">
        <v>1586</v>
      </c>
      <c r="B64" s="10"/>
      <c r="C64" s="45">
        <f>Otex!$B$121</f>
        <v>2.9888206560198993</v>
      </c>
      <c r="D64" s="39">
        <f>0.01*Input!$F$60*(C64*$C$42)+10*(B64*$B$42)</f>
        <v>22590670.160879351</v>
      </c>
      <c r="E64" s="34">
        <f t="shared" si="0"/>
        <v>0.34513996219731263</v>
      </c>
      <c r="F64" s="43">
        <f t="shared" si="1"/>
        <v>10.939083601032833</v>
      </c>
      <c r="G64" s="17"/>
    </row>
    <row r="65" spans="1:9">
      <c r="A65" s="4" t="s">
        <v>1587</v>
      </c>
      <c r="B65" s="10"/>
      <c r="C65" s="45">
        <f>Otex!$C$121</f>
        <v>0</v>
      </c>
      <c r="D65" s="39">
        <f>0.01*Input!$F$60*(C65*$C$42)+10*(B65*$B$42)</f>
        <v>0</v>
      </c>
      <c r="E65" s="34">
        <f t="shared" si="0"/>
        <v>0</v>
      </c>
      <c r="F65" s="43">
        <f t="shared" si="1"/>
        <v>0</v>
      </c>
      <c r="G65" s="17"/>
    </row>
    <row r="66" spans="1:9">
      <c r="A66" s="4" t="s">
        <v>1588</v>
      </c>
      <c r="B66" s="35">
        <f>Adder!$B$265</f>
        <v>0.57451230457623836</v>
      </c>
      <c r="C66" s="10"/>
      <c r="D66" s="39">
        <f>0.01*Input!$F$60*(C66*$C$42)+10*(B66*$B$42)</f>
        <v>37603927.095027983</v>
      </c>
      <c r="E66" s="34">
        <f t="shared" si="0"/>
        <v>0.57451230457623836</v>
      </c>
      <c r="F66" s="43">
        <f t="shared" si="1"/>
        <v>18.208955258529734</v>
      </c>
      <c r="G66" s="17"/>
    </row>
    <row r="67" spans="1:9">
      <c r="A67" s="4" t="s">
        <v>1589</v>
      </c>
      <c r="B67" s="35">
        <f>Adjust!$B$78</f>
        <v>3.3265446058639014E-4</v>
      </c>
      <c r="C67" s="45">
        <f>Adjust!$E$78</f>
        <v>-3.8941925535063149E-4</v>
      </c>
      <c r="D67" s="39">
        <f>0.01*Input!$F$60*(C67*$C$42)+10*(B67*$B$42)</f>
        <v>18830.066167706522</v>
      </c>
      <c r="E67" s="34">
        <f t="shared" si="0"/>
        <v>2.8768550375055129E-4</v>
      </c>
      <c r="F67" s="43">
        <f t="shared" si="1"/>
        <v>9.1180857652566234E-3</v>
      </c>
      <c r="G67" s="17"/>
    </row>
    <row r="69" spans="1:9">
      <c r="A69" s="4" t="s">
        <v>1590</v>
      </c>
      <c r="B69" s="34">
        <f>SUM($B$45:$B$67)</f>
        <v>2.39</v>
      </c>
      <c r="C69" s="43">
        <f>SUM($C$45:$C$67)</f>
        <v>3.53</v>
      </c>
      <c r="D69" s="39">
        <f>SUM($D$45:$D$67)</f>
        <v>183115336.96985641</v>
      </c>
      <c r="E69" s="34">
        <f>SUM($E$45:$E$67)</f>
        <v>2.7976337146903076</v>
      </c>
      <c r="F69" s="43">
        <f>SUM($F$45:$F$67)</f>
        <v>88.66996709169716</v>
      </c>
    </row>
    <row r="71" spans="1:9" ht="21" customHeight="1">
      <c r="A71" s="1" t="s">
        <v>181</v>
      </c>
    </row>
    <row r="73" spans="1:9">
      <c r="B73" s="15" t="s">
        <v>237</v>
      </c>
      <c r="C73" s="15" t="s">
        <v>238</v>
      </c>
      <c r="D73" s="15" t="s">
        <v>240</v>
      </c>
      <c r="E73" s="15" t="s">
        <v>1571</v>
      </c>
      <c r="F73" s="15" t="s">
        <v>1572</v>
      </c>
    </row>
    <row r="74" spans="1:9">
      <c r="A74" s="4" t="s">
        <v>181</v>
      </c>
      <c r="B74" s="41">
        <f>Loads!B$335</f>
        <v>471567.06951320573</v>
      </c>
      <c r="C74" s="41">
        <f>Loads!C$335</f>
        <v>467293.58719008288</v>
      </c>
      <c r="D74" s="41">
        <f>Loads!E$335</f>
        <v>179230.22544160407</v>
      </c>
      <c r="E74" s="41">
        <f>Multi!B$129</f>
        <v>938860.65670328867</v>
      </c>
      <c r="F74" s="34">
        <f>IF(D74,E74/D74,"")</f>
        <v>5.2382942351940729</v>
      </c>
      <c r="G74" s="17"/>
    </row>
    <row r="76" spans="1:9" ht="30">
      <c r="B76" s="15" t="s">
        <v>1379</v>
      </c>
      <c r="C76" s="15" t="s">
        <v>1380</v>
      </c>
      <c r="D76" s="15" t="s">
        <v>1382</v>
      </c>
      <c r="E76" s="15" t="s">
        <v>1591</v>
      </c>
      <c r="F76" s="15" t="s">
        <v>1573</v>
      </c>
      <c r="G76" s="15" t="s">
        <v>1540</v>
      </c>
      <c r="H76" s="15" t="s">
        <v>1574</v>
      </c>
    </row>
    <row r="77" spans="1:9">
      <c r="A77" s="4" t="s">
        <v>479</v>
      </c>
      <c r="B77" s="35">
        <f>Standing!$C$80</f>
        <v>0.31311052461642763</v>
      </c>
      <c r="C77" s="35">
        <f>Standing!$C$106</f>
        <v>2.9279909276869003E-2</v>
      </c>
      <c r="D77" s="45">
        <f>AggCap!$C$90</f>
        <v>0</v>
      </c>
      <c r="E77" s="34">
        <f t="shared" ref="E77:E99" si="2">IF(E$74&lt;&gt;0,(($B77*B$74+$C77*C$74))/E$74,0)</f>
        <v>0.17184118347467062</v>
      </c>
      <c r="F77" s="39">
        <f>0.01*Input!$F$60*(D77*$D$74)+10*(B77*$B$74+C77*$C$74)</f>
        <v>1613349.2636569957</v>
      </c>
      <c r="G77" s="34">
        <f t="shared" ref="G77:G99" si="3">IF($E$74&lt;&gt;0,0.1*F77/$E$74,"")</f>
        <v>0.17184118347467064</v>
      </c>
      <c r="H77" s="43">
        <f t="shared" ref="H77:H99" si="4">IF($D$74&lt;&gt;0,F77/$D$74,"")</f>
        <v>9.0015468076429404</v>
      </c>
      <c r="I77" s="17"/>
    </row>
    <row r="78" spans="1:9">
      <c r="A78" s="4" t="s">
        <v>480</v>
      </c>
      <c r="B78" s="35">
        <f>Standing!$D$80</f>
        <v>0.12385255316733929</v>
      </c>
      <c r="C78" s="35">
        <f>Standing!$D$106</f>
        <v>1.1581825698419935E-2</v>
      </c>
      <c r="D78" s="45">
        <f>AggCap!$D$90</f>
        <v>0</v>
      </c>
      <c r="E78" s="34">
        <f t="shared" si="2"/>
        <v>6.7972704969619255E-2</v>
      </c>
      <c r="F78" s="39">
        <f>0.01*Input!$F$60*(D78*$D$74)+10*(B78*$B$74+C78*$C$74)</f>
        <v>638168.98425675626</v>
      </c>
      <c r="G78" s="34">
        <f t="shared" si="3"/>
        <v>6.7972704969619255E-2</v>
      </c>
      <c r="H78" s="43">
        <f t="shared" si="4"/>
        <v>3.5606102859290405</v>
      </c>
      <c r="I78" s="17"/>
    </row>
    <row r="79" spans="1:9">
      <c r="A79" s="4" t="s">
        <v>481</v>
      </c>
      <c r="B79" s="35">
        <f>Standing!$E$80</f>
        <v>0.30525017922688308</v>
      </c>
      <c r="C79" s="35">
        <f>Standing!$E$106</f>
        <v>3.0106224424885433E-2</v>
      </c>
      <c r="D79" s="45">
        <f>AggCap!$E$90</f>
        <v>0</v>
      </c>
      <c r="E79" s="34">
        <f t="shared" si="2"/>
        <v>0.16830439849243178</v>
      </c>
      <c r="F79" s="39">
        <f>0.01*Input!$F$60*(D79*$D$74)+10*(B79*$B$74+C79*$C$74)</f>
        <v>1580143.7809465649</v>
      </c>
      <c r="G79" s="34">
        <f t="shared" si="3"/>
        <v>0.16830439849243181</v>
      </c>
      <c r="H79" s="43">
        <f t="shared" si="4"/>
        <v>8.8162796038071143</v>
      </c>
      <c r="I79" s="17"/>
    </row>
    <row r="80" spans="1:9">
      <c r="A80" s="4" t="s">
        <v>482</v>
      </c>
      <c r="B80" s="35">
        <f>Standing!$F$80</f>
        <v>0.19255284997189889</v>
      </c>
      <c r="C80" s="35">
        <f>Standing!$F$106</f>
        <v>1.8991108636160766E-2</v>
      </c>
      <c r="D80" s="45">
        <f>AggCap!$F$90</f>
        <v>0</v>
      </c>
      <c r="E80" s="34">
        <f t="shared" si="2"/>
        <v>0.10616698628843854</v>
      </c>
      <c r="F80" s="39">
        <f>0.01*Input!$F$60*(D80*$D$74)+10*(B80*$B$74+C80*$C$74)</f>
        <v>996760.06466972455</v>
      </c>
      <c r="G80" s="34">
        <f t="shared" si="3"/>
        <v>0.10616698628843856</v>
      </c>
      <c r="H80" s="43">
        <f t="shared" si="4"/>
        <v>5.561339122426558</v>
      </c>
      <c r="I80" s="17"/>
    </row>
    <row r="81" spans="1:9">
      <c r="A81" s="4" t="s">
        <v>483</v>
      </c>
      <c r="B81" s="35">
        <f>Standing!$G$80</f>
        <v>0</v>
      </c>
      <c r="C81" s="35">
        <f>Standing!$G$106</f>
        <v>0</v>
      </c>
      <c r="D81" s="45">
        <f>AggCap!$G$90</f>
        <v>0</v>
      </c>
      <c r="E81" s="34">
        <f t="shared" si="2"/>
        <v>0</v>
      </c>
      <c r="F81" s="39">
        <f>0.01*Input!$F$60*(D81*$D$74)+10*(B81*$B$74+C81*$C$74)</f>
        <v>0</v>
      </c>
      <c r="G81" s="34">
        <f t="shared" si="3"/>
        <v>0</v>
      </c>
      <c r="H81" s="43">
        <f t="shared" si="4"/>
        <v>0</v>
      </c>
      <c r="I81" s="17"/>
    </row>
    <row r="82" spans="1:9">
      <c r="A82" s="4" t="s">
        <v>484</v>
      </c>
      <c r="B82" s="35">
        <f>Standing!$H$80</f>
        <v>0.24470318421145343</v>
      </c>
      <c r="C82" s="35">
        <f>Standing!$H$106</f>
        <v>2.413459346694885E-2</v>
      </c>
      <c r="D82" s="45">
        <f>AggCap!$H$90</f>
        <v>0</v>
      </c>
      <c r="E82" s="34">
        <f t="shared" si="2"/>
        <v>0.13492087812102521</v>
      </c>
      <c r="F82" s="39">
        <f>0.01*Input!$F$60*(D82*$D$74)+10*(B82*$B$74+C82*$C$74)</f>
        <v>1266719.0423569011</v>
      </c>
      <c r="G82" s="34">
        <f t="shared" si="3"/>
        <v>0.13492087812102524</v>
      </c>
      <c r="H82" s="43">
        <f t="shared" si="4"/>
        <v>7.0675525806868853</v>
      </c>
      <c r="I82" s="17"/>
    </row>
    <row r="83" spans="1:9">
      <c r="A83" s="4" t="s">
        <v>485</v>
      </c>
      <c r="B83" s="35">
        <f>Standing!$I$80</f>
        <v>0.22217101343834572</v>
      </c>
      <c r="C83" s="35">
        <f>Standing!$I$106</f>
        <v>2.1912289808378928E-2</v>
      </c>
      <c r="D83" s="45">
        <f>AggCap!$I$90</f>
        <v>0</v>
      </c>
      <c r="E83" s="34">
        <f t="shared" si="2"/>
        <v>0.12249741793403555</v>
      </c>
      <c r="F83" s="39">
        <f>0.01*Input!$F$60*(D83*$D$74)+10*(B83*$B$74+C83*$C$74)</f>
        <v>1150080.0624600584</v>
      </c>
      <c r="G83" s="34">
        <f t="shared" si="3"/>
        <v>0.12249741793403557</v>
      </c>
      <c r="H83" s="43">
        <f t="shared" si="4"/>
        <v>6.4167751819001753</v>
      </c>
      <c r="I83" s="17"/>
    </row>
    <row r="84" spans="1:9">
      <c r="A84" s="4" t="s">
        <v>486</v>
      </c>
      <c r="B84" s="35">
        <f>Standing!$J$80</f>
        <v>0</v>
      </c>
      <c r="C84" s="35">
        <f>Standing!$J$106</f>
        <v>0</v>
      </c>
      <c r="D84" s="45">
        <f>AggCap!$J$90</f>
        <v>3.833111014469965E-2</v>
      </c>
      <c r="E84" s="34">
        <f t="shared" si="2"/>
        <v>0</v>
      </c>
      <c r="F84" s="39">
        <f>0.01*Input!$F$60*(D84*$D$74)+10*(B84*$B$74+C84*$C$74)</f>
        <v>25144.542256340999</v>
      </c>
      <c r="G84" s="34">
        <f t="shared" si="3"/>
        <v>2.6781974595285994E-3</v>
      </c>
      <c r="H84" s="43">
        <f t="shared" si="4"/>
        <v>0.14029186312960074</v>
      </c>
      <c r="I84" s="17"/>
    </row>
    <row r="85" spans="1:9">
      <c r="A85" s="4" t="s">
        <v>1575</v>
      </c>
      <c r="B85" s="10"/>
      <c r="C85" s="10"/>
      <c r="D85" s="45">
        <f>SM!$B$119</f>
        <v>0</v>
      </c>
      <c r="E85" s="34">
        <f t="shared" si="2"/>
        <v>0</v>
      </c>
      <c r="F85" s="39">
        <f>0.01*Input!$F$60*(D85*$D$74)+10*(B85*$B$74+C85*$C$74)</f>
        <v>0</v>
      </c>
      <c r="G85" s="34">
        <f t="shared" si="3"/>
        <v>0</v>
      </c>
      <c r="H85" s="43">
        <f t="shared" si="4"/>
        <v>0</v>
      </c>
      <c r="I85" s="17"/>
    </row>
    <row r="86" spans="1:9">
      <c r="A86" s="4" t="s">
        <v>1576</v>
      </c>
      <c r="B86" s="10"/>
      <c r="C86" s="10"/>
      <c r="D86" s="45">
        <f>SM!$C$119</f>
        <v>0</v>
      </c>
      <c r="E86" s="34">
        <f t="shared" si="2"/>
        <v>0</v>
      </c>
      <c r="F86" s="39">
        <f>0.01*Input!$F$60*(D86*$D$74)+10*(B86*$B$74+C86*$C$74)</f>
        <v>0</v>
      </c>
      <c r="G86" s="34">
        <f t="shared" si="3"/>
        <v>0</v>
      </c>
      <c r="H86" s="43">
        <f t="shared" si="4"/>
        <v>0</v>
      </c>
      <c r="I86" s="17"/>
    </row>
    <row r="87" spans="1:9">
      <c r="A87" s="4" t="s">
        <v>1577</v>
      </c>
      <c r="B87" s="35">
        <f>Standing!$K$80</f>
        <v>0.1868196198240295</v>
      </c>
      <c r="C87" s="35">
        <f>Standing!$K$106</f>
        <v>3.5252266933299622E-3</v>
      </c>
      <c r="D87" s="45">
        <f>AggCap!$K$90</f>
        <v>0</v>
      </c>
      <c r="E87" s="34">
        <f t="shared" si="2"/>
        <v>9.5589580662911608E-2</v>
      </c>
      <c r="F87" s="39">
        <f>0.01*Input!$F$60*(D87*$D$74)+10*(B87*$B$74+C87*$C$74)</f>
        <v>897452.96475173184</v>
      </c>
      <c r="G87" s="34">
        <f t="shared" si="3"/>
        <v>9.5589580662911622E-2</v>
      </c>
      <c r="H87" s="43">
        <f t="shared" si="4"/>
        <v>5.0072634933114877</v>
      </c>
      <c r="I87" s="17"/>
    </row>
    <row r="88" spans="1:9">
      <c r="A88" s="4" t="s">
        <v>1578</v>
      </c>
      <c r="B88" s="35">
        <f>Standing!$L$80</f>
        <v>0.12332202613320874</v>
      </c>
      <c r="C88" s="35">
        <f>Standing!$L$106</f>
        <v>1.153221451576391E-2</v>
      </c>
      <c r="D88" s="45">
        <f>AggCap!$L$90</f>
        <v>0</v>
      </c>
      <c r="E88" s="34">
        <f t="shared" si="2"/>
        <v>6.7681541350887553E-2</v>
      </c>
      <c r="F88" s="39">
        <f>0.01*Input!$F$60*(D88*$D$74)+10*(B88*$B$74+C88*$C$74)</f>
        <v>635435.36359385075</v>
      </c>
      <c r="G88" s="34">
        <f t="shared" si="3"/>
        <v>6.7681541350887553E-2</v>
      </c>
      <c r="H88" s="43">
        <f t="shared" si="4"/>
        <v>3.5453582788740352</v>
      </c>
      <c r="I88" s="17"/>
    </row>
    <row r="89" spans="1:9">
      <c r="A89" s="4" t="s">
        <v>1579</v>
      </c>
      <c r="B89" s="35">
        <f>Standing!$M$80</f>
        <v>4.8780691153956474E-2</v>
      </c>
      <c r="C89" s="35">
        <f>Standing!$M$106</f>
        <v>4.5616295178851837E-3</v>
      </c>
      <c r="D89" s="45">
        <f>AggCap!$M$90</f>
        <v>0</v>
      </c>
      <c r="E89" s="34">
        <f t="shared" si="2"/>
        <v>2.6771797942203308E-2</v>
      </c>
      <c r="F89" s="39">
        <f>0.01*Input!$F$60*(D89*$D$74)+10*(B89*$B$74+C89*$C$74)</f>
        <v>251349.87797144748</v>
      </c>
      <c r="G89" s="34">
        <f t="shared" si="3"/>
        <v>2.6771797942203308E-2</v>
      </c>
      <c r="H89" s="43">
        <f t="shared" si="4"/>
        <v>1.4023855482642413</v>
      </c>
      <c r="I89" s="17"/>
    </row>
    <row r="90" spans="1:9">
      <c r="A90" s="4" t="s">
        <v>1580</v>
      </c>
      <c r="B90" s="35">
        <f>Standing!$N$80</f>
        <v>0.12022614259261885</v>
      </c>
      <c r="C90" s="35">
        <f>Standing!$N$106</f>
        <v>1.1857667831019863E-2</v>
      </c>
      <c r="D90" s="45">
        <f>AggCap!$N$90</f>
        <v>0</v>
      </c>
      <c r="E90" s="34">
        <f t="shared" si="2"/>
        <v>6.628853966069681E-2</v>
      </c>
      <c r="F90" s="39">
        <f>0.01*Input!$F$60*(D90*$D$74)+10*(B90*$B$74+C90*$C$74)</f>
        <v>622357.01877743797</v>
      </c>
      <c r="G90" s="34">
        <f t="shared" si="3"/>
        <v>6.628853966069681E-2</v>
      </c>
      <c r="H90" s="43">
        <f t="shared" si="4"/>
        <v>3.4723887516406173</v>
      </c>
      <c r="I90" s="17"/>
    </row>
    <row r="91" spans="1:9">
      <c r="A91" s="4" t="s">
        <v>1581</v>
      </c>
      <c r="B91" s="35">
        <f>Standing!$O$80</f>
        <v>7.5839059148037596E-2</v>
      </c>
      <c r="C91" s="35">
        <f>Standing!$O$106</f>
        <v>7.4798571475560918E-3</v>
      </c>
      <c r="D91" s="45">
        <f>AggCap!$O$90</f>
        <v>0</v>
      </c>
      <c r="E91" s="34">
        <f t="shared" si="2"/>
        <v>4.1815035995950378E-2</v>
      </c>
      <c r="F91" s="39">
        <f>0.01*Input!$F$60*(D91*$D$74)+10*(B91*$B$74+C91*$C$74)</f>
        <v>392584.92155229626</v>
      </c>
      <c r="G91" s="34">
        <f t="shared" si="3"/>
        <v>4.1815035995950378E-2</v>
      </c>
      <c r="H91" s="43">
        <f t="shared" si="4"/>
        <v>2.1903946200201951</v>
      </c>
      <c r="I91" s="17"/>
    </row>
    <row r="92" spans="1:9">
      <c r="A92" s="4" t="s">
        <v>1582</v>
      </c>
      <c r="B92" s="35">
        <f>Standing!$P$80</f>
        <v>0</v>
      </c>
      <c r="C92" s="35">
        <f>Standing!$P$106</f>
        <v>0</v>
      </c>
      <c r="D92" s="45">
        <f>AggCap!$P$90</f>
        <v>0</v>
      </c>
      <c r="E92" s="34">
        <f t="shared" si="2"/>
        <v>0</v>
      </c>
      <c r="F92" s="39">
        <f>0.01*Input!$F$60*(D92*$D$74)+10*(B92*$B$74+C92*$C$74)</f>
        <v>0</v>
      </c>
      <c r="G92" s="34">
        <f t="shared" si="3"/>
        <v>0</v>
      </c>
      <c r="H92" s="43">
        <f t="shared" si="4"/>
        <v>0</v>
      </c>
      <c r="I92" s="17"/>
    </row>
    <row r="93" spans="1:9">
      <c r="A93" s="4" t="s">
        <v>1583</v>
      </c>
      <c r="B93" s="35">
        <f>Standing!$Q$80</f>
        <v>0.13768434605900901</v>
      </c>
      <c r="C93" s="35">
        <f>Standing!$Q$106</f>
        <v>1.3579536080026827E-2</v>
      </c>
      <c r="D93" s="45">
        <f>AggCap!$Q$90</f>
        <v>0</v>
      </c>
      <c r="E93" s="34">
        <f t="shared" si="2"/>
        <v>7.5914389645817829E-2</v>
      </c>
      <c r="F93" s="39">
        <f>0.01*Input!$F$60*(D93*$D$74)+10*(B93*$B$74+C93*$C$74)</f>
        <v>712730.33716101875</v>
      </c>
      <c r="G93" s="34">
        <f t="shared" si="3"/>
        <v>7.5914389645817842E-2</v>
      </c>
      <c r="H93" s="43">
        <f t="shared" si="4"/>
        <v>3.9766190964996424</v>
      </c>
      <c r="I93" s="17"/>
    </row>
    <row r="94" spans="1:9">
      <c r="A94" s="4" t="s">
        <v>1584</v>
      </c>
      <c r="B94" s="35">
        <f>Standing!$R$80</f>
        <v>0.12500642685586341</v>
      </c>
      <c r="C94" s="35">
        <f>Standing!$R$106</f>
        <v>1.2329137859992458E-2</v>
      </c>
      <c r="D94" s="45">
        <f>AggCap!$R$90</f>
        <v>0</v>
      </c>
      <c r="E94" s="34">
        <f t="shared" si="2"/>
        <v>6.8924223182933897E-2</v>
      </c>
      <c r="F94" s="39">
        <f>0.01*Input!$F$60*(D94*$D$74)+10*(B94*$B$74+C94*$C$74)</f>
        <v>647102.41440293356</v>
      </c>
      <c r="G94" s="34">
        <f t="shared" si="3"/>
        <v>6.8924223182933897E-2</v>
      </c>
      <c r="H94" s="43">
        <f t="shared" si="4"/>
        <v>3.6104536096439235</v>
      </c>
      <c r="I94" s="17"/>
    </row>
    <row r="95" spans="1:9">
      <c r="A95" s="4" t="s">
        <v>1585</v>
      </c>
      <c r="B95" s="35">
        <f>Standing!$S$80</f>
        <v>0</v>
      </c>
      <c r="C95" s="35">
        <f>Standing!$S$106</f>
        <v>0</v>
      </c>
      <c r="D95" s="45">
        <f>AggCap!$S$90</f>
        <v>0.5032376530907513</v>
      </c>
      <c r="E95" s="34">
        <f t="shared" si="2"/>
        <v>0</v>
      </c>
      <c r="F95" s="39">
        <f>0.01*Input!$F$60*(D95*$D$74)+10*(B95*$B$74+C95*$C$74)</f>
        <v>330115.15673182235</v>
      </c>
      <c r="G95" s="34">
        <f t="shared" si="3"/>
        <v>3.5161251499342544E-2</v>
      </c>
      <c r="H95" s="43">
        <f t="shared" si="4"/>
        <v>1.8418498103121501</v>
      </c>
      <c r="I95" s="17"/>
    </row>
    <row r="96" spans="1:9">
      <c r="A96" s="4" t="s">
        <v>1586</v>
      </c>
      <c r="B96" s="10"/>
      <c r="C96" s="10"/>
      <c r="D96" s="45">
        <f>Otex!$B$122</f>
        <v>2.9888206560198993</v>
      </c>
      <c r="E96" s="34">
        <f t="shared" si="2"/>
        <v>0</v>
      </c>
      <c r="F96" s="39">
        <f>0.01*Input!$F$60*(D96*$D$74)+10*(B96*$B$74+C96*$C$74)</f>
        <v>1960614.4199376684</v>
      </c>
      <c r="G96" s="34">
        <f t="shared" si="3"/>
        <v>0.20882911707283183</v>
      </c>
      <c r="H96" s="43">
        <f t="shared" si="4"/>
        <v>10.939083601032831</v>
      </c>
      <c r="I96" s="17"/>
    </row>
    <row r="97" spans="1:9">
      <c r="A97" s="4" t="s">
        <v>1587</v>
      </c>
      <c r="B97" s="10"/>
      <c r="C97" s="10"/>
      <c r="D97" s="45">
        <f>Otex!$C$122</f>
        <v>0</v>
      </c>
      <c r="E97" s="34">
        <f t="shared" si="2"/>
        <v>0</v>
      </c>
      <c r="F97" s="39">
        <f>0.01*Input!$F$60*(D97*$D$74)+10*(B97*$B$74+C97*$C$74)</f>
        <v>0</v>
      </c>
      <c r="G97" s="34">
        <f t="shared" si="3"/>
        <v>0</v>
      </c>
      <c r="H97" s="43">
        <f t="shared" si="4"/>
        <v>0</v>
      </c>
      <c r="I97" s="17"/>
    </row>
    <row r="98" spans="1:9">
      <c r="A98" s="4" t="s">
        <v>1588</v>
      </c>
      <c r="B98" s="35">
        <f>Adder!$B$266</f>
        <v>0.57451230457623836</v>
      </c>
      <c r="C98" s="35">
        <f>Adder!$C$266</f>
        <v>0.57451230457623836</v>
      </c>
      <c r="D98" s="10"/>
      <c r="E98" s="34">
        <f t="shared" si="2"/>
        <v>0.57451230457623825</v>
      </c>
      <c r="F98" s="39">
        <f>0.01*Input!$F$60*(D98*$D$74)+10*(B98*$B$74+C98*$C$74)</f>
        <v>5393869.9955856688</v>
      </c>
      <c r="G98" s="34">
        <f t="shared" si="3"/>
        <v>0.57451230457623836</v>
      </c>
      <c r="H98" s="43">
        <f t="shared" si="4"/>
        <v>30.094644931097704</v>
      </c>
      <c r="I98" s="17"/>
    </row>
    <row r="99" spans="1:9">
      <c r="A99" s="4" t="s">
        <v>1589</v>
      </c>
      <c r="B99" s="35">
        <f>Adjust!$B$79</f>
        <v>1.690790246899887E-4</v>
      </c>
      <c r="C99" s="35">
        <f>Adjust!$C$79</f>
        <v>-3.8352553347553719E-4</v>
      </c>
      <c r="D99" s="45">
        <f>Adjust!$E$79</f>
        <v>-3.8941925535063149E-4</v>
      </c>
      <c r="E99" s="34">
        <f t="shared" si="2"/>
        <v>-1.0596558862835196E-4</v>
      </c>
      <c r="F99" s="39">
        <f>0.01*Input!$F$60*(D99*$D$74)+10*(B99*$B$74+C99*$C$74)</f>
        <v>-1250.3214866713811</v>
      </c>
      <c r="G99" s="34">
        <f t="shared" si="3"/>
        <v>-1.3317434038207063E-4</v>
      </c>
      <c r="H99" s="43">
        <f t="shared" si="4"/>
        <v>-6.9760637949917376E-3</v>
      </c>
      <c r="I99" s="17"/>
    </row>
    <row r="101" spans="1:9">
      <c r="A101" s="4" t="s">
        <v>1590</v>
      </c>
      <c r="B101" s="34">
        <f>SUM($B$77:$B$99)</f>
        <v>2.794</v>
      </c>
      <c r="C101" s="34">
        <f>SUM($C$77:$C$99)</f>
        <v>0.77500000000000002</v>
      </c>
      <c r="D101" s="43">
        <f>SUM($D$77:$D$99)</f>
        <v>3.53</v>
      </c>
      <c r="E101" s="34">
        <f>SUM(E$77:E$99)</f>
        <v>1.7890950167092321</v>
      </c>
      <c r="F101" s="39">
        <f>SUM($F$77:$F$99)</f>
        <v>19112727.889582548</v>
      </c>
      <c r="G101" s="34">
        <f>SUM($G$77:$G$99)</f>
        <v>2.0357363739891818</v>
      </c>
      <c r="H101" s="43">
        <f>SUM($H$77:$H$99)</f>
        <v>106.63786112242416</v>
      </c>
    </row>
    <row r="103" spans="1:9" ht="21" customHeight="1">
      <c r="A103" s="1" t="s">
        <v>226</v>
      </c>
    </row>
    <row r="105" spans="1:9">
      <c r="B105" s="15" t="s">
        <v>237</v>
      </c>
      <c r="C105" s="15" t="s">
        <v>1571</v>
      </c>
    </row>
    <row r="106" spans="1:9">
      <c r="A106" s="4" t="s">
        <v>226</v>
      </c>
      <c r="B106" s="41">
        <f>Loads!B$336</f>
        <v>14279.502094378502</v>
      </c>
      <c r="C106" s="41">
        <f>Multi!B$130</f>
        <v>14279.502094378502</v>
      </c>
      <c r="D106" s="17"/>
    </row>
    <row r="108" spans="1:9">
      <c r="B108" s="15" t="s">
        <v>1379</v>
      </c>
      <c r="C108" s="15" t="s">
        <v>1573</v>
      </c>
      <c r="D108" s="15" t="s">
        <v>1540</v>
      </c>
    </row>
    <row r="109" spans="1:9">
      <c r="A109" s="4" t="s">
        <v>479</v>
      </c>
      <c r="B109" s="35">
        <f>Standing!$C$81</f>
        <v>3.3131530565176905E-2</v>
      </c>
      <c r="C109" s="39">
        <f t="shared" ref="C109:C127" si="5">0+10*(B109*$B$106)</f>
        <v>4731.0176009540901</v>
      </c>
      <c r="D109" s="34">
        <f t="shared" ref="D109:D127" si="6">IF($C$106&lt;&gt;0,0.1*C109/$C$106,"")</f>
        <v>3.3131530565176912E-2</v>
      </c>
      <c r="E109" s="17"/>
    </row>
    <row r="110" spans="1:9">
      <c r="A110" s="4" t="s">
        <v>480</v>
      </c>
      <c r="B110" s="35">
        <f>Standing!$D$81</f>
        <v>1.3105355228367846E-2</v>
      </c>
      <c r="C110" s="39">
        <f t="shared" si="5"/>
        <v>1871.3794743105291</v>
      </c>
      <c r="D110" s="34">
        <f t="shared" si="6"/>
        <v>1.3105355228367846E-2</v>
      </c>
      <c r="E110" s="17"/>
    </row>
    <row r="111" spans="1:9">
      <c r="A111" s="4" t="s">
        <v>481</v>
      </c>
      <c r="B111" s="35">
        <f>Standing!$E$81</f>
        <v>3.7226451863997527E-2</v>
      </c>
      <c r="C111" s="39">
        <f t="shared" si="5"/>
        <v>5315.7519735823316</v>
      </c>
      <c r="D111" s="34">
        <f t="shared" si="6"/>
        <v>3.7226451863997527E-2</v>
      </c>
      <c r="E111" s="17"/>
    </row>
    <row r="112" spans="1:9">
      <c r="A112" s="4" t="s">
        <v>482</v>
      </c>
      <c r="B112" s="35">
        <f>Standing!$F$81</f>
        <v>2.3482572291715614E-2</v>
      </c>
      <c r="C112" s="39">
        <f t="shared" si="5"/>
        <v>3353.1944022094767</v>
      </c>
      <c r="D112" s="34">
        <f t="shared" si="6"/>
        <v>2.3482572291715614E-2</v>
      </c>
      <c r="E112" s="17"/>
    </row>
    <row r="113" spans="1:5">
      <c r="A113" s="4" t="s">
        <v>483</v>
      </c>
      <c r="B113" s="35">
        <f>Standing!$G$81</f>
        <v>0</v>
      </c>
      <c r="C113" s="39">
        <f t="shared" si="5"/>
        <v>0</v>
      </c>
      <c r="D113" s="34">
        <f t="shared" si="6"/>
        <v>0</v>
      </c>
      <c r="E113" s="17"/>
    </row>
    <row r="114" spans="1:5">
      <c r="A114" s="4" t="s">
        <v>484</v>
      </c>
      <c r="B114" s="35">
        <f>Standing!$H$81</f>
        <v>2.9842509285617255E-2</v>
      </c>
      <c r="C114" s="39">
        <f t="shared" si="5"/>
        <v>4261.3617384548152</v>
      </c>
      <c r="D114" s="34">
        <f t="shared" si="6"/>
        <v>2.9842509285617259E-2</v>
      </c>
      <c r="E114" s="17"/>
    </row>
    <row r="115" spans="1:5">
      <c r="A115" s="4" t="s">
        <v>485</v>
      </c>
      <c r="B115" s="35">
        <f>Standing!$I$81</f>
        <v>2.7094623034408807E-2</v>
      </c>
      <c r="C115" s="39">
        <f t="shared" si="5"/>
        <v>3868.9772636623657</v>
      </c>
      <c r="D115" s="34">
        <f t="shared" si="6"/>
        <v>2.7094623034408811E-2</v>
      </c>
      <c r="E115" s="17"/>
    </row>
    <row r="116" spans="1:5">
      <c r="A116" s="4" t="s">
        <v>486</v>
      </c>
      <c r="B116" s="35">
        <f>Standing!$J$81</f>
        <v>0</v>
      </c>
      <c r="C116" s="39">
        <f t="shared" si="5"/>
        <v>0</v>
      </c>
      <c r="D116" s="34">
        <f t="shared" si="6"/>
        <v>0</v>
      </c>
      <c r="E116" s="17"/>
    </row>
    <row r="117" spans="1:5">
      <c r="A117" s="4" t="s">
        <v>1577</v>
      </c>
      <c r="B117" s="35">
        <f>Standing!$K$81</f>
        <v>9.059305673483552E-3</v>
      </c>
      <c r="C117" s="39">
        <f t="shared" si="5"/>
        <v>1293.6237433812344</v>
      </c>
      <c r="D117" s="34">
        <f t="shared" si="6"/>
        <v>9.059305673483552E-3</v>
      </c>
      <c r="E117" s="17"/>
    </row>
    <row r="118" spans="1:5">
      <c r="A118" s="4" t="s">
        <v>1578</v>
      </c>
      <c r="B118" s="35">
        <f>Standing!$L$81</f>
        <v>1.3049217950106499E-2</v>
      </c>
      <c r="C118" s="39">
        <f t="shared" si="5"/>
        <v>1863.3633504854729</v>
      </c>
      <c r="D118" s="34">
        <f t="shared" si="6"/>
        <v>1.3049217950106501E-2</v>
      </c>
      <c r="E118" s="17"/>
    </row>
    <row r="119" spans="1:5">
      <c r="A119" s="4" t="s">
        <v>1579</v>
      </c>
      <c r="B119" s="35">
        <f>Standing!$M$81</f>
        <v>5.1616883908250748E-3</v>
      </c>
      <c r="C119" s="39">
        <f t="shared" si="5"/>
        <v>737.06340187315857</v>
      </c>
      <c r="D119" s="34">
        <f t="shared" si="6"/>
        <v>5.1616883908250748E-3</v>
      </c>
      <c r="E119" s="17"/>
    </row>
    <row r="120" spans="1:5">
      <c r="A120" s="4" t="s">
        <v>1580</v>
      </c>
      <c r="B120" s="35">
        <f>Standing!$N$81</f>
        <v>1.466204777128618E-2</v>
      </c>
      <c r="C120" s="39">
        <f t="shared" si="5"/>
        <v>2093.6674185795864</v>
      </c>
      <c r="D120" s="34">
        <f t="shared" si="6"/>
        <v>1.466204777128618E-2</v>
      </c>
      <c r="E120" s="17"/>
    </row>
    <row r="121" spans="1:5">
      <c r="A121" s="4" t="s">
        <v>1581</v>
      </c>
      <c r="B121" s="35">
        <f>Standing!$O$81</f>
        <v>9.2488695401776334E-3</v>
      </c>
      <c r="C121" s="39">
        <f t="shared" si="5"/>
        <v>1320.6925196960005</v>
      </c>
      <c r="D121" s="34">
        <f t="shared" si="6"/>
        <v>9.2488695401776334E-3</v>
      </c>
      <c r="E121" s="17"/>
    </row>
    <row r="122" spans="1:5">
      <c r="A122" s="4" t="s">
        <v>1582</v>
      </c>
      <c r="B122" s="35">
        <f>Standing!$P$81</f>
        <v>0</v>
      </c>
      <c r="C122" s="39">
        <f t="shared" si="5"/>
        <v>0</v>
      </c>
      <c r="D122" s="34">
        <f t="shared" si="6"/>
        <v>0</v>
      </c>
      <c r="E122" s="17"/>
    </row>
    <row r="123" spans="1:5">
      <c r="A123" s="4" t="s">
        <v>1583</v>
      </c>
      <c r="B123" s="35">
        <f>Standing!$Q$81</f>
        <v>1.6791143887198337E-2</v>
      </c>
      <c r="C123" s="39">
        <f t="shared" si="5"/>
        <v>2397.6917430425942</v>
      </c>
      <c r="D123" s="34">
        <f t="shared" si="6"/>
        <v>1.6791143887198337E-2</v>
      </c>
      <c r="E123" s="17"/>
    </row>
    <row r="124" spans="1:5">
      <c r="A124" s="4" t="s">
        <v>1584</v>
      </c>
      <c r="B124" s="35">
        <f>Standing!$R$81</f>
        <v>1.5245022112112464E-2</v>
      </c>
      <c r="C124" s="39">
        <f t="shared" si="5"/>
        <v>2176.9132517875651</v>
      </c>
      <c r="D124" s="34">
        <f t="shared" si="6"/>
        <v>1.5245022112112466E-2</v>
      </c>
      <c r="E124" s="17"/>
    </row>
    <row r="125" spans="1:5">
      <c r="A125" s="4" t="s">
        <v>1585</v>
      </c>
      <c r="B125" s="35">
        <f>Standing!$S$81</f>
        <v>0</v>
      </c>
      <c r="C125" s="39">
        <f t="shared" si="5"/>
        <v>0</v>
      </c>
      <c r="D125" s="34">
        <f t="shared" si="6"/>
        <v>0</v>
      </c>
      <c r="E125" s="17"/>
    </row>
    <row r="126" spans="1:5">
      <c r="A126" s="4" t="s">
        <v>1588</v>
      </c>
      <c r="B126" s="35">
        <f>Adder!$B$267</f>
        <v>0.57451230457623836</v>
      </c>
      <c r="C126" s="39">
        <f t="shared" si="5"/>
        <v>82037.496564426168</v>
      </c>
      <c r="D126" s="34">
        <f t="shared" si="6"/>
        <v>0.57451230457623848</v>
      </c>
      <c r="E126" s="17"/>
    </row>
    <row r="127" spans="1:5">
      <c r="A127" s="4" t="s">
        <v>1589</v>
      </c>
      <c r="B127" s="35">
        <f>Adjust!$B$80</f>
        <v>3.873578292878932E-4</v>
      </c>
      <c r="C127" s="39">
        <f t="shared" si="5"/>
        <v>55.31276934590381</v>
      </c>
      <c r="D127" s="34">
        <f t="shared" si="6"/>
        <v>3.873578292878932E-4</v>
      </c>
      <c r="E127" s="17"/>
    </row>
    <row r="129" spans="1:7">
      <c r="A129" s="4" t="s">
        <v>1590</v>
      </c>
      <c r="B129" s="34">
        <f>SUM($B$109:$B$127)</f>
        <v>0.82199999999999995</v>
      </c>
      <c r="C129" s="39">
        <f>SUM($C$109:$C$127)</f>
        <v>117377.50721579129</v>
      </c>
      <c r="D129" s="34">
        <f>SUM($D$109:$D$127)</f>
        <v>0.82200000000000006</v>
      </c>
    </row>
    <row r="131" spans="1:7" ht="21" customHeight="1">
      <c r="A131" s="1" t="s">
        <v>182</v>
      </c>
    </row>
    <row r="133" spans="1:7">
      <c r="B133" s="15" t="s">
        <v>237</v>
      </c>
      <c r="C133" s="15" t="s">
        <v>240</v>
      </c>
      <c r="D133" s="15" t="s">
        <v>1571</v>
      </c>
      <c r="E133" s="15" t="s">
        <v>1572</v>
      </c>
    </row>
    <row r="134" spans="1:7">
      <c r="A134" s="4" t="s">
        <v>182</v>
      </c>
      <c r="B134" s="41">
        <f>Loads!B$337</f>
        <v>1501503.189157428</v>
      </c>
      <c r="C134" s="41">
        <f>Loads!E$337</f>
        <v>122276.7197336002</v>
      </c>
      <c r="D134" s="41">
        <f>Multi!B$131</f>
        <v>1501503.189157428</v>
      </c>
      <c r="E134" s="34">
        <f>IF(C134,D134/C134,"")</f>
        <v>12.279550779810727</v>
      </c>
      <c r="F134" s="17"/>
    </row>
    <row r="136" spans="1:7" ht="30">
      <c r="B136" s="15" t="s">
        <v>1379</v>
      </c>
      <c r="C136" s="15" t="s">
        <v>1382</v>
      </c>
      <c r="D136" s="15" t="s">
        <v>1573</v>
      </c>
      <c r="E136" s="15" t="s">
        <v>1540</v>
      </c>
      <c r="F136" s="15" t="s">
        <v>1574</v>
      </c>
    </row>
    <row r="137" spans="1:7">
      <c r="A137" s="4" t="s">
        <v>479</v>
      </c>
      <c r="B137" s="35">
        <f>Standing!$C$82</f>
        <v>0.23072053245775298</v>
      </c>
      <c r="C137" s="45">
        <f>AggCap!$C$91</f>
        <v>0</v>
      </c>
      <c r="D137" s="39">
        <f>0.01*Input!$F$60*(C137*$C$134)+10*(B137*$B$134)</f>
        <v>3464276.1528941598</v>
      </c>
      <c r="E137" s="34">
        <f t="shared" ref="E137:E159" si="7">IF($D$134&lt;&gt;0,0.1*D137/$D$134,"")</f>
        <v>0.23072053245775298</v>
      </c>
      <c r="F137" s="43">
        <f t="shared" ref="F137:F159" si="8">IF($C$134&lt;&gt;0,D137/$C$134,"")</f>
        <v>28.331444942599468</v>
      </c>
      <c r="G137" s="17"/>
    </row>
    <row r="138" spans="1:7">
      <c r="A138" s="4" t="s">
        <v>480</v>
      </c>
      <c r="B138" s="35">
        <f>Standing!$D$82</f>
        <v>9.1262748347493414E-2</v>
      </c>
      <c r="C138" s="45">
        <f>AggCap!$D$91</f>
        <v>0</v>
      </c>
      <c r="D138" s="39">
        <f>0.01*Input!$F$60*(C138*$C$134)+10*(B138*$B$134)</f>
        <v>1370313.0769503315</v>
      </c>
      <c r="E138" s="34">
        <f t="shared" si="7"/>
        <v>9.1262748347493414E-2</v>
      </c>
      <c r="F138" s="43">
        <f t="shared" si="8"/>
        <v>11.206655526381327</v>
      </c>
      <c r="G138" s="17"/>
    </row>
    <row r="139" spans="1:7">
      <c r="A139" s="4" t="s">
        <v>481</v>
      </c>
      <c r="B139" s="35">
        <f>Standing!$E$82</f>
        <v>0.23598399340128612</v>
      </c>
      <c r="C139" s="45">
        <f>AggCap!$E$91</f>
        <v>0</v>
      </c>
      <c r="D139" s="39">
        <f>0.01*Input!$F$60*(C139*$C$134)+10*(B139*$B$134)</f>
        <v>3543307.1868213657</v>
      </c>
      <c r="E139" s="34">
        <f t="shared" si="7"/>
        <v>0.23598399340128617</v>
      </c>
      <c r="F139" s="43">
        <f t="shared" si="8"/>
        <v>28.977774301936126</v>
      </c>
      <c r="G139" s="17"/>
    </row>
    <row r="140" spans="1:7">
      <c r="A140" s="4" t="s">
        <v>482</v>
      </c>
      <c r="B140" s="35">
        <f>Standing!$F$82</f>
        <v>0.14885950466025349</v>
      </c>
      <c r="C140" s="45">
        <f>AggCap!$F$91</f>
        <v>0</v>
      </c>
      <c r="D140" s="39">
        <f>0.01*Input!$F$60*(C140*$C$134)+10*(B140*$B$134)</f>
        <v>2235130.2098376565</v>
      </c>
      <c r="E140" s="34">
        <f t="shared" si="7"/>
        <v>0.14885950466025352</v>
      </c>
      <c r="F140" s="43">
        <f t="shared" si="8"/>
        <v>18.279278465330545</v>
      </c>
      <c r="G140" s="17"/>
    </row>
    <row r="141" spans="1:7">
      <c r="A141" s="4" t="s">
        <v>483</v>
      </c>
      <c r="B141" s="35">
        <f>Standing!$G$82</f>
        <v>0</v>
      </c>
      <c r="C141" s="45">
        <f>AggCap!$G$91</f>
        <v>0</v>
      </c>
      <c r="D141" s="39">
        <f>0.01*Input!$F$60*(C141*$C$134)+10*(B141*$B$134)</f>
        <v>0</v>
      </c>
      <c r="E141" s="34">
        <f t="shared" si="7"/>
        <v>0</v>
      </c>
      <c r="F141" s="43">
        <f t="shared" si="8"/>
        <v>0</v>
      </c>
      <c r="G141" s="17"/>
    </row>
    <row r="142" spans="1:7">
      <c r="A142" s="4" t="s">
        <v>484</v>
      </c>
      <c r="B142" s="35">
        <f>Standing!$H$82</f>
        <v>0.18917608747842368</v>
      </c>
      <c r="C142" s="45">
        <f>AggCap!$H$91</f>
        <v>0</v>
      </c>
      <c r="D142" s="39">
        <f>0.01*Input!$F$60*(C142*$C$134)+10*(B142*$B$134)</f>
        <v>2840484.9866117775</v>
      </c>
      <c r="E142" s="34">
        <f t="shared" si="7"/>
        <v>0.18917608747842368</v>
      </c>
      <c r="F142" s="43">
        <f t="shared" si="8"/>
        <v>23.229973725172197</v>
      </c>
      <c r="G142" s="17"/>
    </row>
    <row r="143" spans="1:7">
      <c r="A143" s="4" t="s">
        <v>485</v>
      </c>
      <c r="B143" s="35">
        <f>Standing!$I$82</f>
        <v>0.17175682943734785</v>
      </c>
      <c r="C143" s="45">
        <f>AggCap!$I$91</f>
        <v>0</v>
      </c>
      <c r="D143" s="39">
        <f>0.01*Input!$F$60*(C143*$C$134)+10*(B143*$B$134)</f>
        <v>2578934.2715974622</v>
      </c>
      <c r="E143" s="34">
        <f t="shared" si="7"/>
        <v>0.17175682943734788</v>
      </c>
      <c r="F143" s="43">
        <f t="shared" si="8"/>
        <v>21.090967088552031</v>
      </c>
      <c r="G143" s="17"/>
    </row>
    <row r="144" spans="1:7">
      <c r="A144" s="4" t="s">
        <v>486</v>
      </c>
      <c r="B144" s="35">
        <f>Standing!$J$82</f>
        <v>0</v>
      </c>
      <c r="C144" s="45">
        <f>AggCap!$J$91</f>
        <v>3.833111014469965E-2</v>
      </c>
      <c r="D144" s="39">
        <f>0.01*Input!$F$60*(C144*$C$134)+10*(B144*$B$134)</f>
        <v>17154.428828802789</v>
      </c>
      <c r="E144" s="34">
        <f t="shared" si="7"/>
        <v>1.1424836758707811E-3</v>
      </c>
      <c r="F144" s="43">
        <f t="shared" si="8"/>
        <v>0.14029186312960074</v>
      </c>
      <c r="G144" s="17"/>
    </row>
    <row r="145" spans="1:7">
      <c r="A145" s="4" t="s">
        <v>1575</v>
      </c>
      <c r="B145" s="10"/>
      <c r="C145" s="45">
        <f>SM!$B$121</f>
        <v>0</v>
      </c>
      <c r="D145" s="39">
        <f>0.01*Input!$F$60*(C145*$C$134)+10*(B145*$B$134)</f>
        <v>0</v>
      </c>
      <c r="E145" s="34">
        <f t="shared" si="7"/>
        <v>0</v>
      </c>
      <c r="F145" s="43">
        <f t="shared" si="8"/>
        <v>0</v>
      </c>
      <c r="G145" s="17"/>
    </row>
    <row r="146" spans="1:7">
      <c r="A146" s="4" t="s">
        <v>1576</v>
      </c>
      <c r="B146" s="10"/>
      <c r="C146" s="45">
        <f>SM!$C$121</f>
        <v>0</v>
      </c>
      <c r="D146" s="39">
        <f>0.01*Input!$F$60*(C146*$C$134)+10*(B146*$B$134)</f>
        <v>0</v>
      </c>
      <c r="E146" s="34">
        <f t="shared" si="7"/>
        <v>0</v>
      </c>
      <c r="F146" s="43">
        <f t="shared" si="8"/>
        <v>0</v>
      </c>
      <c r="G146" s="17"/>
    </row>
    <row r="147" spans="1:7">
      <c r="A147" s="4" t="s">
        <v>1577</v>
      </c>
      <c r="B147" s="35">
        <f>Standing!$K$82</f>
        <v>0.12848986583244953</v>
      </c>
      <c r="C147" s="45">
        <f>AggCap!$K$91</f>
        <v>0</v>
      </c>
      <c r="D147" s="39">
        <f>0.01*Input!$F$60*(C147*$C$134)+10*(B147*$B$134)</f>
        <v>1929279.4332183301</v>
      </c>
      <c r="E147" s="34">
        <f t="shared" si="7"/>
        <v>0.12848986583244956</v>
      </c>
      <c r="F147" s="43">
        <f t="shared" si="8"/>
        <v>15.777978321806312</v>
      </c>
      <c r="G147" s="17"/>
    </row>
    <row r="148" spans="1:7">
      <c r="A148" s="4" t="s">
        <v>1578</v>
      </c>
      <c r="B148" s="35">
        <f>Standing!$L$82</f>
        <v>9.0871820958681487E-2</v>
      </c>
      <c r="C148" s="45">
        <f>AggCap!$L$91</f>
        <v>0</v>
      </c>
      <c r="D148" s="39">
        <f>0.01*Input!$F$60*(C148*$C$134)+10*(B148*$B$134)</f>
        <v>1364443.2897400307</v>
      </c>
      <c r="E148" s="34">
        <f t="shared" si="7"/>
        <v>9.0871820958681487E-2</v>
      </c>
      <c r="F148" s="43">
        <f t="shared" si="8"/>
        <v>11.15865139915998</v>
      </c>
      <c r="G148" s="17"/>
    </row>
    <row r="149" spans="1:7">
      <c r="A149" s="4" t="s">
        <v>1579</v>
      </c>
      <c r="B149" s="35">
        <f>Standing!$M$82</f>
        <v>3.5944837850741311E-2</v>
      </c>
      <c r="C149" s="45">
        <f>AggCap!$M$91</f>
        <v>0</v>
      </c>
      <c r="D149" s="39">
        <f>0.01*Input!$F$60*(C149*$C$134)+10*(B149*$B$134)</f>
        <v>539712.88666634716</v>
      </c>
      <c r="E149" s="34">
        <f t="shared" si="7"/>
        <v>3.5944837850741318E-2</v>
      </c>
      <c r="F149" s="43">
        <f t="shared" si="8"/>
        <v>4.4138646166024067</v>
      </c>
      <c r="G149" s="17"/>
    </row>
    <row r="150" spans="1:7">
      <c r="A150" s="4" t="s">
        <v>1580</v>
      </c>
      <c r="B150" s="35">
        <f>Standing!$N$82</f>
        <v>9.29448929795747E-2</v>
      </c>
      <c r="C150" s="45">
        <f>AggCap!$N$91</f>
        <v>0</v>
      </c>
      <c r="D150" s="39">
        <f>0.01*Input!$F$60*(C150*$C$134)+10*(B150*$B$134)</f>
        <v>1395570.5322472726</v>
      </c>
      <c r="E150" s="34">
        <f t="shared" si="7"/>
        <v>9.29448929795747E-2</v>
      </c>
      <c r="F150" s="43">
        <f t="shared" si="8"/>
        <v>11.41321533066761</v>
      </c>
      <c r="G150" s="17"/>
    </row>
    <row r="151" spans="1:7">
      <c r="A151" s="4" t="s">
        <v>1581</v>
      </c>
      <c r="B151" s="35">
        <f>Standing!$O$82</f>
        <v>5.8629954219447326E-2</v>
      </c>
      <c r="C151" s="45">
        <f>AggCap!$O$91</f>
        <v>0</v>
      </c>
      <c r="D151" s="39">
        <f>0.01*Input!$F$60*(C151*$C$134)+10*(B151*$B$134)</f>
        <v>880330.63240654161</v>
      </c>
      <c r="E151" s="34">
        <f t="shared" si="7"/>
        <v>5.8629954219447333E-2</v>
      </c>
      <c r="F151" s="43">
        <f t="shared" si="8"/>
        <v>7.1994950005568157</v>
      </c>
      <c r="G151" s="17"/>
    </row>
    <row r="152" spans="1:7">
      <c r="A152" s="4" t="s">
        <v>1582</v>
      </c>
      <c r="B152" s="35">
        <f>Standing!$P$82</f>
        <v>0</v>
      </c>
      <c r="C152" s="45">
        <f>AggCap!$P$91</f>
        <v>0</v>
      </c>
      <c r="D152" s="39">
        <f>0.01*Input!$F$60*(C152*$C$134)+10*(B152*$B$134)</f>
        <v>0</v>
      </c>
      <c r="E152" s="34">
        <f t="shared" si="7"/>
        <v>0</v>
      </c>
      <c r="F152" s="43">
        <f t="shared" si="8"/>
        <v>0</v>
      </c>
      <c r="G152" s="17"/>
    </row>
    <row r="153" spans="1:7">
      <c r="A153" s="4" t="s">
        <v>1583</v>
      </c>
      <c r="B153" s="35">
        <f>Standing!$Q$82</f>
        <v>0.10644154868030324</v>
      </c>
      <c r="C153" s="45">
        <f>AggCap!$Q$91</f>
        <v>0</v>
      </c>
      <c r="D153" s="39">
        <f>0.01*Input!$F$60*(C153*$C$134)+10*(B153*$B$134)</f>
        <v>1598223.2480233093</v>
      </c>
      <c r="E153" s="34">
        <f t="shared" si="7"/>
        <v>0.10644154868030324</v>
      </c>
      <c r="F153" s="43">
        <f t="shared" si="8"/>
        <v>13.07054402101479</v>
      </c>
      <c r="G153" s="17"/>
    </row>
    <row r="154" spans="1:7">
      <c r="A154" s="4" t="s">
        <v>1584</v>
      </c>
      <c r="B154" s="35">
        <f>Standing!$R$82</f>
        <v>9.6640453692727668E-2</v>
      </c>
      <c r="C154" s="45">
        <f>AggCap!$R$91</f>
        <v>0</v>
      </c>
      <c r="D154" s="39">
        <f>0.01*Input!$F$60*(C154*$C$134)+10*(B154*$B$134)</f>
        <v>1451059.4942125133</v>
      </c>
      <c r="E154" s="34">
        <f t="shared" si="7"/>
        <v>9.6640453692727668E-2</v>
      </c>
      <c r="F154" s="43">
        <f t="shared" si="8"/>
        <v>11.867013585037965</v>
      </c>
      <c r="G154" s="17"/>
    </row>
    <row r="155" spans="1:7">
      <c r="A155" s="4" t="s">
        <v>1585</v>
      </c>
      <c r="B155" s="35">
        <f>Standing!$S$82</f>
        <v>0</v>
      </c>
      <c r="C155" s="45">
        <f>AggCap!$S$91</f>
        <v>0.5032376530907513</v>
      </c>
      <c r="D155" s="39">
        <f>0.01*Input!$F$60*(C155*$C$134)+10*(B155*$B$134)</f>
        <v>225215.35304692344</v>
      </c>
      <c r="E155" s="34">
        <f t="shared" si="7"/>
        <v>1.4999325654000346E-2</v>
      </c>
      <c r="F155" s="43">
        <f t="shared" si="8"/>
        <v>1.8418498103121499</v>
      </c>
      <c r="G155" s="17"/>
    </row>
    <row r="156" spans="1:7">
      <c r="A156" s="4" t="s">
        <v>1586</v>
      </c>
      <c r="B156" s="10"/>
      <c r="C156" s="45">
        <f>Otex!$B$124</f>
        <v>2.9888206560198993</v>
      </c>
      <c r="D156" s="39">
        <f>0.01*Input!$F$60*(C156*$C$134)+10*(B156*$B$134)</f>
        <v>1337595.2596259136</v>
      </c>
      <c r="E156" s="34">
        <f t="shared" si="7"/>
        <v>8.9083744162841802E-2</v>
      </c>
      <c r="F156" s="43">
        <f t="shared" si="8"/>
        <v>10.939083601032833</v>
      </c>
      <c r="G156" s="17"/>
    </row>
    <row r="157" spans="1:7">
      <c r="A157" s="4" t="s">
        <v>1587</v>
      </c>
      <c r="B157" s="10"/>
      <c r="C157" s="45">
        <f>Otex!$C$124</f>
        <v>0</v>
      </c>
      <c r="D157" s="39">
        <f>0.01*Input!$F$60*(C157*$C$134)+10*(B157*$B$134)</f>
        <v>0</v>
      </c>
      <c r="E157" s="34">
        <f t="shared" si="7"/>
        <v>0</v>
      </c>
      <c r="F157" s="43">
        <f t="shared" si="8"/>
        <v>0</v>
      </c>
      <c r="G157" s="17"/>
    </row>
    <row r="158" spans="1:7">
      <c r="A158" s="4" t="s">
        <v>1588</v>
      </c>
      <c r="B158" s="35">
        <f>Adder!$B$268</f>
        <v>0.57451230457623836</v>
      </c>
      <c r="C158" s="10"/>
      <c r="D158" s="39">
        <f>0.01*Input!$F$60*(C158*$C$134)+10*(B158*$B$134)</f>
        <v>8626320.5753140543</v>
      </c>
      <c r="E158" s="34">
        <f t="shared" si="7"/>
        <v>0.57451230457623836</v>
      </c>
      <c r="F158" s="43">
        <f t="shared" si="8"/>
        <v>70.54753017670005</v>
      </c>
      <c r="G158" s="17"/>
    </row>
    <row r="159" spans="1:7">
      <c r="A159" s="4" t="s">
        <v>1589</v>
      </c>
      <c r="B159" s="35">
        <f>Adjust!$B$81</f>
        <v>-2.3537457272126971E-4</v>
      </c>
      <c r="C159" s="45">
        <f>Adjust!$E$81</f>
        <v>-3.8941925535063149E-4</v>
      </c>
      <c r="D159" s="39">
        <f>0.01*Input!$F$60*(C159*$C$134)+10*(B159*$B$134)</f>
        <v>-3708.4346033476122</v>
      </c>
      <c r="E159" s="34">
        <f t="shared" si="7"/>
        <v>-2.469814669810065E-4</v>
      </c>
      <c r="F159" s="43">
        <f t="shared" si="8"/>
        <v>-3.0328214654654153E-2</v>
      </c>
      <c r="G159" s="17"/>
    </row>
    <row r="161" spans="1:9">
      <c r="A161" s="4" t="s">
        <v>1590</v>
      </c>
      <c r="B161" s="34">
        <f>SUM($B$137:$B$159)</f>
        <v>2.2519999999999998</v>
      </c>
      <c r="C161" s="43">
        <f>SUM($C$137:$C$159)</f>
        <v>3.53</v>
      </c>
      <c r="D161" s="39">
        <f>SUM($D$137:$D$159)</f>
        <v>35393642.583439432</v>
      </c>
      <c r="E161" s="34">
        <f>SUM($E$137:$E$159)</f>
        <v>2.3572139465984527</v>
      </c>
      <c r="F161" s="43">
        <f>SUM($F$137:$F$159)</f>
        <v>289.45528356133752</v>
      </c>
    </row>
    <row r="163" spans="1:9" ht="21" customHeight="1">
      <c r="A163" s="1" t="s">
        <v>183</v>
      </c>
    </row>
    <row r="165" spans="1:9">
      <c r="B165" s="15" t="s">
        <v>237</v>
      </c>
      <c r="C165" s="15" t="s">
        <v>238</v>
      </c>
      <c r="D165" s="15" t="s">
        <v>240</v>
      </c>
      <c r="E165" s="15" t="s">
        <v>1571</v>
      </c>
      <c r="F165" s="15" t="s">
        <v>1572</v>
      </c>
    </row>
    <row r="166" spans="1:9">
      <c r="A166" s="4" t="s">
        <v>183</v>
      </c>
      <c r="B166" s="41">
        <f>Loads!B$338</f>
        <v>531947.35459341761</v>
      </c>
      <c r="C166" s="41">
        <f>Loads!C$338</f>
        <v>195729.17539193408</v>
      </c>
      <c r="D166" s="41">
        <f>Loads!E$338</f>
        <v>34194.508811436142</v>
      </c>
      <c r="E166" s="41">
        <f>Multi!B$132</f>
        <v>727676.52998535172</v>
      </c>
      <c r="F166" s="34">
        <f>IF(D166,E166/D166,"")</f>
        <v>21.280508341210176</v>
      </c>
      <c r="G166" s="17"/>
    </row>
    <row r="168" spans="1:9" ht="30">
      <c r="B168" s="15" t="s">
        <v>1379</v>
      </c>
      <c r="C168" s="15" t="s">
        <v>1380</v>
      </c>
      <c r="D168" s="15" t="s">
        <v>1382</v>
      </c>
      <c r="E168" s="15" t="s">
        <v>1591</v>
      </c>
      <c r="F168" s="15" t="s">
        <v>1573</v>
      </c>
      <c r="G168" s="15" t="s">
        <v>1540</v>
      </c>
      <c r="H168" s="15" t="s">
        <v>1574</v>
      </c>
    </row>
    <row r="169" spans="1:9">
      <c r="A169" s="4" t="s">
        <v>479</v>
      </c>
      <c r="B169" s="35">
        <f>Standing!$C$83</f>
        <v>0.24627164599365056</v>
      </c>
      <c r="C169" s="35">
        <f>Standing!$C$107</f>
        <v>2.3388365215339754E-2</v>
      </c>
      <c r="D169" s="45">
        <f>AggCap!$C$92</f>
        <v>0</v>
      </c>
      <c r="E169" s="34">
        <f t="shared" ref="E169:E191" si="9">IF(E$166&lt;&gt;0,(($B169*B$166+$C169*C$166))/E$166,0)</f>
        <v>0.18632088633912952</v>
      </c>
      <c r="F169" s="39">
        <f>0.01*Input!$F$60*(D169*$D$166)+10*(B169*$B$166+C169*$C$166)</f>
        <v>1355813.360350529</v>
      </c>
      <c r="G169" s="34">
        <f t="shared" ref="G169:G191" si="10">IF($E$166&lt;&gt;0,0.1*F169/$E$166,"")</f>
        <v>0.18632088633912952</v>
      </c>
      <c r="H169" s="43">
        <f t="shared" ref="H169:H191" si="11">IF($D$166&lt;&gt;0,F169/$D$166,"")</f>
        <v>39.650031758815189</v>
      </c>
      <c r="I169" s="17"/>
    </row>
    <row r="170" spans="1:9">
      <c r="A170" s="4" t="s">
        <v>480</v>
      </c>
      <c r="B170" s="35">
        <f>Standing!$D$83</f>
        <v>9.7414075002435999E-2</v>
      </c>
      <c r="C170" s="35">
        <f>Standing!$D$107</f>
        <v>9.2513937366959908E-3</v>
      </c>
      <c r="D170" s="45">
        <f>AggCap!$D$92</f>
        <v>0</v>
      </c>
      <c r="E170" s="34">
        <f t="shared" si="9"/>
        <v>7.370022936716096E-2</v>
      </c>
      <c r="F170" s="39">
        <f>0.01*Input!$F$60*(D170*$D$166)+10*(B170*$B$166+C170*$C$166)</f>
        <v>536299.27165020211</v>
      </c>
      <c r="G170" s="34">
        <f t="shared" si="10"/>
        <v>7.3700229367160974E-2</v>
      </c>
      <c r="H170" s="43">
        <f t="shared" si="11"/>
        <v>15.683783457969723</v>
      </c>
      <c r="I170" s="17"/>
    </row>
    <row r="171" spans="1:9">
      <c r="A171" s="4" t="s">
        <v>481</v>
      </c>
      <c r="B171" s="35">
        <f>Standing!$E$83</f>
        <v>0.24919024899593398</v>
      </c>
      <c r="C171" s="35">
        <f>Standing!$E$107</f>
        <v>2.4047098743325494E-2</v>
      </c>
      <c r="D171" s="45">
        <f>AggCap!$E$92</f>
        <v>0</v>
      </c>
      <c r="E171" s="34">
        <f t="shared" si="9"/>
        <v>0.18863163355594931</v>
      </c>
      <c r="F171" s="39">
        <f>0.01*Input!$F$60*(D171*$D$166)+10*(B171*$B$166+C171*$C$166)</f>
        <v>1372628.1255146163</v>
      </c>
      <c r="G171" s="34">
        <f t="shared" si="10"/>
        <v>0.18863163355594931</v>
      </c>
      <c r="H171" s="43">
        <f t="shared" si="11"/>
        <v>40.141770513034807</v>
      </c>
      <c r="I171" s="17"/>
    </row>
    <row r="172" spans="1:9">
      <c r="A172" s="4" t="s">
        <v>482</v>
      </c>
      <c r="B172" s="35">
        <f>Standing!$F$83</f>
        <v>0.1571900555501736</v>
      </c>
      <c r="C172" s="35">
        <f>Standing!$F$107</f>
        <v>1.5168991573765474E-2</v>
      </c>
      <c r="D172" s="45">
        <f>AggCap!$F$92</f>
        <v>0</v>
      </c>
      <c r="E172" s="34">
        <f t="shared" si="9"/>
        <v>0.11898947521683916</v>
      </c>
      <c r="F172" s="39">
        <f>0.01*Input!$F$60*(D172*$D$166)+10*(B172*$B$166+C172*$C$166)</f>
        <v>865858.48430567526</v>
      </c>
      <c r="G172" s="34">
        <f t="shared" si="10"/>
        <v>0.11898947521683917</v>
      </c>
      <c r="H172" s="43">
        <f t="shared" si="11"/>
        <v>25.321565198681675</v>
      </c>
      <c r="I172" s="17"/>
    </row>
    <row r="173" spans="1:9">
      <c r="A173" s="4" t="s">
        <v>483</v>
      </c>
      <c r="B173" s="35">
        <f>Standing!$G$83</f>
        <v>0</v>
      </c>
      <c r="C173" s="35">
        <f>Standing!$G$107</f>
        <v>0</v>
      </c>
      <c r="D173" s="45">
        <f>AggCap!$G$92</f>
        <v>0</v>
      </c>
      <c r="E173" s="34">
        <f t="shared" si="9"/>
        <v>0</v>
      </c>
      <c r="F173" s="39">
        <f>0.01*Input!$F$60*(D173*$D$166)+10*(B173*$B$166+C173*$C$166)</f>
        <v>0</v>
      </c>
      <c r="G173" s="34">
        <f t="shared" si="10"/>
        <v>0</v>
      </c>
      <c r="H173" s="43">
        <f t="shared" si="11"/>
        <v>0</v>
      </c>
      <c r="I173" s="17"/>
    </row>
    <row r="174" spans="1:9">
      <c r="A174" s="4" t="s">
        <v>484</v>
      </c>
      <c r="B174" s="35">
        <f>Standing!$H$83</f>
        <v>0.19976285536732538</v>
      </c>
      <c r="C174" s="35">
        <f>Standing!$H$107</f>
        <v>1.9277307710162863E-2</v>
      </c>
      <c r="D174" s="45">
        <f>AggCap!$H$92</f>
        <v>0</v>
      </c>
      <c r="E174" s="34">
        <f t="shared" si="9"/>
        <v>0.15121616469171822</v>
      </c>
      <c r="F174" s="39">
        <f>0.01*Input!$F$60*(D174*$D$166)+10*(B174*$B$166+C174*$C$166)</f>
        <v>1100364.5400056299</v>
      </c>
      <c r="G174" s="34">
        <f t="shared" si="10"/>
        <v>0.15121616469171825</v>
      </c>
      <c r="H174" s="43">
        <f t="shared" si="11"/>
        <v>32.179568540479217</v>
      </c>
      <c r="I174" s="17"/>
    </row>
    <row r="175" spans="1:9">
      <c r="A175" s="4" t="s">
        <v>485</v>
      </c>
      <c r="B175" s="35">
        <f>Standing!$I$83</f>
        <v>0.18136877199744689</v>
      </c>
      <c r="C175" s="35">
        <f>Standing!$I$107</f>
        <v>1.7502260970289646E-2</v>
      </c>
      <c r="D175" s="45">
        <f>AggCap!$I$92</f>
        <v>0</v>
      </c>
      <c r="E175" s="34">
        <f t="shared" si="9"/>
        <v>0.13729224107189344</v>
      </c>
      <c r="F175" s="39">
        <f>0.01*Input!$F$60*(D175*$D$166)+10*(B175*$B$166+C175*$C$166)</f>
        <v>999043.41577107809</v>
      </c>
      <c r="G175" s="34">
        <f t="shared" si="10"/>
        <v>0.13729224107189344</v>
      </c>
      <c r="H175" s="43">
        <f t="shared" si="11"/>
        <v>29.216486813138669</v>
      </c>
      <c r="I175" s="17"/>
    </row>
    <row r="176" spans="1:9">
      <c r="A176" s="4" t="s">
        <v>486</v>
      </c>
      <c r="B176" s="35">
        <f>Standing!$J$83</f>
        <v>0</v>
      </c>
      <c r="C176" s="35">
        <f>Standing!$J$107</f>
        <v>0</v>
      </c>
      <c r="D176" s="45">
        <f>AggCap!$J$92</f>
        <v>3.833111014469965E-2</v>
      </c>
      <c r="E176" s="34">
        <f t="shared" si="9"/>
        <v>0</v>
      </c>
      <c r="F176" s="39">
        <f>0.01*Input!$F$60*(D176*$D$166)+10*(B176*$B$166+C176*$C$166)</f>
        <v>4797.2113499579254</v>
      </c>
      <c r="G176" s="34">
        <f t="shared" si="10"/>
        <v>6.5925052578712337E-4</v>
      </c>
      <c r="H176" s="43">
        <f t="shared" si="11"/>
        <v>0.14029186312960074</v>
      </c>
      <c r="I176" s="17"/>
    </row>
    <row r="177" spans="1:9">
      <c r="A177" s="4" t="s">
        <v>1575</v>
      </c>
      <c r="B177" s="10"/>
      <c r="C177" s="10"/>
      <c r="D177" s="45">
        <f>SM!$B$122</f>
        <v>0</v>
      </c>
      <c r="E177" s="34">
        <f t="shared" si="9"/>
        <v>0</v>
      </c>
      <c r="F177" s="39">
        <f>0.01*Input!$F$60*(D177*$D$166)+10*(B177*$B$166+C177*$C$166)</f>
        <v>0</v>
      </c>
      <c r="G177" s="34">
        <f t="shared" si="10"/>
        <v>0</v>
      </c>
      <c r="H177" s="43">
        <f t="shared" si="11"/>
        <v>0</v>
      </c>
      <c r="I177" s="17"/>
    </row>
    <row r="178" spans="1:9">
      <c r="A178" s="4" t="s">
        <v>1576</v>
      </c>
      <c r="B178" s="10"/>
      <c r="C178" s="10"/>
      <c r="D178" s="45">
        <f>SM!$C$122</f>
        <v>0</v>
      </c>
      <c r="E178" s="34">
        <f t="shared" si="9"/>
        <v>0</v>
      </c>
      <c r="F178" s="39">
        <f>0.01*Input!$F$60*(D178*$D$166)+10*(B178*$B$166+C178*$C$166)</f>
        <v>0</v>
      </c>
      <c r="G178" s="34">
        <f t="shared" si="10"/>
        <v>0</v>
      </c>
      <c r="H178" s="43">
        <f t="shared" si="11"/>
        <v>0</v>
      </c>
      <c r="I178" s="17"/>
    </row>
    <row r="179" spans="1:9">
      <c r="A179" s="4" t="s">
        <v>1577</v>
      </c>
      <c r="B179" s="35">
        <f>Standing!$K$83</f>
        <v>0.14021867807435892</v>
      </c>
      <c r="C179" s="35">
        <f>Standing!$K$107</f>
        <v>2.8160097223410971E-3</v>
      </c>
      <c r="D179" s="45">
        <f>AggCap!$K$92</f>
        <v>0</v>
      </c>
      <c r="E179" s="34">
        <f t="shared" si="9"/>
        <v>0.10326034581409867</v>
      </c>
      <c r="F179" s="39">
        <f>0.01*Input!$F$60*(D179*$D$166)+10*(B179*$B$166+C179*$C$166)</f>
        <v>751401.30127090751</v>
      </c>
      <c r="G179" s="34">
        <f t="shared" si="10"/>
        <v>0.10326034581409867</v>
      </c>
      <c r="H179" s="43">
        <f t="shared" si="11"/>
        <v>21.974326504131739</v>
      </c>
      <c r="I179" s="17"/>
    </row>
    <row r="180" spans="1:9">
      <c r="A180" s="4" t="s">
        <v>1578</v>
      </c>
      <c r="B180" s="35">
        <f>Standing!$L$83</f>
        <v>9.6996798176307228E-2</v>
      </c>
      <c r="C180" s="35">
        <f>Standing!$L$107</f>
        <v>9.2117650463284084E-3</v>
      </c>
      <c r="D180" s="45">
        <f>AggCap!$L$92</f>
        <v>0</v>
      </c>
      <c r="E180" s="34">
        <f t="shared" si="9"/>
        <v>7.3384531683899884E-2</v>
      </c>
      <c r="F180" s="39">
        <f>0.01*Input!$F$60*(D180*$D$166)+10*(B180*$B$166+C180*$C$166)</f>
        <v>534002.01370340365</v>
      </c>
      <c r="G180" s="34">
        <f t="shared" si="10"/>
        <v>7.3384531683899884E-2</v>
      </c>
      <c r="H180" s="43">
        <f t="shared" si="11"/>
        <v>15.616601386150339</v>
      </c>
      <c r="I180" s="17"/>
    </row>
    <row r="181" spans="1:9">
      <c r="A181" s="4" t="s">
        <v>1579</v>
      </c>
      <c r="B181" s="35">
        <f>Standing!$M$83</f>
        <v>3.8367605553692327E-2</v>
      </c>
      <c r="C181" s="35">
        <f>Standing!$M$107</f>
        <v>3.6437632416319249E-3</v>
      </c>
      <c r="D181" s="45">
        <f>AggCap!$M$92</f>
        <v>0</v>
      </c>
      <c r="E181" s="34">
        <f t="shared" si="9"/>
        <v>2.9027646461819531E-2</v>
      </c>
      <c r="F181" s="39">
        <f>0.01*Input!$F$60*(D181*$D$166)+10*(B181*$B$166+C181*$C$166)</f>
        <v>211227.37050978409</v>
      </c>
      <c r="G181" s="34">
        <f t="shared" si="10"/>
        <v>2.9027646461819531E-2</v>
      </c>
      <c r="H181" s="43">
        <f t="shared" si="11"/>
        <v>6.1772307265645061</v>
      </c>
      <c r="I181" s="17"/>
    </row>
    <row r="182" spans="1:9">
      <c r="A182" s="4" t="s">
        <v>1580</v>
      </c>
      <c r="B182" s="35">
        <f>Standing!$N$83</f>
        <v>9.814632209014236E-2</v>
      </c>
      <c r="C182" s="35">
        <f>Standing!$N$107</f>
        <v>9.4712144961755368E-3</v>
      </c>
      <c r="D182" s="45">
        <f>AggCap!$N$92</f>
        <v>0</v>
      </c>
      <c r="E182" s="34">
        <f t="shared" si="9"/>
        <v>7.4294644906727436E-2</v>
      </c>
      <c r="F182" s="39">
        <f>0.01*Input!$F$60*(D182*$D$166)+10*(B182*$B$166+C182*$C$166)</f>
        <v>540624.69402221299</v>
      </c>
      <c r="G182" s="34">
        <f t="shared" si="10"/>
        <v>7.4294644906727436E-2</v>
      </c>
      <c r="H182" s="43">
        <f t="shared" si="11"/>
        <v>15.810278106448612</v>
      </c>
      <c r="I182" s="17"/>
    </row>
    <row r="183" spans="1:9">
      <c r="A183" s="4" t="s">
        <v>1581</v>
      </c>
      <c r="B183" s="35">
        <f>Standing!$O$83</f>
        <v>6.1911033371319597E-2</v>
      </c>
      <c r="C183" s="35">
        <f>Standing!$O$107</f>
        <v>5.9744742773050275E-3</v>
      </c>
      <c r="D183" s="45">
        <f>AggCap!$O$92</f>
        <v>0</v>
      </c>
      <c r="E183" s="34">
        <f t="shared" si="9"/>
        <v>4.6865314381380405E-2</v>
      </c>
      <c r="F183" s="39">
        <f>0.01*Input!$F$60*(D183*$D$166)+10*(B183*$B$166+C183*$C$166)</f>
        <v>341027.89345715492</v>
      </c>
      <c r="G183" s="34">
        <f t="shared" si="10"/>
        <v>4.6865314381380405E-2</v>
      </c>
      <c r="H183" s="43">
        <f t="shared" si="11"/>
        <v>9.9731771360640291</v>
      </c>
      <c r="I183" s="17"/>
    </row>
    <row r="184" spans="1:9">
      <c r="A184" s="4" t="s">
        <v>1582</v>
      </c>
      <c r="B184" s="35">
        <f>Standing!$P$83</f>
        <v>0</v>
      </c>
      <c r="C184" s="35">
        <f>Standing!$P$107</f>
        <v>0</v>
      </c>
      <c r="D184" s="45">
        <f>AggCap!$P$92</f>
        <v>0</v>
      </c>
      <c r="E184" s="34">
        <f t="shared" si="9"/>
        <v>0</v>
      </c>
      <c r="F184" s="39">
        <f>0.01*Input!$F$60*(D184*$D$166)+10*(B184*$B$166+C184*$C$166)</f>
        <v>0</v>
      </c>
      <c r="G184" s="34">
        <f t="shared" si="10"/>
        <v>0</v>
      </c>
      <c r="H184" s="43">
        <f t="shared" si="11"/>
        <v>0</v>
      </c>
      <c r="I184" s="17"/>
    </row>
    <row r="185" spans="1:9">
      <c r="A185" s="4" t="s">
        <v>1583</v>
      </c>
      <c r="B185" s="35">
        <f>Standing!$Q$83</f>
        <v>0.1123982844635302</v>
      </c>
      <c r="C185" s="35">
        <f>Standing!$Q$107</f>
        <v>1.0846542575263452E-2</v>
      </c>
      <c r="D185" s="45">
        <f>AggCap!$Q$92</f>
        <v>0</v>
      </c>
      <c r="E185" s="34">
        <f t="shared" si="9"/>
        <v>8.50830724423247E-2</v>
      </c>
      <c r="F185" s="39">
        <f>0.01*Input!$F$60*(D185*$D$166)+10*(B185*$B$166+C185*$C$166)</f>
        <v>619129.54915323143</v>
      </c>
      <c r="G185" s="34">
        <f t="shared" si="10"/>
        <v>8.5083072442324714E-2</v>
      </c>
      <c r="H185" s="43">
        <f t="shared" si="11"/>
        <v>18.106110328046807</v>
      </c>
      <c r="I185" s="17"/>
    </row>
    <row r="186" spans="1:9">
      <c r="A186" s="4" t="s">
        <v>1584</v>
      </c>
      <c r="B186" s="35">
        <f>Standing!$R$83</f>
        <v>0.10204869564106459</v>
      </c>
      <c r="C186" s="35">
        <f>Standing!$R$107</f>
        <v>9.8477972978320318E-3</v>
      </c>
      <c r="D186" s="45">
        <f>AggCap!$R$92</f>
        <v>0</v>
      </c>
      <c r="E186" s="34">
        <f t="shared" si="9"/>
        <v>7.7248657355537181E-2</v>
      </c>
      <c r="F186" s="39">
        <f>0.01*Input!$F$60*(D186*$D$166)+10*(B186*$B$166+C186*$C$166)</f>
        <v>562120.34930504719</v>
      </c>
      <c r="G186" s="34">
        <f t="shared" si="10"/>
        <v>7.7248657355537195E-2</v>
      </c>
      <c r="H186" s="43">
        <f t="shared" si="11"/>
        <v>16.438906972017961</v>
      </c>
      <c r="I186" s="17"/>
    </row>
    <row r="187" spans="1:9">
      <c r="A187" s="4" t="s">
        <v>1585</v>
      </c>
      <c r="B187" s="35">
        <f>Standing!$S$83</f>
        <v>0</v>
      </c>
      <c r="C187" s="35">
        <f>Standing!$S$107</f>
        <v>0</v>
      </c>
      <c r="D187" s="45">
        <f>AggCap!$S$92</f>
        <v>0.5032376530907513</v>
      </c>
      <c r="E187" s="34">
        <f t="shared" si="9"/>
        <v>0</v>
      </c>
      <c r="F187" s="39">
        <f>0.01*Input!$F$60*(D187*$D$166)+10*(B187*$B$166+C187*$C$166)</f>
        <v>62981.149568060791</v>
      </c>
      <c r="G187" s="34">
        <f t="shared" si="10"/>
        <v>8.6551025040382448E-3</v>
      </c>
      <c r="H187" s="43">
        <f t="shared" si="11"/>
        <v>1.8418498103121497</v>
      </c>
      <c r="I187" s="17"/>
    </row>
    <row r="188" spans="1:9">
      <c r="A188" s="4" t="s">
        <v>1586</v>
      </c>
      <c r="B188" s="10"/>
      <c r="C188" s="10"/>
      <c r="D188" s="45">
        <f>Otex!$B$125</f>
        <v>2.9888206560198993</v>
      </c>
      <c r="E188" s="34">
        <f t="shared" si="9"/>
        <v>0</v>
      </c>
      <c r="F188" s="39">
        <f>0.01*Input!$F$60*(D188*$D$166)+10*(B188*$B$166+C188*$C$166)</f>
        <v>374056.59058455378</v>
      </c>
      <c r="G188" s="34">
        <f t="shared" si="10"/>
        <v>5.1404240094439162E-2</v>
      </c>
      <c r="H188" s="43">
        <f t="shared" si="11"/>
        <v>10.939083601032833</v>
      </c>
      <c r="I188" s="17"/>
    </row>
    <row r="189" spans="1:9">
      <c r="A189" s="4" t="s">
        <v>1587</v>
      </c>
      <c r="B189" s="10"/>
      <c r="C189" s="10"/>
      <c r="D189" s="45">
        <f>Otex!$C$125</f>
        <v>0</v>
      </c>
      <c r="E189" s="34">
        <f t="shared" si="9"/>
        <v>0</v>
      </c>
      <c r="F189" s="39">
        <f>0.01*Input!$F$60*(D189*$D$166)+10*(B189*$B$166+C189*$C$166)</f>
        <v>0</v>
      </c>
      <c r="G189" s="34">
        <f t="shared" si="10"/>
        <v>0</v>
      </c>
      <c r="H189" s="43">
        <f t="shared" si="11"/>
        <v>0</v>
      </c>
      <c r="I189" s="17"/>
    </row>
    <row r="190" spans="1:9">
      <c r="A190" s="4" t="s">
        <v>1588</v>
      </c>
      <c r="B190" s="35">
        <f>Adder!$B$269</f>
        <v>0.57451230457623836</v>
      </c>
      <c r="C190" s="35">
        <f>Adder!$C$269</f>
        <v>0.57451230457623836</v>
      </c>
      <c r="D190" s="10"/>
      <c r="E190" s="34">
        <f t="shared" si="9"/>
        <v>0.57451230457623836</v>
      </c>
      <c r="F190" s="39">
        <f>0.01*Input!$F$60*(D190*$D$166)+10*(B190*$B$166+C190*$C$166)</f>
        <v>4180591.2022792459</v>
      </c>
      <c r="G190" s="34">
        <f t="shared" si="10"/>
        <v>0.57451230457623836</v>
      </c>
      <c r="H190" s="43">
        <f t="shared" si="11"/>
        <v>122.2591388966252</v>
      </c>
      <c r="I190" s="17"/>
    </row>
    <row r="191" spans="1:9">
      <c r="A191" s="4" t="s">
        <v>1589</v>
      </c>
      <c r="B191" s="35">
        <f>Adjust!$B$82</f>
        <v>2.02625146379809E-4</v>
      </c>
      <c r="C191" s="35">
        <f>Adjust!$C$82</f>
        <v>4.0710817304945301E-5</v>
      </c>
      <c r="D191" s="45">
        <f>Adjust!$E$82</f>
        <v>-3.8941925535063149E-4</v>
      </c>
      <c r="E191" s="34">
        <f t="shared" si="9"/>
        <v>1.5907370998182691E-4</v>
      </c>
      <c r="F191" s="39">
        <f>0.01*Input!$F$60*(D191*$D$166)+10*(B191*$B$166+C191*$C$166)</f>
        <v>1108.8054923348661</v>
      </c>
      <c r="G191" s="34">
        <f t="shared" si="10"/>
        <v>1.5237615157894218E-4</v>
      </c>
      <c r="H191" s="43">
        <f t="shared" si="11"/>
        <v>3.2426419646771849E-2</v>
      </c>
      <c r="I191" s="17"/>
    </row>
    <row r="193" spans="1:8">
      <c r="A193" s="4" t="s">
        <v>1590</v>
      </c>
      <c r="B193" s="34">
        <f>SUM($B$169:$B$191)</f>
        <v>2.3559999999999999</v>
      </c>
      <c r="C193" s="34">
        <f>SUM($C$169:$C$191)</f>
        <v>0.73499999999999999</v>
      </c>
      <c r="D193" s="43">
        <f>SUM($D$169:$D$191)</f>
        <v>3.53</v>
      </c>
      <c r="E193" s="34">
        <f>SUM(E$169:E$191)</f>
        <v>1.9199862215746986</v>
      </c>
      <c r="F193" s="39">
        <f>SUM($F$169:$F$191)</f>
        <v>14413075.328293623</v>
      </c>
      <c r="G193" s="34">
        <f>SUM($G$169:$G$191)</f>
        <v>1.9806981171405604</v>
      </c>
      <c r="H193" s="43">
        <f>SUM($H$169:$H$191)</f>
        <v>421.50262803228981</v>
      </c>
    </row>
    <row r="195" spans="1:8" ht="21" customHeight="1">
      <c r="A195" s="1" t="s">
        <v>227</v>
      </c>
    </row>
    <row r="197" spans="1:8">
      <c r="B197" s="15" t="s">
        <v>237</v>
      </c>
      <c r="C197" s="15" t="s">
        <v>1571</v>
      </c>
    </row>
    <row r="198" spans="1:8" ht="30">
      <c r="A198" s="4" t="s">
        <v>227</v>
      </c>
      <c r="B198" s="41">
        <f>Loads!B$339</f>
        <v>20242.629112942406</v>
      </c>
      <c r="C198" s="41">
        <f>Multi!B$133</f>
        <v>20242.629112942406</v>
      </c>
      <c r="D198" s="17"/>
    </row>
    <row r="200" spans="1:8">
      <c r="B200" s="15" t="s">
        <v>1379</v>
      </c>
      <c r="C200" s="15" t="s">
        <v>1573</v>
      </c>
      <c r="D200" s="15" t="s">
        <v>1540</v>
      </c>
    </row>
    <row r="201" spans="1:8">
      <c r="A201" s="4" t="s">
        <v>479</v>
      </c>
      <c r="B201" s="35">
        <f>Standing!$C$84</f>
        <v>2.5096230601312428E-2</v>
      </c>
      <c r="C201" s="39">
        <f t="shared" ref="C201:C219" si="12">0+10*(B201*$B$198)</f>
        <v>5080.1368819524305</v>
      </c>
      <c r="D201" s="34">
        <f t="shared" ref="D201:D219" si="13">IF($C$198&lt;&gt;0,0.1*C201/$C$198,"")</f>
        <v>2.5096230601312428E-2</v>
      </c>
      <c r="E201" s="17"/>
    </row>
    <row r="202" spans="1:8">
      <c r="A202" s="4" t="s">
        <v>480</v>
      </c>
      <c r="B202" s="35">
        <f>Standing!$D$84</f>
        <v>9.9269490818188165E-3</v>
      </c>
      <c r="C202" s="39">
        <f t="shared" si="12"/>
        <v>2009.4754848632247</v>
      </c>
      <c r="D202" s="34">
        <f t="shared" si="13"/>
        <v>9.9269490818188182E-3</v>
      </c>
      <c r="E202" s="17"/>
    </row>
    <row r="203" spans="1:8">
      <c r="A203" s="4" t="s">
        <v>481</v>
      </c>
      <c r="B203" s="35">
        <f>Standing!$E$84</f>
        <v>2.783814464584624E-2</v>
      </c>
      <c r="C203" s="39">
        <f t="shared" si="12"/>
        <v>5635.1723725830889</v>
      </c>
      <c r="D203" s="34">
        <f t="shared" si="13"/>
        <v>2.7838144645846243E-2</v>
      </c>
      <c r="E203" s="17"/>
    </row>
    <row r="204" spans="1:8">
      <c r="A204" s="4" t="s">
        <v>482</v>
      </c>
      <c r="B204" s="35">
        <f>Standing!$F$84</f>
        <v>1.7560396207019074E-2</v>
      </c>
      <c r="C204" s="39">
        <f t="shared" si="12"/>
        <v>3554.6858749500775</v>
      </c>
      <c r="D204" s="34">
        <f t="shared" si="13"/>
        <v>1.7560396207019078E-2</v>
      </c>
      <c r="E204" s="17"/>
    </row>
    <row r="205" spans="1:8">
      <c r="A205" s="4" t="s">
        <v>483</v>
      </c>
      <c r="B205" s="35">
        <f>Standing!$G$84</f>
        <v>0</v>
      </c>
      <c r="C205" s="39">
        <f t="shared" si="12"/>
        <v>0</v>
      </c>
      <c r="D205" s="34">
        <f t="shared" si="13"/>
        <v>0</v>
      </c>
      <c r="E205" s="17"/>
    </row>
    <row r="206" spans="1:8">
      <c r="A206" s="4" t="s">
        <v>484</v>
      </c>
      <c r="B206" s="35">
        <f>Standing!$H$84</f>
        <v>2.2316391933432368E-2</v>
      </c>
      <c r="C206" s="39">
        <f t="shared" si="12"/>
        <v>4517.4244504753115</v>
      </c>
      <c r="D206" s="34">
        <f t="shared" si="13"/>
        <v>2.2316391933432371E-2</v>
      </c>
      <c r="E206" s="17"/>
    </row>
    <row r="207" spans="1:8">
      <c r="A207" s="4" t="s">
        <v>485</v>
      </c>
      <c r="B207" s="35">
        <f>Standing!$I$84</f>
        <v>2.026150754071768E-2</v>
      </c>
      <c r="C207" s="39">
        <f t="shared" si="12"/>
        <v>4101.4618241583385</v>
      </c>
      <c r="D207" s="34">
        <f t="shared" si="13"/>
        <v>2.0261507540717684E-2</v>
      </c>
      <c r="E207" s="17"/>
    </row>
    <row r="208" spans="1:8">
      <c r="A208" s="4" t="s">
        <v>486</v>
      </c>
      <c r="B208" s="35">
        <f>Standing!$J$84</f>
        <v>0</v>
      </c>
      <c r="C208" s="39">
        <f t="shared" si="12"/>
        <v>0</v>
      </c>
      <c r="D208" s="34">
        <f t="shared" si="13"/>
        <v>0</v>
      </c>
      <c r="E208" s="17"/>
    </row>
    <row r="209" spans="1:5">
      <c r="A209" s="4" t="s">
        <v>1577</v>
      </c>
      <c r="B209" s="35">
        <f>Standing!$K$84</f>
        <v>4.971144151430875E-3</v>
      </c>
      <c r="C209" s="39">
        <f t="shared" si="12"/>
        <v>1006.2902732438801</v>
      </c>
      <c r="D209" s="34">
        <f t="shared" si="13"/>
        <v>4.971144151430875E-3</v>
      </c>
      <c r="E209" s="17"/>
    </row>
    <row r="210" spans="1:5">
      <c r="A210" s="4" t="s">
        <v>1578</v>
      </c>
      <c r="B210" s="35">
        <f>Standing!$L$84</f>
        <v>9.8844266249161587E-3</v>
      </c>
      <c r="C210" s="39">
        <f t="shared" si="12"/>
        <v>2000.8678216227088</v>
      </c>
      <c r="D210" s="34">
        <f t="shared" si="13"/>
        <v>9.8844266249161587E-3</v>
      </c>
      <c r="E210" s="17"/>
    </row>
    <row r="211" spans="1:5">
      <c r="A211" s="4" t="s">
        <v>1579</v>
      </c>
      <c r="B211" s="35">
        <f>Standing!$M$84</f>
        <v>3.9098381492950396E-3</v>
      </c>
      <c r="C211" s="39">
        <f t="shared" si="12"/>
        <v>791.45403547812623</v>
      </c>
      <c r="D211" s="34">
        <f t="shared" si="13"/>
        <v>3.9098381492950396E-3</v>
      </c>
      <c r="E211" s="17"/>
    </row>
    <row r="212" spans="1:5">
      <c r="A212" s="4" t="s">
        <v>1580</v>
      </c>
      <c r="B212" s="35">
        <f>Standing!$N$84</f>
        <v>1.0964359648148906E-2</v>
      </c>
      <c r="C212" s="39">
        <f t="shared" si="12"/>
        <v>2219.4746581838999</v>
      </c>
      <c r="D212" s="34">
        <f t="shared" si="13"/>
        <v>1.0964359648148906E-2</v>
      </c>
      <c r="E212" s="17"/>
    </row>
    <row r="213" spans="1:5">
      <c r="A213" s="4" t="s">
        <v>1581</v>
      </c>
      <c r="B213" s="35">
        <f>Standing!$O$84</f>
        <v>6.9163553112896094E-3</v>
      </c>
      <c r="C213" s="39">
        <f t="shared" si="12"/>
        <v>1400.0521537976488</v>
      </c>
      <c r="D213" s="34">
        <f t="shared" si="13"/>
        <v>6.9163553112896086E-3</v>
      </c>
      <c r="E213" s="17"/>
    </row>
    <row r="214" spans="1:5">
      <c r="A214" s="4" t="s">
        <v>1582</v>
      </c>
      <c r="B214" s="35">
        <f>Standing!$P$84</f>
        <v>0</v>
      </c>
      <c r="C214" s="39">
        <f t="shared" si="12"/>
        <v>0</v>
      </c>
      <c r="D214" s="34">
        <f t="shared" si="13"/>
        <v>0</v>
      </c>
      <c r="E214" s="17"/>
    </row>
    <row r="215" spans="1:5">
      <c r="A215" s="4" t="s">
        <v>1583</v>
      </c>
      <c r="B215" s="35">
        <f>Standing!$Q$84</f>
        <v>1.2556509387699923E-2</v>
      </c>
      <c r="C215" s="39">
        <f t="shared" si="12"/>
        <v>2541.7676248838907</v>
      </c>
      <c r="D215" s="34">
        <f t="shared" si="13"/>
        <v>1.2556509387699923E-2</v>
      </c>
      <c r="E215" s="17"/>
    </row>
    <row r="216" spans="1:5">
      <c r="A216" s="4" t="s">
        <v>1584</v>
      </c>
      <c r="B216" s="35">
        <f>Standing!$R$84</f>
        <v>1.1400311053994125E-2</v>
      </c>
      <c r="C216" s="39">
        <f t="shared" si="12"/>
        <v>2307.7226843818057</v>
      </c>
      <c r="D216" s="34">
        <f t="shared" si="13"/>
        <v>1.1400311053994125E-2</v>
      </c>
      <c r="E216" s="17"/>
    </row>
    <row r="217" spans="1:5">
      <c r="A217" s="4" t="s">
        <v>1585</v>
      </c>
      <c r="B217" s="35">
        <f>Standing!$S$84</f>
        <v>0</v>
      </c>
      <c r="C217" s="39">
        <f t="shared" si="12"/>
        <v>0</v>
      </c>
      <c r="D217" s="34">
        <f t="shared" si="13"/>
        <v>0</v>
      </c>
      <c r="E217" s="17"/>
    </row>
    <row r="218" spans="1:5">
      <c r="A218" s="4" t="s">
        <v>1588</v>
      </c>
      <c r="B218" s="35">
        <f>Adder!$B$270</f>
        <v>0.57451230457623836</v>
      </c>
      <c r="C218" s="39">
        <f t="shared" si="12"/>
        <v>116296.39502358597</v>
      </c>
      <c r="D218" s="34">
        <f t="shared" si="13"/>
        <v>0.57451230457623836</v>
      </c>
      <c r="E218" s="17"/>
    </row>
    <row r="219" spans="1:5">
      <c r="A219" s="4" t="s">
        <v>1589</v>
      </c>
      <c r="B219" s="35">
        <f>Adjust!$B$83</f>
        <v>-1.1486891315959369E-4</v>
      </c>
      <c r="C219" s="39">
        <f t="shared" si="12"/>
        <v>-23.252488056964445</v>
      </c>
      <c r="D219" s="34">
        <f t="shared" si="13"/>
        <v>-1.148689131595937E-4</v>
      </c>
      <c r="E219" s="17"/>
    </row>
    <row r="221" spans="1:5">
      <c r="A221" s="4" t="s">
        <v>1590</v>
      </c>
      <c r="B221" s="34">
        <f>SUM($B$201:$B$219)</f>
        <v>0.75800000000000001</v>
      </c>
      <c r="C221" s="39">
        <f>SUM($C$201:$C$219)</f>
        <v>153439.12867610343</v>
      </c>
      <c r="D221" s="34">
        <f>SUM($D$201:$D$219)</f>
        <v>0.75800000000000001</v>
      </c>
    </row>
    <row r="223" spans="1:5" ht="21" customHeight="1">
      <c r="A223" s="1" t="s">
        <v>184</v>
      </c>
    </row>
    <row r="225" spans="1:9">
      <c r="B225" s="15" t="s">
        <v>237</v>
      </c>
      <c r="C225" s="15" t="s">
        <v>238</v>
      </c>
      <c r="D225" s="15" t="s">
        <v>240</v>
      </c>
      <c r="E225" s="15" t="s">
        <v>1571</v>
      </c>
      <c r="F225" s="15" t="s">
        <v>1572</v>
      </c>
    </row>
    <row r="226" spans="1:9">
      <c r="A226" s="4" t="s">
        <v>184</v>
      </c>
      <c r="B226" s="41">
        <f>Loads!B$340</f>
        <v>67.954143903877082</v>
      </c>
      <c r="C226" s="41">
        <f>Loads!C$340</f>
        <v>13.416646792536799</v>
      </c>
      <c r="D226" s="41">
        <f>Loads!E$340</f>
        <v>1.2862842580996403</v>
      </c>
      <c r="E226" s="41">
        <f>Multi!B$134</f>
        <v>81.370790696413877</v>
      </c>
      <c r="F226" s="34">
        <f>IF(D226,E226/D226,"")</f>
        <v>63.260348701329278</v>
      </c>
      <c r="G226" s="17"/>
    </row>
    <row r="228" spans="1:9" ht="30">
      <c r="B228" s="15" t="s">
        <v>1379</v>
      </c>
      <c r="C228" s="15" t="s">
        <v>1380</v>
      </c>
      <c r="D228" s="15" t="s">
        <v>1382</v>
      </c>
      <c r="E228" s="15" t="s">
        <v>1591</v>
      </c>
      <c r="F228" s="15" t="s">
        <v>1573</v>
      </c>
      <c r="G228" s="15" t="s">
        <v>1540</v>
      </c>
      <c r="H228" s="15" t="s">
        <v>1574</v>
      </c>
    </row>
    <row r="229" spans="1:9">
      <c r="A229" s="4" t="s">
        <v>479</v>
      </c>
      <c r="B229" s="35">
        <f>Standing!$C$85</f>
        <v>0.2247452178076712</v>
      </c>
      <c r="C229" s="35">
        <f>Standing!$C$108</f>
        <v>1.999297357647532E-2</v>
      </c>
      <c r="D229" s="45">
        <f>AggCap!$C$93</f>
        <v>0</v>
      </c>
      <c r="E229" s="34">
        <f t="shared" ref="E229:E251" si="14">IF(E$226&lt;&gt;0,(($B229*B$226+$C229*C$226))/E$226,0)</f>
        <v>0.19098508696319791</v>
      </c>
      <c r="F229" s="39">
        <f>0.01*Input!$F$60*(D229*$D$226)+10*(B229*$B$226+C229*$C$226)</f>
        <v>155.40607537418779</v>
      </c>
      <c r="G229" s="34">
        <f t="shared" ref="G229:G251" si="15">IF($E$226&lt;&gt;0,0.1*F229/$E$226,"")</f>
        <v>0.19098508696319791</v>
      </c>
      <c r="H229" s="43">
        <f t="shared" ref="H229:H251" si="16">IF($D$226&lt;&gt;0,F229/$D$226,"")</f>
        <v>120.81783198045596</v>
      </c>
      <c r="I229" s="17"/>
    </row>
    <row r="230" spans="1:9">
      <c r="A230" s="4" t="s">
        <v>480</v>
      </c>
      <c r="B230" s="35">
        <f>Standing!$D$85</f>
        <v>8.8899180478615697E-2</v>
      </c>
      <c r="C230" s="35">
        <f>Standing!$D$108</f>
        <v>7.9083283000053566E-3</v>
      </c>
      <c r="D230" s="45">
        <f>AggCap!$D$93</f>
        <v>0</v>
      </c>
      <c r="E230" s="34">
        <f t="shared" si="14"/>
        <v>7.5545179026656556E-2</v>
      </c>
      <c r="F230" s="39">
        <f>0.01*Input!$F$60*(D230*$D$226)+10*(B230*$B$226+C230*$C$226)</f>
        <v>61.471709507011866</v>
      </c>
      <c r="G230" s="34">
        <f t="shared" si="15"/>
        <v>7.554517902665657E-2</v>
      </c>
      <c r="H230" s="43">
        <f t="shared" si="16"/>
        <v>47.790143679306418</v>
      </c>
      <c r="I230" s="17"/>
    </row>
    <row r="231" spans="1:9">
      <c r="A231" s="4" t="s">
        <v>481</v>
      </c>
      <c r="B231" s="35">
        <f>Standing!$E$85</f>
        <v>0.22645599938654956</v>
      </c>
      <c r="C231" s="35">
        <f>Standing!$E$108</f>
        <v>2.0557195726823289E-2</v>
      </c>
      <c r="D231" s="45">
        <f>AggCap!$E$93</f>
        <v>0</v>
      </c>
      <c r="E231" s="34">
        <f t="shared" si="14"/>
        <v>0.19250682057108334</v>
      </c>
      <c r="F231" s="39">
        <f>0.01*Input!$F$60*(D231*$D$226)+10*(B231*$B$226+C231*$C$226)</f>
        <v>156.64432204321724</v>
      </c>
      <c r="G231" s="34">
        <f t="shared" si="15"/>
        <v>0.19250682057108337</v>
      </c>
      <c r="H231" s="43">
        <f t="shared" si="16"/>
        <v>121.78048596710961</v>
      </c>
      <c r="I231" s="17"/>
    </row>
    <row r="232" spans="1:9">
      <c r="A232" s="4" t="s">
        <v>482</v>
      </c>
      <c r="B232" s="35">
        <f>Standing!$F$85</f>
        <v>0.14284921366976375</v>
      </c>
      <c r="C232" s="35">
        <f>Standing!$F$108</f>
        <v>1.296754889597574E-2</v>
      </c>
      <c r="D232" s="45">
        <f>AggCap!$F$93</f>
        <v>0</v>
      </c>
      <c r="E232" s="34">
        <f t="shared" si="14"/>
        <v>0.12143395634975125</v>
      </c>
      <c r="F232" s="39">
        <f>0.01*Input!$F$60*(D232*$D$226)+10*(B232*$B$226+C232*$C$226)</f>
        <v>98.811770455730681</v>
      </c>
      <c r="G232" s="34">
        <f t="shared" si="15"/>
        <v>0.12143395634975125</v>
      </c>
      <c r="H232" s="43">
        <f t="shared" si="16"/>
        <v>76.819544228672626</v>
      </c>
      <c r="I232" s="17"/>
    </row>
    <row r="233" spans="1:9">
      <c r="A233" s="4" t="s">
        <v>483</v>
      </c>
      <c r="B233" s="35">
        <f>Standing!$G$85</f>
        <v>0</v>
      </c>
      <c r="C233" s="35">
        <f>Standing!$G$108</f>
        <v>0</v>
      </c>
      <c r="D233" s="45">
        <f>AggCap!$G$93</f>
        <v>0</v>
      </c>
      <c r="E233" s="34">
        <f t="shared" si="14"/>
        <v>0</v>
      </c>
      <c r="F233" s="39">
        <f>0.01*Input!$F$60*(D233*$D$226)+10*(B233*$B$226+C233*$C$226)</f>
        <v>0</v>
      </c>
      <c r="G233" s="34">
        <f t="shared" si="15"/>
        <v>0</v>
      </c>
      <c r="H233" s="43">
        <f t="shared" si="16"/>
        <v>0</v>
      </c>
      <c r="I233" s="17"/>
    </row>
    <row r="234" spans="1:9">
      <c r="A234" s="4" t="s">
        <v>484</v>
      </c>
      <c r="B234" s="35">
        <f>Standing!$H$85</f>
        <v>0.18153799049037653</v>
      </c>
      <c r="C234" s="35">
        <f>Standing!$H$108</f>
        <v>1.64796340678732E-2</v>
      </c>
      <c r="D234" s="45">
        <f>AggCap!$H$93</f>
        <v>0</v>
      </c>
      <c r="E234" s="34">
        <f t="shared" si="14"/>
        <v>0.15432270046647154</v>
      </c>
      <c r="F234" s="39">
        <f>0.01*Input!$F$60*(D234*$D$226)+10*(B234*$B$226+C234*$C$226)</f>
        <v>125.57360159362628</v>
      </c>
      <c r="G234" s="34">
        <f t="shared" si="15"/>
        <v>0.15432270046647156</v>
      </c>
      <c r="H234" s="43">
        <f t="shared" si="16"/>
        <v>97.6250784403978</v>
      </c>
      <c r="I234" s="17"/>
    </row>
    <row r="235" spans="1:9">
      <c r="A235" s="4" t="s">
        <v>485</v>
      </c>
      <c r="B235" s="35">
        <f>Standing!$I$85</f>
        <v>0.16482204534762215</v>
      </c>
      <c r="C235" s="35">
        <f>Standing!$I$108</f>
        <v>1.4962195991649493E-2</v>
      </c>
      <c r="D235" s="45">
        <f>AggCap!$I$93</f>
        <v>0</v>
      </c>
      <c r="E235" s="34">
        <f t="shared" si="14"/>
        <v>0.14011272828207633</v>
      </c>
      <c r="F235" s="39">
        <f>0.01*Input!$F$60*(D235*$D$226)+10*(B235*$B$226+C235*$C$226)</f>
        <v>114.01083486944343</v>
      </c>
      <c r="G235" s="34">
        <f t="shared" si="15"/>
        <v>0.14011272828207635</v>
      </c>
      <c r="H235" s="43">
        <f t="shared" si="16"/>
        <v>88.635800486187506</v>
      </c>
      <c r="I235" s="17"/>
    </row>
    <row r="236" spans="1:9">
      <c r="A236" s="4" t="s">
        <v>486</v>
      </c>
      <c r="B236" s="35">
        <f>Standing!$J$85</f>
        <v>0</v>
      </c>
      <c r="C236" s="35">
        <f>Standing!$J$108</f>
        <v>0</v>
      </c>
      <c r="D236" s="45">
        <f>AggCap!$J$93</f>
        <v>0.47330969513416726</v>
      </c>
      <c r="E236" s="34">
        <f t="shared" si="14"/>
        <v>0</v>
      </c>
      <c r="F236" s="39">
        <f>0.01*Input!$F$60*(D236*$D$226)+10*(B236*$B$226+C236*$C$226)</f>
        <v>2.2282475648086906</v>
      </c>
      <c r="G236" s="34">
        <f t="shared" si="15"/>
        <v>2.738387504580182E-3</v>
      </c>
      <c r="H236" s="43">
        <f t="shared" si="16"/>
        <v>1.7323134841910521</v>
      </c>
      <c r="I236" s="17"/>
    </row>
    <row r="237" spans="1:9">
      <c r="A237" s="4" t="s">
        <v>1575</v>
      </c>
      <c r="B237" s="10"/>
      <c r="C237" s="10"/>
      <c r="D237" s="45">
        <f>SM!$B$124</f>
        <v>0</v>
      </c>
      <c r="E237" s="34">
        <f t="shared" si="14"/>
        <v>0</v>
      </c>
      <c r="F237" s="39">
        <f>0.01*Input!$F$60*(D237*$D$226)+10*(B237*$B$226+C237*$C$226)</f>
        <v>0</v>
      </c>
      <c r="G237" s="34">
        <f t="shared" si="15"/>
        <v>0</v>
      </c>
      <c r="H237" s="43">
        <f t="shared" si="16"/>
        <v>0</v>
      </c>
      <c r="I237" s="17"/>
    </row>
    <row r="238" spans="1:9">
      <c r="A238" s="4" t="s">
        <v>1576</v>
      </c>
      <c r="B238" s="10"/>
      <c r="C238" s="10"/>
      <c r="D238" s="45">
        <f>SM!$C$124</f>
        <v>0</v>
      </c>
      <c r="E238" s="34">
        <f t="shared" si="14"/>
        <v>0</v>
      </c>
      <c r="F238" s="39">
        <f>0.01*Input!$F$60*(D238*$D$226)+10*(B238*$B$226+C238*$C$226)</f>
        <v>0</v>
      </c>
      <c r="G238" s="34">
        <f t="shared" si="15"/>
        <v>0</v>
      </c>
      <c r="H238" s="43">
        <f t="shared" si="16"/>
        <v>0</v>
      </c>
      <c r="I238" s="17"/>
    </row>
    <row r="239" spans="1:9">
      <c r="A239" s="4" t="s">
        <v>1577</v>
      </c>
      <c r="B239" s="35">
        <f>Standing!$K$85</f>
        <v>0.12930386717820264</v>
      </c>
      <c r="C239" s="35">
        <f>Standing!$K$108</f>
        <v>2.407103994648282E-3</v>
      </c>
      <c r="D239" s="45">
        <f>AggCap!$K$93</f>
        <v>0</v>
      </c>
      <c r="E239" s="34">
        <f t="shared" si="14"/>
        <v>0.10838076889958446</v>
      </c>
      <c r="F239" s="39">
        <f>0.01*Input!$F$60*(D239*$D$226)+10*(B239*$B$226+C239*$C$226)</f>
        <v>88.190288616444903</v>
      </c>
      <c r="G239" s="34">
        <f t="shared" si="15"/>
        <v>0.10838076889958446</v>
      </c>
      <c r="H239" s="43">
        <f t="shared" si="16"/>
        <v>68.562052331058965</v>
      </c>
      <c r="I239" s="17"/>
    </row>
    <row r="240" spans="1:9">
      <c r="A240" s="4" t="s">
        <v>1578</v>
      </c>
      <c r="B240" s="35">
        <f>Standing!$L$85</f>
        <v>8.8518377520987263E-2</v>
      </c>
      <c r="C240" s="35">
        <f>Standing!$L$108</f>
        <v>7.874452680564038E-3</v>
      </c>
      <c r="D240" s="45">
        <f>AggCap!$L$93</f>
        <v>0</v>
      </c>
      <c r="E240" s="34">
        <f t="shared" si="14"/>
        <v>7.522157843266862E-2</v>
      </c>
      <c r="F240" s="39">
        <f>0.01*Input!$F$60*(D240*$D$226)+10*(B240*$B$226+C240*$C$226)</f>
        <v>61.208393144985592</v>
      </c>
      <c r="G240" s="34">
        <f t="shared" si="15"/>
        <v>7.5221578432668634E-2</v>
      </c>
      <c r="H240" s="43">
        <f t="shared" si="16"/>
        <v>47.585432815150078</v>
      </c>
      <c r="I240" s="17"/>
    </row>
    <row r="241" spans="1:9">
      <c r="A241" s="4" t="s">
        <v>1579</v>
      </c>
      <c r="B241" s="35">
        <f>Standing!$M$85</f>
        <v>3.5013920632770354E-2</v>
      </c>
      <c r="C241" s="35">
        <f>Standing!$M$108</f>
        <v>3.1147821379623039E-3</v>
      </c>
      <c r="D241" s="45">
        <f>AggCap!$M$93</f>
        <v>0</v>
      </c>
      <c r="E241" s="34">
        <f t="shared" si="14"/>
        <v>2.9754300190248155E-2</v>
      </c>
      <c r="F241" s="39">
        <f>0.01*Input!$F$60*(D241*$D$226)+10*(B241*$B$226+C241*$C$226)</f>
        <v>24.211309330989504</v>
      </c>
      <c r="G241" s="34">
        <f t="shared" si="15"/>
        <v>2.9754300190248162E-2</v>
      </c>
      <c r="H241" s="43">
        <f t="shared" si="16"/>
        <v>18.822674053991264</v>
      </c>
      <c r="I241" s="17"/>
    </row>
    <row r="242" spans="1:9">
      <c r="A242" s="4" t="s">
        <v>1580</v>
      </c>
      <c r="B242" s="35">
        <f>Standing!$N$85</f>
        <v>8.9192187674245776E-2</v>
      </c>
      <c r="C242" s="35">
        <f>Standing!$N$108</f>
        <v>8.0966777841608804E-3</v>
      </c>
      <c r="D242" s="45">
        <f>AggCap!$N$93</f>
        <v>0</v>
      </c>
      <c r="E242" s="34">
        <f t="shared" si="14"/>
        <v>7.5820929961938774E-2</v>
      </c>
      <c r="F242" s="39">
        <f>0.01*Input!$F$60*(D242*$D$226)+10*(B242*$B$226+C242*$C$226)</f>
        <v>61.696090223403758</v>
      </c>
      <c r="G242" s="34">
        <f t="shared" si="15"/>
        <v>7.5820929961938774E-2</v>
      </c>
      <c r="H242" s="43">
        <f t="shared" si="16"/>
        <v>47.96458468251312</v>
      </c>
      <c r="I242" s="17"/>
    </row>
    <row r="243" spans="1:9">
      <c r="A243" s="4" t="s">
        <v>1581</v>
      </c>
      <c r="B243" s="35">
        <f>Standing!$O$85</f>
        <v>5.6262734965142905E-2</v>
      </c>
      <c r="C243" s="35">
        <f>Standing!$O$108</f>
        <v>5.107411850151778E-3</v>
      </c>
      <c r="D243" s="45">
        <f>AggCap!$O$93</f>
        <v>0</v>
      </c>
      <c r="E243" s="34">
        <f t="shared" si="14"/>
        <v>4.7828100178901649E-2</v>
      </c>
      <c r="F243" s="39">
        <f>0.01*Input!$F$60*(D243*$D$226)+10*(B243*$B$226+C243*$C$226)</f>
        <v>38.918103290645206</v>
      </c>
      <c r="G243" s="34">
        <f t="shared" si="15"/>
        <v>4.7828100178901649E-2</v>
      </c>
      <c r="H243" s="43">
        <f t="shared" si="16"/>
        <v>30.256222950394271</v>
      </c>
      <c r="I243" s="17"/>
    </row>
    <row r="244" spans="1:9">
      <c r="A244" s="4" t="s">
        <v>1582</v>
      </c>
      <c r="B244" s="35">
        <f>Standing!$P$85</f>
        <v>0</v>
      </c>
      <c r="C244" s="35">
        <f>Standing!$P$108</f>
        <v>0</v>
      </c>
      <c r="D244" s="45">
        <f>AggCap!$P$93</f>
        <v>0</v>
      </c>
      <c r="E244" s="34">
        <f t="shared" si="14"/>
        <v>0</v>
      </c>
      <c r="F244" s="39">
        <f>0.01*Input!$F$60*(D244*$D$226)+10*(B244*$B$226+C244*$C$226)</f>
        <v>0</v>
      </c>
      <c r="G244" s="34">
        <f t="shared" si="15"/>
        <v>0</v>
      </c>
      <c r="H244" s="43">
        <f t="shared" si="16"/>
        <v>0</v>
      </c>
      <c r="I244" s="17"/>
    </row>
    <row r="245" spans="1:9">
      <c r="A245" s="4" t="s">
        <v>1583</v>
      </c>
      <c r="B245" s="35">
        <f>Standing!$Q$85</f>
        <v>0.10214390787794325</v>
      </c>
      <c r="C245" s="35">
        <f>Standing!$Q$108</f>
        <v>9.2724074974284143E-3</v>
      </c>
      <c r="D245" s="45">
        <f>AggCap!$Q$93</f>
        <v>0</v>
      </c>
      <c r="E245" s="34">
        <f t="shared" si="14"/>
        <v>8.6830991448912792E-2</v>
      </c>
      <c r="F245" s="39">
        <f>0.01*Input!$F$60*(D245*$D$226)+10*(B245*$B$226+C245*$C$226)</f>
        <v>70.655064311515872</v>
      </c>
      <c r="G245" s="34">
        <f t="shared" si="15"/>
        <v>8.6830991448912806E-2</v>
      </c>
      <c r="H245" s="43">
        <f t="shared" si="16"/>
        <v>54.929587971403649</v>
      </c>
      <c r="I245" s="17"/>
    </row>
    <row r="246" spans="1:9">
      <c r="A246" s="4" t="s">
        <v>1584</v>
      </c>
      <c r="B246" s="35">
        <f>Standing!$R$85</f>
        <v>9.2738537926771697E-2</v>
      </c>
      <c r="C246" s="35">
        <f>Standing!$R$108</f>
        <v>8.4186079447860478E-3</v>
      </c>
      <c r="D246" s="45">
        <f>AggCap!$R$93</f>
        <v>0</v>
      </c>
      <c r="E246" s="34">
        <f t="shared" si="14"/>
        <v>7.8835628683079251E-2</v>
      </c>
      <c r="F246" s="39">
        <f>0.01*Input!$F$60*(D246*$D$226)+10*(B246*$B$226+C246*$C$226)</f>
        <v>64.149174409910444</v>
      </c>
      <c r="G246" s="34">
        <f t="shared" si="15"/>
        <v>7.8835628683079251E-2</v>
      </c>
      <c r="H246" s="43">
        <f t="shared" si="16"/>
        <v>49.871693605801099</v>
      </c>
      <c r="I246" s="17"/>
    </row>
    <row r="247" spans="1:9">
      <c r="A247" s="4" t="s">
        <v>1585</v>
      </c>
      <c r="B247" s="35">
        <f>Standing!$S$85</f>
        <v>0</v>
      </c>
      <c r="C247" s="35">
        <f>Standing!$S$108</f>
        <v>0</v>
      </c>
      <c r="D247" s="45">
        <f>AggCap!$S$93</f>
        <v>6.2139410850680354</v>
      </c>
      <c r="E247" s="34">
        <f t="shared" si="14"/>
        <v>0</v>
      </c>
      <c r="F247" s="39">
        <f>0.01*Input!$F$60*(D247*$D$226)+10*(B247*$B$226+C247*$C$226)</f>
        <v>29.2539942304427</v>
      </c>
      <c r="G247" s="34">
        <f t="shared" si="15"/>
        <v>3.5951468555327638E-2</v>
      </c>
      <c r="H247" s="43">
        <f t="shared" si="16"/>
        <v>22.743024371349009</v>
      </c>
      <c r="I247" s="17"/>
    </row>
    <row r="248" spans="1:9">
      <c r="A248" s="4" t="s">
        <v>1586</v>
      </c>
      <c r="B248" s="10"/>
      <c r="C248" s="10"/>
      <c r="D248" s="45">
        <f>Otex!$B$127</f>
        <v>11.405697703635974</v>
      </c>
      <c r="E248" s="34">
        <f t="shared" si="14"/>
        <v>0</v>
      </c>
      <c r="F248" s="39">
        <f>0.01*Input!$F$60*(D248*$D$226)+10*(B248*$B$226+C248*$C$226)</f>
        <v>53.695748036318427</v>
      </c>
      <c r="G248" s="34">
        <f t="shared" si="15"/>
        <v>6.5988971689671536E-2</v>
      </c>
      <c r="H248" s="43">
        <f t="shared" si="16"/>
        <v>41.744853595307667</v>
      </c>
      <c r="I248" s="17"/>
    </row>
    <row r="249" spans="1:9">
      <c r="A249" s="4" t="s">
        <v>1587</v>
      </c>
      <c r="B249" s="10"/>
      <c r="C249" s="10"/>
      <c r="D249" s="45">
        <f>Otex!$C$127</f>
        <v>0</v>
      </c>
      <c r="E249" s="34">
        <f t="shared" si="14"/>
        <v>0</v>
      </c>
      <c r="F249" s="39">
        <f>0.01*Input!$F$60*(D249*$D$226)+10*(B249*$B$226+C249*$C$226)</f>
        <v>0</v>
      </c>
      <c r="G249" s="34">
        <f t="shared" si="15"/>
        <v>0</v>
      </c>
      <c r="H249" s="43">
        <f t="shared" si="16"/>
        <v>0</v>
      </c>
      <c r="I249" s="17"/>
    </row>
    <row r="250" spans="1:9">
      <c r="A250" s="4" t="s">
        <v>1588</v>
      </c>
      <c r="B250" s="35">
        <f>Adder!$B$271</f>
        <v>0.57451230457623836</v>
      </c>
      <c r="C250" s="35">
        <f>Adder!$C$271</f>
        <v>0.57451230457623836</v>
      </c>
      <c r="D250" s="10"/>
      <c r="E250" s="34">
        <f t="shared" si="14"/>
        <v>0.57451230457623836</v>
      </c>
      <c r="F250" s="39">
        <f>0.01*Input!$F$60*(D250*$D$226)+10*(B250*$B$226+C250*$C$226)</f>
        <v>467.48520488187472</v>
      </c>
      <c r="G250" s="34">
        <f t="shared" si="15"/>
        <v>0.57451230457623836</v>
      </c>
      <c r="H250" s="43">
        <f t="shared" si="16"/>
        <v>363.43848720697133</v>
      </c>
      <c r="I250" s="17"/>
    </row>
    <row r="251" spans="1:9">
      <c r="A251" s="4" t="s">
        <v>1589</v>
      </c>
      <c r="B251" s="35">
        <f>Adjust!$B$84</f>
        <v>4.514467098371E-6</v>
      </c>
      <c r="C251" s="35">
        <f>Adjust!$C$84</f>
        <v>3.2837497525739501E-4</v>
      </c>
      <c r="D251" s="45">
        <f>Adjust!$E$84</f>
        <v>-2.9484838381783618E-3</v>
      </c>
      <c r="E251" s="34">
        <f t="shared" si="14"/>
        <v>5.7913506370734893E-5</v>
      </c>
      <c r="F251" s="39">
        <f>0.01*Input!$F$60*(D251*$D$226)+10*(B251*$B$226+C251*$C$226)</f>
        <v>3.3243804706390281E-2</v>
      </c>
      <c r="G251" s="34">
        <f t="shared" si="15"/>
        <v>4.0854715091093963E-5</v>
      </c>
      <c r="H251" s="43">
        <f t="shared" si="16"/>
        <v>2.5844835227560637E-2</v>
      </c>
      <c r="I251" s="17"/>
    </row>
    <row r="253" spans="1:9">
      <c r="A253" s="4" t="s">
        <v>1590</v>
      </c>
      <c r="B253" s="34">
        <f>SUM($B$229:$B$251)</f>
        <v>2.1970000000000001</v>
      </c>
      <c r="C253" s="34">
        <f>SUM($C$229:$C$251)</f>
        <v>0.71199999999999997</v>
      </c>
      <c r="D253" s="43">
        <f>SUM($D$229:$D$251)</f>
        <v>18.09</v>
      </c>
      <c r="E253" s="34">
        <f>SUM(E$229:E$251)</f>
        <v>1.9521489875371796</v>
      </c>
      <c r="F253" s="39">
        <f>SUM($F$229:$F$251)</f>
        <v>1673.6431756892637</v>
      </c>
      <c r="G253" s="34">
        <f>SUM($G$229:$G$251)</f>
        <v>2.0568107564954792</v>
      </c>
      <c r="H253" s="43">
        <f>SUM($H$229:$H$251)</f>
        <v>1301.145656685489</v>
      </c>
    </row>
    <row r="255" spans="1:9" ht="21" customHeight="1">
      <c r="A255" s="1" t="s">
        <v>185</v>
      </c>
    </row>
    <row r="257" spans="1:9">
      <c r="B257" s="15" t="s">
        <v>237</v>
      </c>
      <c r="C257" s="15" t="s">
        <v>238</v>
      </c>
      <c r="D257" s="15" t="s">
        <v>240</v>
      </c>
      <c r="E257" s="15" t="s">
        <v>1571</v>
      </c>
      <c r="F257" s="15" t="s">
        <v>1572</v>
      </c>
    </row>
    <row r="258" spans="1:9">
      <c r="A258" s="4" t="s">
        <v>185</v>
      </c>
      <c r="B258" s="41">
        <f>Loads!B$341</f>
        <v>0.13596319903118673</v>
      </c>
      <c r="C258" s="41">
        <f>Loads!C$341</f>
        <v>0.2880364513981673</v>
      </c>
      <c r="D258" s="41">
        <f>Loads!E$341</f>
        <v>1E-3</v>
      </c>
      <c r="E258" s="41">
        <f>Multi!B$135</f>
        <v>0.42399965042935406</v>
      </c>
      <c r="F258" s="34">
        <f>IF(D258,E258/D258,"")</f>
        <v>423.99965042935406</v>
      </c>
      <c r="G258" s="17"/>
    </row>
    <row r="260" spans="1:9" ht="30">
      <c r="B260" s="15" t="s">
        <v>1379</v>
      </c>
      <c r="C260" s="15" t="s">
        <v>1380</v>
      </c>
      <c r="D260" s="15" t="s">
        <v>1382</v>
      </c>
      <c r="E260" s="15" t="s">
        <v>1591</v>
      </c>
      <c r="F260" s="15" t="s">
        <v>1573</v>
      </c>
      <c r="G260" s="15" t="s">
        <v>1540</v>
      </c>
      <c r="H260" s="15" t="s">
        <v>1574</v>
      </c>
    </row>
    <row r="261" spans="1:9">
      <c r="A261" s="4" t="s">
        <v>479</v>
      </c>
      <c r="B261" s="35">
        <f>Standing!$C$86</f>
        <v>0.55674173509484981</v>
      </c>
      <c r="C261" s="35">
        <f>Standing!$C$109</f>
        <v>4.9893197482333805E-2</v>
      </c>
      <c r="D261" s="45">
        <f>AggCap!$C$94</f>
        <v>0</v>
      </c>
      <c r="E261" s="34">
        <f t="shared" ref="E261:E283" si="17">IF(E$258&lt;&gt;0,(($B261*B$258+$C261*C$258))/E$258,0)</f>
        <v>0.21242339893012613</v>
      </c>
      <c r="F261" s="39">
        <f>0.01*Input!$F$60*(D261*$D$258)+10*(B261*$B$258+C261*$C$258)</f>
        <v>0.90067446889388703</v>
      </c>
      <c r="G261" s="34">
        <f t="shared" ref="G261:G283" si="18">IF($E$258&lt;&gt;0,0.1*F261/$E$258,"")</f>
        <v>0.21242339893012616</v>
      </c>
      <c r="H261" s="43">
        <f t="shared" ref="H261:H283" si="19">IF($D$258&lt;&gt;0,F261/$D$258,"")</f>
        <v>900.67446889388702</v>
      </c>
      <c r="I261" s="17"/>
    </row>
    <row r="262" spans="1:9">
      <c r="A262" s="4" t="s">
        <v>480</v>
      </c>
      <c r="B262" s="35">
        <f>Standing!$D$86</f>
        <v>0.22022218969094942</v>
      </c>
      <c r="C262" s="35">
        <f>Standing!$D$109</f>
        <v>1.9735522788444457E-2</v>
      </c>
      <c r="D262" s="45">
        <f>AggCap!$D$94</f>
        <v>0</v>
      </c>
      <c r="E262" s="34">
        <f t="shared" si="17"/>
        <v>8.4025218705791271E-2</v>
      </c>
      <c r="F262" s="39">
        <f>0.01*Input!$F$60*(D262*$D$258)+10*(B262*$B$258+C262*$C$258)</f>
        <v>0.35626663358505517</v>
      </c>
      <c r="G262" s="34">
        <f t="shared" si="18"/>
        <v>8.4025218705791271E-2</v>
      </c>
      <c r="H262" s="43">
        <f t="shared" si="19"/>
        <v>356.26663358505516</v>
      </c>
      <c r="I262" s="17"/>
    </row>
    <row r="263" spans="1:9">
      <c r="A263" s="4" t="s">
        <v>481</v>
      </c>
      <c r="B263" s="35">
        <f>Standing!$E$86</f>
        <v>0.56150192773499308</v>
      </c>
      <c r="C263" s="35">
        <f>Standing!$E$109</f>
        <v>5.1301234514120921E-2</v>
      </c>
      <c r="D263" s="45">
        <f>AggCap!$E$94</f>
        <v>0</v>
      </c>
      <c r="E263" s="34">
        <f t="shared" si="17"/>
        <v>0.21490636562211676</v>
      </c>
      <c r="F263" s="39">
        <f>0.01*Input!$F$60*(D263*$D$258)+10*(B263*$B$258+C263*$C$258)</f>
        <v>0.91120223898820463</v>
      </c>
      <c r="G263" s="34">
        <f t="shared" si="18"/>
        <v>0.21490636562211676</v>
      </c>
      <c r="H263" s="43">
        <f t="shared" si="19"/>
        <v>911.20223898820461</v>
      </c>
      <c r="I263" s="17"/>
    </row>
    <row r="264" spans="1:9">
      <c r="A264" s="4" t="s">
        <v>482</v>
      </c>
      <c r="B264" s="35">
        <f>Standing!$F$86</f>
        <v>0.35419732340182086</v>
      </c>
      <c r="C264" s="35">
        <f>Standing!$F$109</f>
        <v>3.2360992998561225E-2</v>
      </c>
      <c r="D264" s="45">
        <f>AggCap!$F$94</f>
        <v>0</v>
      </c>
      <c r="E264" s="34">
        <f t="shared" si="17"/>
        <v>0.13556366545778301</v>
      </c>
      <c r="F264" s="39">
        <f>0.01*Input!$F$60*(D264*$D$258)+10*(B264*$B$258+C264*$C$258)</f>
        <v>0.57478946765021899</v>
      </c>
      <c r="G264" s="34">
        <f t="shared" si="18"/>
        <v>0.13556366545778303</v>
      </c>
      <c r="H264" s="43">
        <f t="shared" si="19"/>
        <v>574.78946765021897</v>
      </c>
      <c r="I264" s="17"/>
    </row>
    <row r="265" spans="1:9">
      <c r="A265" s="4" t="s">
        <v>483</v>
      </c>
      <c r="B265" s="35">
        <f>Standing!$G$86</f>
        <v>0</v>
      </c>
      <c r="C265" s="35">
        <f>Standing!$G$109</f>
        <v>0</v>
      </c>
      <c r="D265" s="45">
        <f>AggCap!$G$94</f>
        <v>0</v>
      </c>
      <c r="E265" s="34">
        <f t="shared" si="17"/>
        <v>0</v>
      </c>
      <c r="F265" s="39">
        <f>0.01*Input!$F$60*(D265*$D$258)+10*(B265*$B$258+C265*$C$258)</f>
        <v>0</v>
      </c>
      <c r="G265" s="34">
        <f t="shared" si="18"/>
        <v>0</v>
      </c>
      <c r="H265" s="43">
        <f t="shared" si="19"/>
        <v>0</v>
      </c>
      <c r="I265" s="17"/>
    </row>
    <row r="266" spans="1:9">
      <c r="A266" s="4" t="s">
        <v>484</v>
      </c>
      <c r="B266" s="35">
        <f>Standing!$H$86</f>
        <v>0.45012687627448045</v>
      </c>
      <c r="C266" s="35">
        <f>Standing!$H$109</f>
        <v>4.112553011886428E-2</v>
      </c>
      <c r="D266" s="45">
        <f>AggCap!$H$94</f>
        <v>0</v>
      </c>
      <c r="E266" s="34">
        <f t="shared" si="17"/>
        <v>0.1722792501161991</v>
      </c>
      <c r="F266" s="39">
        <f>0.01*Input!$F$60*(D266*$D$258)+10*(B266*$B$258+C266*$C$258)</f>
        <v>0.73046341825499672</v>
      </c>
      <c r="G266" s="34">
        <f t="shared" si="18"/>
        <v>0.1722792501161991</v>
      </c>
      <c r="H266" s="43">
        <f t="shared" si="19"/>
        <v>730.46341825499667</v>
      </c>
      <c r="I266" s="17"/>
    </row>
    <row r="267" spans="1:9">
      <c r="A267" s="4" t="s">
        <v>485</v>
      </c>
      <c r="B267" s="35">
        <f>Standing!$I$86</f>
        <v>0</v>
      </c>
      <c r="C267" s="35">
        <f>Standing!$I$109</f>
        <v>0</v>
      </c>
      <c r="D267" s="45">
        <f>AggCap!$I$94</f>
        <v>6.1356728015637225</v>
      </c>
      <c r="E267" s="34">
        <f t="shared" si="17"/>
        <v>0</v>
      </c>
      <c r="F267" s="39">
        <f>0.01*Input!$F$60*(D267*$D$258)+10*(B267*$B$258+C267*$C$258)</f>
        <v>2.2456562453723225E-2</v>
      </c>
      <c r="G267" s="34">
        <f t="shared" si="18"/>
        <v>5.296363435909222E-3</v>
      </c>
      <c r="H267" s="43">
        <f t="shared" si="19"/>
        <v>22.456562453723226</v>
      </c>
      <c r="I267" s="17"/>
    </row>
    <row r="268" spans="1:9">
      <c r="A268" s="4" t="s">
        <v>486</v>
      </c>
      <c r="B268" s="35">
        <f>Standing!$J$86</f>
        <v>0</v>
      </c>
      <c r="C268" s="35">
        <f>Standing!$J$109</f>
        <v>0</v>
      </c>
      <c r="D268" s="45">
        <f>AggCap!$J$94</f>
        <v>0</v>
      </c>
      <c r="E268" s="34">
        <f t="shared" si="17"/>
        <v>0</v>
      </c>
      <c r="F268" s="39">
        <f>0.01*Input!$F$60*(D268*$D$258)+10*(B268*$B$258+C268*$C$258)</f>
        <v>0</v>
      </c>
      <c r="G268" s="34">
        <f t="shared" si="18"/>
        <v>0</v>
      </c>
      <c r="H268" s="43">
        <f t="shared" si="19"/>
        <v>0</v>
      </c>
      <c r="I268" s="17"/>
    </row>
    <row r="269" spans="1:9">
      <c r="A269" s="4" t="s">
        <v>1575</v>
      </c>
      <c r="B269" s="10"/>
      <c r="C269" s="10"/>
      <c r="D269" s="45">
        <f>SM!$B$125</f>
        <v>0</v>
      </c>
      <c r="E269" s="34">
        <f t="shared" si="17"/>
        <v>0</v>
      </c>
      <c r="F269" s="39">
        <f>0.01*Input!$F$60*(D269*$D$258)+10*(B269*$B$258+C269*$C$258)</f>
        <v>0</v>
      </c>
      <c r="G269" s="34">
        <f t="shared" si="18"/>
        <v>0</v>
      </c>
      <c r="H269" s="43">
        <f t="shared" si="19"/>
        <v>0</v>
      </c>
      <c r="I269" s="17"/>
    </row>
    <row r="270" spans="1:9">
      <c r="A270" s="4" t="s">
        <v>1576</v>
      </c>
      <c r="B270" s="10"/>
      <c r="C270" s="10"/>
      <c r="D270" s="45">
        <f>SM!$C$125</f>
        <v>0</v>
      </c>
      <c r="E270" s="34">
        <f t="shared" si="17"/>
        <v>0</v>
      </c>
      <c r="F270" s="39">
        <f>0.01*Input!$F$60*(D270*$D$258)+10*(B270*$B$258+C270*$C$258)</f>
        <v>0</v>
      </c>
      <c r="G270" s="34">
        <f t="shared" si="18"/>
        <v>0</v>
      </c>
      <c r="H270" s="43">
        <f t="shared" si="19"/>
        <v>0</v>
      </c>
      <c r="I270" s="17"/>
    </row>
    <row r="271" spans="1:9">
      <c r="A271" s="4" t="s">
        <v>1577</v>
      </c>
      <c r="B271" s="35">
        <f>Standing!$K$86</f>
        <v>0.31976075137493104</v>
      </c>
      <c r="C271" s="35">
        <f>Standing!$K$109</f>
        <v>6.007016140251115E-3</v>
      </c>
      <c r="D271" s="45">
        <f>AggCap!$K$94</f>
        <v>0</v>
      </c>
      <c r="E271" s="34">
        <f t="shared" si="17"/>
        <v>0.10661785746357148</v>
      </c>
      <c r="F271" s="39">
        <f>0.01*Input!$F$60*(D271*$D$258)+10*(B271*$B$258+C271*$C$258)</f>
        <v>0.45205934294081007</v>
      </c>
      <c r="G271" s="34">
        <f t="shared" si="18"/>
        <v>0.1066178574635715</v>
      </c>
      <c r="H271" s="43">
        <f t="shared" si="19"/>
        <v>452.05934294081004</v>
      </c>
      <c r="I271" s="17"/>
    </row>
    <row r="272" spans="1:9">
      <c r="A272" s="4" t="s">
        <v>1578</v>
      </c>
      <c r="B272" s="35">
        <f>Standing!$L$86</f>
        <v>0.21927885972189645</v>
      </c>
      <c r="C272" s="35">
        <f>Standing!$L$109</f>
        <v>1.9650984939976992E-2</v>
      </c>
      <c r="D272" s="45">
        <f>AggCap!$L$94</f>
        <v>0</v>
      </c>
      <c r="E272" s="34">
        <f t="shared" si="17"/>
        <v>8.3665293545331115E-2</v>
      </c>
      <c r="F272" s="39">
        <f>0.01*Input!$F$60*(D272*$D$258)+10*(B272*$B$258+C272*$C$258)</f>
        <v>0.35474055216289685</v>
      </c>
      <c r="G272" s="34">
        <f t="shared" si="18"/>
        <v>8.3665293545331115E-2</v>
      </c>
      <c r="H272" s="43">
        <f t="shared" si="19"/>
        <v>354.74055216289685</v>
      </c>
      <c r="I272" s="17"/>
    </row>
    <row r="273" spans="1:9">
      <c r="A273" s="4" t="s">
        <v>1579</v>
      </c>
      <c r="B273" s="35">
        <f>Standing!$M$86</f>
        <v>8.6736933117944892E-2</v>
      </c>
      <c r="C273" s="35">
        <f>Standing!$M$109</f>
        <v>7.7730528542616457E-3</v>
      </c>
      <c r="D273" s="45">
        <f>AggCap!$M$94</f>
        <v>0</v>
      </c>
      <c r="E273" s="34">
        <f t="shared" si="17"/>
        <v>3.3094257146987362E-2</v>
      </c>
      <c r="F273" s="39">
        <f>0.01*Input!$F$60*(D273*$D$258)+10*(B273*$B$258+C273*$C$258)</f>
        <v>0.14031953461541793</v>
      </c>
      <c r="G273" s="34">
        <f t="shared" si="18"/>
        <v>3.3094257146987362E-2</v>
      </c>
      <c r="H273" s="43">
        <f t="shared" si="19"/>
        <v>140.31953461541792</v>
      </c>
      <c r="I273" s="17"/>
    </row>
    <row r="274" spans="1:9">
      <c r="A274" s="4" t="s">
        <v>1580</v>
      </c>
      <c r="B274" s="35">
        <f>Standing!$N$86</f>
        <v>0.22115371398265937</v>
      </c>
      <c r="C274" s="35">
        <f>Standing!$N$109</f>
        <v>2.0205555821435833E-2</v>
      </c>
      <c r="D274" s="45">
        <f>AggCap!$N$94</f>
        <v>0</v>
      </c>
      <c r="E274" s="34">
        <f t="shared" si="17"/>
        <v>8.4643237303857449E-2</v>
      </c>
      <c r="F274" s="39">
        <f>0.01*Input!$F$60*(D274*$D$258)+10*(B274*$B$258+C274*$C$258)</f>
        <v>0.35888703028044422</v>
      </c>
      <c r="G274" s="34">
        <f t="shared" si="18"/>
        <v>8.4643237303857449E-2</v>
      </c>
      <c r="H274" s="43">
        <f t="shared" si="19"/>
        <v>358.88703028044421</v>
      </c>
      <c r="I274" s="17"/>
    </row>
    <row r="275" spans="1:9">
      <c r="A275" s="4" t="s">
        <v>1581</v>
      </c>
      <c r="B275" s="35">
        <f>Standing!$O$86</f>
        <v>0.13950451402546116</v>
      </c>
      <c r="C275" s="35">
        <f>Standing!$O$109</f>
        <v>1.2745733249158784E-2</v>
      </c>
      <c r="D275" s="45">
        <f>AggCap!$O$94</f>
        <v>0</v>
      </c>
      <c r="E275" s="34">
        <f t="shared" si="17"/>
        <v>5.3393241619004828E-2</v>
      </c>
      <c r="F275" s="39">
        <f>0.01*Input!$F$60*(D275*$D$258)+10*(B275*$B$258+C275*$C$258)</f>
        <v>0.22638715781748087</v>
      </c>
      <c r="G275" s="34">
        <f t="shared" si="18"/>
        <v>5.3393241619004828E-2</v>
      </c>
      <c r="H275" s="43">
        <f t="shared" si="19"/>
        <v>226.38715781748087</v>
      </c>
      <c r="I275" s="17"/>
    </row>
    <row r="276" spans="1:9">
      <c r="A276" s="4" t="s">
        <v>1582</v>
      </c>
      <c r="B276" s="35">
        <f>Standing!$P$86</f>
        <v>0</v>
      </c>
      <c r="C276" s="35">
        <f>Standing!$P$109</f>
        <v>0</v>
      </c>
      <c r="D276" s="45">
        <f>AggCap!$P$94</f>
        <v>0</v>
      </c>
      <c r="E276" s="34">
        <f t="shared" si="17"/>
        <v>0</v>
      </c>
      <c r="F276" s="39">
        <f>0.01*Input!$F$60*(D276*$D$258)+10*(B276*$B$258+C276*$C$258)</f>
        <v>0</v>
      </c>
      <c r="G276" s="34">
        <f t="shared" si="18"/>
        <v>0</v>
      </c>
      <c r="H276" s="43">
        <f t="shared" si="19"/>
        <v>0</v>
      </c>
      <c r="I276" s="17"/>
    </row>
    <row r="277" spans="1:9">
      <c r="A277" s="4" t="s">
        <v>1583</v>
      </c>
      <c r="B277" s="35">
        <f>Standing!$Q$86</f>
        <v>0.25326774885725206</v>
      </c>
      <c r="C277" s="35">
        <f>Standing!$Q$109</f>
        <v>2.3139632363152866E-2</v>
      </c>
      <c r="D277" s="45">
        <f>AggCap!$Q$94</f>
        <v>0</v>
      </c>
      <c r="E277" s="34">
        <f t="shared" si="17"/>
        <v>9.6934398169858715E-2</v>
      </c>
      <c r="F277" s="39">
        <f>0.01*Input!$F$60*(D277*$D$258)+10*(B277*$B$258+C277*$C$258)</f>
        <v>0.41100150938599916</v>
      </c>
      <c r="G277" s="34">
        <f t="shared" si="18"/>
        <v>9.6934398169858743E-2</v>
      </c>
      <c r="H277" s="43">
        <f t="shared" si="19"/>
        <v>411.00150938599916</v>
      </c>
      <c r="I277" s="17"/>
    </row>
    <row r="278" spans="1:9">
      <c r="A278" s="4" t="s">
        <v>1584</v>
      </c>
      <c r="B278" s="35">
        <f>Standing!$R$86</f>
        <v>0</v>
      </c>
      <c r="C278" s="35">
        <f>Standing!$R$109</f>
        <v>0</v>
      </c>
      <c r="D278" s="45">
        <f>AggCap!$R$94</f>
        <v>80.553408683850591</v>
      </c>
      <c r="E278" s="34">
        <f t="shared" si="17"/>
        <v>0</v>
      </c>
      <c r="F278" s="39">
        <f>0.01*Input!$F$60*(D278*$D$258)+10*(B278*$B$258+C278*$C$258)</f>
        <v>0.2948254757828932</v>
      </c>
      <c r="G278" s="34">
        <f t="shared" si="18"/>
        <v>6.9534367654394191E-2</v>
      </c>
      <c r="H278" s="43">
        <f t="shared" si="19"/>
        <v>294.82547578289319</v>
      </c>
      <c r="I278" s="17"/>
    </row>
    <row r="279" spans="1:9">
      <c r="A279" s="4" t="s">
        <v>1585</v>
      </c>
      <c r="B279" s="35">
        <f>Standing!$S$86</f>
        <v>0</v>
      </c>
      <c r="C279" s="35">
        <f>Standing!$S$109</f>
        <v>0</v>
      </c>
      <c r="D279" s="45">
        <f>AggCap!$S$94</f>
        <v>0</v>
      </c>
      <c r="E279" s="34">
        <f t="shared" si="17"/>
        <v>0</v>
      </c>
      <c r="F279" s="39">
        <f>0.01*Input!$F$60*(D279*$D$258)+10*(B279*$B$258+C279*$C$258)</f>
        <v>0</v>
      </c>
      <c r="G279" s="34">
        <f t="shared" si="18"/>
        <v>0</v>
      </c>
      <c r="H279" s="43">
        <f t="shared" si="19"/>
        <v>0</v>
      </c>
      <c r="I279" s="17"/>
    </row>
    <row r="280" spans="1:9">
      <c r="A280" s="4" t="s">
        <v>1586</v>
      </c>
      <c r="B280" s="10"/>
      <c r="C280" s="10"/>
      <c r="D280" s="45">
        <f>Otex!$B$128</f>
        <v>45.106413068356694</v>
      </c>
      <c r="E280" s="34">
        <f t="shared" si="17"/>
        <v>0</v>
      </c>
      <c r="F280" s="39">
        <f>0.01*Input!$F$60*(D280*$D$258)+10*(B280*$B$258+C280*$C$258)</f>
        <v>0.16508947183018549</v>
      </c>
      <c r="G280" s="34">
        <f t="shared" si="18"/>
        <v>3.8936228287691096E-2</v>
      </c>
      <c r="H280" s="43">
        <f t="shared" si="19"/>
        <v>165.08947183018549</v>
      </c>
      <c r="I280" s="17"/>
    </row>
    <row r="281" spans="1:9">
      <c r="A281" s="4" t="s">
        <v>1587</v>
      </c>
      <c r="B281" s="10"/>
      <c r="C281" s="10"/>
      <c r="D281" s="45">
        <f>Otex!$C$128</f>
        <v>0</v>
      </c>
      <c r="E281" s="34">
        <f t="shared" si="17"/>
        <v>0</v>
      </c>
      <c r="F281" s="39">
        <f>0.01*Input!$F$60*(D281*$D$258)+10*(B281*$B$258+C281*$C$258)</f>
        <v>0</v>
      </c>
      <c r="G281" s="34">
        <f t="shared" si="18"/>
        <v>0</v>
      </c>
      <c r="H281" s="43">
        <f t="shared" si="19"/>
        <v>0</v>
      </c>
      <c r="I281" s="17"/>
    </row>
    <row r="282" spans="1:9">
      <c r="A282" s="4" t="s">
        <v>1588</v>
      </c>
      <c r="B282" s="35">
        <f>Adder!$B$272</f>
        <v>0.57451230457623836</v>
      </c>
      <c r="C282" s="35">
        <f>Adder!$C$272</f>
        <v>0.57451230457623836</v>
      </c>
      <c r="D282" s="10"/>
      <c r="E282" s="34">
        <f t="shared" si="17"/>
        <v>0.57451230457623836</v>
      </c>
      <c r="F282" s="39">
        <f>0.01*Input!$F$60*(D282*$D$258)+10*(B282*$B$258+C282*$C$258)</f>
        <v>2.4359301630768764</v>
      </c>
      <c r="G282" s="34">
        <f t="shared" si="18"/>
        <v>0.57451230457623836</v>
      </c>
      <c r="H282" s="43">
        <f t="shared" si="19"/>
        <v>2435.9301630768764</v>
      </c>
      <c r="I282" s="17"/>
    </row>
    <row r="283" spans="1:9">
      <c r="A283" s="4" t="s">
        <v>1589</v>
      </c>
      <c r="B283" s="35">
        <f>Adjust!$B$85</f>
        <v>-4.8778534775806293E-6</v>
      </c>
      <c r="C283" s="35">
        <f>Adjust!$C$85</f>
        <v>-4.5075784680026487E-4</v>
      </c>
      <c r="D283" s="45">
        <f>Adjust!$E$85</f>
        <v>4.5054462289897401E-3</v>
      </c>
      <c r="E283" s="34">
        <f t="shared" si="17"/>
        <v>-3.0777831789082475E-4</v>
      </c>
      <c r="F283" s="39">
        <f>0.01*Input!$F$60*(D283*$D$258)+10*(B283*$B$258+C283*$C$258)</f>
        <v>-1.2884890587563404E-3</v>
      </c>
      <c r="G283" s="34">
        <f t="shared" si="18"/>
        <v>-3.0388917949615758E-4</v>
      </c>
      <c r="H283" s="43">
        <f t="shared" si="19"/>
        <v>-1.2884890587563405</v>
      </c>
      <c r="I283" s="17"/>
    </row>
    <row r="285" spans="1:9">
      <c r="A285" s="4" t="s">
        <v>1590</v>
      </c>
      <c r="B285" s="34">
        <f>SUM($B$261:$B$283)</f>
        <v>3.9569999999999999</v>
      </c>
      <c r="C285" s="34">
        <f>SUM($C$261:$C$283)</f>
        <v>0.85799999999999998</v>
      </c>
      <c r="D285" s="43">
        <f>SUM($D$261:$D$283)</f>
        <v>131.80000000000001</v>
      </c>
      <c r="E285" s="34">
        <f>SUM(E$261:E$283)</f>
        <v>1.8517507103389748</v>
      </c>
      <c r="F285" s="39">
        <f>SUM($F$261:$F$283)</f>
        <v>8.333804538660333</v>
      </c>
      <c r="G285" s="34">
        <f>SUM($G$261:$G$283)</f>
        <v>1.9655215588553641</v>
      </c>
      <c r="H285" s="43">
        <f>SUM($H$261:$H$283)</f>
        <v>8333.8045386603353</v>
      </c>
    </row>
    <row r="287" spans="1:9" ht="21" customHeight="1">
      <c r="A287" s="1" t="s">
        <v>205</v>
      </c>
    </row>
    <row r="289" spans="1:9">
      <c r="B289" s="15" t="s">
        <v>237</v>
      </c>
      <c r="C289" s="15" t="s">
        <v>238</v>
      </c>
      <c r="D289" s="15" t="s">
        <v>240</v>
      </c>
      <c r="E289" s="15" t="s">
        <v>1571</v>
      </c>
      <c r="F289" s="15" t="s">
        <v>1572</v>
      </c>
    </row>
    <row r="290" spans="1:9">
      <c r="A290" s="4" t="s">
        <v>205</v>
      </c>
      <c r="B290" s="41">
        <f>Loads!B$342</f>
        <v>0.45301947902899675</v>
      </c>
      <c r="C290" s="41">
        <f>Loads!C$342</f>
        <v>1.1537160889420643</v>
      </c>
      <c r="D290" s="41">
        <f>Loads!E$342</f>
        <v>1E-3</v>
      </c>
      <c r="E290" s="41">
        <f>Multi!B$136</f>
        <v>1.6067355679710611</v>
      </c>
      <c r="F290" s="34">
        <f>IF(D290,E290/D290,"")</f>
        <v>1606.7355679710611</v>
      </c>
      <c r="G290" s="17"/>
    </row>
    <row r="292" spans="1:9" ht="30">
      <c r="B292" s="15" t="s">
        <v>1379</v>
      </c>
      <c r="C292" s="15" t="s">
        <v>1380</v>
      </c>
      <c r="D292" s="15" t="s">
        <v>1382</v>
      </c>
      <c r="E292" s="15" t="s">
        <v>1591</v>
      </c>
      <c r="F292" s="15" t="s">
        <v>1573</v>
      </c>
      <c r="G292" s="15" t="s">
        <v>1540</v>
      </c>
      <c r="H292" s="15" t="s">
        <v>1574</v>
      </c>
    </row>
    <row r="293" spans="1:9">
      <c r="A293" s="4" t="s">
        <v>479</v>
      </c>
      <c r="B293" s="35">
        <f>Standing!$C$87</f>
        <v>0.66859403440475773</v>
      </c>
      <c r="C293" s="35">
        <f>Standing!$C$110</f>
        <v>6.0019037823785988E-2</v>
      </c>
      <c r="D293" s="45">
        <f>AggCap!$C$95</f>
        <v>0</v>
      </c>
      <c r="E293" s="34">
        <f t="shared" ref="E293:E315" si="20">IF(E$290&lt;&gt;0,(($B293*B$290+$C293*C$290))/E$290,0)</f>
        <v>0.23160690417650923</v>
      </c>
      <c r="F293" s="39">
        <f>0.01*Input!$F$60*(D293*$D$290)+10*(B293*$B$290+C293*$C$290)</f>
        <v>3.7213105072806267</v>
      </c>
      <c r="G293" s="34">
        <f t="shared" ref="G293:G315" si="21">IF($E$290&lt;&gt;0,0.1*F293/$E$290,"")</f>
        <v>0.23160690417650923</v>
      </c>
      <c r="H293" s="43">
        <f t="shared" ref="H293:H315" si="22">IF($D$290&lt;&gt;0,F293/$D$290,"")</f>
        <v>3721.3105072806266</v>
      </c>
      <c r="I293" s="17"/>
    </row>
    <row r="294" spans="1:9">
      <c r="A294" s="4" t="s">
        <v>480</v>
      </c>
      <c r="B294" s="35">
        <f>Standing!$D$87</f>
        <v>0.2644659686700821</v>
      </c>
      <c r="C294" s="35">
        <f>Standing!$D$110</f>
        <v>2.3740853432599681E-2</v>
      </c>
      <c r="D294" s="45">
        <f>AggCap!$D$95</f>
        <v>0</v>
      </c>
      <c r="E294" s="34">
        <f t="shared" si="20"/>
        <v>9.1613357451284391E-2</v>
      </c>
      <c r="F294" s="39">
        <f>0.01*Input!$F$60*(D294*$D$290)+10*(B294*$B$290+C294*$C$290)</f>
        <v>1.4719843991822525</v>
      </c>
      <c r="G294" s="34">
        <f t="shared" si="21"/>
        <v>9.1613357451284391E-2</v>
      </c>
      <c r="H294" s="43">
        <f t="shared" si="22"/>
        <v>1471.9843991822524</v>
      </c>
      <c r="I294" s="17"/>
    </row>
    <row r="295" spans="1:9">
      <c r="A295" s="4" t="s">
        <v>481</v>
      </c>
      <c r="B295" s="35">
        <f>Standing!$E$87</f>
        <v>0.54080792872374872</v>
      </c>
      <c r="C295" s="35">
        <f>Standing!$E$110</f>
        <v>4.9370269136191074E-2</v>
      </c>
      <c r="D295" s="45">
        <f>AggCap!$E$95</f>
        <v>175.74571374391957</v>
      </c>
      <c r="E295" s="34">
        <f t="shared" si="20"/>
        <v>0.18793123520898208</v>
      </c>
      <c r="F295" s="39">
        <f>0.01*Input!$F$60*(D295*$D$290)+10*(B295*$B$290+C295*$C$290)</f>
        <v>3.6627873117328149</v>
      </c>
      <c r="G295" s="34">
        <f t="shared" si="21"/>
        <v>0.22796453783356999</v>
      </c>
      <c r="H295" s="43">
        <f t="shared" si="22"/>
        <v>3662.7873117328149</v>
      </c>
      <c r="I295" s="17"/>
    </row>
    <row r="296" spans="1:9">
      <c r="A296" s="4" t="s">
        <v>482</v>
      </c>
      <c r="B296" s="35">
        <f>Standing!$F$87</f>
        <v>0</v>
      </c>
      <c r="C296" s="35">
        <f>Standing!$F$110</f>
        <v>0</v>
      </c>
      <c r="D296" s="45">
        <f>AggCap!$F$95</f>
        <v>238.35113543752311</v>
      </c>
      <c r="E296" s="34">
        <f t="shared" si="20"/>
        <v>0</v>
      </c>
      <c r="F296" s="39">
        <f>0.01*Input!$F$60*(D296*$D$290)+10*(B296*$B$290+C296*$C$290)</f>
        <v>0.87236515570133466</v>
      </c>
      <c r="G296" s="34">
        <f t="shared" si="21"/>
        <v>5.4294258065310151E-2</v>
      </c>
      <c r="H296" s="43">
        <f t="shared" si="22"/>
        <v>872.36515570133463</v>
      </c>
      <c r="I296" s="17"/>
    </row>
    <row r="297" spans="1:9">
      <c r="A297" s="4" t="s">
        <v>483</v>
      </c>
      <c r="B297" s="35">
        <f>Standing!$G$87</f>
        <v>0</v>
      </c>
      <c r="C297" s="35">
        <f>Standing!$G$110</f>
        <v>0</v>
      </c>
      <c r="D297" s="45">
        <f>AggCap!$G$95</f>
        <v>0</v>
      </c>
      <c r="E297" s="34">
        <f t="shared" si="20"/>
        <v>0</v>
      </c>
      <c r="F297" s="39">
        <f>0.01*Input!$F$60*(D297*$D$290)+10*(B297*$B$290+C297*$C$290)</f>
        <v>0</v>
      </c>
      <c r="G297" s="34">
        <f t="shared" si="21"/>
        <v>0</v>
      </c>
      <c r="H297" s="43">
        <f t="shared" si="22"/>
        <v>0</v>
      </c>
      <c r="I297" s="17"/>
    </row>
    <row r="298" spans="1:9">
      <c r="A298" s="4" t="s">
        <v>484</v>
      </c>
      <c r="B298" s="35">
        <f>Standing!$H$87</f>
        <v>0</v>
      </c>
      <c r="C298" s="35">
        <f>Standing!$H$110</f>
        <v>0</v>
      </c>
      <c r="D298" s="45">
        <f>AggCap!$H$95</f>
        <v>73.098951543433486</v>
      </c>
      <c r="E298" s="34">
        <f t="shared" si="20"/>
        <v>0</v>
      </c>
      <c r="F298" s="39">
        <f>0.01*Input!$F$60*(D298*$D$290)+10*(B298*$B$290+C298*$C$290)</f>
        <v>0.26754216264896657</v>
      </c>
      <c r="G298" s="34">
        <f t="shared" si="21"/>
        <v>1.6651287740322512E-2</v>
      </c>
      <c r="H298" s="43">
        <f t="shared" si="22"/>
        <v>267.54216264896655</v>
      </c>
      <c r="I298" s="17"/>
    </row>
    <row r="299" spans="1:9">
      <c r="A299" s="4" t="s">
        <v>485</v>
      </c>
      <c r="B299" s="35">
        <f>Standing!$I$87</f>
        <v>0</v>
      </c>
      <c r="C299" s="35">
        <f>Standing!$I$110</f>
        <v>0</v>
      </c>
      <c r="D299" s="45">
        <f>AggCap!$I$95</f>
        <v>0</v>
      </c>
      <c r="E299" s="34">
        <f t="shared" si="20"/>
        <v>0</v>
      </c>
      <c r="F299" s="39">
        <f>0.01*Input!$F$60*(D299*$D$290)+10*(B299*$B$290+C299*$C$290)</f>
        <v>0</v>
      </c>
      <c r="G299" s="34">
        <f t="shared" si="21"/>
        <v>0</v>
      </c>
      <c r="H299" s="43">
        <f t="shared" si="22"/>
        <v>0</v>
      </c>
      <c r="I299" s="17"/>
    </row>
    <row r="300" spans="1:9">
      <c r="A300" s="4" t="s">
        <v>486</v>
      </c>
      <c r="B300" s="35">
        <f>Standing!$J$87</f>
        <v>0</v>
      </c>
      <c r="C300" s="35">
        <f>Standing!$J$110</f>
        <v>0</v>
      </c>
      <c r="D300" s="45">
        <f>AggCap!$J$95</f>
        <v>0</v>
      </c>
      <c r="E300" s="34">
        <f t="shared" si="20"/>
        <v>0</v>
      </c>
      <c r="F300" s="39">
        <f>0.01*Input!$F$60*(D300*$D$290)+10*(B300*$B$290+C300*$C$290)</f>
        <v>0</v>
      </c>
      <c r="G300" s="34">
        <f t="shared" si="21"/>
        <v>0</v>
      </c>
      <c r="H300" s="43">
        <f t="shared" si="22"/>
        <v>0</v>
      </c>
      <c r="I300" s="17"/>
    </row>
    <row r="301" spans="1:9">
      <c r="A301" s="4" t="s">
        <v>1575</v>
      </c>
      <c r="B301" s="10"/>
      <c r="C301" s="10"/>
      <c r="D301" s="45">
        <f>SM!$B$126</f>
        <v>0</v>
      </c>
      <c r="E301" s="34">
        <f t="shared" si="20"/>
        <v>0</v>
      </c>
      <c r="F301" s="39">
        <f>0.01*Input!$F$60*(D301*$D$290)+10*(B301*$B$290+C301*$C$290)</f>
        <v>0</v>
      </c>
      <c r="G301" s="34">
        <f t="shared" si="21"/>
        <v>0</v>
      </c>
      <c r="H301" s="43">
        <f t="shared" si="22"/>
        <v>0</v>
      </c>
      <c r="I301" s="17"/>
    </row>
    <row r="302" spans="1:9">
      <c r="A302" s="4" t="s">
        <v>1576</v>
      </c>
      <c r="B302" s="10"/>
      <c r="C302" s="10"/>
      <c r="D302" s="45">
        <f>SM!$C$126</f>
        <v>0</v>
      </c>
      <c r="E302" s="34">
        <f t="shared" si="20"/>
        <v>0</v>
      </c>
      <c r="F302" s="39">
        <f>0.01*Input!$F$60*(D302*$D$290)+10*(B302*$B$290+C302*$C$290)</f>
        <v>0</v>
      </c>
      <c r="G302" s="34">
        <f t="shared" si="21"/>
        <v>0</v>
      </c>
      <c r="H302" s="43">
        <f t="shared" si="22"/>
        <v>0</v>
      </c>
      <c r="I302" s="17"/>
    </row>
    <row r="303" spans="1:9">
      <c r="A303" s="4" t="s">
        <v>1577</v>
      </c>
      <c r="B303" s="35">
        <f>Standing!$K$87</f>
        <v>0.38273126665218404</v>
      </c>
      <c r="C303" s="35">
        <f>Standing!$K$110</f>
        <v>7.226141981729735E-3</v>
      </c>
      <c r="D303" s="45">
        <f>AggCap!$K$95</f>
        <v>0</v>
      </c>
      <c r="E303" s="34">
        <f t="shared" si="20"/>
        <v>0.11309990200917412</v>
      </c>
      <c r="F303" s="39">
        <f>0.01*Input!$F$60*(D303*$D$290)+10*(B303*$B$290+C303*$C$290)</f>
        <v>1.8172163529218175</v>
      </c>
      <c r="G303" s="34">
        <f t="shared" si="21"/>
        <v>0.11309990200917415</v>
      </c>
      <c r="H303" s="43">
        <f t="shared" si="22"/>
        <v>1817.2163529218174</v>
      </c>
      <c r="I303" s="17"/>
    </row>
    <row r="304" spans="1:9">
      <c r="A304" s="4" t="s">
        <v>1578</v>
      </c>
      <c r="B304" s="35">
        <f>Standing!$L$87</f>
        <v>0.26333311882242955</v>
      </c>
      <c r="C304" s="35">
        <f>Standing!$L$110</f>
        <v>2.3639158600824127E-2</v>
      </c>
      <c r="D304" s="45">
        <f>AggCap!$L$95</f>
        <v>0</v>
      </c>
      <c r="E304" s="34">
        <f t="shared" si="20"/>
        <v>9.1220928215290334E-2</v>
      </c>
      <c r="F304" s="39">
        <f>0.01*Input!$F$60*(D304*$D$290)+10*(B304*$B$290+C304*$C$290)</f>
        <v>1.465679099068419</v>
      </c>
      <c r="G304" s="34">
        <f t="shared" si="21"/>
        <v>9.1220928215290334E-2</v>
      </c>
      <c r="H304" s="43">
        <f t="shared" si="22"/>
        <v>1465.679099068419</v>
      </c>
      <c r="I304" s="17"/>
    </row>
    <row r="305" spans="1:9">
      <c r="A305" s="4" t="s">
        <v>1579</v>
      </c>
      <c r="B305" s="35">
        <f>Standing!$M$87</f>
        <v>0.10416283240440484</v>
      </c>
      <c r="C305" s="35">
        <f>Standing!$M$110</f>
        <v>9.3505964100899074E-3</v>
      </c>
      <c r="D305" s="45">
        <f>AggCap!$M$95</f>
        <v>0</v>
      </c>
      <c r="E305" s="34">
        <f t="shared" si="20"/>
        <v>3.6082929104982016E-2</v>
      </c>
      <c r="F305" s="39">
        <f>0.01*Input!$F$60*(D305*$D$290)+10*(B305*$B$290+C305*$C$290)</f>
        <v>0.57975725589552818</v>
      </c>
      <c r="G305" s="34">
        <f t="shared" si="21"/>
        <v>3.6082929104982023E-2</v>
      </c>
      <c r="H305" s="43">
        <f t="shared" si="22"/>
        <v>579.75725589552815</v>
      </c>
      <c r="I305" s="17"/>
    </row>
    <row r="306" spans="1:9">
      <c r="A306" s="4" t="s">
        <v>1580</v>
      </c>
      <c r="B306" s="35">
        <f>Standing!$N$87</f>
        <v>0.21300315471930797</v>
      </c>
      <c r="C306" s="35">
        <f>Standing!$N$110</f>
        <v>1.9445023855635249E-2</v>
      </c>
      <c r="D306" s="45">
        <f>AggCap!$N$95</f>
        <v>69.219383569676253</v>
      </c>
      <c r="E306" s="34">
        <f t="shared" si="20"/>
        <v>7.4018785309372295E-2</v>
      </c>
      <c r="F306" s="39">
        <f>0.01*Input!$F$60*(D306*$D$290)+10*(B306*$B$290+C306*$C$290)</f>
        <v>1.4426290944108384</v>
      </c>
      <c r="G306" s="34">
        <f t="shared" si="21"/>
        <v>8.9786342144186709E-2</v>
      </c>
      <c r="H306" s="43">
        <f t="shared" si="22"/>
        <v>1442.6290944108384</v>
      </c>
      <c r="I306" s="17"/>
    </row>
    <row r="307" spans="1:9">
      <c r="A307" s="4" t="s">
        <v>1581</v>
      </c>
      <c r="B307" s="35">
        <f>Standing!$O$87</f>
        <v>0</v>
      </c>
      <c r="C307" s="35">
        <f>Standing!$O$110</f>
        <v>0</v>
      </c>
      <c r="D307" s="45">
        <f>AggCap!$O$95</f>
        <v>218.31911144813142</v>
      </c>
      <c r="E307" s="34">
        <f t="shared" si="20"/>
        <v>0</v>
      </c>
      <c r="F307" s="39">
        <f>0.01*Input!$F$60*(D307*$D$290)+10*(B307*$B$290+C307*$C$290)</f>
        <v>0.79904794790016109</v>
      </c>
      <c r="G307" s="34">
        <f t="shared" si="21"/>
        <v>4.9731142063978551E-2</v>
      </c>
      <c r="H307" s="43">
        <f t="shared" si="22"/>
        <v>799.04794790016103</v>
      </c>
      <c r="I307" s="17"/>
    </row>
    <row r="308" spans="1:9">
      <c r="A308" s="4" t="s">
        <v>1582</v>
      </c>
      <c r="B308" s="35">
        <f>Standing!$P$87</f>
        <v>0</v>
      </c>
      <c r="C308" s="35">
        <f>Standing!$P$110</f>
        <v>0</v>
      </c>
      <c r="D308" s="45">
        <f>AggCap!$P$95</f>
        <v>0</v>
      </c>
      <c r="E308" s="34">
        <f t="shared" si="20"/>
        <v>0</v>
      </c>
      <c r="F308" s="39">
        <f>0.01*Input!$F$60*(D308*$D$290)+10*(B308*$B$290+C308*$C$290)</f>
        <v>0</v>
      </c>
      <c r="G308" s="34">
        <f t="shared" si="21"/>
        <v>0</v>
      </c>
      <c r="H308" s="43">
        <f t="shared" si="22"/>
        <v>0</v>
      </c>
      <c r="I308" s="17"/>
    </row>
    <row r="309" spans="1:9">
      <c r="A309" s="4" t="s">
        <v>1583</v>
      </c>
      <c r="B309" s="35">
        <f>Standing!$Q$87</f>
        <v>0</v>
      </c>
      <c r="C309" s="35">
        <f>Standing!$Q$110</f>
        <v>0</v>
      </c>
      <c r="D309" s="45">
        <f>AggCap!$Q$95</f>
        <v>319.89807303818952</v>
      </c>
      <c r="E309" s="34">
        <f t="shared" si="20"/>
        <v>0</v>
      </c>
      <c r="F309" s="39">
        <f>0.01*Input!$F$60*(D309*$D$290)+10*(B309*$B$290+C309*$C$290)</f>
        <v>1.1708269473197737</v>
      </c>
      <c r="G309" s="34">
        <f t="shared" si="21"/>
        <v>7.286992151410826E-2</v>
      </c>
      <c r="H309" s="43">
        <f t="shared" si="22"/>
        <v>1170.8269473197736</v>
      </c>
      <c r="I309" s="17"/>
    </row>
    <row r="310" spans="1:9">
      <c r="A310" s="4" t="s">
        <v>1584</v>
      </c>
      <c r="B310" s="35">
        <f>Standing!$R$87</f>
        <v>0</v>
      </c>
      <c r="C310" s="35">
        <f>Standing!$R$110</f>
        <v>0</v>
      </c>
      <c r="D310" s="45">
        <f>AggCap!$R$95</f>
        <v>0</v>
      </c>
      <c r="E310" s="34">
        <f t="shared" si="20"/>
        <v>0</v>
      </c>
      <c r="F310" s="39">
        <f>0.01*Input!$F$60*(D310*$D$290)+10*(B310*$B$290+C310*$C$290)</f>
        <v>0</v>
      </c>
      <c r="G310" s="34">
        <f t="shared" si="21"/>
        <v>0</v>
      </c>
      <c r="H310" s="43">
        <f t="shared" si="22"/>
        <v>0</v>
      </c>
      <c r="I310" s="17"/>
    </row>
    <row r="311" spans="1:9">
      <c r="A311" s="4" t="s">
        <v>1585</v>
      </c>
      <c r="B311" s="35">
        <f>Standing!$S$87</f>
        <v>0</v>
      </c>
      <c r="C311" s="35">
        <f>Standing!$S$110</f>
        <v>0</v>
      </c>
      <c r="D311" s="45">
        <f>AggCap!$S$95</f>
        <v>0</v>
      </c>
      <c r="E311" s="34">
        <f t="shared" si="20"/>
        <v>0</v>
      </c>
      <c r="F311" s="39">
        <f>0.01*Input!$F$60*(D311*$D$290)+10*(B311*$B$290+C311*$C$290)</f>
        <v>0</v>
      </c>
      <c r="G311" s="34">
        <f t="shared" si="21"/>
        <v>0</v>
      </c>
      <c r="H311" s="43">
        <f t="shared" si="22"/>
        <v>0</v>
      </c>
      <c r="I311" s="17"/>
    </row>
    <row r="312" spans="1:9">
      <c r="A312" s="4" t="s">
        <v>1586</v>
      </c>
      <c r="B312" s="10"/>
      <c r="C312" s="10"/>
      <c r="D312" s="45">
        <f>Otex!$B$129</f>
        <v>0</v>
      </c>
      <c r="E312" s="34">
        <f t="shared" si="20"/>
        <v>0</v>
      </c>
      <c r="F312" s="39">
        <f>0.01*Input!$F$60*(D312*$D$290)+10*(B312*$B$290+C312*$C$290)</f>
        <v>0</v>
      </c>
      <c r="G312" s="34">
        <f t="shared" si="21"/>
        <v>0</v>
      </c>
      <c r="H312" s="43">
        <f t="shared" si="22"/>
        <v>0</v>
      </c>
      <c r="I312" s="17"/>
    </row>
    <row r="313" spans="1:9">
      <c r="A313" s="4" t="s">
        <v>1587</v>
      </c>
      <c r="B313" s="10"/>
      <c r="C313" s="10"/>
      <c r="D313" s="45">
        <f>Otex!$C$129</f>
        <v>99.182988171499503</v>
      </c>
      <c r="E313" s="34">
        <f t="shared" si="20"/>
        <v>0</v>
      </c>
      <c r="F313" s="39">
        <f>0.01*Input!$F$60*(D313*$D$290)+10*(B313*$B$290+C313*$C$290)</f>
        <v>0.36300973670768821</v>
      </c>
      <c r="G313" s="34">
        <f t="shared" si="21"/>
        <v>2.2592998122652277E-2</v>
      </c>
      <c r="H313" s="43">
        <f t="shared" si="22"/>
        <v>363.00973670768821</v>
      </c>
      <c r="I313" s="17"/>
    </row>
    <row r="314" spans="1:9">
      <c r="A314" s="4" t="s">
        <v>1588</v>
      </c>
      <c r="B314" s="35">
        <f>Adder!$B$273</f>
        <v>0.57451230457623836</v>
      </c>
      <c r="C314" s="35">
        <f>Adder!$C$273</f>
        <v>0.57451230457623836</v>
      </c>
      <c r="D314" s="10"/>
      <c r="E314" s="34">
        <f t="shared" si="20"/>
        <v>0.57451230457623836</v>
      </c>
      <c r="F314" s="39">
        <f>0.01*Input!$F$60*(D314*$D$290)+10*(B314*$B$290+C314*$C$290)</f>
        <v>9.2308935399966572</v>
      </c>
      <c r="G314" s="34">
        <f t="shared" si="21"/>
        <v>0.57451230457623848</v>
      </c>
      <c r="H314" s="43">
        <f t="shared" si="22"/>
        <v>9230.8935399966576</v>
      </c>
      <c r="I314" s="17"/>
    </row>
    <row r="315" spans="1:9">
      <c r="A315" s="4" t="s">
        <v>1589</v>
      </c>
      <c r="B315" s="35">
        <f>Adjust!$B$86</f>
        <v>3.8939102684620863E-4</v>
      </c>
      <c r="C315" s="35">
        <f>Adjust!$C$86</f>
        <v>-3.0338581709410395E-4</v>
      </c>
      <c r="D315" s="45">
        <f>Adjust!$E$86</f>
        <v>4.6430476270415966E-3</v>
      </c>
      <c r="E315" s="34">
        <f t="shared" si="20"/>
        <v>-1.0805721966876481E-4</v>
      </c>
      <c r="F315" s="39">
        <f>0.01*Input!$F$60*(D315*$D$290)+10*(B315*$B$290+C315*$C$290)</f>
        <v>-1.7192002278636933E-3</v>
      </c>
      <c r="G315" s="34">
        <f t="shared" si="21"/>
        <v>-1.0699957492287605E-4</v>
      </c>
      <c r="H315" s="43">
        <f t="shared" si="22"/>
        <v>-1.7192002278636933</v>
      </c>
      <c r="I315" s="17"/>
    </row>
    <row r="317" spans="1:9">
      <c r="A317" s="4" t="s">
        <v>1590</v>
      </c>
      <c r="B317" s="34">
        <f>SUM($B$293:$B$315)</f>
        <v>3.012</v>
      </c>
      <c r="C317" s="34">
        <f>SUM($C$293:$C$315)</f>
        <v>0.76700000000000002</v>
      </c>
      <c r="D317" s="43">
        <f>SUM($D$293:$D$315)</f>
        <v>1193.82</v>
      </c>
      <c r="E317" s="34">
        <f>SUM(E$293:E$315)</f>
        <v>1.3999782888321641</v>
      </c>
      <c r="F317" s="39">
        <f>SUM($F$293:$F$315)</f>
        <v>26.863330310539016</v>
      </c>
      <c r="G317" s="34">
        <f>SUM($G$293:$G$315)</f>
        <v>1.671919813442684</v>
      </c>
      <c r="H317" s="43">
        <f>SUM($H$293:$H$315)</f>
        <v>26863.330310539015</v>
      </c>
    </row>
    <row r="319" spans="1:9" ht="21" customHeight="1">
      <c r="A319" s="1" t="s">
        <v>186</v>
      </c>
    </row>
    <row r="321" spans="1:10">
      <c r="B321" s="15" t="s">
        <v>237</v>
      </c>
      <c r="C321" s="15" t="s">
        <v>238</v>
      </c>
      <c r="D321" s="15" t="s">
        <v>239</v>
      </c>
      <c r="E321" s="15" t="s">
        <v>240</v>
      </c>
      <c r="F321" s="15" t="s">
        <v>1571</v>
      </c>
      <c r="G321" s="15" t="s">
        <v>1572</v>
      </c>
    </row>
    <row r="322" spans="1:10">
      <c r="A322" s="4" t="s">
        <v>186</v>
      </c>
      <c r="B322" s="41">
        <f>Loads!B$343</f>
        <v>68.864270450400312</v>
      </c>
      <c r="C322" s="41">
        <f>Loads!C$343</f>
        <v>206.59970904609159</v>
      </c>
      <c r="D322" s="41">
        <f>Loads!D$343</f>
        <v>381.07054134295925</v>
      </c>
      <c r="E322" s="41">
        <f>Loads!E$343</f>
        <v>339.80327868852459</v>
      </c>
      <c r="F322" s="41">
        <f>Multi!B$137</f>
        <v>656.53452083945115</v>
      </c>
      <c r="G322" s="34">
        <f>IF(E322,F322/E322,"")</f>
        <v>1.9321017836359764</v>
      </c>
      <c r="H322" s="17"/>
    </row>
    <row r="324" spans="1:10" ht="30">
      <c r="B324" s="15" t="s">
        <v>1379</v>
      </c>
      <c r="C324" s="15" t="s">
        <v>1380</v>
      </c>
      <c r="D324" s="15" t="s">
        <v>1381</v>
      </c>
      <c r="E324" s="15" t="s">
        <v>1382</v>
      </c>
      <c r="F324" s="15" t="s">
        <v>1591</v>
      </c>
      <c r="G324" s="15" t="s">
        <v>1573</v>
      </c>
      <c r="H324" s="15" t="s">
        <v>1540</v>
      </c>
      <c r="I324" s="15" t="s">
        <v>1574</v>
      </c>
    </row>
    <row r="325" spans="1:10">
      <c r="A325" s="4" t="s">
        <v>479</v>
      </c>
      <c r="B325" s="35">
        <f>Standing!$C$88</f>
        <v>1.4840222842680741</v>
      </c>
      <c r="C325" s="35">
        <f>Standing!$C$111</f>
        <v>0.17183059859999517</v>
      </c>
      <c r="D325" s="35">
        <f>Standing!$C$125</f>
        <v>2.6141282338777608E-2</v>
      </c>
      <c r="E325" s="45">
        <f>AggCap!$C$96</f>
        <v>0</v>
      </c>
      <c r="F325" s="34">
        <f t="shared" ref="F325:F347" si="23">IF(F$322&lt;&gt;0,(($B325*B$322+$C325*C$322+$D325*D$322))/F$322,0)</f>
        <v>0.22490506064734048</v>
      </c>
      <c r="G325" s="39">
        <f>0.01*Input!$F$60*(E325*$E$322)+10*(B325*$B$322+C325*$C$322+D325*$D$322)</f>
        <v>1476.5793622646938</v>
      </c>
      <c r="H325" s="34">
        <f t="shared" ref="H325:H347" si="24">IF($F$322&lt;&gt;0,0.1*G325/$F$322,"")</f>
        <v>0.22490506064734048</v>
      </c>
      <c r="I325" s="43">
        <f t="shared" ref="I325:I347" si="25">IF($E$322&lt;&gt;0,G325/$E$322,"")</f>
        <v>4.3453946882548404</v>
      </c>
      <c r="J325" s="17"/>
    </row>
    <row r="326" spans="1:10">
      <c r="A326" s="4" t="s">
        <v>480</v>
      </c>
      <c r="B326" s="35">
        <f>Standing!$D$88</f>
        <v>0.58701300152395042</v>
      </c>
      <c r="C326" s="35">
        <f>Standing!$D$111</f>
        <v>6.7968518065473785E-2</v>
      </c>
      <c r="D326" s="35">
        <f>Standing!$D$125</f>
        <v>1.0340324921023155E-2</v>
      </c>
      <c r="E326" s="45">
        <f>AggCap!$D$96</f>
        <v>0</v>
      </c>
      <c r="F326" s="34">
        <f t="shared" si="23"/>
        <v>8.8962407174118227E-2</v>
      </c>
      <c r="G326" s="39">
        <f>0.01*Input!$F$60*(E326*$E$322)+10*(B326*$B$322+C326*$C$322+D326*$D$322)</f>
        <v>584.06891366783861</v>
      </c>
      <c r="H326" s="34">
        <f t="shared" si="24"/>
        <v>8.8962407174118241E-2</v>
      </c>
      <c r="I326" s="43">
        <f t="shared" si="25"/>
        <v>1.7188442557766381</v>
      </c>
      <c r="J326" s="17"/>
    </row>
    <row r="327" spans="1:10">
      <c r="A327" s="4" t="s">
        <v>481</v>
      </c>
      <c r="B327" s="35">
        <f>Standing!$E$88</f>
        <v>1.2500483733058054</v>
      </c>
      <c r="C327" s="35">
        <f>Standing!$E$111</f>
        <v>0.24185485407508911</v>
      </c>
      <c r="D327" s="35">
        <f>Standing!$E$125</f>
        <v>2.6879062561511749E-2</v>
      </c>
      <c r="E327" s="45">
        <f>AggCap!$E$96</f>
        <v>0</v>
      </c>
      <c r="F327" s="34">
        <f t="shared" si="23"/>
        <v>0.22282701977767516</v>
      </c>
      <c r="G327" s="39">
        <f>0.01*Input!$F$60*(E327*$E$322)+10*(B327*$B$322+C327*$C$322+D327*$D$322)</f>
        <v>1462.9363065981886</v>
      </c>
      <c r="H327" s="34">
        <f t="shared" si="24"/>
        <v>0.22282701977767516</v>
      </c>
      <c r="I327" s="43">
        <f t="shared" si="25"/>
        <v>4.3052448235473513</v>
      </c>
      <c r="J327" s="17"/>
    </row>
    <row r="328" spans="1:10">
      <c r="A328" s="4" t="s">
        <v>482</v>
      </c>
      <c r="B328" s="35">
        <f>Standing!$F$88</f>
        <v>0.78853476021668023</v>
      </c>
      <c r="C328" s="35">
        <f>Standing!$F$111</f>
        <v>0.15256286351623133</v>
      </c>
      <c r="D328" s="35">
        <f>Standing!$F$125</f>
        <v>1.6955403970279604E-2</v>
      </c>
      <c r="E328" s="45">
        <f>AggCap!$F$96</f>
        <v>0</v>
      </c>
      <c r="F328" s="34">
        <f t="shared" si="23"/>
        <v>0.14056004100507116</v>
      </c>
      <c r="G328" s="39">
        <f>0.01*Input!$F$60*(E328*$E$322)+10*(B328*$B$322+C328*$C$322+D328*$D$322)</f>
        <v>922.82519170438013</v>
      </c>
      <c r="H328" s="34">
        <f t="shared" si="24"/>
        <v>0.14056004100507119</v>
      </c>
      <c r="I328" s="43">
        <f t="shared" si="25"/>
        <v>2.7157630593384403</v>
      </c>
      <c r="J328" s="17"/>
    </row>
    <row r="329" spans="1:10">
      <c r="A329" s="4" t="s">
        <v>483</v>
      </c>
      <c r="B329" s="35">
        <f>Standing!$G$88</f>
        <v>0</v>
      </c>
      <c r="C329" s="35">
        <f>Standing!$G$111</f>
        <v>0</v>
      </c>
      <c r="D329" s="35">
        <f>Standing!$G$125</f>
        <v>0</v>
      </c>
      <c r="E329" s="45">
        <f>AggCap!$G$96</f>
        <v>0</v>
      </c>
      <c r="F329" s="34">
        <f t="shared" si="23"/>
        <v>0</v>
      </c>
      <c r="G329" s="39">
        <f>0.01*Input!$F$60*(E329*$E$322)+10*(B329*$B$322+C329*$C$322+D329*$D$322)</f>
        <v>0</v>
      </c>
      <c r="H329" s="34">
        <f t="shared" si="24"/>
        <v>0</v>
      </c>
      <c r="I329" s="43">
        <f t="shared" si="25"/>
        <v>0</v>
      </c>
      <c r="J329" s="17"/>
    </row>
    <row r="330" spans="1:10">
      <c r="A330" s="4" t="s">
        <v>484</v>
      </c>
      <c r="B330" s="35">
        <f>Standing!$H$88</f>
        <v>1.0020987314111254</v>
      </c>
      <c r="C330" s="35">
        <f>Standing!$H$111</f>
        <v>0.19388245097534265</v>
      </c>
      <c r="D330" s="35">
        <f>Standing!$H$125</f>
        <v>2.1547545734713607E-2</v>
      </c>
      <c r="E330" s="45">
        <f>AggCap!$H$96</f>
        <v>0</v>
      </c>
      <c r="F330" s="34">
        <f t="shared" si="23"/>
        <v>0.17862882638118865</v>
      </c>
      <c r="G330" s="39">
        <f>0.01*Input!$F$60*(E330*$E$322)+10*(B330*$B$322+C330*$C$322+D330*$D$322)</f>
        <v>1172.7599093628719</v>
      </c>
      <c r="H330" s="34">
        <f t="shared" si="24"/>
        <v>0.17862882638118865</v>
      </c>
      <c r="I330" s="43">
        <f t="shared" si="25"/>
        <v>3.4512907405989575</v>
      </c>
      <c r="J330" s="17"/>
    </row>
    <row r="331" spans="1:10">
      <c r="A331" s="4" t="s">
        <v>485</v>
      </c>
      <c r="B331" s="35">
        <f>Standing!$I$88</f>
        <v>0.90982588330564795</v>
      </c>
      <c r="C331" s="35">
        <f>Standing!$I$111</f>
        <v>0.17602983287655191</v>
      </c>
      <c r="D331" s="35">
        <f>Standing!$I$125</f>
        <v>1.9563456390717278E-2</v>
      </c>
      <c r="E331" s="45">
        <f>AggCap!$I$96</f>
        <v>0</v>
      </c>
      <c r="F331" s="34">
        <f t="shared" si="23"/>
        <v>0.16218075589942998</v>
      </c>
      <c r="G331" s="39">
        <f>0.01*Input!$F$60*(E331*$E$322)+10*(B331*$B$322+C331*$C$322+D331*$D$322)</f>
        <v>1064.7726486381225</v>
      </c>
      <c r="H331" s="34">
        <f t="shared" si="24"/>
        <v>0.16218075589942998</v>
      </c>
      <c r="I331" s="43">
        <f t="shared" si="25"/>
        <v>3.1334972774471956</v>
      </c>
      <c r="J331" s="17"/>
    </row>
    <row r="332" spans="1:10">
      <c r="A332" s="4" t="s">
        <v>486</v>
      </c>
      <c r="B332" s="35">
        <f>Standing!$J$88</f>
        <v>0</v>
      </c>
      <c r="C332" s="35">
        <f>Standing!$J$111</f>
        <v>0</v>
      </c>
      <c r="D332" s="35">
        <f>Standing!$J$125</f>
        <v>0</v>
      </c>
      <c r="E332" s="45">
        <f>AggCap!$J$96</f>
        <v>3.833111014469965E-2</v>
      </c>
      <c r="F332" s="34">
        <f t="shared" si="23"/>
        <v>0</v>
      </c>
      <c r="G332" s="39">
        <f>0.01*Input!$F$60*(E332*$E$322)+10*(B332*$B$322+C332*$C$322+D332*$D$322)</f>
        <v>47.671635064760068</v>
      </c>
      <c r="H332" s="34">
        <f t="shared" si="24"/>
        <v>7.2611010619527934E-3</v>
      </c>
      <c r="I332" s="43">
        <f t="shared" si="25"/>
        <v>0.14029186312960074</v>
      </c>
      <c r="J332" s="17"/>
    </row>
    <row r="333" spans="1:10">
      <c r="A333" s="4" t="s">
        <v>1575</v>
      </c>
      <c r="B333" s="10"/>
      <c r="C333" s="10"/>
      <c r="D333" s="10"/>
      <c r="E333" s="45">
        <f>SM!$B$127</f>
        <v>0</v>
      </c>
      <c r="F333" s="34">
        <f t="shared" si="23"/>
        <v>0</v>
      </c>
      <c r="G333" s="39">
        <f>0.01*Input!$F$60*(E333*$E$322)+10*(B333*$B$322+C333*$C$322+D333*$D$322)</f>
        <v>0</v>
      </c>
      <c r="H333" s="34">
        <f t="shared" si="24"/>
        <v>0</v>
      </c>
      <c r="I333" s="43">
        <f t="shared" si="25"/>
        <v>0</v>
      </c>
      <c r="J333" s="17"/>
    </row>
    <row r="334" spans="1:10">
      <c r="A334" s="4" t="s">
        <v>1576</v>
      </c>
      <c r="B334" s="10"/>
      <c r="C334" s="10"/>
      <c r="D334" s="10"/>
      <c r="E334" s="45">
        <f>SM!$C$127</f>
        <v>0</v>
      </c>
      <c r="F334" s="34">
        <f t="shared" si="23"/>
        <v>0</v>
      </c>
      <c r="G334" s="39">
        <f>0.01*Input!$F$60*(E334*$E$322)+10*(B334*$B$322+C334*$C$322+D334*$D$322)</f>
        <v>0</v>
      </c>
      <c r="H334" s="34">
        <f t="shared" si="24"/>
        <v>0</v>
      </c>
      <c r="I334" s="43">
        <f t="shared" si="25"/>
        <v>0</v>
      </c>
      <c r="J334" s="17"/>
    </row>
    <row r="335" spans="1:10">
      <c r="A335" s="4" t="s">
        <v>1577</v>
      </c>
      <c r="B335" s="35">
        <f>Standing!$K$88</f>
        <v>1.0807680549169909</v>
      </c>
      <c r="C335" s="35">
        <f>Standing!$K$111</f>
        <v>4.4189034742197437E-2</v>
      </c>
      <c r="D335" s="35">
        <f>Standing!$K$125</f>
        <v>3.1457869389186731E-3</v>
      </c>
      <c r="E335" s="45">
        <f>AggCap!$K$96</f>
        <v>0</v>
      </c>
      <c r="F335" s="34">
        <f t="shared" si="23"/>
        <v>0.12909376337457143</v>
      </c>
      <c r="G335" s="39">
        <f>0.01*Input!$F$60*(E335*$E$322)+10*(B335*$B$322+C335*$C$322+D335*$D$322)</f>
        <v>847.54512080485733</v>
      </c>
      <c r="H335" s="34">
        <f t="shared" si="24"/>
        <v>0.12909376337457143</v>
      </c>
      <c r="I335" s="43">
        <f t="shared" si="25"/>
        <v>2.4942229047229012</v>
      </c>
      <c r="J335" s="17"/>
    </row>
    <row r="336" spans="1:10">
      <c r="A336" s="4" t="s">
        <v>1578</v>
      </c>
      <c r="B336" s="35">
        <f>Standing!$L$88</f>
        <v>0.58449850942241266</v>
      </c>
      <c r="C336" s="35">
        <f>Standing!$L$111</f>
        <v>6.767737238150226E-2</v>
      </c>
      <c r="D336" s="35">
        <f>Standing!$L$125</f>
        <v>1.0296031753284541E-2</v>
      </c>
      <c r="E336" s="45">
        <f>AggCap!$L$96</f>
        <v>0</v>
      </c>
      <c r="F336" s="34">
        <f t="shared" si="23"/>
        <v>8.8581333382579772E-2</v>
      </c>
      <c r="G336" s="39">
        <f>0.01*Input!$F$60*(E336*$E$322)+10*(B336*$B$322+C336*$C$322+D336*$D$322)</f>
        <v>581.56703267651687</v>
      </c>
      <c r="H336" s="34">
        <f t="shared" si="24"/>
        <v>8.8581333382579772E-2</v>
      </c>
      <c r="I336" s="43">
        <f t="shared" si="25"/>
        <v>1.7114815222533544</v>
      </c>
      <c r="J336" s="17"/>
    </row>
    <row r="337" spans="1:10">
      <c r="A337" s="4" t="s">
        <v>1579</v>
      </c>
      <c r="B337" s="35">
        <f>Standing!$M$88</f>
        <v>0.23120153116268585</v>
      </c>
      <c r="C337" s="35">
        <f>Standing!$M$111</f>
        <v>2.6770148883925628E-2</v>
      </c>
      <c r="D337" s="35">
        <f>Standing!$M$125</f>
        <v>4.072650773072682E-3</v>
      </c>
      <c r="E337" s="45">
        <f>AggCap!$M$96</f>
        <v>0</v>
      </c>
      <c r="F337" s="34">
        <f t="shared" si="23"/>
        <v>3.5038823162650598E-2</v>
      </c>
      <c r="G337" s="39">
        <f>0.01*Input!$F$60*(E337*$E$322)+10*(B337*$B$322+C337*$C$322+D337*$D$322)</f>
        <v>230.0419697586907</v>
      </c>
      <c r="H337" s="34">
        <f t="shared" si="24"/>
        <v>3.5038823162650598E-2</v>
      </c>
      <c r="I337" s="43">
        <f t="shared" si="25"/>
        <v>0.67698572729062778</v>
      </c>
      <c r="J337" s="17"/>
    </row>
    <row r="338" spans="1:10">
      <c r="A338" s="4" t="s">
        <v>1580</v>
      </c>
      <c r="B338" s="35">
        <f>Standing!$N$88</f>
        <v>0.49234530953388939</v>
      </c>
      <c r="C338" s="35">
        <f>Standing!$N$111</f>
        <v>9.5257196069118213E-2</v>
      </c>
      <c r="D338" s="35">
        <f>Standing!$N$125</f>
        <v>1.0586614613825696E-2</v>
      </c>
      <c r="E338" s="45">
        <f>AggCap!$N$96</f>
        <v>0</v>
      </c>
      <c r="F338" s="34">
        <f t="shared" si="23"/>
        <v>8.776287411568448E-2</v>
      </c>
      <c r="G338" s="39">
        <f>0.01*Input!$F$60*(E338*$E$322)+10*(B338*$B$322+C338*$C$322+D338*$D$322)</f>
        <v>576.19356505033977</v>
      </c>
      <c r="H338" s="34">
        <f t="shared" si="24"/>
        <v>8.776287411568448E-2</v>
      </c>
      <c r="I338" s="43">
        <f t="shared" si="25"/>
        <v>1.6956680561593365</v>
      </c>
      <c r="J338" s="17"/>
    </row>
    <row r="339" spans="1:10">
      <c r="A339" s="4" t="s">
        <v>1581</v>
      </c>
      <c r="B339" s="35">
        <f>Standing!$O$88</f>
        <v>0.31057309371990027</v>
      </c>
      <c r="C339" s="35">
        <f>Standing!$O$111</f>
        <v>6.008856286307894E-2</v>
      </c>
      <c r="D339" s="35">
        <f>Standing!$O$125</f>
        <v>6.6780724604625042E-3</v>
      </c>
      <c r="E339" s="45">
        <f>AggCap!$O$96</f>
        <v>0</v>
      </c>
      <c r="F339" s="34">
        <f t="shared" si="23"/>
        <v>5.5361119117114561E-2</v>
      </c>
      <c r="G339" s="39">
        <f>0.01*Input!$F$60*(E339*$E$322)+10*(B339*$B$322+C339*$C$322+D339*$D$322)</f>
        <v>363.46485812690588</v>
      </c>
      <c r="H339" s="34">
        <f t="shared" si="24"/>
        <v>5.5361119117114561E-2</v>
      </c>
      <c r="I339" s="43">
        <f t="shared" si="25"/>
        <v>1.069633169902608</v>
      </c>
      <c r="J339" s="17"/>
    </row>
    <row r="340" spans="1:10">
      <c r="A340" s="4" t="s">
        <v>1582</v>
      </c>
      <c r="B340" s="35">
        <f>Standing!$P$88</f>
        <v>0</v>
      </c>
      <c r="C340" s="35">
        <f>Standing!$P$111</f>
        <v>0</v>
      </c>
      <c r="D340" s="35">
        <f>Standing!$P$125</f>
        <v>0</v>
      </c>
      <c r="E340" s="45">
        <f>AggCap!$P$96</f>
        <v>0</v>
      </c>
      <c r="F340" s="34">
        <f t="shared" si="23"/>
        <v>0</v>
      </c>
      <c r="G340" s="39">
        <f>0.01*Input!$F$60*(E340*$E$322)+10*(B340*$B$322+C340*$C$322+D340*$D$322)</f>
        <v>0</v>
      </c>
      <c r="H340" s="34">
        <f t="shared" si="24"/>
        <v>0</v>
      </c>
      <c r="I340" s="43">
        <f t="shared" si="25"/>
        <v>0</v>
      </c>
      <c r="J340" s="17"/>
    </row>
    <row r="341" spans="1:10">
      <c r="A341" s="4" t="s">
        <v>1583</v>
      </c>
      <c r="B341" s="35">
        <f>Standing!$Q$88</f>
        <v>0.56383944886339321</v>
      </c>
      <c r="C341" s="35">
        <f>Standing!$Q$111</f>
        <v>0.10908962448069552</v>
      </c>
      <c r="D341" s="35">
        <f>Standing!$Q$125</f>
        <v>1.2123911477575987E-2</v>
      </c>
      <c r="E341" s="45">
        <f>AggCap!$Q$96</f>
        <v>0</v>
      </c>
      <c r="F341" s="34">
        <f t="shared" si="23"/>
        <v>0.10050704173236116</v>
      </c>
      <c r="G341" s="39">
        <f>0.01*Input!$F$60*(E341*$E$322)+10*(B341*$B$322+C341*$C$322+D341*$D$322)</f>
        <v>659.86342484746456</v>
      </c>
      <c r="H341" s="34">
        <f t="shared" si="24"/>
        <v>0.10050704173236116</v>
      </c>
      <c r="I341" s="43">
        <f t="shared" si="25"/>
        <v>1.9418983459907053</v>
      </c>
      <c r="J341" s="17"/>
    </row>
    <row r="342" spans="1:10">
      <c r="A342" s="4" t="s">
        <v>1584</v>
      </c>
      <c r="B342" s="35">
        <f>Standing!$R$88</f>
        <v>0.51192133921008087</v>
      </c>
      <c r="C342" s="35">
        <f>Standing!$R$111</f>
        <v>9.9044695738578312E-2</v>
      </c>
      <c r="D342" s="35">
        <f>Standing!$R$125</f>
        <v>1.1007546585426796E-2</v>
      </c>
      <c r="E342" s="45">
        <f>AggCap!$R$96</f>
        <v>0</v>
      </c>
      <c r="F342" s="34">
        <f t="shared" si="23"/>
        <v>9.1252393757463926E-2</v>
      </c>
      <c r="G342" s="39">
        <f>0.01*Input!$F$60*(E342*$E$322)+10*(B342*$B$322+C342*$C$322+D342*$D$322)</f>
        <v>599.10346611009504</v>
      </c>
      <c r="H342" s="34">
        <f t="shared" si="24"/>
        <v>9.125239375746394E-2</v>
      </c>
      <c r="I342" s="43">
        <f t="shared" si="25"/>
        <v>1.763089127398485</v>
      </c>
      <c r="J342" s="17"/>
    </row>
    <row r="343" spans="1:10">
      <c r="A343" s="4" t="s">
        <v>1585</v>
      </c>
      <c r="B343" s="35">
        <f>Standing!$S$88</f>
        <v>0</v>
      </c>
      <c r="C343" s="35">
        <f>Standing!$S$111</f>
        <v>0</v>
      </c>
      <c r="D343" s="35">
        <f>Standing!$S$125</f>
        <v>0</v>
      </c>
      <c r="E343" s="45">
        <f>AggCap!$S$96</f>
        <v>0.5032376530907513</v>
      </c>
      <c r="F343" s="34">
        <f t="shared" si="23"/>
        <v>0</v>
      </c>
      <c r="G343" s="39">
        <f>0.01*Input!$F$60*(E343*$E$322)+10*(B343*$B$322+C343*$C$322+D343*$D$322)</f>
        <v>625.8666043959056</v>
      </c>
      <c r="H343" s="34">
        <f t="shared" si="24"/>
        <v>9.5328818901352932E-2</v>
      </c>
      <c r="I343" s="43">
        <f t="shared" si="25"/>
        <v>1.8418498103121499</v>
      </c>
      <c r="J343" s="17"/>
    </row>
    <row r="344" spans="1:10">
      <c r="A344" s="4" t="s">
        <v>1586</v>
      </c>
      <c r="B344" s="10"/>
      <c r="C344" s="10"/>
      <c r="D344" s="10"/>
      <c r="E344" s="45">
        <f>Otex!$B$130</f>
        <v>2.9888206560198993</v>
      </c>
      <c r="F344" s="34">
        <f t="shared" si="23"/>
        <v>0</v>
      </c>
      <c r="G344" s="39">
        <f>0.01*Input!$F$60*(E344*$E$322)+10*(B344*$B$322+C344*$C$322+D344*$D$322)</f>
        <v>3717.1364734788285</v>
      </c>
      <c r="H344" s="34">
        <f t="shared" si="24"/>
        <v>0.56617532749474675</v>
      </c>
      <c r="I344" s="43">
        <f t="shared" si="25"/>
        <v>10.939083601032833</v>
      </c>
      <c r="J344" s="17"/>
    </row>
    <row r="345" spans="1:10">
      <c r="A345" s="4" t="s">
        <v>1587</v>
      </c>
      <c r="B345" s="10"/>
      <c r="C345" s="10"/>
      <c r="D345" s="10"/>
      <c r="E345" s="45">
        <f>Otex!$C$130</f>
        <v>0</v>
      </c>
      <c r="F345" s="34">
        <f t="shared" si="23"/>
        <v>0</v>
      </c>
      <c r="G345" s="39">
        <f>0.01*Input!$F$60*(E345*$E$322)+10*(B345*$B$322+C345*$C$322+D345*$D$322)</f>
        <v>0</v>
      </c>
      <c r="H345" s="34">
        <f t="shared" si="24"/>
        <v>0</v>
      </c>
      <c r="I345" s="43">
        <f t="shared" si="25"/>
        <v>0</v>
      </c>
      <c r="J345" s="17"/>
    </row>
    <row r="346" spans="1:10">
      <c r="A346" s="4" t="s">
        <v>1588</v>
      </c>
      <c r="B346" s="35">
        <f>Adder!$B$274</f>
        <v>0.57451230457623836</v>
      </c>
      <c r="C346" s="35">
        <f>Adder!$C$274</f>
        <v>0.57451230457623836</v>
      </c>
      <c r="D346" s="35">
        <f>Adder!$D$274</f>
        <v>0.57451230457623836</v>
      </c>
      <c r="E346" s="10"/>
      <c r="F346" s="34">
        <f t="shared" si="23"/>
        <v>0.57451230457623836</v>
      </c>
      <c r="G346" s="39">
        <f>0.01*Input!$F$60*(E346*$E$322)+10*(B346*$B$322+C346*$C$322+D346*$D$322)</f>
        <v>3771.8716060132947</v>
      </c>
      <c r="H346" s="34">
        <f t="shared" si="24"/>
        <v>0.57451230457623836</v>
      </c>
      <c r="I346" s="43">
        <f t="shared" si="25"/>
        <v>11.100162483925654</v>
      </c>
      <c r="J346" s="17"/>
    </row>
    <row r="347" spans="1:10">
      <c r="A347" s="4" t="s">
        <v>1589</v>
      </c>
      <c r="B347" s="35">
        <f>Adjust!$B$87</f>
        <v>-2.0262543687543655E-4</v>
      </c>
      <c r="C347" s="35">
        <f>Adjust!$C$87</f>
        <v>2.4194215598161151E-4</v>
      </c>
      <c r="D347" s="35">
        <f>Adjust!$D$87</f>
        <v>1.5000490417171886E-4</v>
      </c>
      <c r="E347" s="45">
        <f>Adjust!$E$87</f>
        <v>-3.8941925535063149E-4</v>
      </c>
      <c r="F347" s="34">
        <f t="shared" si="23"/>
        <v>1.419483259834097E-4</v>
      </c>
      <c r="G347" s="39">
        <f>0.01*Input!$F$60*(E347*$E$322)+10*(B347*$B$322+C347*$C$322+D347*$D$322)</f>
        <v>0.44762682234032769</v>
      </c>
      <c r="H347" s="34">
        <f t="shared" si="24"/>
        <v>6.8180241576328373E-5</v>
      </c>
      <c r="I347" s="43">
        <f t="shared" si="25"/>
        <v>1.3173116635835579E-3</v>
      </c>
      <c r="J347" s="17"/>
    </row>
    <row r="349" spans="1:10">
      <c r="A349" s="4" t="s">
        <v>1590</v>
      </c>
      <c r="B349" s="34">
        <f>SUM($B$325:$B$347)</f>
        <v>10.371</v>
      </c>
      <c r="C349" s="34">
        <f>SUM($C$325:$C$347)</f>
        <v>2.081</v>
      </c>
      <c r="D349" s="34">
        <f>SUM($D$325:$D$347)</f>
        <v>0.754</v>
      </c>
      <c r="E349" s="43">
        <f>SUM($E$325:$E$347)</f>
        <v>3.53</v>
      </c>
      <c r="F349" s="34">
        <f>SUM(F$325:F$347)</f>
        <v>2.1803157124294712</v>
      </c>
      <c r="G349" s="39">
        <f>SUM($G$325:$G$347)</f>
        <v>18704.715715386094</v>
      </c>
      <c r="H349" s="34">
        <f>SUM($H$325:$H$347)</f>
        <v>2.8490071918031172</v>
      </c>
      <c r="I349" s="43">
        <f>SUM($I$325:$I$347)</f>
        <v>55.04571876874526</v>
      </c>
    </row>
    <row r="351" spans="1:10" ht="21" customHeight="1">
      <c r="A351" s="1" t="s">
        <v>187</v>
      </c>
    </row>
    <row r="353" spans="1:10">
      <c r="B353" s="15" t="s">
        <v>237</v>
      </c>
      <c r="C353" s="15" t="s">
        <v>238</v>
      </c>
      <c r="D353" s="15" t="s">
        <v>239</v>
      </c>
      <c r="E353" s="15" t="s">
        <v>240</v>
      </c>
      <c r="F353" s="15" t="s">
        <v>1571</v>
      </c>
      <c r="G353" s="15" t="s">
        <v>1572</v>
      </c>
    </row>
    <row r="354" spans="1:10">
      <c r="A354" s="4" t="s">
        <v>187</v>
      </c>
      <c r="B354" s="41">
        <f>Loads!B$344</f>
        <v>22435.964946164946</v>
      </c>
      <c r="C354" s="41">
        <f>Loads!C$344</f>
        <v>80597.104471233906</v>
      </c>
      <c r="D354" s="41">
        <f>Loads!D$344</f>
        <v>113029.99064230964</v>
      </c>
      <c r="E354" s="41">
        <f>Loads!E$344</f>
        <v>3574</v>
      </c>
      <c r="F354" s="41">
        <f>Multi!B$138</f>
        <v>216063.06005970848</v>
      </c>
      <c r="G354" s="34">
        <f>IF(E354,F354/E354,"")</f>
        <v>60.45412984323125</v>
      </c>
      <c r="H354" s="17"/>
    </row>
    <row r="356" spans="1:10" ht="30">
      <c r="B356" s="15" t="s">
        <v>1379</v>
      </c>
      <c r="C356" s="15" t="s">
        <v>1380</v>
      </c>
      <c r="D356" s="15" t="s">
        <v>1381</v>
      </c>
      <c r="E356" s="15" t="s">
        <v>1382</v>
      </c>
      <c r="F356" s="15" t="s">
        <v>1591</v>
      </c>
      <c r="G356" s="15" t="s">
        <v>1573</v>
      </c>
      <c r="H356" s="15" t="s">
        <v>1540</v>
      </c>
      <c r="I356" s="15" t="s">
        <v>1574</v>
      </c>
    </row>
    <row r="357" spans="1:10">
      <c r="A357" s="4" t="s">
        <v>479</v>
      </c>
      <c r="B357" s="35">
        <f>Standing!$C$89</f>
        <v>1.355954787643759</v>
      </c>
      <c r="C357" s="35">
        <f>Standing!$C$112</f>
        <v>0.15700203784356931</v>
      </c>
      <c r="D357" s="35">
        <f>Standing!$C$126</f>
        <v>2.3885353554441421E-2</v>
      </c>
      <c r="E357" s="45">
        <f>AggCap!$C$97</f>
        <v>0</v>
      </c>
      <c r="F357" s="34">
        <f t="shared" ref="F357:F379" si="26">IF(F$354&lt;&gt;0,(($B357*B$354+$C357*C$354+$D357*D$354))/F$354,0)</f>
        <v>0.21186326346822737</v>
      </c>
      <c r="G357" s="39">
        <f>0.01*Input!$F$60*(E357*$E$354)+10*(B357*$B$354+C357*$C$354+D357*$D$354)</f>
        <v>457758.2501918145</v>
      </c>
      <c r="H357" s="34">
        <f t="shared" ref="H357:H379" si="27">IF($F$354&lt;&gt;0,0.1*G357/$F$354,"")</f>
        <v>0.21186326346822737</v>
      </c>
      <c r="I357" s="43">
        <f t="shared" ref="I357:I379" si="28">IF($E$354&lt;&gt;0,G357/$E$354,"")</f>
        <v>128.0800923871893</v>
      </c>
      <c r="J357" s="17"/>
    </row>
    <row r="358" spans="1:10">
      <c r="A358" s="4" t="s">
        <v>480</v>
      </c>
      <c r="B358" s="35">
        <f>Standing!$D$89</f>
        <v>0.53635521397719843</v>
      </c>
      <c r="C358" s="35">
        <f>Standing!$D$112</f>
        <v>6.2103001051217549E-2</v>
      </c>
      <c r="D358" s="35">
        <f>Standing!$D$126</f>
        <v>9.4479801490101201E-3</v>
      </c>
      <c r="E358" s="45">
        <f>AggCap!$D$97</f>
        <v>0</v>
      </c>
      <c r="F358" s="34">
        <f t="shared" si="26"/>
        <v>8.3803654109198045E-2</v>
      </c>
      <c r="G358" s="39">
        <f>0.01*Input!$F$60*(E358*$E$354)+10*(B358*$B$354+C358*$C$354+D358*$D$354)</f>
        <v>181068.73951018695</v>
      </c>
      <c r="H358" s="34">
        <f t="shared" si="27"/>
        <v>8.3803654109198059E-2</v>
      </c>
      <c r="I358" s="43">
        <f t="shared" si="28"/>
        <v>50.662769868546988</v>
      </c>
      <c r="J358" s="17"/>
    </row>
    <row r="359" spans="1:10">
      <c r="A359" s="4" t="s">
        <v>481</v>
      </c>
      <c r="B359" s="35">
        <f>Standing!$E$89</f>
        <v>1.1421445844223768</v>
      </c>
      <c r="C359" s="35">
        <f>Standing!$E$112</f>
        <v>0.22097801788871321</v>
      </c>
      <c r="D359" s="35">
        <f>Standing!$E$126</f>
        <v>2.4558870196194123E-2</v>
      </c>
      <c r="E359" s="45">
        <f>AggCap!$E$97</f>
        <v>0</v>
      </c>
      <c r="F359" s="34">
        <f t="shared" si="26"/>
        <v>0.21387826826513776</v>
      </c>
      <c r="G359" s="39">
        <f>0.01*Input!$F$60*(E359*$E$354)+10*(B359*$B$354+C359*$C$354+D359*$D$354)</f>
        <v>462111.93121636903</v>
      </c>
      <c r="H359" s="34">
        <f t="shared" si="27"/>
        <v>0.21387826826513776</v>
      </c>
      <c r="I359" s="43">
        <f t="shared" si="28"/>
        <v>129.29824600346083</v>
      </c>
      <c r="J359" s="17"/>
    </row>
    <row r="360" spans="1:10">
      <c r="A360" s="4" t="s">
        <v>482</v>
      </c>
      <c r="B360" s="35">
        <f>Standing!$F$89</f>
        <v>0.72046868364665728</v>
      </c>
      <c r="C360" s="35">
        <f>Standing!$F$112</f>
        <v>0.13939368433257138</v>
      </c>
      <c r="D360" s="35">
        <f>Standing!$F$126</f>
        <v>1.5491818744690316E-2</v>
      </c>
      <c r="E360" s="45">
        <f>AggCap!$F$97</f>
        <v>0</v>
      </c>
      <c r="F360" s="34">
        <f t="shared" si="26"/>
        <v>0.13491513815261888</v>
      </c>
      <c r="G360" s="39">
        <f>0.01*Input!$F$60*(E360*$E$354)+10*(B360*$B$354+C360*$C$354+D360*$D$354)</f>
        <v>291501.77597633161</v>
      </c>
      <c r="H360" s="34">
        <f t="shared" si="27"/>
        <v>0.13491513815261888</v>
      </c>
      <c r="I360" s="43">
        <f t="shared" si="28"/>
        <v>81.561772796959048</v>
      </c>
      <c r="J360" s="17"/>
    </row>
    <row r="361" spans="1:10">
      <c r="A361" s="4" t="s">
        <v>483</v>
      </c>
      <c r="B361" s="35">
        <f>Standing!$G$89</f>
        <v>0</v>
      </c>
      <c r="C361" s="35">
        <f>Standing!$G$112</f>
        <v>0</v>
      </c>
      <c r="D361" s="35">
        <f>Standing!$G$126</f>
        <v>0</v>
      </c>
      <c r="E361" s="45">
        <f>AggCap!$G$97</f>
        <v>0</v>
      </c>
      <c r="F361" s="34">
        <f t="shared" si="26"/>
        <v>0</v>
      </c>
      <c r="G361" s="39">
        <f>0.01*Input!$F$60*(E361*$E$354)+10*(B361*$B$354+C361*$C$354+D361*$D$354)</f>
        <v>0</v>
      </c>
      <c r="H361" s="34">
        <f t="shared" si="27"/>
        <v>0</v>
      </c>
      <c r="I361" s="43">
        <f t="shared" si="28"/>
        <v>0</v>
      </c>
      <c r="J361" s="17"/>
    </row>
    <row r="362" spans="1:10">
      <c r="A362" s="4" t="s">
        <v>484</v>
      </c>
      <c r="B362" s="35">
        <f>Standing!$H$89</f>
        <v>0.91559787891324751</v>
      </c>
      <c r="C362" s="35">
        <f>Standing!$H$112</f>
        <v>0.17714657778435597</v>
      </c>
      <c r="D362" s="35">
        <f>Standing!$H$126</f>
        <v>1.9687568252589587E-2</v>
      </c>
      <c r="E362" s="45">
        <f>AggCap!$H$97</f>
        <v>0</v>
      </c>
      <c r="F362" s="34">
        <f t="shared" si="26"/>
        <v>0.17145507796478771</v>
      </c>
      <c r="G362" s="39">
        <f>0.01*Input!$F$60*(E362*$E$354)+10*(B362*$B$354+C362*$C$354+D362*$D$354)</f>
        <v>370451.08807847928</v>
      </c>
      <c r="H362" s="34">
        <f t="shared" si="27"/>
        <v>0.17145507796478771</v>
      </c>
      <c r="I362" s="43">
        <f t="shared" si="28"/>
        <v>103.65167545564613</v>
      </c>
      <c r="J362" s="17"/>
    </row>
    <row r="363" spans="1:10">
      <c r="A363" s="4" t="s">
        <v>485</v>
      </c>
      <c r="B363" s="35">
        <f>Standing!$I$89</f>
        <v>0.83128999451178687</v>
      </c>
      <c r="C363" s="35">
        <f>Standing!$I$112</f>
        <v>0.16083499215717595</v>
      </c>
      <c r="D363" s="35">
        <f>Standing!$I$126</f>
        <v>1.7874744886992366E-2</v>
      </c>
      <c r="E363" s="45">
        <f>AggCap!$I$97</f>
        <v>0</v>
      </c>
      <c r="F363" s="34">
        <f t="shared" si="26"/>
        <v>0.15566756335165224</v>
      </c>
      <c r="G363" s="39">
        <f>0.01*Input!$F$60*(E363*$E$354)+10*(B363*$B$354+C363*$C$354+D363*$D$354)</f>
        <v>336340.10089796514</v>
      </c>
      <c r="H363" s="34">
        <f t="shared" si="27"/>
        <v>0.15566756335165224</v>
      </c>
      <c r="I363" s="43">
        <f t="shared" si="28"/>
        <v>94.107470872402104</v>
      </c>
      <c r="J363" s="17"/>
    </row>
    <row r="364" spans="1:10">
      <c r="A364" s="4" t="s">
        <v>486</v>
      </c>
      <c r="B364" s="35">
        <f>Standing!$J$89</f>
        <v>0</v>
      </c>
      <c r="C364" s="35">
        <f>Standing!$J$112</f>
        <v>0</v>
      </c>
      <c r="D364" s="35">
        <f>Standing!$J$126</f>
        <v>0</v>
      </c>
      <c r="E364" s="45">
        <f>AggCap!$J$97</f>
        <v>3.833111014469965E-2</v>
      </c>
      <c r="F364" s="34">
        <f t="shared" si="26"/>
        <v>0</v>
      </c>
      <c r="G364" s="39">
        <f>0.01*Input!$F$60*(E364*$E$354)+10*(B364*$B$354+C364*$C$354+D364*$D$354)</f>
        <v>501.40311882519302</v>
      </c>
      <c r="H364" s="34">
        <f t="shared" si="27"/>
        <v>2.3206332386787061E-4</v>
      </c>
      <c r="I364" s="43">
        <f t="shared" si="28"/>
        <v>0.14029186312960074</v>
      </c>
      <c r="J364" s="17"/>
    </row>
    <row r="365" spans="1:10">
      <c r="A365" s="4" t="s">
        <v>1575</v>
      </c>
      <c r="B365" s="10"/>
      <c r="C365" s="10"/>
      <c r="D365" s="10"/>
      <c r="E365" s="45">
        <f>SM!$B$128</f>
        <v>0</v>
      </c>
      <c r="F365" s="34">
        <f t="shared" si="26"/>
        <v>0</v>
      </c>
      <c r="G365" s="39">
        <f>0.01*Input!$F$60*(E365*$E$354)+10*(B365*$B$354+C365*$C$354+D365*$D$354)</f>
        <v>0</v>
      </c>
      <c r="H365" s="34">
        <f t="shared" si="27"/>
        <v>0</v>
      </c>
      <c r="I365" s="43">
        <f t="shared" si="28"/>
        <v>0</v>
      </c>
      <c r="J365" s="17"/>
    </row>
    <row r="366" spans="1:10">
      <c r="A366" s="4" t="s">
        <v>1576</v>
      </c>
      <c r="B366" s="10"/>
      <c r="C366" s="10"/>
      <c r="D366" s="10"/>
      <c r="E366" s="45">
        <f>SM!$C$128</f>
        <v>0</v>
      </c>
      <c r="F366" s="34">
        <f t="shared" si="26"/>
        <v>0</v>
      </c>
      <c r="G366" s="39">
        <f>0.01*Input!$F$60*(E366*$E$354)+10*(B366*$B$354+C366*$C$354+D366*$D$354)</f>
        <v>0</v>
      </c>
      <c r="H366" s="34">
        <f t="shared" si="27"/>
        <v>0</v>
      </c>
      <c r="I366" s="43">
        <f t="shared" si="28"/>
        <v>0</v>
      </c>
      <c r="J366" s="17"/>
    </row>
    <row r="367" spans="1:10">
      <c r="A367" s="4" t="s">
        <v>1577</v>
      </c>
      <c r="B367" s="35">
        <f>Standing!$K$89</f>
        <v>0.98827450012597851</v>
      </c>
      <c r="C367" s="35">
        <f>Standing!$K$112</f>
        <v>4.0407278899679225E-2</v>
      </c>
      <c r="D367" s="35">
        <f>Standing!$K$126</f>
        <v>2.8765663459598321E-3</v>
      </c>
      <c r="E367" s="45">
        <f>AggCap!$K$97</f>
        <v>0</v>
      </c>
      <c r="F367" s="34">
        <f t="shared" si="26"/>
        <v>0.11920010750999932</v>
      </c>
      <c r="G367" s="39">
        <f>0.01*Input!$F$60*(E367*$E$354)+10*(B367*$B$354+C367*$C$354+D367*$D$354)</f>
        <v>257547.39988056693</v>
      </c>
      <c r="H367" s="34">
        <f t="shared" si="27"/>
        <v>0.11920010750999933</v>
      </c>
      <c r="I367" s="43">
        <f t="shared" si="28"/>
        <v>72.061387767366242</v>
      </c>
      <c r="J367" s="17"/>
    </row>
    <row r="368" spans="1:10">
      <c r="A368" s="4" t="s">
        <v>1578</v>
      </c>
      <c r="B368" s="35">
        <f>Standing!$L$89</f>
        <v>0.53405771639935429</v>
      </c>
      <c r="C368" s="35">
        <f>Standing!$L$112</f>
        <v>6.1836980528299508E-2</v>
      </c>
      <c r="D368" s="35">
        <f>Standing!$L$126</f>
        <v>9.4075093734080524E-3</v>
      </c>
      <c r="E368" s="45">
        <f>AggCap!$L$97</f>
        <v>0</v>
      </c>
      <c r="F368" s="34">
        <f t="shared" si="26"/>
        <v>8.3444678028957012E-2</v>
      </c>
      <c r="G368" s="39">
        <f>0.01*Input!$F$60*(E368*$E$354)+10*(B368*$B$354+C368*$C$354+D368*$D$354)</f>
        <v>180293.12480633578</v>
      </c>
      <c r="H368" s="34">
        <f t="shared" si="27"/>
        <v>8.3444678028957026E-2</v>
      </c>
      <c r="I368" s="43">
        <f t="shared" si="28"/>
        <v>50.445754002891938</v>
      </c>
      <c r="J368" s="17"/>
    </row>
    <row r="369" spans="1:10">
      <c r="A369" s="4" t="s">
        <v>1579</v>
      </c>
      <c r="B369" s="35">
        <f>Standing!$M$89</f>
        <v>0.21124940401095832</v>
      </c>
      <c r="C369" s="35">
        <f>Standing!$M$112</f>
        <v>2.4459950453505516E-2</v>
      </c>
      <c r="D369" s="35">
        <f>Standing!$M$126</f>
        <v>3.7211909637007872E-3</v>
      </c>
      <c r="E369" s="45">
        <f>AggCap!$M$97</f>
        <v>0</v>
      </c>
      <c r="F369" s="34">
        <f t="shared" si="26"/>
        <v>3.3006991492136768E-2</v>
      </c>
      <c r="G369" s="39">
        <f>0.01*Input!$F$60*(E369*$E$354)+10*(B369*$B$354+C369*$C$354+D369*$D$354)</f>
        <v>71315.91585155834</v>
      </c>
      <c r="H369" s="34">
        <f t="shared" si="27"/>
        <v>3.3006991492136775E-2</v>
      </c>
      <c r="I369" s="43">
        <f t="shared" si="28"/>
        <v>19.954089494000655</v>
      </c>
      <c r="J369" s="17"/>
    </row>
    <row r="370" spans="1:10">
      <c r="A370" s="4" t="s">
        <v>1580</v>
      </c>
      <c r="B370" s="35">
        <f>Standing!$N$89</f>
        <v>0.44984621472110436</v>
      </c>
      <c r="C370" s="35">
        <f>Standing!$N$112</f>
        <v>8.7034624372082758E-2</v>
      </c>
      <c r="D370" s="35">
        <f>Standing!$N$126</f>
        <v>9.6727813153114038E-3</v>
      </c>
      <c r="E370" s="45">
        <f>AggCap!$N$97</f>
        <v>0</v>
      </c>
      <c r="F370" s="34">
        <f t="shared" si="26"/>
        <v>8.4238309844839071E-2</v>
      </c>
      <c r="G370" s="39">
        <f>0.01*Input!$F$60*(E370*$E$354)+10*(B370*$B$354+C370*$C$354+D370*$D$354)</f>
        <v>182007.86999333795</v>
      </c>
      <c r="H370" s="34">
        <f t="shared" si="27"/>
        <v>8.4238309844839071E-2</v>
      </c>
      <c r="I370" s="43">
        <f t="shared" si="28"/>
        <v>50.925537211342458</v>
      </c>
      <c r="J370" s="17"/>
    </row>
    <row r="371" spans="1:10">
      <c r="A371" s="4" t="s">
        <v>1581</v>
      </c>
      <c r="B371" s="35">
        <f>Standing!$O$89</f>
        <v>0.2837645203452544</v>
      </c>
      <c r="C371" s="35">
        <f>Standing!$O$112</f>
        <v>5.4901736705032206E-2</v>
      </c>
      <c r="D371" s="35">
        <f>Standing!$O$126</f>
        <v>6.1016233115256851E-3</v>
      </c>
      <c r="E371" s="45">
        <f>AggCap!$O$97</f>
        <v>0</v>
      </c>
      <c r="F371" s="34">
        <f t="shared" si="26"/>
        <v>5.3137812002343028E-2</v>
      </c>
      <c r="G371" s="39">
        <f>0.01*Input!$F$60*(E371*$E$354)+10*(B371*$B$354+C371*$C$354+D371*$D$354)</f>
        <v>114811.1826610374</v>
      </c>
      <c r="H371" s="34">
        <f t="shared" si="27"/>
        <v>5.3137812002343028E-2</v>
      </c>
      <c r="I371" s="43">
        <f t="shared" si="28"/>
        <v>32.124001863748575</v>
      </c>
      <c r="J371" s="17"/>
    </row>
    <row r="372" spans="1:10">
      <c r="A372" s="4" t="s">
        <v>1582</v>
      </c>
      <c r="B372" s="35">
        <f>Standing!$P$89</f>
        <v>0</v>
      </c>
      <c r="C372" s="35">
        <f>Standing!$P$112</f>
        <v>0</v>
      </c>
      <c r="D372" s="35">
        <f>Standing!$P$126</f>
        <v>0</v>
      </c>
      <c r="E372" s="45">
        <f>AggCap!$P$97</f>
        <v>0</v>
      </c>
      <c r="F372" s="34">
        <f t="shared" si="26"/>
        <v>0</v>
      </c>
      <c r="G372" s="39">
        <f>0.01*Input!$F$60*(E372*$E$354)+10*(B372*$B$354+C372*$C$354+D372*$D$354)</f>
        <v>0</v>
      </c>
      <c r="H372" s="34">
        <f t="shared" si="27"/>
        <v>0</v>
      </c>
      <c r="I372" s="43">
        <f t="shared" si="28"/>
        <v>0</v>
      </c>
      <c r="J372" s="17"/>
    </row>
    <row r="373" spans="1:10">
      <c r="A373" s="4" t="s">
        <v>1583</v>
      </c>
      <c r="B373" s="35">
        <f>Standing!$Q$89</f>
        <v>0.51516900206027516</v>
      </c>
      <c r="C373" s="35">
        <f>Standing!$Q$112</f>
        <v>9.9673041842210791E-2</v>
      </c>
      <c r="D373" s="35">
        <f>Standing!$Q$126</f>
        <v>1.1077379189342927E-2</v>
      </c>
      <c r="E373" s="45">
        <f>AggCap!$Q$97</f>
        <v>0</v>
      </c>
      <c r="F373" s="34">
        <f t="shared" si="26"/>
        <v>9.647067063777616E-2</v>
      </c>
      <c r="G373" s="39">
        <f>0.01*Input!$F$60*(E373*$E$354)+10*(B373*$B$354+C373*$C$354+D373*$D$354)</f>
        <v>208437.48304010188</v>
      </c>
      <c r="H373" s="34">
        <f t="shared" si="27"/>
        <v>9.6470670637776174E-2</v>
      </c>
      <c r="I373" s="43">
        <f t="shared" si="28"/>
        <v>58.320504487997169</v>
      </c>
      <c r="J373" s="17"/>
    </row>
    <row r="374" spans="1:10">
      <c r="A374" s="4" t="s">
        <v>1584</v>
      </c>
      <c r="B374" s="35">
        <f>Standing!$R$89</f>
        <v>0.46773244757145821</v>
      </c>
      <c r="C374" s="35">
        <f>Standing!$R$112</f>
        <v>9.0495188241731625E-2</v>
      </c>
      <c r="D374" s="35">
        <f>Standing!$R$126</f>
        <v>1.0057378569338481E-2</v>
      </c>
      <c r="E374" s="45">
        <f>AggCap!$R$97</f>
        <v>0</v>
      </c>
      <c r="F374" s="34">
        <f t="shared" si="26"/>
        <v>8.7587690089683812E-2</v>
      </c>
      <c r="G374" s="39">
        <f>0.01*Input!$F$60*(E374*$E$354)+10*(B374*$B$354+C374*$C$354+D374*$D$354)</f>
        <v>189244.64344338488</v>
      </c>
      <c r="H374" s="34">
        <f t="shared" si="27"/>
        <v>8.7587690089683812E-2</v>
      </c>
      <c r="I374" s="43">
        <f t="shared" si="28"/>
        <v>52.950375893504443</v>
      </c>
      <c r="J374" s="17"/>
    </row>
    <row r="375" spans="1:10">
      <c r="A375" s="4" t="s">
        <v>1585</v>
      </c>
      <c r="B375" s="35">
        <f>Standing!$S$89</f>
        <v>0</v>
      </c>
      <c r="C375" s="35">
        <f>Standing!$S$112</f>
        <v>0</v>
      </c>
      <c r="D375" s="35">
        <f>Standing!$S$126</f>
        <v>0</v>
      </c>
      <c r="E375" s="45">
        <f>AggCap!$S$97</f>
        <v>0.5032376530907513</v>
      </c>
      <c r="F375" s="34">
        <f t="shared" si="26"/>
        <v>0</v>
      </c>
      <c r="G375" s="39">
        <f>0.01*Input!$F$60*(E375*$E$354)+10*(B375*$B$354+C375*$C$354+D375*$D$354)</f>
        <v>6582.7712220556232</v>
      </c>
      <c r="H375" s="34">
        <f t="shared" si="27"/>
        <v>3.046689804465646E-3</v>
      </c>
      <c r="I375" s="43">
        <f t="shared" si="28"/>
        <v>1.8418498103121497</v>
      </c>
      <c r="J375" s="17"/>
    </row>
    <row r="376" spans="1:10">
      <c r="A376" s="4" t="s">
        <v>1586</v>
      </c>
      <c r="B376" s="10"/>
      <c r="C376" s="10"/>
      <c r="D376" s="10"/>
      <c r="E376" s="45">
        <f>Otex!$B$131</f>
        <v>2.9888206560198993</v>
      </c>
      <c r="F376" s="34">
        <f t="shared" si="26"/>
        <v>0</v>
      </c>
      <c r="G376" s="39">
        <f>0.01*Input!$F$60*(E376*$E$354)+10*(B376*$B$354+C376*$C$354+D376*$D$354)</f>
        <v>39096.28479009134</v>
      </c>
      <c r="H376" s="34">
        <f t="shared" si="27"/>
        <v>1.8094849151579721E-2</v>
      </c>
      <c r="I376" s="43">
        <f t="shared" si="28"/>
        <v>10.939083601032833</v>
      </c>
      <c r="J376" s="17"/>
    </row>
    <row r="377" spans="1:10">
      <c r="A377" s="4" t="s">
        <v>1587</v>
      </c>
      <c r="B377" s="10"/>
      <c r="C377" s="10"/>
      <c r="D377" s="10"/>
      <c r="E377" s="45">
        <f>Otex!$C$131</f>
        <v>0</v>
      </c>
      <c r="F377" s="34">
        <f t="shared" si="26"/>
        <v>0</v>
      </c>
      <c r="G377" s="39">
        <f>0.01*Input!$F$60*(E377*$E$354)+10*(B377*$B$354+C377*$C$354+D377*$D$354)</f>
        <v>0</v>
      </c>
      <c r="H377" s="34">
        <f t="shared" si="27"/>
        <v>0</v>
      </c>
      <c r="I377" s="43">
        <f t="shared" si="28"/>
        <v>0</v>
      </c>
      <c r="J377" s="17"/>
    </row>
    <row r="378" spans="1:10">
      <c r="A378" s="4" t="s">
        <v>1588</v>
      </c>
      <c r="B378" s="35">
        <f>Adder!$B$275</f>
        <v>0.57451230457623836</v>
      </c>
      <c r="C378" s="35">
        <f>Adder!$C$275</f>
        <v>0.57451230457623836</v>
      </c>
      <c r="D378" s="35">
        <f>Adder!$D$275</f>
        <v>0.57451230457623836</v>
      </c>
      <c r="E378" s="10"/>
      <c r="F378" s="34">
        <f t="shared" si="26"/>
        <v>0.57451230457623836</v>
      </c>
      <c r="G378" s="39">
        <f>0.01*Input!$F$60*(E378*$E$354)+10*(B378*$B$354+C378*$C$354+D378*$D$354)</f>
        <v>1241308.8656869731</v>
      </c>
      <c r="H378" s="34">
        <f t="shared" si="27"/>
        <v>0.57451230457623836</v>
      </c>
      <c r="I378" s="43">
        <f t="shared" si="28"/>
        <v>347.31641457385928</v>
      </c>
      <c r="J378" s="17"/>
    </row>
    <row r="379" spans="1:10">
      <c r="A379" s="4" t="s">
        <v>1589</v>
      </c>
      <c r="B379" s="35">
        <f>Adjust!$B$88</f>
        <v>-4.1725292564898098E-4</v>
      </c>
      <c r="C379" s="35">
        <f>Adjust!$C$88</f>
        <v>2.20583323617074E-4</v>
      </c>
      <c r="D379" s="35">
        <f>Adjust!$D$88</f>
        <v>-3.7306942874348881E-4</v>
      </c>
      <c r="E379" s="45">
        <f>Adjust!$E$88</f>
        <v>-3.8941925535063149E-4</v>
      </c>
      <c r="F379" s="34">
        <f t="shared" si="26"/>
        <v>-1.5620962169955982E-4</v>
      </c>
      <c r="G379" s="39">
        <f>0.01*Input!$F$60*(E379*$E$354)+10*(B379*$B$354+C379*$C$354+D379*$D$354)</f>
        <v>-342.60521972392411</v>
      </c>
      <c r="H379" s="34">
        <f t="shared" si="27"/>
        <v>-1.5856723478286663E-4</v>
      </c>
      <c r="I379" s="43">
        <f t="shared" si="28"/>
        <v>-9.5860442004455537E-2</v>
      </c>
      <c r="J379" s="17"/>
    </row>
    <row r="381" spans="1:10">
      <c r="A381" s="4" t="s">
        <v>1590</v>
      </c>
      <c r="B381" s="34">
        <f>SUM($B$357:$B$379)</f>
        <v>9.5259999999999998</v>
      </c>
      <c r="C381" s="34">
        <f>SUM($C$357:$C$379)</f>
        <v>1.9510000000000001</v>
      </c>
      <c r="D381" s="34">
        <f>SUM($D$357:$D$379)</f>
        <v>0.73799999999999999</v>
      </c>
      <c r="E381" s="43">
        <f>SUM($E$357:$E$379)</f>
        <v>3.53</v>
      </c>
      <c r="F381" s="34">
        <f>SUM(F$357:F$379)</f>
        <v>2.1030253198718962</v>
      </c>
      <c r="G381" s="39">
        <f>SUM($G$357:$G$379)</f>
        <v>4590036.2251456911</v>
      </c>
      <c r="H381" s="34">
        <f>SUM($H$357:$H$379)</f>
        <v>2.1243965645387264</v>
      </c>
      <c r="I381" s="43">
        <f>SUM($I$357:$I$379)</f>
        <v>1284.2854575113852</v>
      </c>
    </row>
    <row r="383" spans="1:10" ht="21" customHeight="1">
      <c r="A383" s="1" t="s">
        <v>188</v>
      </c>
    </row>
    <row r="385" spans="1:14" ht="30">
      <c r="B385" s="15" t="s">
        <v>237</v>
      </c>
      <c r="C385" s="15" t="s">
        <v>238</v>
      </c>
      <c r="D385" s="15" t="s">
        <v>239</v>
      </c>
      <c r="E385" s="15" t="s">
        <v>240</v>
      </c>
      <c r="F385" s="15" t="s">
        <v>241</v>
      </c>
      <c r="G385" s="15" t="s">
        <v>242</v>
      </c>
      <c r="H385" s="15" t="s">
        <v>243</v>
      </c>
      <c r="I385" s="15" t="s">
        <v>1571</v>
      </c>
      <c r="J385" s="15" t="s">
        <v>1572</v>
      </c>
    </row>
    <row r="386" spans="1:14">
      <c r="A386" s="4" t="s">
        <v>188</v>
      </c>
      <c r="B386" s="41">
        <f>Loads!B$345</f>
        <v>266105.66927676706</v>
      </c>
      <c r="C386" s="41">
        <f>Loads!C$345</f>
        <v>950500.72443122079</v>
      </c>
      <c r="D386" s="41">
        <f>Loads!D$345</f>
        <v>1227506.5275575314</v>
      </c>
      <c r="E386" s="41">
        <f>Loads!E$345</f>
        <v>13184.459805723727</v>
      </c>
      <c r="F386" s="41">
        <f>Loads!F$345</f>
        <v>1276491.4450440563</v>
      </c>
      <c r="G386" s="41">
        <f>Loads!G$345</f>
        <v>12764.914450440561</v>
      </c>
      <c r="H386" s="41">
        <f>Loads!H$345</f>
        <v>201339.10552225233</v>
      </c>
      <c r="I386" s="41">
        <f>Multi!B$139</f>
        <v>2444112.9212655192</v>
      </c>
      <c r="J386" s="34">
        <f>IF(E386,I386/E386,"")</f>
        <v>185.37831335376094</v>
      </c>
      <c r="K386" s="17"/>
    </row>
    <row r="388" spans="1:14" ht="30">
      <c r="B388" s="15" t="s">
        <v>1379</v>
      </c>
      <c r="C388" s="15" t="s">
        <v>1380</v>
      </c>
      <c r="D388" s="15" t="s">
        <v>1381</v>
      </c>
      <c r="E388" s="15" t="s">
        <v>1382</v>
      </c>
      <c r="F388" s="15" t="s">
        <v>1383</v>
      </c>
      <c r="G388" s="15" t="s">
        <v>1384</v>
      </c>
      <c r="H388" s="15" t="s">
        <v>1136</v>
      </c>
      <c r="I388" s="15" t="s">
        <v>1591</v>
      </c>
      <c r="J388" s="15" t="s">
        <v>1573</v>
      </c>
      <c r="K388" s="15" t="s">
        <v>1540</v>
      </c>
      <c r="L388" s="15" t="s">
        <v>1574</v>
      </c>
      <c r="M388" s="15" t="s">
        <v>1592</v>
      </c>
    </row>
    <row r="389" spans="1:14">
      <c r="A389" s="4" t="s">
        <v>479</v>
      </c>
      <c r="B389" s="35">
        <f>Standing!$C$90</f>
        <v>1.2161938441468794</v>
      </c>
      <c r="C389" s="35">
        <f>Standing!$C$113</f>
        <v>0.14081952708443113</v>
      </c>
      <c r="D389" s="35">
        <f>Standing!$C$127</f>
        <v>2.1423442892710483E-2</v>
      </c>
      <c r="E389" s="10"/>
      <c r="F389" s="45">
        <f>Standing!$C$36</f>
        <v>0</v>
      </c>
      <c r="G389" s="45">
        <f>Standing!$C$153</f>
        <v>0</v>
      </c>
      <c r="H389" s="35">
        <f>Reactive!$C$33</f>
        <v>3.0606991323989589E-2</v>
      </c>
      <c r="I389" s="34">
        <f t="shared" ref="I389:I411" si="29">IF(I$386&lt;&gt;0,(($B389*B$386+$C389*C$386+$D389*D$386+$H389*H$386))/I$386,0)</f>
        <v>0.20045920765828434</v>
      </c>
      <c r="J389" s="39">
        <f>0.01*Input!$F$60*(E389*$E$386+F389*$F$386+G389*$G$386)+10*(B389*$B$386+C389*$C$386+D389*$D$386+H389*$H$386)</f>
        <v>4899449.3962426074</v>
      </c>
      <c r="K389" s="34">
        <f t="shared" ref="K389:K411" si="30">IF($I$386&lt;&gt;0,0.1*J389/$I$386,"")</f>
        <v>0.20045920765828437</v>
      </c>
      <c r="L389" s="43">
        <f t="shared" ref="L389:L411" si="31">IF($E$386&lt;&gt;0,J389/$E$386,"")</f>
        <v>371.60789811924076</v>
      </c>
      <c r="M389" s="43">
        <f>IF($F$386&lt;&gt;0,J389/$F$386*100/Input!$F$60,"")</f>
        <v>1.0486927908681509</v>
      </c>
      <c r="N389" s="17"/>
    </row>
    <row r="390" spans="1:14">
      <c r="A390" s="4" t="s">
        <v>480</v>
      </c>
      <c r="B390" s="35">
        <f>Standing!$D$90</f>
        <v>0.48107202058607901</v>
      </c>
      <c r="C390" s="35">
        <f>Standing!$D$113</f>
        <v>5.5701921826453449E-2</v>
      </c>
      <c r="D390" s="35">
        <f>Standing!$D$127</f>
        <v>8.4741581368027608E-3</v>
      </c>
      <c r="E390" s="10"/>
      <c r="F390" s="45">
        <f>Standing!$D$36</f>
        <v>0</v>
      </c>
      <c r="G390" s="45">
        <f>Standing!$D$153</f>
        <v>0</v>
      </c>
      <c r="H390" s="35">
        <f>Reactive!$D$33</f>
        <v>8.8152585896421626E-3</v>
      </c>
      <c r="I390" s="34">
        <f t="shared" si="29"/>
        <v>7.9021573874133111E-2</v>
      </c>
      <c r="J390" s="39">
        <f>0.01*Input!$F$60*(E390*$E$386+F390*$F$386+G390*$G$386)+10*(B390*$B$386+C390*$C$386+D390*$D$386+H390*$H$386)</f>
        <v>1931376.4976450652</v>
      </c>
      <c r="K390" s="34">
        <f t="shared" si="30"/>
        <v>7.9021573874133111E-2</v>
      </c>
      <c r="L390" s="43">
        <f t="shared" si="31"/>
        <v>146.48886083346417</v>
      </c>
      <c r="M390" s="43">
        <f>IF($F$386&lt;&gt;0,J390/$F$386*100/Input!$F$60,"")</f>
        <v>0.4133975975108255</v>
      </c>
      <c r="N390" s="17"/>
    </row>
    <row r="391" spans="1:14">
      <c r="A391" s="4" t="s">
        <v>481</v>
      </c>
      <c r="B391" s="35">
        <f>Standing!$E$90</f>
        <v>1.0244445260131592</v>
      </c>
      <c r="C391" s="35">
        <f>Standing!$E$113</f>
        <v>0.19820583478038253</v>
      </c>
      <c r="D391" s="35">
        <f>Standing!$E$127</f>
        <v>2.2028034349331264E-2</v>
      </c>
      <c r="E391" s="10"/>
      <c r="F391" s="45">
        <f>Standing!$E$36</f>
        <v>0</v>
      </c>
      <c r="G391" s="45">
        <f>Standing!$E$153</f>
        <v>0</v>
      </c>
      <c r="H391" s="35">
        <f>Reactive!$E$33</f>
        <v>2.2259123925964693E-2</v>
      </c>
      <c r="I391" s="34">
        <f t="shared" si="29"/>
        <v>0.20151543308232553</v>
      </c>
      <c r="J391" s="39">
        <f>0.01*Input!$F$60*(E391*$E$386+F391*$F$386+G391*$G$386)+10*(B391*$B$386+C391*$C$386+D391*$D$386+H391*$H$386)</f>
        <v>4925264.7383092893</v>
      </c>
      <c r="K391" s="34">
        <f t="shared" si="30"/>
        <v>0.20151543308232556</v>
      </c>
      <c r="L391" s="43">
        <f t="shared" si="31"/>
        <v>373.56591099554191</v>
      </c>
      <c r="M391" s="43">
        <f>IF($F$386&lt;&gt;0,J391/$F$386*100/Input!$F$60,"")</f>
        <v>1.0542183838337373</v>
      </c>
      <c r="N391" s="17"/>
    </row>
    <row r="392" spans="1:14">
      <c r="A392" s="4" t="s">
        <v>482</v>
      </c>
      <c r="B392" s="35">
        <f>Standing!$F$90</f>
        <v>0.64622308698245789</v>
      </c>
      <c r="C392" s="35">
        <f>Standing!$F$113</f>
        <v>0.1250289138721685</v>
      </c>
      <c r="D392" s="35">
        <f>Standing!$F$127</f>
        <v>1.3895358895399683E-2</v>
      </c>
      <c r="E392" s="10"/>
      <c r="F392" s="45">
        <f>Standing!$F$36</f>
        <v>0</v>
      </c>
      <c r="G392" s="45">
        <f>Standing!$F$153</f>
        <v>0</v>
      </c>
      <c r="H392" s="35">
        <f>Reactive!$F$33</f>
        <v>1.4937920239954968E-2</v>
      </c>
      <c r="I392" s="34">
        <f t="shared" si="29"/>
        <v>0.12719049468437868</v>
      </c>
      <c r="J392" s="39">
        <f>0.01*Input!$F$60*(E392*$E$386+F392*$F$386+G392*$G$386)+10*(B392*$B$386+C392*$C$386+D392*$D$386+H392*$H$386)</f>
        <v>3108679.3152024327</v>
      </c>
      <c r="K392" s="34">
        <f t="shared" si="30"/>
        <v>0.12719049468437868</v>
      </c>
      <c r="L392" s="43">
        <f t="shared" si="31"/>
        <v>235.78359379220618</v>
      </c>
      <c r="M392" s="43">
        <f>IF($F$386&lt;&gt;0,J392/$F$386*100/Input!$F$60,"")</f>
        <v>0.66539101097234865</v>
      </c>
      <c r="N392" s="17"/>
    </row>
    <row r="393" spans="1:14">
      <c r="A393" s="4" t="s">
        <v>483</v>
      </c>
      <c r="B393" s="35">
        <f>Standing!$G$90</f>
        <v>0</v>
      </c>
      <c r="C393" s="35">
        <f>Standing!$G$113</f>
        <v>0</v>
      </c>
      <c r="D393" s="35">
        <f>Standing!$G$127</f>
        <v>0</v>
      </c>
      <c r="E393" s="10"/>
      <c r="F393" s="45">
        <f>Standing!$G$36</f>
        <v>0</v>
      </c>
      <c r="G393" s="45">
        <f>Standing!$G$153</f>
        <v>0</v>
      </c>
      <c r="H393" s="35">
        <f>Reactive!$G$33</f>
        <v>0</v>
      </c>
      <c r="I393" s="34">
        <f t="shared" si="29"/>
        <v>0</v>
      </c>
      <c r="J393" s="39">
        <f>0.01*Input!$F$60*(E393*$E$386+F393*$F$386+G393*$G$386)+10*(B393*$B$386+C393*$C$386+D393*$D$386+H393*$H$386)</f>
        <v>0</v>
      </c>
      <c r="K393" s="34">
        <f t="shared" si="30"/>
        <v>0</v>
      </c>
      <c r="L393" s="43">
        <f t="shared" si="31"/>
        <v>0</v>
      </c>
      <c r="M393" s="43">
        <f>IF($F$386&lt;&gt;0,J393/$F$386*100/Input!$F$60,"")</f>
        <v>0</v>
      </c>
      <c r="N393" s="17"/>
    </row>
    <row r="394" spans="1:14">
      <c r="A394" s="4" t="s">
        <v>484</v>
      </c>
      <c r="B394" s="35">
        <f>Standing!$H$90</f>
        <v>0.65699509352841212</v>
      </c>
      <c r="C394" s="35">
        <f>Standing!$H$113</f>
        <v>0.12711304287621494</v>
      </c>
      <c r="D394" s="35">
        <f>Standing!$H$127</f>
        <v>1.4126983082146969E-2</v>
      </c>
      <c r="E394" s="10"/>
      <c r="F394" s="45">
        <f>Standing!$H$36</f>
        <v>0.3239413840786855</v>
      </c>
      <c r="G394" s="45">
        <f>Standing!$H$153</f>
        <v>0.46277340582669363</v>
      </c>
      <c r="H394" s="35">
        <f>Reactive!$H$33</f>
        <v>1.5186923065525802E-2</v>
      </c>
      <c r="I394" s="34">
        <f t="shared" si="29"/>
        <v>0.12931065546000334</v>
      </c>
      <c r="J394" s="39">
        <f>0.01*Input!$F$60*(E394*$E$386+F394*$F$386+G394*$G$386)+10*(B394*$B$386+C394*$C$386+D394*$D$386+H394*$H$386)</f>
        <v>4695559.7850424908</v>
      </c>
      <c r="K394" s="34">
        <f t="shared" si="30"/>
        <v>0.19211713764072783</v>
      </c>
      <c r="L394" s="43">
        <f t="shared" si="31"/>
        <v>356.14350942190458</v>
      </c>
      <c r="M394" s="43">
        <f>IF($F$386&lt;&gt;0,J394/$F$386*100/Input!$F$60,"")</f>
        <v>1.0050516491589521</v>
      </c>
      <c r="N394" s="17"/>
    </row>
    <row r="395" spans="1:14">
      <c r="A395" s="4" t="s">
        <v>485</v>
      </c>
      <c r="B395" s="35">
        <f>Standing!$I$90</f>
        <v>0</v>
      </c>
      <c r="C395" s="35">
        <f>Standing!$I$113</f>
        <v>0</v>
      </c>
      <c r="D395" s="35">
        <f>Standing!$I$127</f>
        <v>0</v>
      </c>
      <c r="E395" s="10"/>
      <c r="F395" s="45">
        <f>Standing!$I$36</f>
        <v>1.470564958672355</v>
      </c>
      <c r="G395" s="45">
        <f>Standing!$I$153</f>
        <v>2.1008070838176502</v>
      </c>
      <c r="H395" s="35">
        <f>Reactive!$I$33</f>
        <v>0</v>
      </c>
      <c r="I395" s="34">
        <f t="shared" si="29"/>
        <v>0</v>
      </c>
      <c r="J395" s="39">
        <f>0.01*Input!$F$60*(E395*$E$386+F395*$F$386+G395*$G$386)+10*(B395*$B$386+C395*$C$386+D395*$D$386+H395*$H$386)</f>
        <v>6968567.5752928201</v>
      </c>
      <c r="K395" s="34">
        <f t="shared" si="30"/>
        <v>0.28511643282359544</v>
      </c>
      <c r="L395" s="43">
        <f t="shared" si="31"/>
        <v>528.54403426279009</v>
      </c>
      <c r="M395" s="43">
        <f>IF($F$386&lt;&gt;0,J395/$F$386*100/Input!$F$60,"")</f>
        <v>1.4915730295105316</v>
      </c>
      <c r="N395" s="17"/>
    </row>
    <row r="396" spans="1:14">
      <c r="A396" s="4" t="s">
        <v>486</v>
      </c>
      <c r="B396" s="35">
        <f>Standing!$J$90</f>
        <v>0</v>
      </c>
      <c r="C396" s="35">
        <f>Standing!$J$113</f>
        <v>0</v>
      </c>
      <c r="D396" s="35">
        <f>Standing!$J$127</f>
        <v>0</v>
      </c>
      <c r="E396" s="10"/>
      <c r="F396" s="45">
        <f>Standing!$J$36</f>
        <v>3.1919872405664552E-2</v>
      </c>
      <c r="G396" s="45">
        <f>Standing!$J$153</f>
        <v>1.0639957468554841</v>
      </c>
      <c r="H396" s="35">
        <f>Reactive!$J$33</f>
        <v>0</v>
      </c>
      <c r="I396" s="34">
        <f t="shared" si="29"/>
        <v>0</v>
      </c>
      <c r="J396" s="39">
        <f>0.01*Input!$F$60*(E396*$E$386+F396*$F$386+G396*$G$386)+10*(B396*$B$386+C396*$C$386+D396*$D$386+H396*$H$386)</f>
        <v>198837.76697731574</v>
      </c>
      <c r="K396" s="34">
        <f t="shared" si="30"/>
        <v>8.1353756304500466E-3</v>
      </c>
      <c r="L396" s="43">
        <f t="shared" si="31"/>
        <v>15.081222128721189</v>
      </c>
      <c r="M396" s="43">
        <f>IF($F$386&lt;&gt;0,J396/$F$386*100/Input!$F$60,"")</f>
        <v>4.2559829874219392E-2</v>
      </c>
      <c r="N396" s="17"/>
    </row>
    <row r="397" spans="1:14">
      <c r="A397" s="4" t="s">
        <v>1575</v>
      </c>
      <c r="B397" s="10"/>
      <c r="C397" s="10"/>
      <c r="D397" s="10"/>
      <c r="E397" s="45">
        <f>SM!$B$129</f>
        <v>0</v>
      </c>
      <c r="F397" s="10"/>
      <c r="G397" s="10"/>
      <c r="H397" s="10"/>
      <c r="I397" s="34">
        <f t="shared" si="29"/>
        <v>0</v>
      </c>
      <c r="J397" s="39">
        <f>0.01*Input!$F$60*(E397*$E$386+F397*$F$386+G397*$G$386)+10*(B397*$B$386+C397*$C$386+D397*$D$386+H397*$H$386)</f>
        <v>0</v>
      </c>
      <c r="K397" s="34">
        <f t="shared" si="30"/>
        <v>0</v>
      </c>
      <c r="L397" s="43">
        <f t="shared" si="31"/>
        <v>0</v>
      </c>
      <c r="M397" s="43">
        <f>IF($F$386&lt;&gt;0,J397/$F$386*100/Input!$F$60,"")</f>
        <v>0</v>
      </c>
      <c r="N397" s="17"/>
    </row>
    <row r="398" spans="1:14">
      <c r="A398" s="4" t="s">
        <v>1576</v>
      </c>
      <c r="B398" s="10"/>
      <c r="C398" s="10"/>
      <c r="D398" s="10"/>
      <c r="E398" s="45">
        <f>SM!$C$129</f>
        <v>0</v>
      </c>
      <c r="F398" s="10"/>
      <c r="G398" s="10"/>
      <c r="H398" s="10"/>
      <c r="I398" s="34">
        <f t="shared" si="29"/>
        <v>0</v>
      </c>
      <c r="J398" s="39">
        <f>0.01*Input!$F$60*(E398*$E$386+F398*$F$386+G398*$G$386)+10*(B398*$B$386+C398*$C$386+D398*$D$386+H398*$H$386)</f>
        <v>0</v>
      </c>
      <c r="K398" s="34">
        <f t="shared" si="30"/>
        <v>0</v>
      </c>
      <c r="L398" s="43">
        <f t="shared" si="31"/>
        <v>0</v>
      </c>
      <c r="M398" s="43">
        <f>IF($F$386&lt;&gt;0,J398/$F$386*100/Input!$F$60,"")</f>
        <v>0</v>
      </c>
      <c r="N398" s="17"/>
    </row>
    <row r="399" spans="1:14">
      <c r="A399" s="4" t="s">
        <v>1577</v>
      </c>
      <c r="B399" s="35">
        <f>Standing!$K$90</f>
        <v>0.88615546928667133</v>
      </c>
      <c r="C399" s="35">
        <f>Standing!$K$113</f>
        <v>3.6231969145594872E-2</v>
      </c>
      <c r="D399" s="35">
        <f>Standing!$K$127</f>
        <v>2.57932892117862E-3</v>
      </c>
      <c r="E399" s="10"/>
      <c r="F399" s="45">
        <f>Standing!$K$36</f>
        <v>0</v>
      </c>
      <c r="G399" s="45">
        <f>Standing!$K$153</f>
        <v>0</v>
      </c>
      <c r="H399" s="35">
        <f>Reactive!$K$33</f>
        <v>1.7173223844978384E-2</v>
      </c>
      <c r="I399" s="34">
        <f t="shared" si="29"/>
        <v>0.11328171025348564</v>
      </c>
      <c r="J399" s="39">
        <f>0.01*Input!$F$60*(E399*$E$386+F399*$F$386+G399*$G$386)+10*(B399*$B$386+C399*$C$386+D399*$D$386+H399*$H$386)</f>
        <v>2768732.9177360092</v>
      </c>
      <c r="K399" s="34">
        <f t="shared" si="30"/>
        <v>0.11328171025348564</v>
      </c>
      <c r="L399" s="43">
        <f t="shared" si="31"/>
        <v>209.99972380620616</v>
      </c>
      <c r="M399" s="43">
        <f>IF($F$386&lt;&gt;0,J399/$F$386*100/Input!$F$60,"")</f>
        <v>0.59262786812245261</v>
      </c>
      <c r="N399" s="17"/>
    </row>
    <row r="400" spans="1:14">
      <c r="A400" s="4" t="s">
        <v>1578</v>
      </c>
      <c r="B400" s="35">
        <f>Standing!$L$90</f>
        <v>0.47901133063050028</v>
      </c>
      <c r="C400" s="35">
        <f>Standing!$L$113</f>
        <v>5.5463320565306791E-2</v>
      </c>
      <c r="D400" s="35">
        <f>Standing!$L$127</f>
        <v>8.4378587641366458E-3</v>
      </c>
      <c r="E400" s="10"/>
      <c r="F400" s="45">
        <f>Standing!$L$36</f>
        <v>0</v>
      </c>
      <c r="G400" s="45">
        <f>Standing!$L$153</f>
        <v>0</v>
      </c>
      <c r="H400" s="35">
        <f>Reactive!$L$33</f>
        <v>1.2054900385542336E-2</v>
      </c>
      <c r="I400" s="34">
        <f t="shared" si="29"/>
        <v>7.8953065138137629E-2</v>
      </c>
      <c r="J400" s="39">
        <f>0.01*Input!$F$60*(E400*$E$386+F400*$F$386+G400*$G$386)+10*(B400*$B$386+C400*$C$386+D400*$D$386+H400*$H$386)</f>
        <v>1929702.0667764037</v>
      </c>
      <c r="K400" s="34">
        <f t="shared" si="30"/>
        <v>7.8953065138137629E-2</v>
      </c>
      <c r="L400" s="43">
        <f t="shared" si="31"/>
        <v>146.36186049417574</v>
      </c>
      <c r="M400" s="43">
        <f>IF($F$386&lt;&gt;0,J400/$F$386*100/Input!$F$60,"")</f>
        <v>0.41303919732362915</v>
      </c>
      <c r="N400" s="17"/>
    </row>
    <row r="401" spans="1:14">
      <c r="A401" s="4" t="s">
        <v>1579</v>
      </c>
      <c r="B401" s="35">
        <f>Standing!$M$90</f>
        <v>0.18947550986141251</v>
      </c>
      <c r="C401" s="35">
        <f>Standing!$M$113</f>
        <v>2.1938814952218437E-2</v>
      </c>
      <c r="D401" s="35">
        <f>Standing!$M$127</f>
        <v>3.3376404465610358E-3</v>
      </c>
      <c r="E401" s="10"/>
      <c r="F401" s="45">
        <f>Standing!$M$36</f>
        <v>0</v>
      </c>
      <c r="G401" s="45">
        <f>Standing!$M$153</f>
        <v>0</v>
      </c>
      <c r="H401" s="35">
        <f>Reactive!$M$33</f>
        <v>3.471986613974735E-3</v>
      </c>
      <c r="I401" s="34">
        <f t="shared" si="29"/>
        <v>3.1123516561224668E-2</v>
      </c>
      <c r="J401" s="39">
        <f>0.01*Input!$F$60*(E401*$E$386+F401*$F$386+G401*$G$386)+10*(B401*$B$386+C401*$C$386+D401*$D$386+H401*$H$386)</f>
        <v>760693.8898251059</v>
      </c>
      <c r="K401" s="34">
        <f t="shared" si="30"/>
        <v>3.1123516561224668E-2</v>
      </c>
      <c r="L401" s="43">
        <f t="shared" si="31"/>
        <v>57.696250057576748</v>
      </c>
      <c r="M401" s="43">
        <f>IF($F$386&lt;&gt;0,J401/$F$386*100/Input!$F$60,"")</f>
        <v>0.16282119352611812</v>
      </c>
      <c r="N401" s="17"/>
    </row>
    <row r="402" spans="1:14">
      <c r="A402" s="4" t="s">
        <v>1580</v>
      </c>
      <c r="B402" s="35">
        <f>Standing!$N$90</f>
        <v>0.40348875134039197</v>
      </c>
      <c r="C402" s="35">
        <f>Standing!$N$113</f>
        <v>7.8065549430139949E-2</v>
      </c>
      <c r="D402" s="35">
        <f>Standing!$N$127</f>
        <v>8.6759837633031255E-3</v>
      </c>
      <c r="E402" s="10"/>
      <c r="F402" s="45">
        <f>Standing!$N$36</f>
        <v>0</v>
      </c>
      <c r="G402" s="45">
        <f>Standing!$N$153</f>
        <v>0</v>
      </c>
      <c r="H402" s="35">
        <f>Reactive!$N$33</f>
        <v>8.7670009363719978E-3</v>
      </c>
      <c r="I402" s="34">
        <f t="shared" si="29"/>
        <v>7.9369071145938677E-2</v>
      </c>
      <c r="J402" s="39">
        <f>0.01*Input!$F$60*(E402*$E$386+F402*$F$386+G402*$G$386)+10*(B402*$B$386+C402*$C$386+D402*$D$386+H402*$H$386)</f>
        <v>1939869.7233663101</v>
      </c>
      <c r="K402" s="34">
        <f t="shared" si="30"/>
        <v>7.9369071145938691E-2</v>
      </c>
      <c r="L402" s="43">
        <f t="shared" si="31"/>
        <v>147.13304541488768</v>
      </c>
      <c r="M402" s="43">
        <f>IF($F$386&lt;&gt;0,J402/$F$386*100/Input!$F$60,"")</f>
        <v>0.41521551292636505</v>
      </c>
      <c r="N402" s="17"/>
    </row>
    <row r="403" spans="1:14">
      <c r="A403" s="4" t="s">
        <v>1581</v>
      </c>
      <c r="B403" s="35">
        <f>Standing!$O$90</f>
        <v>0.25452207497132562</v>
      </c>
      <c r="C403" s="35">
        <f>Standing!$O$113</f>
        <v>4.924401376427353E-2</v>
      </c>
      <c r="D403" s="35">
        <f>Standing!$O$127</f>
        <v>5.4728400296605315E-3</v>
      </c>
      <c r="E403" s="10"/>
      <c r="F403" s="45">
        <f>Standing!$O$36</f>
        <v>0</v>
      </c>
      <c r="G403" s="45">
        <f>Standing!$O$153</f>
        <v>0</v>
      </c>
      <c r="H403" s="35">
        <f>Reactive!$O$33</f>
        <v>5.8834642893727338E-3</v>
      </c>
      <c r="I403" s="34">
        <f t="shared" si="29"/>
        <v>5.0095376156958943E-2</v>
      </c>
      <c r="J403" s="39">
        <f>0.01*Input!$F$60*(E403*$E$386+F403*$F$386+G403*$G$386)+10*(B403*$B$386+C403*$C$386+D403*$D$386+H403*$H$386)</f>
        <v>1224387.5616087995</v>
      </c>
      <c r="K403" s="34">
        <f t="shared" si="30"/>
        <v>5.0095376156958943E-2</v>
      </c>
      <c r="L403" s="43">
        <f t="shared" si="31"/>
        <v>92.865963387992593</v>
      </c>
      <c r="M403" s="43">
        <f>IF($F$386&lt;&gt;0,J403/$F$386*100/Input!$F$60,"")</f>
        <v>0.26207157279193205</v>
      </c>
      <c r="N403" s="17"/>
    </row>
    <row r="404" spans="1:14">
      <c r="A404" s="4" t="s">
        <v>1582</v>
      </c>
      <c r="B404" s="35">
        <f>Standing!$P$90</f>
        <v>0</v>
      </c>
      <c r="C404" s="35">
        <f>Standing!$P$113</f>
        <v>0</v>
      </c>
      <c r="D404" s="35">
        <f>Standing!$P$127</f>
        <v>0</v>
      </c>
      <c r="E404" s="10"/>
      <c r="F404" s="45">
        <f>Standing!$P$36</f>
        <v>0</v>
      </c>
      <c r="G404" s="45">
        <f>Standing!$P$153</f>
        <v>0</v>
      </c>
      <c r="H404" s="35">
        <f>Reactive!$P$33</f>
        <v>0</v>
      </c>
      <c r="I404" s="34">
        <f t="shared" si="29"/>
        <v>0</v>
      </c>
      <c r="J404" s="39">
        <f>0.01*Input!$F$60*(E404*$E$386+F404*$F$386+G404*$G$386)+10*(B404*$B$386+C404*$C$386+D404*$D$386+H404*$H$386)</f>
        <v>0</v>
      </c>
      <c r="K404" s="34">
        <f t="shared" si="30"/>
        <v>0</v>
      </c>
      <c r="L404" s="43">
        <f t="shared" si="31"/>
        <v>0</v>
      </c>
      <c r="M404" s="43">
        <f>IF($F$386&lt;&gt;0,J404/$F$386*100/Input!$F$60,"")</f>
        <v>0</v>
      </c>
      <c r="N404" s="17"/>
    </row>
    <row r="405" spans="1:14">
      <c r="A405" s="4" t="s">
        <v>1583</v>
      </c>
      <c r="B405" s="35">
        <f>Standing!$Q$90</f>
        <v>0.36966392614764726</v>
      </c>
      <c r="C405" s="35">
        <f>Standing!$Q$113</f>
        <v>7.1521244156998828E-2</v>
      </c>
      <c r="D405" s="35">
        <f>Standing!$Q$127</f>
        <v>7.9486682354378956E-3</v>
      </c>
      <c r="E405" s="10"/>
      <c r="F405" s="45">
        <f>Standing!$Q$36</f>
        <v>0.18226839904863187</v>
      </c>
      <c r="G405" s="45">
        <f>Standing!$Q$153</f>
        <v>0.18226839904863187</v>
      </c>
      <c r="H405" s="35">
        <f>Reactive!$Q$33</f>
        <v>8.54505256097738E-3</v>
      </c>
      <c r="I405" s="34">
        <f t="shared" si="29"/>
        <v>7.2757749731967108E-2</v>
      </c>
      <c r="J405" s="39">
        <f>0.01*Input!$F$60*(E405*$E$386+F405*$F$386+G405*$G$386)+10*(B405*$B$386+C405*$C$386+D405*$D$386+H405*$H$386)</f>
        <v>2638347.4973675222</v>
      </c>
      <c r="K405" s="34">
        <f t="shared" si="30"/>
        <v>0.10794703773348704</v>
      </c>
      <c r="L405" s="43">
        <f t="shared" si="31"/>
        <v>200.11039786568617</v>
      </c>
      <c r="M405" s="43">
        <f>IF($F$386&lt;&gt;0,J405/$F$386*100/Input!$F$60,"")</f>
        <v>0.56471978308750825</v>
      </c>
      <c r="N405" s="17"/>
    </row>
    <row r="406" spans="1:14">
      <c r="A406" s="4" t="s">
        <v>1584</v>
      </c>
      <c r="B406" s="35">
        <f>Standing!$R$90</f>
        <v>0</v>
      </c>
      <c r="C406" s="35">
        <f>Standing!$R$113</f>
        <v>0</v>
      </c>
      <c r="D406" s="35">
        <f>Standing!$R$127</f>
        <v>0</v>
      </c>
      <c r="E406" s="10"/>
      <c r="F406" s="45">
        <f>Standing!$R$36</f>
        <v>0.8274259908981596</v>
      </c>
      <c r="G406" s="45">
        <f>Standing!$R$153</f>
        <v>0.8274259908981596</v>
      </c>
      <c r="H406" s="35">
        <f>Reactive!$R$33</f>
        <v>0</v>
      </c>
      <c r="I406" s="34">
        <f t="shared" si="29"/>
        <v>0</v>
      </c>
      <c r="J406" s="39">
        <f>0.01*Input!$F$60*(E406*$E$386+F406*$F$386+G406*$G$386)+10*(B406*$B$386+C406*$C$386+D406*$D$386+H406*$H$386)</f>
        <v>3904357.0480419458</v>
      </c>
      <c r="K406" s="34">
        <f t="shared" si="30"/>
        <v>0.15974536258416153</v>
      </c>
      <c r="L406" s="43">
        <f t="shared" si="31"/>
        <v>296.13325881936851</v>
      </c>
      <c r="M406" s="43">
        <f>IF($F$386&lt;&gt;0,J406/$F$386*100/Input!$F$60,"")</f>
        <v>0.83570025080714105</v>
      </c>
      <c r="N406" s="17"/>
    </row>
    <row r="407" spans="1:14">
      <c r="A407" s="4" t="s">
        <v>1585</v>
      </c>
      <c r="B407" s="35">
        <f>Standing!$S$90</f>
        <v>0</v>
      </c>
      <c r="C407" s="35">
        <f>Standing!$S$113</f>
        <v>0</v>
      </c>
      <c r="D407" s="35">
        <f>Standing!$S$127</f>
        <v>0</v>
      </c>
      <c r="E407" s="10"/>
      <c r="F407" s="45">
        <f>Standing!$S$36</f>
        <v>0.41906643495959539</v>
      </c>
      <c r="G407" s="45">
        <f>Standing!$S$153</f>
        <v>0.41906643495959539</v>
      </c>
      <c r="H407" s="35">
        <f>Reactive!$S$33</f>
        <v>0</v>
      </c>
      <c r="I407" s="34">
        <f t="shared" si="29"/>
        <v>0</v>
      </c>
      <c r="J407" s="39">
        <f>0.01*Input!$F$60*(E407*$E$386+F407*$F$386+G407*$G$386)+10*(B407*$B$386+C407*$C$386+D407*$D$386+H407*$H$386)</f>
        <v>1977439.6827397838</v>
      </c>
      <c r="K407" s="34">
        <f t="shared" si="30"/>
        <v>8.0906232504016226E-2</v>
      </c>
      <c r="L407" s="43">
        <f t="shared" si="31"/>
        <v>149.98260921401757</v>
      </c>
      <c r="M407" s="43">
        <f>IF($F$386&lt;&gt;0,J407/$F$386*100/Input!$F$60,"")</f>
        <v>0.42325709930919136</v>
      </c>
      <c r="N407" s="17"/>
    </row>
    <row r="408" spans="1:14">
      <c r="A408" s="4" t="s">
        <v>1586</v>
      </c>
      <c r="B408" s="10"/>
      <c r="C408" s="10"/>
      <c r="D408" s="10"/>
      <c r="E408" s="45">
        <f>Otex!$B$132</f>
        <v>14.051320860512647</v>
      </c>
      <c r="F408" s="10"/>
      <c r="G408" s="10"/>
      <c r="H408" s="10"/>
      <c r="I408" s="34">
        <f t="shared" si="29"/>
        <v>0</v>
      </c>
      <c r="J408" s="39">
        <f>0.01*Input!$F$60*(E408*$E$386+F408*$F$386+G408*$G$386)+10*(B408*$B$386+C408*$C$386+D408*$D$386+H408*$H$386)</f>
        <v>678048.2148760882</v>
      </c>
      <c r="K408" s="34">
        <f t="shared" si="30"/>
        <v>2.7742098533033676E-2</v>
      </c>
      <c r="L408" s="43">
        <f t="shared" si="31"/>
        <v>51.427834349476292</v>
      </c>
      <c r="M408" s="43">
        <f>IF($F$386&lt;&gt;0,J408/$F$386*100/Input!$F$60,"")</f>
        <v>0.1451314662718812</v>
      </c>
      <c r="N408" s="17"/>
    </row>
    <row r="409" spans="1:14">
      <c r="A409" s="4" t="s">
        <v>1587</v>
      </c>
      <c r="B409" s="10"/>
      <c r="C409" s="10"/>
      <c r="D409" s="10"/>
      <c r="E409" s="45">
        <f>Otex!$C$132</f>
        <v>0</v>
      </c>
      <c r="F409" s="10"/>
      <c r="G409" s="10"/>
      <c r="H409" s="10"/>
      <c r="I409" s="34">
        <f t="shared" si="29"/>
        <v>0</v>
      </c>
      <c r="J409" s="39">
        <f>0.01*Input!$F$60*(E409*$E$386+F409*$F$386+G409*$G$386)+10*(B409*$B$386+C409*$C$386+D409*$D$386+H409*$H$386)</f>
        <v>0</v>
      </c>
      <c r="K409" s="34">
        <f t="shared" si="30"/>
        <v>0</v>
      </c>
      <c r="L409" s="43">
        <f t="shared" si="31"/>
        <v>0</v>
      </c>
      <c r="M409" s="43">
        <f>IF($F$386&lt;&gt;0,J409/$F$386*100/Input!$F$60,"")</f>
        <v>0</v>
      </c>
      <c r="N409" s="17"/>
    </row>
    <row r="410" spans="1:14">
      <c r="A410" s="4" t="s">
        <v>1588</v>
      </c>
      <c r="B410" s="35">
        <f>Adder!$B$276</f>
        <v>0.57451230457623836</v>
      </c>
      <c r="C410" s="35">
        <f>Adder!$C$276</f>
        <v>0.57451230457623836</v>
      </c>
      <c r="D410" s="35">
        <f>Adder!$D$276</f>
        <v>0.57451230457623836</v>
      </c>
      <c r="E410" s="10"/>
      <c r="F410" s="10"/>
      <c r="G410" s="10"/>
      <c r="H410" s="10"/>
      <c r="I410" s="34">
        <f t="shared" si="29"/>
        <v>0.57451230457623848</v>
      </c>
      <c r="J410" s="39">
        <f>0.01*Input!$F$60*(E410*$E$386+F410*$F$386+G410*$G$386)+10*(B410*$B$386+C410*$C$386+D410*$D$386+H410*$H$386)</f>
        <v>14041729.470408158</v>
      </c>
      <c r="K410" s="34">
        <f t="shared" si="30"/>
        <v>0.57451230457623848</v>
      </c>
      <c r="L410" s="43">
        <f t="shared" si="31"/>
        <v>1065.0212202332527</v>
      </c>
      <c r="M410" s="43">
        <f>IF($F$386&lt;&gt;0,J410/$F$386*100/Input!$F$60,"")</f>
        <v>3.0055337398179609</v>
      </c>
      <c r="N410" s="17"/>
    </row>
    <row r="411" spans="1:14">
      <c r="A411" s="4" t="s">
        <v>1589</v>
      </c>
      <c r="B411" s="35">
        <f>Adjust!$B$89</f>
        <v>2.4206192882481048E-4</v>
      </c>
      <c r="C411" s="35">
        <f>Adjust!$C$89</f>
        <v>1.5354296957870162E-4</v>
      </c>
      <c r="D411" s="35">
        <f>Adjust!$D$89</f>
        <v>8.7397907092556792E-5</v>
      </c>
      <c r="E411" s="45">
        <f>Adjust!$E$89</f>
        <v>-1.320860512645794E-3</v>
      </c>
      <c r="F411" s="45">
        <f>Adjust!$F$89</f>
        <v>4.8129599369080012E-3</v>
      </c>
      <c r="G411" s="45">
        <f>Adjust!$G$89</f>
        <v>3.662938593784304E-3</v>
      </c>
      <c r="H411" s="35">
        <f>Adjust!$H$89</f>
        <v>2.9815422370524369E-4</v>
      </c>
      <c r="I411" s="34">
        <f t="shared" si="29"/>
        <v>1.5452165007014219E-4</v>
      </c>
      <c r="J411" s="39">
        <f>0.01*Input!$F$60*(E411*$E$386+F411*$F$386+G411*$G$386)+10*(B411*$B$386+C411*$C$386+D411*$D$386+H411*$H$386)</f>
        <v>26370.026303438521</v>
      </c>
      <c r="K411" s="34">
        <f t="shared" si="30"/>
        <v>1.0789201298352688E-3</v>
      </c>
      <c r="L411" s="43">
        <f t="shared" si="31"/>
        <v>2.0000839391228289</v>
      </c>
      <c r="M411" s="43">
        <f>IF($F$386&lt;&gt;0,J411/$F$386*100/Input!$F$60,"")</f>
        <v>5.6443192373060161E-3</v>
      </c>
      <c r="N411" s="17"/>
    </row>
    <row r="413" spans="1:14">
      <c r="A413" s="4" t="s">
        <v>1590</v>
      </c>
      <c r="B413" s="34">
        <f>SUM($B$389:$B$411)</f>
        <v>7.1820000000000004</v>
      </c>
      <c r="C413" s="34">
        <f>SUM($C$389:$C$411)</f>
        <v>1.534</v>
      </c>
      <c r="D413" s="34">
        <f>SUM($D$389:$D$411)</f>
        <v>0.69099999999999995</v>
      </c>
      <c r="E413" s="43">
        <f>SUM($E$389:$E$411)</f>
        <v>14.05</v>
      </c>
      <c r="F413" s="43">
        <f>SUM($F$389:$F$411)</f>
        <v>3.26</v>
      </c>
      <c r="G413" s="43">
        <f>SUM($G$389:$G$411)</f>
        <v>5.0599999999999996</v>
      </c>
      <c r="H413" s="34">
        <f>SUM($H$389:$H$411)</f>
        <v>0.14799999999999999</v>
      </c>
      <c r="I413" s="34">
        <f>SUM(I$389:I$411)</f>
        <v>1.7377446799731462</v>
      </c>
      <c r="J413" s="39">
        <f>SUM($J$389:$J$411)</f>
        <v>58617413.173761584</v>
      </c>
      <c r="K413" s="34">
        <f>SUM($K$389:$K$411)</f>
        <v>2.3983103507104127</v>
      </c>
      <c r="L413" s="43">
        <f>SUM($L$389:$L$411)</f>
        <v>4445.9472771356322</v>
      </c>
      <c r="M413" s="43">
        <f>SUM($M$389:$M$411)</f>
        <v>12.546646294950252</v>
      </c>
    </row>
    <row r="415" spans="1:14" ht="21" customHeight="1">
      <c r="A415" s="1" t="s">
        <v>189</v>
      </c>
    </row>
    <row r="417" spans="1:14" ht="30">
      <c r="B417" s="15" t="s">
        <v>237</v>
      </c>
      <c r="C417" s="15" t="s">
        <v>238</v>
      </c>
      <c r="D417" s="15" t="s">
        <v>239</v>
      </c>
      <c r="E417" s="15" t="s">
        <v>240</v>
      </c>
      <c r="F417" s="15" t="s">
        <v>241</v>
      </c>
      <c r="G417" s="15" t="s">
        <v>242</v>
      </c>
      <c r="H417" s="15" t="s">
        <v>243</v>
      </c>
      <c r="I417" s="15" t="s">
        <v>1571</v>
      </c>
      <c r="J417" s="15" t="s">
        <v>1572</v>
      </c>
    </row>
    <row r="418" spans="1:14">
      <c r="A418" s="4" t="s">
        <v>189</v>
      </c>
      <c r="B418" s="41">
        <f>Loads!B$346</f>
        <v>127017.26508282503</v>
      </c>
      <c r="C418" s="41">
        <f>Loads!C$346</f>
        <v>465220.47988462687</v>
      </c>
      <c r="D418" s="41">
        <f>Loads!D$346</f>
        <v>628507.32185137214</v>
      </c>
      <c r="E418" s="41">
        <f>Loads!E$346</f>
        <v>2170.2101264178787</v>
      </c>
      <c r="F418" s="41">
        <f>Loads!F$346</f>
        <v>654466.12617924088</v>
      </c>
      <c r="G418" s="41">
        <f>Loads!G$346</f>
        <v>6544.6612617924093</v>
      </c>
      <c r="H418" s="41">
        <f>Loads!H$346</f>
        <v>97135.87709443245</v>
      </c>
      <c r="I418" s="41">
        <f>Multi!B$140</f>
        <v>1220745.066818824</v>
      </c>
      <c r="J418" s="34">
        <f>IF(E418,I418/E418,"")</f>
        <v>562.50086199430393</v>
      </c>
      <c r="K418" s="17"/>
    </row>
    <row r="420" spans="1:14" ht="30">
      <c r="B420" s="15" t="s">
        <v>1379</v>
      </c>
      <c r="C420" s="15" t="s">
        <v>1380</v>
      </c>
      <c r="D420" s="15" t="s">
        <v>1381</v>
      </c>
      <c r="E420" s="15" t="s">
        <v>1382</v>
      </c>
      <c r="F420" s="15" t="s">
        <v>1383</v>
      </c>
      <c r="G420" s="15" t="s">
        <v>1384</v>
      </c>
      <c r="H420" s="15" t="s">
        <v>1136</v>
      </c>
      <c r="I420" s="15" t="s">
        <v>1591</v>
      </c>
      <c r="J420" s="15" t="s">
        <v>1573</v>
      </c>
      <c r="K420" s="15" t="s">
        <v>1540</v>
      </c>
      <c r="L420" s="15" t="s">
        <v>1574</v>
      </c>
      <c r="M420" s="15" t="s">
        <v>1592</v>
      </c>
    </row>
    <row r="421" spans="1:14">
      <c r="A421" s="4" t="s">
        <v>479</v>
      </c>
      <c r="B421" s="35">
        <f>Standing!$C$91</f>
        <v>1.1344799504521121</v>
      </c>
      <c r="C421" s="35">
        <f>Standing!$C$114</f>
        <v>0.13135811439787354</v>
      </c>
      <c r="D421" s="35">
        <f>Standing!$C$128</f>
        <v>1.9984040001850733E-2</v>
      </c>
      <c r="E421" s="10"/>
      <c r="F421" s="45">
        <f>Standing!$C$37</f>
        <v>0</v>
      </c>
      <c r="G421" s="45">
        <f>Standing!$C$154</f>
        <v>0</v>
      </c>
      <c r="H421" s="35">
        <f>Reactive!$C$34</f>
        <v>2.728472518719894E-2</v>
      </c>
      <c r="I421" s="34">
        <f t="shared" ref="I421:I443" si="32">IF(I$418&lt;&gt;0,(($B421*B$418+$C421*C$418+$D421*D$418+$H421*H$418))/I$418,0)</f>
        <v>0.18056142333035613</v>
      </c>
      <c r="J421" s="39">
        <f>0.01*Input!$F$60*(E421*$E$418+F421*$F$418+G421*$G$418)+10*(B421*$B$418+C421*$C$418+D421*$D$418+H421*$H$418)</f>
        <v>2204194.6678831759</v>
      </c>
      <c r="K421" s="34">
        <f t="shared" ref="K421:K443" si="33">IF($I$418&lt;&gt;0,0.1*J421/$I$418,"")</f>
        <v>0.18056142333035616</v>
      </c>
      <c r="L421" s="43">
        <f t="shared" ref="L421:L443" si="34">IF($E$418&lt;&gt;0,J421/$E$418,"")</f>
        <v>1015.6595626624376</v>
      </c>
      <c r="M421" s="43">
        <f>IF($F$418&lt;&gt;0,J421/$F$418*100/Input!$F$60,"")</f>
        <v>0.92019885553406389</v>
      </c>
      <c r="N421" s="17"/>
    </row>
    <row r="422" spans="1:14">
      <c r="A422" s="4" t="s">
        <v>480</v>
      </c>
      <c r="B422" s="35">
        <f>Standing!$D$91</f>
        <v>0.44874965015238188</v>
      </c>
      <c r="C422" s="35">
        <f>Standing!$D$114</f>
        <v>5.1959409117129686E-2</v>
      </c>
      <c r="D422" s="35">
        <f>Standing!$D$128</f>
        <v>7.9047945764822627E-3</v>
      </c>
      <c r="E422" s="10"/>
      <c r="F422" s="45">
        <f>Standing!$D$37</f>
        <v>0</v>
      </c>
      <c r="G422" s="45">
        <f>Standing!$D$154</f>
        <v>0</v>
      </c>
      <c r="H422" s="35">
        <f>Reactive!$D$34</f>
        <v>7.8583976296932416E-3</v>
      </c>
      <c r="I422" s="34">
        <f t="shared" si="32"/>
        <v>7.1188563845728525E-2</v>
      </c>
      <c r="J422" s="39">
        <f>0.01*Input!$F$60*(E422*$E$418+F422*$F$418+G422*$G$418)+10*(B422*$B$418+C422*$C$418+D422*$D$418+H422*$H$418)</f>
        <v>869030.88128590002</v>
      </c>
      <c r="K422" s="34">
        <f t="shared" si="33"/>
        <v>7.1188563845728539E-2</v>
      </c>
      <c r="L422" s="43">
        <f t="shared" si="34"/>
        <v>400.4362852735884</v>
      </c>
      <c r="M422" s="43">
        <f>IF($F$418&lt;&gt;0,J422/$F$418*100/Input!$F$60,"")</f>
        <v>0.3627997263739991</v>
      </c>
      <c r="N422" s="17"/>
    </row>
    <row r="423" spans="1:14">
      <c r="A423" s="4" t="s">
        <v>481</v>
      </c>
      <c r="B423" s="35">
        <f>Standing!$E$91</f>
        <v>0.95561392676477563</v>
      </c>
      <c r="C423" s="35">
        <f>Standing!$E$114</f>
        <v>0.18488873850426404</v>
      </c>
      <c r="D423" s="35">
        <f>Standing!$E$128</f>
        <v>2.0548010037591252E-2</v>
      </c>
      <c r="E423" s="10"/>
      <c r="F423" s="45">
        <f>Standing!$E$37</f>
        <v>0</v>
      </c>
      <c r="G423" s="45">
        <f>Standing!$E$154</f>
        <v>0</v>
      </c>
      <c r="H423" s="35">
        <f>Reactive!$E$34</f>
        <v>1.984298531008262E-2</v>
      </c>
      <c r="I423" s="34">
        <f t="shared" si="32"/>
        <v>0.18204909582345188</v>
      </c>
      <c r="J423" s="39">
        <f>0.01*Input!$F$60*(E423*$E$418+F423*$F$418+G423*$G$418)+10*(B423*$B$418+C423*$C$418+D423*$D$418+H423*$H$418)</f>
        <v>2222355.356453063</v>
      </c>
      <c r="K423" s="34">
        <f t="shared" si="33"/>
        <v>0.18204909582345191</v>
      </c>
      <c r="L423" s="43">
        <f t="shared" si="34"/>
        <v>1024.0277332597534</v>
      </c>
      <c r="M423" s="43">
        <f>IF($F$418&lt;&gt;0,J423/$F$418*100/Input!$F$60,"")</f>
        <v>0.92778051112974214</v>
      </c>
      <c r="N423" s="17"/>
    </row>
    <row r="424" spans="1:14">
      <c r="A424" s="4" t="s">
        <v>482</v>
      </c>
      <c r="B424" s="35">
        <f>Standing!$F$91</f>
        <v>0.60280451116337863</v>
      </c>
      <c r="C424" s="35">
        <f>Standing!$F$114</f>
        <v>0.11662844430385794</v>
      </c>
      <c r="D424" s="35">
        <f>Standing!$F$128</f>
        <v>1.2961754532004967E-2</v>
      </c>
      <c r="E424" s="10"/>
      <c r="F424" s="45">
        <f>Standing!$F$37</f>
        <v>0</v>
      </c>
      <c r="G424" s="45">
        <f>Standing!$F$154</f>
        <v>0</v>
      </c>
      <c r="H424" s="35">
        <f>Reactive!$F$34</f>
        <v>1.3316468917217996E-2</v>
      </c>
      <c r="I424" s="34">
        <f t="shared" si="32"/>
        <v>0.11490080078373743</v>
      </c>
      <c r="J424" s="39">
        <f>0.01*Input!$F$60*(E424*$E$418+F424*$F$418+G424*$G$418)+10*(B424*$B$418+C424*$C$418+D424*$D$418+H424*$H$418)</f>
        <v>1402645.8573027994</v>
      </c>
      <c r="K424" s="34">
        <f t="shared" si="33"/>
        <v>0.11490080078373743</v>
      </c>
      <c r="L424" s="43">
        <f t="shared" si="34"/>
        <v>646.31799484688099</v>
      </c>
      <c r="M424" s="43">
        <f>IF($F$418&lt;&gt;0,J424/$F$418*100/Input!$F$60,"")</f>
        <v>0.58557128887766674</v>
      </c>
      <c r="N424" s="17"/>
    </row>
    <row r="425" spans="1:14">
      <c r="A425" s="4" t="s">
        <v>483</v>
      </c>
      <c r="B425" s="35">
        <f>Standing!$G$91</f>
        <v>0</v>
      </c>
      <c r="C425" s="35">
        <f>Standing!$G$114</f>
        <v>0</v>
      </c>
      <c r="D425" s="35">
        <f>Standing!$G$128</f>
        <v>0</v>
      </c>
      <c r="E425" s="10"/>
      <c r="F425" s="45">
        <f>Standing!$G$37</f>
        <v>0</v>
      </c>
      <c r="G425" s="45">
        <f>Standing!$G$154</f>
        <v>0</v>
      </c>
      <c r="H425" s="35">
        <f>Reactive!$G$34</f>
        <v>0</v>
      </c>
      <c r="I425" s="34">
        <f t="shared" si="32"/>
        <v>0</v>
      </c>
      <c r="J425" s="39">
        <f>0.01*Input!$F$60*(E425*$E$418+F425*$F$418+G425*$G$418)+10*(B425*$B$418+C425*$C$418+D425*$D$418+H425*$H$418)</f>
        <v>0</v>
      </c>
      <c r="K425" s="34">
        <f t="shared" si="33"/>
        <v>0</v>
      </c>
      <c r="L425" s="43">
        <f t="shared" si="34"/>
        <v>0</v>
      </c>
      <c r="M425" s="43">
        <f>IF($F$418&lt;&gt;0,J425/$F$418*100/Input!$F$60,"")</f>
        <v>0</v>
      </c>
      <c r="N425" s="17"/>
    </row>
    <row r="426" spans="1:14">
      <c r="A426" s="4" t="s">
        <v>484</v>
      </c>
      <c r="B426" s="35">
        <f>Standing!$H$91</f>
        <v>0</v>
      </c>
      <c r="C426" s="35">
        <f>Standing!$H$114</f>
        <v>0</v>
      </c>
      <c r="D426" s="35">
        <f>Standing!$H$128</f>
        <v>0</v>
      </c>
      <c r="E426" s="10"/>
      <c r="F426" s="45">
        <f>Standing!$H$37</f>
        <v>1.5402027075957141</v>
      </c>
      <c r="G426" s="45">
        <f>Standing!$H$154</f>
        <v>2.2002895822795918</v>
      </c>
      <c r="H426" s="35">
        <f>Reactive!$H$34</f>
        <v>0</v>
      </c>
      <c r="I426" s="34">
        <f t="shared" si="32"/>
        <v>0</v>
      </c>
      <c r="J426" s="39">
        <f>0.01*Input!$F$60*(E426*$E$418+F426*$F$418+G426*$G$418)+10*(B426*$B$418+C426*$C$418+D426*$D$418+H426*$H$418)</f>
        <v>3742022.9774072254</v>
      </c>
      <c r="K426" s="34">
        <f t="shared" si="33"/>
        <v>0.30653599011943378</v>
      </c>
      <c r="L426" s="43">
        <f t="shared" si="34"/>
        <v>1724.2675867445892</v>
      </c>
      <c r="M426" s="43">
        <f>IF($F$418&lt;&gt;0,J426/$F$418*100/Input!$F$60,"")</f>
        <v>1.5622056034185101</v>
      </c>
      <c r="N426" s="17"/>
    </row>
    <row r="427" spans="1:14">
      <c r="A427" s="4" t="s">
        <v>485</v>
      </c>
      <c r="B427" s="35">
        <f>Standing!$I$91</f>
        <v>0</v>
      </c>
      <c r="C427" s="35">
        <f>Standing!$I$114</f>
        <v>0</v>
      </c>
      <c r="D427" s="35">
        <f>Standing!$I$128</f>
        <v>0</v>
      </c>
      <c r="E427" s="10"/>
      <c r="F427" s="45">
        <f>Standing!$I$37</f>
        <v>5.9930634077545196E-2</v>
      </c>
      <c r="G427" s="45">
        <f>Standing!$I$154</f>
        <v>1.9976878025848381</v>
      </c>
      <c r="H427" s="35">
        <f>Reactive!$I$34</f>
        <v>0</v>
      </c>
      <c r="I427" s="34">
        <f t="shared" si="32"/>
        <v>0</v>
      </c>
      <c r="J427" s="39">
        <f>0.01*Input!$F$60*(E427*$E$418+F427*$F$418+G427*$G$418)+10*(B427*$B$418+C427*$C$418+D427*$D$418+H427*$H$418)</f>
        <v>191406.1412300794</v>
      </c>
      <c r="K427" s="34">
        <f t="shared" si="33"/>
        <v>1.5679452363372672E-2</v>
      </c>
      <c r="L427" s="43">
        <f t="shared" si="34"/>
        <v>88.197054699957533</v>
      </c>
      <c r="M427" s="43">
        <f>IF($F$418&lt;&gt;0,J427/$F$418*100/Input!$F$60,"")</f>
        <v>7.9907512103393571E-2</v>
      </c>
      <c r="N427" s="17"/>
    </row>
    <row r="428" spans="1:14">
      <c r="A428" s="4" t="s">
        <v>486</v>
      </c>
      <c r="B428" s="35">
        <f>Standing!$J$91</f>
        <v>0</v>
      </c>
      <c r="C428" s="35">
        <f>Standing!$J$114</f>
        <v>0</v>
      </c>
      <c r="D428" s="35">
        <f>Standing!$J$128</f>
        <v>0</v>
      </c>
      <c r="E428" s="10"/>
      <c r="F428" s="45">
        <f>Standing!$J$37</f>
        <v>0</v>
      </c>
      <c r="G428" s="45">
        <f>Standing!$J$154</f>
        <v>0</v>
      </c>
      <c r="H428" s="35">
        <f>Reactive!$J$34</f>
        <v>0</v>
      </c>
      <c r="I428" s="34">
        <f t="shared" si="32"/>
        <v>0</v>
      </c>
      <c r="J428" s="39">
        <f>0.01*Input!$F$60*(E428*$E$418+F428*$F$418+G428*$G$418)+10*(B428*$B$418+C428*$C$418+D428*$D$418+H428*$H$418)</f>
        <v>0</v>
      </c>
      <c r="K428" s="34">
        <f t="shared" si="33"/>
        <v>0</v>
      </c>
      <c r="L428" s="43">
        <f t="shared" si="34"/>
        <v>0</v>
      </c>
      <c r="M428" s="43">
        <f>IF($F$418&lt;&gt;0,J428/$F$418*100/Input!$F$60,"")</f>
        <v>0</v>
      </c>
      <c r="N428" s="17"/>
    </row>
    <row r="429" spans="1:14">
      <c r="A429" s="4" t="s">
        <v>1575</v>
      </c>
      <c r="B429" s="10"/>
      <c r="C429" s="10"/>
      <c r="D429" s="10"/>
      <c r="E429" s="45">
        <f>SM!$B$130</f>
        <v>0</v>
      </c>
      <c r="F429" s="10"/>
      <c r="G429" s="10"/>
      <c r="H429" s="10"/>
      <c r="I429" s="34">
        <f t="shared" si="32"/>
        <v>0</v>
      </c>
      <c r="J429" s="39">
        <f>0.01*Input!$F$60*(E429*$E$418+F429*$F$418+G429*$G$418)+10*(B429*$B$418+C429*$C$418+D429*$D$418+H429*$H$418)</f>
        <v>0</v>
      </c>
      <c r="K429" s="34">
        <f t="shared" si="33"/>
        <v>0</v>
      </c>
      <c r="L429" s="43">
        <f t="shared" si="34"/>
        <v>0</v>
      </c>
      <c r="M429" s="43">
        <f>IF($F$418&lt;&gt;0,J429/$F$418*100/Input!$F$60,"")</f>
        <v>0</v>
      </c>
      <c r="N429" s="17"/>
    </row>
    <row r="430" spans="1:14">
      <c r="A430" s="4" t="s">
        <v>1576</v>
      </c>
      <c r="B430" s="10"/>
      <c r="C430" s="10"/>
      <c r="D430" s="10"/>
      <c r="E430" s="45">
        <f>SM!$C$130</f>
        <v>0</v>
      </c>
      <c r="F430" s="10"/>
      <c r="G430" s="10"/>
      <c r="H430" s="10"/>
      <c r="I430" s="34">
        <f t="shared" si="32"/>
        <v>0</v>
      </c>
      <c r="J430" s="39">
        <f>0.01*Input!$F$60*(E430*$E$418+F430*$F$418+G430*$G$418)+10*(B430*$B$418+C430*$C$418+D430*$D$418+H430*$H$418)</f>
        <v>0</v>
      </c>
      <c r="K430" s="34">
        <f t="shared" si="33"/>
        <v>0</v>
      </c>
      <c r="L430" s="43">
        <f t="shared" si="34"/>
        <v>0</v>
      </c>
      <c r="M430" s="43">
        <f>IF($F$418&lt;&gt;0,J430/$F$418*100/Input!$F$60,"")</f>
        <v>0</v>
      </c>
      <c r="N430" s="17"/>
    </row>
    <row r="431" spans="1:14">
      <c r="A431" s="4" t="s">
        <v>1577</v>
      </c>
      <c r="B431" s="35">
        <f>Standing!$K$91</f>
        <v>0.82661626493794205</v>
      </c>
      <c r="C431" s="35">
        <f>Standing!$K$114</f>
        <v>3.3797607806435141E-2</v>
      </c>
      <c r="D431" s="35">
        <f>Standing!$K$128</f>
        <v>2.4060284146159732E-3</v>
      </c>
      <c r="E431" s="10"/>
      <c r="F431" s="45">
        <f>Standing!$K$37</f>
        <v>0</v>
      </c>
      <c r="G431" s="45">
        <f>Standing!$K$154</f>
        <v>0</v>
      </c>
      <c r="H431" s="35">
        <f>Reactive!$K$34</f>
        <v>1.5309139282214498E-2</v>
      </c>
      <c r="I431" s="34">
        <f t="shared" si="32"/>
        <v>0.10134560693934648</v>
      </c>
      <c r="J431" s="39">
        <f>0.01*Input!$F$60*(E431*$E$418+F431*$F$418+G431*$G$418)+10*(B431*$B$418+C431*$C$418+D431*$D$418+H431*$H$418)</f>
        <v>1237171.4971496679</v>
      </c>
      <c r="K431" s="34">
        <f t="shared" si="33"/>
        <v>0.10134560693934648</v>
      </c>
      <c r="L431" s="43">
        <f t="shared" si="34"/>
        <v>570.06991262718304</v>
      </c>
      <c r="M431" s="43">
        <f>IF($F$418&lt;&gt;0,J431/$F$418*100/Input!$F$60,"")</f>
        <v>0.51648967868605122</v>
      </c>
      <c r="N431" s="17"/>
    </row>
    <row r="432" spans="1:14">
      <c r="A432" s="4" t="s">
        <v>1578</v>
      </c>
      <c r="B432" s="35">
        <f>Standing!$L$91</f>
        <v>0.446827414276947</v>
      </c>
      <c r="C432" s="35">
        <f>Standing!$L$114</f>
        <v>5.1736839048857924E-2</v>
      </c>
      <c r="D432" s="35">
        <f>Standing!$L$128</f>
        <v>7.8709340938775459E-3</v>
      </c>
      <c r="E432" s="10"/>
      <c r="F432" s="45">
        <f>Standing!$L$37</f>
        <v>0</v>
      </c>
      <c r="G432" s="45">
        <f>Standing!$L$154</f>
        <v>0</v>
      </c>
      <c r="H432" s="35">
        <f>Reactive!$L$34</f>
        <v>1.0746389303569989E-2</v>
      </c>
      <c r="I432" s="34">
        <f t="shared" si="32"/>
        <v>7.1116103790742E-2</v>
      </c>
      <c r="J432" s="39">
        <f>0.01*Input!$F$60*(E432*$E$418+F432*$F$418+G432*$G$418)+10*(B432*$B$418+C432*$C$418+D432*$D$418+H432*$H$418)</f>
        <v>868146.32873923762</v>
      </c>
      <c r="K432" s="34">
        <f t="shared" si="33"/>
        <v>7.1116103790742E-2</v>
      </c>
      <c r="L432" s="43">
        <f t="shared" si="34"/>
        <v>400.0286968396876</v>
      </c>
      <c r="M432" s="43">
        <f>IF($F$418&lt;&gt;0,J432/$F$418*100/Input!$F$60,"")</f>
        <v>0.36243044672145375</v>
      </c>
      <c r="N432" s="17"/>
    </row>
    <row r="433" spans="1:14">
      <c r="A433" s="4" t="s">
        <v>1579</v>
      </c>
      <c r="B433" s="35">
        <f>Standing!$M$91</f>
        <v>0.17674498853449533</v>
      </c>
      <c r="C433" s="35">
        <f>Standing!$M$114</f>
        <v>2.046478513252941E-2</v>
      </c>
      <c r="D433" s="35">
        <f>Standing!$M$128</f>
        <v>3.11339034206149E-3</v>
      </c>
      <c r="E433" s="10"/>
      <c r="F433" s="45">
        <f>Standing!$M$37</f>
        <v>0</v>
      </c>
      <c r="G433" s="45">
        <f>Standing!$M$154</f>
        <v>0</v>
      </c>
      <c r="H433" s="35">
        <f>Reactive!$M$34</f>
        <v>3.095116393935901E-3</v>
      </c>
      <c r="I433" s="34">
        <f t="shared" si="32"/>
        <v>2.8038399353465648E-2</v>
      </c>
      <c r="J433" s="39">
        <f>0.01*Input!$F$60*(E433*$E$418+F433*$F$418+G433*$G$418)+10*(B433*$B$418+C433*$C$418+D433*$D$418+H433*$H$418)</f>
        <v>342277.37692239293</v>
      </c>
      <c r="K433" s="34">
        <f t="shared" si="33"/>
        <v>2.8038399353465648E-2</v>
      </c>
      <c r="L433" s="43">
        <f t="shared" si="34"/>
        <v>157.7162380526496</v>
      </c>
      <c r="M433" s="43">
        <f>IF($F$418&lt;&gt;0,J433/$F$418*100/Input!$F$60,"")</f>
        <v>0.14289266511186421</v>
      </c>
      <c r="N433" s="17"/>
    </row>
    <row r="434" spans="1:14">
      <c r="A434" s="4" t="s">
        <v>1580</v>
      </c>
      <c r="B434" s="35">
        <f>Standing!$N$91</f>
        <v>0.37637906229473594</v>
      </c>
      <c r="C434" s="35">
        <f>Standing!$N$114</f>
        <v>7.2820464497291362E-2</v>
      </c>
      <c r="D434" s="35">
        <f>Standing!$N$128</f>
        <v>8.0930598993615363E-3</v>
      </c>
      <c r="E434" s="10"/>
      <c r="F434" s="45">
        <f>Standing!$N$37</f>
        <v>0</v>
      </c>
      <c r="G434" s="45">
        <f>Standing!$N$154</f>
        <v>0</v>
      </c>
      <c r="H434" s="35">
        <f>Reactive!$N$34</f>
        <v>7.8153781511134095E-3</v>
      </c>
      <c r="I434" s="34">
        <f t="shared" si="32"/>
        <v>7.1702039975084439E-2</v>
      </c>
      <c r="J434" s="39">
        <f>0.01*Input!$F$60*(E434*$E$418+F434*$F$418+G434*$G$418)+10*(B434*$B$418+C434*$C$418+D434*$D$418+H434*$H$418)</f>
        <v>875299.11580430449</v>
      </c>
      <c r="K434" s="34">
        <f t="shared" si="33"/>
        <v>7.1702039975084453E-2</v>
      </c>
      <c r="L434" s="43">
        <f t="shared" si="34"/>
        <v>403.32459292735035</v>
      </c>
      <c r="M434" s="43">
        <f>IF($F$418&lt;&gt;0,J434/$F$418*100/Input!$F$60,"")</f>
        <v>0.36541656521954191</v>
      </c>
      <c r="N434" s="17"/>
    </row>
    <row r="435" spans="1:14">
      <c r="A435" s="4" t="s">
        <v>1581</v>
      </c>
      <c r="B435" s="35">
        <f>Standing!$O$91</f>
        <v>0.23742119103142414</v>
      </c>
      <c r="C435" s="35">
        <f>Standing!$O$114</f>
        <v>4.5935396371410371E-2</v>
      </c>
      <c r="D435" s="35">
        <f>Standing!$O$128</f>
        <v>5.1051296761306245E-3</v>
      </c>
      <c r="E435" s="10"/>
      <c r="F435" s="45">
        <f>Standing!$O$37</f>
        <v>0</v>
      </c>
      <c r="G435" s="45">
        <f>Standing!$O$154</f>
        <v>0</v>
      </c>
      <c r="H435" s="35">
        <f>Reactive!$O$34</f>
        <v>5.244837840641078E-3</v>
      </c>
      <c r="I435" s="34">
        <f t="shared" si="32"/>
        <v>4.5254944957015493E-2</v>
      </c>
      <c r="J435" s="39">
        <f>0.01*Input!$F$60*(E435*$E$418+F435*$F$418+G435*$G$418)+10*(B435*$B$418+C435*$C$418+D435*$D$418+H435*$H$418)</f>
        <v>552447.50805434084</v>
      </c>
      <c r="K435" s="34">
        <f t="shared" si="33"/>
        <v>4.52549449570155E-2</v>
      </c>
      <c r="L435" s="43">
        <f t="shared" si="34"/>
        <v>254.55945547825993</v>
      </c>
      <c r="M435" s="43">
        <f>IF($F$418&lt;&gt;0,J435/$F$418*100/Input!$F$60,"")</f>
        <v>0.23063369676983247</v>
      </c>
      <c r="N435" s="17"/>
    </row>
    <row r="436" spans="1:14">
      <c r="A436" s="4" t="s">
        <v>1582</v>
      </c>
      <c r="B436" s="35">
        <f>Standing!$P$91</f>
        <v>0</v>
      </c>
      <c r="C436" s="35">
        <f>Standing!$P$114</f>
        <v>0</v>
      </c>
      <c r="D436" s="35">
        <f>Standing!$P$128</f>
        <v>0</v>
      </c>
      <c r="E436" s="10"/>
      <c r="F436" s="45">
        <f>Standing!$P$37</f>
        <v>0</v>
      </c>
      <c r="G436" s="45">
        <f>Standing!$P$154</f>
        <v>0</v>
      </c>
      <c r="H436" s="35">
        <f>Reactive!$P$34</f>
        <v>0</v>
      </c>
      <c r="I436" s="34">
        <f t="shared" si="32"/>
        <v>0</v>
      </c>
      <c r="J436" s="39">
        <f>0.01*Input!$F$60*(E436*$E$418+F436*$F$418+G436*$G$418)+10*(B436*$B$418+C436*$C$418+D436*$D$418+H436*$H$418)</f>
        <v>0</v>
      </c>
      <c r="K436" s="34">
        <f t="shared" si="33"/>
        <v>0</v>
      </c>
      <c r="L436" s="43">
        <f t="shared" si="34"/>
        <v>0</v>
      </c>
      <c r="M436" s="43">
        <f>IF($F$418&lt;&gt;0,J436/$F$418*100/Input!$F$60,"")</f>
        <v>0</v>
      </c>
      <c r="N436" s="17"/>
    </row>
    <row r="437" spans="1:14">
      <c r="A437" s="4" t="s">
        <v>1583</v>
      </c>
      <c r="B437" s="35">
        <f>Standing!$Q$91</f>
        <v>0</v>
      </c>
      <c r="C437" s="35">
        <f>Standing!$Q$114</f>
        <v>0</v>
      </c>
      <c r="D437" s="35">
        <f>Standing!$Q$128</f>
        <v>0</v>
      </c>
      <c r="E437" s="10"/>
      <c r="F437" s="45">
        <f>Standing!$Q$37</f>
        <v>0.86660826779590916</v>
      </c>
      <c r="G437" s="45">
        <f>Standing!$Q$154</f>
        <v>0.86660826779590916</v>
      </c>
      <c r="H437" s="35">
        <f>Reactive!$Q$34</f>
        <v>0</v>
      </c>
      <c r="I437" s="34">
        <f t="shared" si="32"/>
        <v>0</v>
      </c>
      <c r="J437" s="39">
        <f>0.01*Input!$F$60*(E437*$E$418+F437*$F$418+G437*$G$418)+10*(B437*$B$418+C437*$C$418+D437*$D$418+H437*$H$418)</f>
        <v>2096584.9334051826</v>
      </c>
      <c r="K437" s="34">
        <f t="shared" si="33"/>
        <v>0.1717463367571688</v>
      </c>
      <c r="L437" s="43">
        <f t="shared" si="34"/>
        <v>966.07462470271446</v>
      </c>
      <c r="M437" s="43">
        <f>IF($F$418&lt;&gt;0,J437/$F$418*100/Input!$F$60,"")</f>
        <v>0.87527435047386826</v>
      </c>
      <c r="N437" s="17"/>
    </row>
    <row r="438" spans="1:14">
      <c r="A438" s="4" t="s">
        <v>1584</v>
      </c>
      <c r="B438" s="35">
        <f>Standing!$R$91</f>
        <v>0</v>
      </c>
      <c r="C438" s="35">
        <f>Standing!$R$114</f>
        <v>0</v>
      </c>
      <c r="D438" s="35">
        <f>Standing!$R$128</f>
        <v>0</v>
      </c>
      <c r="E438" s="10"/>
      <c r="F438" s="45">
        <f>Standing!$R$37</f>
        <v>0.78681132708061718</v>
      </c>
      <c r="G438" s="45">
        <f>Standing!$R$154</f>
        <v>0.78681132708061718</v>
      </c>
      <c r="H438" s="35">
        <f>Reactive!$R$34</f>
        <v>0</v>
      </c>
      <c r="I438" s="34">
        <f t="shared" si="32"/>
        <v>0</v>
      </c>
      <c r="J438" s="39">
        <f>0.01*Input!$F$60*(E438*$E$418+F438*$F$418+G438*$G$418)+10*(B438*$B$418+C438*$C$418+D438*$D$418+H438*$H$418)</f>
        <v>1903532.2360647644</v>
      </c>
      <c r="K438" s="34">
        <f t="shared" si="33"/>
        <v>0.15593200315158642</v>
      </c>
      <c r="L438" s="43">
        <f t="shared" si="34"/>
        <v>877.11886185265882</v>
      </c>
      <c r="M438" s="43">
        <f>IF($F$418&lt;&gt;0,J438/$F$418*100/Input!$F$60,"")</f>
        <v>0.79467944035142324</v>
      </c>
      <c r="N438" s="17"/>
    </row>
    <row r="439" spans="1:14">
      <c r="A439" s="4" t="s">
        <v>1585</v>
      </c>
      <c r="B439" s="35">
        <f>Standing!$S$91</f>
        <v>0</v>
      </c>
      <c r="C439" s="35">
        <f>Standing!$S$114</f>
        <v>0</v>
      </c>
      <c r="D439" s="35">
        <f>Standing!$S$128</f>
        <v>0</v>
      </c>
      <c r="E439" s="10"/>
      <c r="F439" s="45">
        <f>Standing!$S$37</f>
        <v>0</v>
      </c>
      <c r="G439" s="45">
        <f>Standing!$S$154</f>
        <v>0</v>
      </c>
      <c r="H439" s="35">
        <f>Reactive!$S$34</f>
        <v>0</v>
      </c>
      <c r="I439" s="34">
        <f t="shared" si="32"/>
        <v>0</v>
      </c>
      <c r="J439" s="39">
        <f>0.01*Input!$F$60*(E439*$E$418+F439*$F$418+G439*$G$418)+10*(B439*$B$418+C439*$C$418+D439*$D$418+H439*$H$418)</f>
        <v>0</v>
      </c>
      <c r="K439" s="34">
        <f t="shared" si="33"/>
        <v>0</v>
      </c>
      <c r="L439" s="43">
        <f t="shared" si="34"/>
        <v>0</v>
      </c>
      <c r="M439" s="43">
        <f>IF($F$418&lt;&gt;0,J439/$F$418*100/Input!$F$60,"")</f>
        <v>0</v>
      </c>
      <c r="N439" s="17"/>
    </row>
    <row r="440" spans="1:14">
      <c r="A440" s="4" t="s">
        <v>1586</v>
      </c>
      <c r="B440" s="10"/>
      <c r="C440" s="10"/>
      <c r="D440" s="10"/>
      <c r="E440" s="45">
        <f>Otex!$B$133</f>
        <v>45.106413068356694</v>
      </c>
      <c r="F440" s="10"/>
      <c r="G440" s="10"/>
      <c r="H440" s="10"/>
      <c r="I440" s="34">
        <f t="shared" si="32"/>
        <v>0</v>
      </c>
      <c r="J440" s="39">
        <f>0.01*Input!$F$60*(E440*$E$418+F440*$F$418+G440*$G$418)+10*(B440*$B$418+C440*$C$418+D440*$D$418+H440*$H$418)</f>
        <v>358278.84353084769</v>
      </c>
      <c r="K440" s="34">
        <f t="shared" si="33"/>
        <v>2.9349194460764626E-2</v>
      </c>
      <c r="L440" s="43">
        <f t="shared" si="34"/>
        <v>165.08947183018549</v>
      </c>
      <c r="M440" s="43">
        <f>IF($F$418&lt;&gt;0,J440/$F$418*100/Input!$F$60,"")</f>
        <v>0.14957289688744846</v>
      </c>
      <c r="N440" s="17"/>
    </row>
    <row r="441" spans="1:14">
      <c r="A441" s="4" t="s">
        <v>1587</v>
      </c>
      <c r="B441" s="10"/>
      <c r="C441" s="10"/>
      <c r="D441" s="10"/>
      <c r="E441" s="45">
        <f>Otex!$C$133</f>
        <v>0</v>
      </c>
      <c r="F441" s="10"/>
      <c r="G441" s="10"/>
      <c r="H441" s="10"/>
      <c r="I441" s="34">
        <f t="shared" si="32"/>
        <v>0</v>
      </c>
      <c r="J441" s="39">
        <f>0.01*Input!$F$60*(E441*$E$418+F441*$F$418+G441*$G$418)+10*(B441*$B$418+C441*$C$418+D441*$D$418+H441*$H$418)</f>
        <v>0</v>
      </c>
      <c r="K441" s="34">
        <f t="shared" si="33"/>
        <v>0</v>
      </c>
      <c r="L441" s="43">
        <f t="shared" si="34"/>
        <v>0</v>
      </c>
      <c r="M441" s="43">
        <f>IF($F$418&lt;&gt;0,J441/$F$418*100/Input!$F$60,"")</f>
        <v>0</v>
      </c>
      <c r="N441" s="17"/>
    </row>
    <row r="442" spans="1:14">
      <c r="A442" s="4" t="s">
        <v>1588</v>
      </c>
      <c r="B442" s="35">
        <f>Adder!$B$277</f>
        <v>0.57451230457623836</v>
      </c>
      <c r="C442" s="35">
        <f>Adder!$C$277</f>
        <v>0.57451230457623836</v>
      </c>
      <c r="D442" s="35">
        <f>Adder!$D$277</f>
        <v>0.57451230457623836</v>
      </c>
      <c r="E442" s="10"/>
      <c r="F442" s="10"/>
      <c r="G442" s="10"/>
      <c r="H442" s="10"/>
      <c r="I442" s="34">
        <f t="shared" si="32"/>
        <v>0.57451230457623836</v>
      </c>
      <c r="J442" s="39">
        <f>0.01*Input!$F$60*(E442*$E$418+F442*$F$418+G442*$G$418)+10*(B442*$B$418+C442*$C$418+D442*$D$418+H442*$H$418)</f>
        <v>7013330.616381567</v>
      </c>
      <c r="K442" s="34">
        <f t="shared" si="33"/>
        <v>0.57451230457623848</v>
      </c>
      <c r="L442" s="43">
        <f t="shared" si="34"/>
        <v>3231.6366655046818</v>
      </c>
      <c r="M442" s="43">
        <f>IF($F$418&lt;&gt;0,J442/$F$418*100/Input!$F$60,"")</f>
        <v>2.9278987471983022</v>
      </c>
      <c r="N442" s="17"/>
    </row>
    <row r="443" spans="1:14">
      <c r="A443" s="4" t="s">
        <v>1589</v>
      </c>
      <c r="B443" s="35">
        <f>Adjust!$B$90</f>
        <v>-1.4926418443028666E-4</v>
      </c>
      <c r="C443" s="35">
        <f>Adjust!$C$90</f>
        <v>-1.0210375588770582E-4</v>
      </c>
      <c r="D443" s="35">
        <f>Adjust!$D$90</f>
        <v>-4.9944615021468852E-4</v>
      </c>
      <c r="E443" s="45">
        <f>Adjust!$E$90</f>
        <v>3.5869316433050358E-3</v>
      </c>
      <c r="F443" s="45">
        <f>Adjust!$F$90</f>
        <v>-3.5529365497852794E-3</v>
      </c>
      <c r="G443" s="45">
        <f>Adjust!$G$90</f>
        <v>-1.3969797409565388E-3</v>
      </c>
      <c r="H443" s="35">
        <f>Adjust!$H$90</f>
        <v>4.8656198433233433E-4</v>
      </c>
      <c r="I443" s="34">
        <f t="shared" si="32"/>
        <v>-2.7286845797606251E-4</v>
      </c>
      <c r="J443" s="39">
        <f>0.01*Input!$F$60*(E443*$E$418+F443*$F$418+G443*$G$418)+10*(B443*$B$418+C443*$C$418+D443*$D$418+H443*$H$418)</f>
        <v>-11846.512281518115</v>
      </c>
      <c r="K443" s="34">
        <f t="shared" si="33"/>
        <v>-9.7043294325073893E-4</v>
      </c>
      <c r="L443" s="43">
        <f t="shared" si="34"/>
        <v>-5.4586936708621012</v>
      </c>
      <c r="M443" s="43">
        <f>IF($F$418&lt;&gt;0,J443/$F$418*100/Input!$F$60,"")</f>
        <v>-4.9456371537239252E-3</v>
      </c>
      <c r="N443" s="17"/>
    </row>
    <row r="445" spans="1:14">
      <c r="A445" s="4" t="s">
        <v>1590</v>
      </c>
      <c r="B445" s="34">
        <f>SUM($B$421:$B$443)</f>
        <v>5.78</v>
      </c>
      <c r="C445" s="34">
        <f>SUM($C$421:$C$443)</f>
        <v>1.284</v>
      </c>
      <c r="D445" s="34">
        <f>SUM($D$421:$D$443)</f>
        <v>0.66200000000000003</v>
      </c>
      <c r="E445" s="43">
        <f>SUM($E$421:$E$443)</f>
        <v>45.11</v>
      </c>
      <c r="F445" s="43">
        <f>SUM($F$421:$F$443)</f>
        <v>3.25</v>
      </c>
      <c r="G445" s="43">
        <f>SUM($G$421:$G$443)</f>
        <v>5.85</v>
      </c>
      <c r="H445" s="34">
        <f>SUM($H$421:$H$443)</f>
        <v>0.111</v>
      </c>
      <c r="I445" s="34">
        <f>SUM(I$421:I$443)</f>
        <v>1.4403964149171902</v>
      </c>
      <c r="J445" s="39">
        <f>SUM($J$421:$J$443)</f>
        <v>25866877.825333033</v>
      </c>
      <c r="K445" s="34">
        <f>SUM($K$421:$K$443)</f>
        <v>2.1189418272842424</v>
      </c>
      <c r="L445" s="43">
        <f>SUM($L$421:$L$443)</f>
        <v>11919.066043631718</v>
      </c>
      <c r="M445" s="43">
        <f>SUM($M$421:$M$443)</f>
        <v>10.798806347703437</v>
      </c>
    </row>
    <row r="447" spans="1:14" ht="21" customHeight="1">
      <c r="A447" s="1" t="s">
        <v>206</v>
      </c>
    </row>
    <row r="449" spans="1:14" ht="30">
      <c r="B449" s="15" t="s">
        <v>237</v>
      </c>
      <c r="C449" s="15" t="s">
        <v>238</v>
      </c>
      <c r="D449" s="15" t="s">
        <v>239</v>
      </c>
      <c r="E449" s="15" t="s">
        <v>240</v>
      </c>
      <c r="F449" s="15" t="s">
        <v>241</v>
      </c>
      <c r="G449" s="15" t="s">
        <v>242</v>
      </c>
      <c r="H449" s="15" t="s">
        <v>243</v>
      </c>
      <c r="I449" s="15" t="s">
        <v>1571</v>
      </c>
      <c r="J449" s="15" t="s">
        <v>1572</v>
      </c>
    </row>
    <row r="450" spans="1:14">
      <c r="A450" s="4" t="s">
        <v>206</v>
      </c>
      <c r="B450" s="41">
        <f>Loads!B$347</f>
        <v>459708.90735710494</v>
      </c>
      <c r="C450" s="41">
        <f>Loads!C$347</f>
        <v>1572220.6520611718</v>
      </c>
      <c r="D450" s="41">
        <f>Loads!D$347</f>
        <v>2589377.4736740165</v>
      </c>
      <c r="E450" s="41">
        <f>Loads!E$347</f>
        <v>2243.2710370693644</v>
      </c>
      <c r="F450" s="41">
        <f>Loads!F$347</f>
        <v>1830319.3684879716</v>
      </c>
      <c r="G450" s="41">
        <f>Loads!G$347</f>
        <v>18303.19368487972</v>
      </c>
      <c r="H450" s="41">
        <f>Loads!H$347</f>
        <v>366118.34657921462</v>
      </c>
      <c r="I450" s="41">
        <f>Multi!B$141</f>
        <v>4621307.0330922939</v>
      </c>
      <c r="J450" s="34">
        <f>IF(E450,I450/E450,"")</f>
        <v>2060.0752012247362</v>
      </c>
      <c r="K450" s="17"/>
    </row>
    <row r="452" spans="1:14" ht="30">
      <c r="B452" s="15" t="s">
        <v>1379</v>
      </c>
      <c r="C452" s="15" t="s">
        <v>1380</v>
      </c>
      <c r="D452" s="15" t="s">
        <v>1381</v>
      </c>
      <c r="E452" s="15" t="s">
        <v>1382</v>
      </c>
      <c r="F452" s="15" t="s">
        <v>1383</v>
      </c>
      <c r="G452" s="15" t="s">
        <v>1384</v>
      </c>
      <c r="H452" s="15" t="s">
        <v>1136</v>
      </c>
      <c r="I452" s="15" t="s">
        <v>1591</v>
      </c>
      <c r="J452" s="15" t="s">
        <v>1573</v>
      </c>
      <c r="K452" s="15" t="s">
        <v>1540</v>
      </c>
      <c r="L452" s="15" t="s">
        <v>1574</v>
      </c>
      <c r="M452" s="15" t="s">
        <v>1592</v>
      </c>
    </row>
    <row r="453" spans="1:14">
      <c r="A453" s="4" t="s">
        <v>479</v>
      </c>
      <c r="B453" s="35">
        <f>Standing!$C$92</f>
        <v>1.0156326887359912</v>
      </c>
      <c r="C453" s="35">
        <f>Standing!$C$115</f>
        <v>0.11759713766650093</v>
      </c>
      <c r="D453" s="35">
        <f>Standing!$C$129</f>
        <v>1.7890527083179154E-2</v>
      </c>
      <c r="E453" s="10"/>
      <c r="F453" s="45">
        <f>Standing!$C$38</f>
        <v>0</v>
      </c>
      <c r="G453" s="45">
        <f>Standing!$C$155</f>
        <v>0</v>
      </c>
      <c r="H453" s="35">
        <f>Reactive!$C$35</f>
        <v>2.335284222962326E-2</v>
      </c>
      <c r="I453" s="34">
        <f t="shared" ref="I453:I475" si="35">IF(I$450&lt;&gt;0,(($B453*B$450+$C453*C$450+$D453*D$450+$H453*H$450))/I$450,0)</f>
        <v>0.15291329245679999</v>
      </c>
      <c r="J453" s="39">
        <f>0.01*Input!$F$60*(E453*$E$450+F453*$F$450+G453*$G$450)+10*(B453*$B$450+C453*$C$450+D453*$D$450+H453*$H$450)</f>
        <v>7066592.7388390861</v>
      </c>
      <c r="K453" s="34">
        <f t="shared" ref="K453:K475" si="36">IF($I$450&lt;&gt;0,0.1*J453/$I$450,"")</f>
        <v>0.15291329245679999</v>
      </c>
      <c r="L453" s="43">
        <f t="shared" ref="L453:L475" si="37">IF($E$450&lt;&gt;0,J453/$E$450,"")</f>
        <v>3150.1288172787922</v>
      </c>
      <c r="M453" s="43">
        <f>IF($F$450&lt;&gt;0,J453/$F$450*100/Input!$F$60,"")</f>
        <v>1.0548776768907071</v>
      </c>
      <c r="N453" s="17"/>
    </row>
    <row r="454" spans="1:14">
      <c r="A454" s="4" t="s">
        <v>480</v>
      </c>
      <c r="B454" s="35">
        <f>Standing!$D$92</f>
        <v>0.4017389761467075</v>
      </c>
      <c r="C454" s="35">
        <f>Standing!$D$115</f>
        <v>4.6516180709701628E-2</v>
      </c>
      <c r="D454" s="35">
        <f>Standing!$D$129</f>
        <v>7.0766942742521797E-3</v>
      </c>
      <c r="E454" s="10"/>
      <c r="F454" s="45">
        <f>Standing!$D$38</f>
        <v>0</v>
      </c>
      <c r="G454" s="45">
        <f>Standing!$D$155</f>
        <v>0</v>
      </c>
      <c r="H454" s="35">
        <f>Reactive!$D$35</f>
        <v>6.7259581602812334E-3</v>
      </c>
      <c r="I454" s="34">
        <f t="shared" si="35"/>
        <v>6.0286713945117976E-2</v>
      </c>
      <c r="J454" s="39">
        <f>0.01*Input!$F$60*(E454*$E$450+F454*$F$450+G454*$G$450)+10*(B454*$B$450+C454*$C$450+D454*$D$450+H454*$H$450)</f>
        <v>2786034.1515659699</v>
      </c>
      <c r="K454" s="34">
        <f t="shared" si="36"/>
        <v>6.0286713945117976E-2</v>
      </c>
      <c r="L454" s="43">
        <f t="shared" si="37"/>
        <v>1241.9516436166705</v>
      </c>
      <c r="M454" s="43">
        <f>IF($F$450&lt;&gt;0,J454/$F$450*100/Input!$F$60,"")</f>
        <v>0.41588999708293573</v>
      </c>
      <c r="N454" s="17"/>
    </row>
    <row r="455" spans="1:14">
      <c r="A455" s="4" t="s">
        <v>481</v>
      </c>
      <c r="B455" s="35">
        <f>Standing!$E$92</f>
        <v>0.68440362754538464</v>
      </c>
      <c r="C455" s="35">
        <f>Standing!$E$115</f>
        <v>0.13241594725707237</v>
      </c>
      <c r="D455" s="35">
        <f>Standing!$E$129</f>
        <v>1.4716332835559518E-2</v>
      </c>
      <c r="E455" s="10"/>
      <c r="F455" s="45">
        <f>Standing!$E$38</f>
        <v>0.46983433569050798</v>
      </c>
      <c r="G455" s="45">
        <f>Standing!$E$155</f>
        <v>0.46983433569050798</v>
      </c>
      <c r="H455" s="35">
        <f>Reactive!$E$35</f>
        <v>1.3586799269753995E-2</v>
      </c>
      <c r="I455" s="34">
        <f t="shared" si="35"/>
        <v>0.12245324621824825</v>
      </c>
      <c r="J455" s="39">
        <f>0.01*Input!$F$60*(E455*$E$450+F455*$F$450+G455*$G$450)+10*(B455*$B$450+C455*$C$450+D455*$D$450+H455*$H$450)</f>
        <v>8837820.1333276667</v>
      </c>
      <c r="K455" s="34">
        <f t="shared" si="36"/>
        <v>0.19124070463273118</v>
      </c>
      <c r="L455" s="43">
        <f t="shared" si="37"/>
        <v>3939.7023307863406</v>
      </c>
      <c r="M455" s="43">
        <f>IF($F$450&lt;&gt;0,J455/$F$450*100/Input!$F$60,"")</f>
        <v>1.3192806654588924</v>
      </c>
      <c r="N455" s="17"/>
    </row>
    <row r="456" spans="1:14">
      <c r="A456" s="4" t="s">
        <v>482</v>
      </c>
      <c r="B456" s="35">
        <f>Standing!$F$92</f>
        <v>0</v>
      </c>
      <c r="C456" s="35">
        <f>Standing!$F$115</f>
        <v>0</v>
      </c>
      <c r="D456" s="35">
        <f>Standing!$F$129</f>
        <v>0</v>
      </c>
      <c r="E456" s="10"/>
      <c r="F456" s="45">
        <f>Standing!$F$38</f>
        <v>0.63720215414494819</v>
      </c>
      <c r="G456" s="45">
        <f>Standing!$F$155</f>
        <v>1.4818654747556934</v>
      </c>
      <c r="H456" s="35">
        <f>Reactive!$F$35</f>
        <v>0</v>
      </c>
      <c r="I456" s="34">
        <f t="shared" si="35"/>
        <v>0</v>
      </c>
      <c r="J456" s="39">
        <f>0.01*Input!$F$60*(E456*$E$450+F456*$F$450+G456*$G$450)+10*(B456*$B$450+C456*$C$450+D456*$D$450+H456*$H$450)</f>
        <v>4367867.1135337157</v>
      </c>
      <c r="K456" s="34">
        <f t="shared" si="36"/>
        <v>9.451583896625472E-2</v>
      </c>
      <c r="L456" s="43">
        <f t="shared" si="37"/>
        <v>1947.0973597733196</v>
      </c>
      <c r="M456" s="43">
        <f>IF($F$450&lt;&gt;0,J456/$F$450*100/Input!$F$60,"")</f>
        <v>0.65202080889250513</v>
      </c>
      <c r="N456" s="17"/>
    </row>
    <row r="457" spans="1:14">
      <c r="A457" s="4" t="s">
        <v>483</v>
      </c>
      <c r="B457" s="35">
        <f>Standing!$G$92</f>
        <v>0</v>
      </c>
      <c r="C457" s="35">
        <f>Standing!$G$115</f>
        <v>0</v>
      </c>
      <c r="D457" s="35">
        <f>Standing!$G$129</f>
        <v>0</v>
      </c>
      <c r="E457" s="10"/>
      <c r="F457" s="45">
        <f>Standing!$G$38</f>
        <v>0</v>
      </c>
      <c r="G457" s="45">
        <f>Standing!$G$155</f>
        <v>0</v>
      </c>
      <c r="H457" s="35">
        <f>Reactive!$G$35</f>
        <v>0</v>
      </c>
      <c r="I457" s="34">
        <f t="shared" si="35"/>
        <v>0</v>
      </c>
      <c r="J457" s="39">
        <f>0.01*Input!$F$60*(E457*$E$450+F457*$F$450+G457*$G$450)+10*(B457*$B$450+C457*$C$450+D457*$D$450+H457*$H$450)</f>
        <v>0</v>
      </c>
      <c r="K457" s="34">
        <f t="shared" si="36"/>
        <v>0</v>
      </c>
      <c r="L457" s="43">
        <f t="shared" si="37"/>
        <v>0</v>
      </c>
      <c r="M457" s="43">
        <f>IF($F$450&lt;&gt;0,J457/$F$450*100/Input!$F$60,"")</f>
        <v>0</v>
      </c>
      <c r="N457" s="17"/>
    </row>
    <row r="458" spans="1:14">
      <c r="A458" s="4" t="s">
        <v>484</v>
      </c>
      <c r="B458" s="35">
        <f>Standing!$H$92</f>
        <v>0</v>
      </c>
      <c r="C458" s="35">
        <f>Standing!$H$115</f>
        <v>0</v>
      </c>
      <c r="D458" s="35">
        <f>Standing!$H$129</f>
        <v>0</v>
      </c>
      <c r="E458" s="10"/>
      <c r="F458" s="45">
        <f>Standing!$H$38</f>
        <v>0.19542096706907566</v>
      </c>
      <c r="G458" s="45">
        <f>Standing!$H$155</f>
        <v>2.1713440785452858</v>
      </c>
      <c r="H458" s="35">
        <f>Reactive!$H$35</f>
        <v>0</v>
      </c>
      <c r="I458" s="34">
        <f t="shared" si="35"/>
        <v>0</v>
      </c>
      <c r="J458" s="39">
        <f>0.01*Input!$F$60*(E458*$E$450+F458*$F$450+G458*$G$450)+10*(B458*$B$450+C458*$C$450+D458*$D$450+H458*$H$450)</f>
        <v>1454576.6428763957</v>
      </c>
      <c r="K458" s="34">
        <f t="shared" si="36"/>
        <v>3.1475438278834346E-2</v>
      </c>
      <c r="L458" s="43">
        <f t="shared" si="37"/>
        <v>648.41769845906435</v>
      </c>
      <c r="M458" s="43">
        <f>IF($F$450&lt;&gt;0,J458/$F$450*100/Input!$F$60,"")</f>
        <v>0.21713440785452853</v>
      </c>
      <c r="N458" s="17"/>
    </row>
    <row r="459" spans="1:14">
      <c r="A459" s="4" t="s">
        <v>485</v>
      </c>
      <c r="B459" s="35">
        <f>Standing!$I$92</f>
        <v>0</v>
      </c>
      <c r="C459" s="35">
        <f>Standing!$I$115</f>
        <v>0</v>
      </c>
      <c r="D459" s="35">
        <f>Standing!$I$129</f>
        <v>0</v>
      </c>
      <c r="E459" s="10"/>
      <c r="F459" s="45">
        <f>Standing!$I$38</f>
        <v>0</v>
      </c>
      <c r="G459" s="45">
        <f>Standing!$I$155</f>
        <v>0</v>
      </c>
      <c r="H459" s="35">
        <f>Reactive!$I$35</f>
        <v>0</v>
      </c>
      <c r="I459" s="34">
        <f t="shared" si="35"/>
        <v>0</v>
      </c>
      <c r="J459" s="39">
        <f>0.01*Input!$F$60*(E459*$E$450+F459*$F$450+G459*$G$450)+10*(B459*$B$450+C459*$C$450+D459*$D$450+H459*$H$450)</f>
        <v>0</v>
      </c>
      <c r="K459" s="34">
        <f t="shared" si="36"/>
        <v>0</v>
      </c>
      <c r="L459" s="43">
        <f t="shared" si="37"/>
        <v>0</v>
      </c>
      <c r="M459" s="43">
        <f>IF($F$450&lt;&gt;0,J459/$F$450*100/Input!$F$60,"")</f>
        <v>0</v>
      </c>
      <c r="N459" s="17"/>
    </row>
    <row r="460" spans="1:14">
      <c r="A460" s="4" t="s">
        <v>486</v>
      </c>
      <c r="B460" s="35">
        <f>Standing!$J$92</f>
        <v>0</v>
      </c>
      <c r="C460" s="35">
        <f>Standing!$J$115</f>
        <v>0</v>
      </c>
      <c r="D460" s="35">
        <f>Standing!$J$129</f>
        <v>0</v>
      </c>
      <c r="E460" s="10"/>
      <c r="F460" s="45">
        <f>Standing!$J$38</f>
        <v>0</v>
      </c>
      <c r="G460" s="45">
        <f>Standing!$J$155</f>
        <v>0</v>
      </c>
      <c r="H460" s="35">
        <f>Reactive!$J$35</f>
        <v>0</v>
      </c>
      <c r="I460" s="34">
        <f t="shared" si="35"/>
        <v>0</v>
      </c>
      <c r="J460" s="39">
        <f>0.01*Input!$F$60*(E460*$E$450+F460*$F$450+G460*$G$450)+10*(B460*$B$450+C460*$C$450+D460*$D$450+H460*$H$450)</f>
        <v>0</v>
      </c>
      <c r="K460" s="34">
        <f t="shared" si="36"/>
        <v>0</v>
      </c>
      <c r="L460" s="43">
        <f t="shared" si="37"/>
        <v>0</v>
      </c>
      <c r="M460" s="43">
        <f>IF($F$450&lt;&gt;0,J460/$F$450*100/Input!$F$60,"")</f>
        <v>0</v>
      </c>
      <c r="N460" s="17"/>
    </row>
    <row r="461" spans="1:14">
      <c r="A461" s="4" t="s">
        <v>1575</v>
      </c>
      <c r="B461" s="10"/>
      <c r="C461" s="10"/>
      <c r="D461" s="10"/>
      <c r="E461" s="45">
        <f>SM!$B$131</f>
        <v>0</v>
      </c>
      <c r="F461" s="10"/>
      <c r="G461" s="10"/>
      <c r="H461" s="10"/>
      <c r="I461" s="34">
        <f t="shared" si="35"/>
        <v>0</v>
      </c>
      <c r="J461" s="39">
        <f>0.01*Input!$F$60*(E461*$E$450+F461*$F$450+G461*$G$450)+10*(B461*$B$450+C461*$C$450+D461*$D$450+H461*$H$450)</f>
        <v>0</v>
      </c>
      <c r="K461" s="34">
        <f t="shared" si="36"/>
        <v>0</v>
      </c>
      <c r="L461" s="43">
        <f t="shared" si="37"/>
        <v>0</v>
      </c>
      <c r="M461" s="43">
        <f>IF($F$450&lt;&gt;0,J461/$F$450*100/Input!$F$60,"")</f>
        <v>0</v>
      </c>
      <c r="N461" s="17"/>
    </row>
    <row r="462" spans="1:14">
      <c r="A462" s="4" t="s">
        <v>1576</v>
      </c>
      <c r="B462" s="10"/>
      <c r="C462" s="10"/>
      <c r="D462" s="10"/>
      <c r="E462" s="45">
        <f>SM!$C$131</f>
        <v>0</v>
      </c>
      <c r="F462" s="10"/>
      <c r="G462" s="10"/>
      <c r="H462" s="10"/>
      <c r="I462" s="34">
        <f t="shared" si="35"/>
        <v>0</v>
      </c>
      <c r="J462" s="39">
        <f>0.01*Input!$F$60*(E462*$E$450+F462*$F$450+G462*$G$450)+10*(B462*$B$450+C462*$C$450+D462*$D$450+H462*$H$450)</f>
        <v>0</v>
      </c>
      <c r="K462" s="34">
        <f t="shared" si="36"/>
        <v>0</v>
      </c>
      <c r="L462" s="43">
        <f t="shared" si="37"/>
        <v>0</v>
      </c>
      <c r="M462" s="43">
        <f>IF($F$450&lt;&gt;0,J462/$F$450*100/Input!$F$60,"")</f>
        <v>0</v>
      </c>
      <c r="N462" s="17"/>
    </row>
    <row r="463" spans="1:14">
      <c r="A463" s="4" t="s">
        <v>1577</v>
      </c>
      <c r="B463" s="35">
        <f>Standing!$K$92</f>
        <v>0.7400205701099013</v>
      </c>
      <c r="C463" s="35">
        <f>Standing!$K$115</f>
        <v>3.0256995970369235E-2</v>
      </c>
      <c r="D463" s="35">
        <f>Standing!$K$129</f>
        <v>2.1539746973384382E-3</v>
      </c>
      <c r="E463" s="10"/>
      <c r="F463" s="45">
        <f>Standing!$K$38</f>
        <v>0</v>
      </c>
      <c r="G463" s="45">
        <f>Standing!$K$155</f>
        <v>0</v>
      </c>
      <c r="H463" s="35">
        <f>Reactive!$K$35</f>
        <v>1.3103005871454236E-2</v>
      </c>
      <c r="I463" s="34">
        <f t="shared" si="35"/>
        <v>8.615299160929521E-2</v>
      </c>
      <c r="J463" s="39">
        <f>0.01*Input!$F$60*(E463*$E$450+F463*$F$450+G463*$G$450)+10*(B463*$B$450+C463*$C$450+D463*$D$450+H463*$H$450)</f>
        <v>3981394.2604597732</v>
      </c>
      <c r="K463" s="34">
        <f t="shared" si="36"/>
        <v>8.615299160929521E-2</v>
      </c>
      <c r="L463" s="43">
        <f t="shared" si="37"/>
        <v>1774.8164152563186</v>
      </c>
      <c r="M463" s="43">
        <f>IF($F$450&lt;&gt;0,J463/$F$450*100/Input!$F$60,"")</f>
        <v>0.5943294149635352</v>
      </c>
      <c r="N463" s="17"/>
    </row>
    <row r="464" spans="1:14">
      <c r="A464" s="4" t="s">
        <v>1578</v>
      </c>
      <c r="B464" s="35">
        <f>Standing!$L$92</f>
        <v>0.40001811224798922</v>
      </c>
      <c r="C464" s="35">
        <f>Standing!$L$115</f>
        <v>4.6316926913474624E-2</v>
      </c>
      <c r="D464" s="35">
        <f>Standing!$L$129</f>
        <v>7.0463809901998523E-3</v>
      </c>
      <c r="E464" s="10"/>
      <c r="F464" s="45">
        <f>Standing!$L$38</f>
        <v>0</v>
      </c>
      <c r="G464" s="45">
        <f>Standing!$L$155</f>
        <v>0</v>
      </c>
      <c r="H464" s="35">
        <f>Reactive!$L$35</f>
        <v>9.1977739274472226E-3</v>
      </c>
      <c r="I464" s="34">
        <f t="shared" si="35"/>
        <v>6.0226583158051718E-2</v>
      </c>
      <c r="J464" s="39">
        <f>0.01*Input!$F$60*(E464*$E$450+F464*$F$450+G464*$G$450)+10*(B464*$B$450+C464*$C$450+D464*$D$450+H464*$H$450)</f>
        <v>2783255.3232742231</v>
      </c>
      <c r="K464" s="34">
        <f t="shared" si="36"/>
        <v>6.0226583158051732E-2</v>
      </c>
      <c r="L464" s="43">
        <f t="shared" si="37"/>
        <v>1240.7129041840171</v>
      </c>
      <c r="M464" s="43">
        <f>IF($F$450&lt;&gt;0,J464/$F$450*100/Input!$F$60,"")</f>
        <v>0.41547518275286055</v>
      </c>
      <c r="N464" s="17"/>
    </row>
    <row r="465" spans="1:14">
      <c r="A465" s="4" t="s">
        <v>1579</v>
      </c>
      <c r="B465" s="35">
        <f>Standing!$M$92</f>
        <v>0.15822931719010463</v>
      </c>
      <c r="C465" s="35">
        <f>Standing!$M$115</f>
        <v>1.8320909717507192E-2</v>
      </c>
      <c r="D465" s="35">
        <f>Standing!$M$129</f>
        <v>2.7872339241715428E-3</v>
      </c>
      <c r="E465" s="10"/>
      <c r="F465" s="45">
        <f>Standing!$M$38</f>
        <v>0</v>
      </c>
      <c r="G465" s="45">
        <f>Standing!$M$155</f>
        <v>0</v>
      </c>
      <c r="H465" s="35">
        <f>Reactive!$M$35</f>
        <v>2.6490926455736024E-3</v>
      </c>
      <c r="I465" s="34">
        <f t="shared" si="35"/>
        <v>2.3744585787184531E-2</v>
      </c>
      <c r="J465" s="39">
        <f>0.01*Input!$F$60*(E465*$E$450+F465*$F$450+G465*$G$450)+10*(B465*$B$450+C465*$C$450+D465*$D$450+H465*$H$450)</f>
        <v>1097310.212961792</v>
      </c>
      <c r="K465" s="34">
        <f t="shared" si="36"/>
        <v>2.3744585787184535E-2</v>
      </c>
      <c r="L465" s="43">
        <f t="shared" si="37"/>
        <v>489.15632343532189</v>
      </c>
      <c r="M465" s="43">
        <f>IF($F$450&lt;&gt;0,J465/$F$450*100/Input!$F$60,"")</f>
        <v>0.16380285252829543</v>
      </c>
      <c r="N465" s="17"/>
    </row>
    <row r="466" spans="1:14">
      <c r="A466" s="4" t="s">
        <v>1580</v>
      </c>
      <c r="B466" s="35">
        <f>Standing!$N$92</f>
        <v>0.26955990107713723</v>
      </c>
      <c r="C466" s="35">
        <f>Standing!$N$115</f>
        <v>5.2153478162686798E-2</v>
      </c>
      <c r="D466" s="35">
        <f>Standing!$N$129</f>
        <v>5.7961896514182199E-3</v>
      </c>
      <c r="E466" s="10"/>
      <c r="F466" s="45">
        <f>Standing!$N$38</f>
        <v>0.18504942398625349</v>
      </c>
      <c r="G466" s="45">
        <f>Standing!$N$155</f>
        <v>0.18504942398625349</v>
      </c>
      <c r="H466" s="35">
        <f>Reactive!$N$35</f>
        <v>5.3513104251729565E-3</v>
      </c>
      <c r="I466" s="34">
        <f t="shared" si="35"/>
        <v>4.8229558711648475E-2</v>
      </c>
      <c r="J466" s="39">
        <f>0.01*Input!$F$60*(E466*$E$450+F466*$F$450+G466*$G$450)+10*(B466*$B$450+C466*$C$450+D466*$D$450+H466*$H$450)</f>
        <v>3480872.7262617545</v>
      </c>
      <c r="K466" s="34">
        <f t="shared" si="36"/>
        <v>7.5322256265075924E-2</v>
      </c>
      <c r="L466" s="43">
        <f t="shared" si="37"/>
        <v>1551.6951223197743</v>
      </c>
      <c r="M466" s="43">
        <f>IF($F$450&lt;&gt;0,J466/$F$450*100/Input!$F$60,"")</f>
        <v>0.51961320975099068</v>
      </c>
      <c r="N466" s="17"/>
    </row>
    <row r="467" spans="1:14">
      <c r="A467" s="4" t="s">
        <v>1581</v>
      </c>
      <c r="B467" s="35">
        <f>Standing!$O$92</f>
        <v>0</v>
      </c>
      <c r="C467" s="35">
        <f>Standing!$O$115</f>
        <v>0</v>
      </c>
      <c r="D467" s="35">
        <f>Standing!$O$129</f>
        <v>0</v>
      </c>
      <c r="E467" s="10"/>
      <c r="F467" s="45">
        <f>Standing!$O$38</f>
        <v>0.58364902625867676</v>
      </c>
      <c r="G467" s="45">
        <f>Standing!$O$155</f>
        <v>0.58364902625867676</v>
      </c>
      <c r="H467" s="35">
        <f>Reactive!$O$35</f>
        <v>0</v>
      </c>
      <c r="I467" s="34">
        <f t="shared" si="35"/>
        <v>0</v>
      </c>
      <c r="J467" s="39">
        <f>0.01*Input!$F$60*(E467*$E$450+F467*$F$450+G467*$G$450)+10*(B467*$B$450+C467*$C$450+D467*$D$450+H467*$H$450)</f>
        <v>3948945.1354951374</v>
      </c>
      <c r="K467" s="34">
        <f t="shared" si="36"/>
        <v>8.545082824442303E-2</v>
      </c>
      <c r="L467" s="43">
        <f t="shared" si="37"/>
        <v>1760.3513219045014</v>
      </c>
      <c r="M467" s="43">
        <f>IF($F$450&lt;&gt;0,J467/$F$450*100/Input!$F$60,"")</f>
        <v>0.58948551652126358</v>
      </c>
      <c r="N467" s="17"/>
    </row>
    <row r="468" spans="1:14">
      <c r="A468" s="4" t="s">
        <v>1582</v>
      </c>
      <c r="B468" s="35">
        <f>Standing!$P$92</f>
        <v>0</v>
      </c>
      <c r="C468" s="35">
        <f>Standing!$P$115</f>
        <v>0</v>
      </c>
      <c r="D468" s="35">
        <f>Standing!$P$129</f>
        <v>0</v>
      </c>
      <c r="E468" s="10"/>
      <c r="F468" s="45">
        <f>Standing!$P$38</f>
        <v>0</v>
      </c>
      <c r="G468" s="45">
        <f>Standing!$P$155</f>
        <v>0</v>
      </c>
      <c r="H468" s="35">
        <f>Reactive!$P$35</f>
        <v>0</v>
      </c>
      <c r="I468" s="34">
        <f t="shared" si="35"/>
        <v>0</v>
      </c>
      <c r="J468" s="39">
        <f>0.01*Input!$F$60*(E468*$E$450+F468*$F$450+G468*$G$450)+10*(B468*$B$450+C468*$C$450+D468*$D$450+H468*$H$450)</f>
        <v>0</v>
      </c>
      <c r="K468" s="34">
        <f t="shared" si="36"/>
        <v>0</v>
      </c>
      <c r="L468" s="43">
        <f t="shared" si="37"/>
        <v>0</v>
      </c>
      <c r="M468" s="43">
        <f>IF($F$450&lt;&gt;0,J468/$F$450*100/Input!$F$60,"")</f>
        <v>0</v>
      </c>
      <c r="N468" s="17"/>
    </row>
    <row r="469" spans="1:14">
      <c r="A469" s="4" t="s">
        <v>1583</v>
      </c>
      <c r="B469" s="35">
        <f>Standing!$Q$92</f>
        <v>0</v>
      </c>
      <c r="C469" s="35">
        <f>Standing!$Q$115</f>
        <v>0</v>
      </c>
      <c r="D469" s="35">
        <f>Standing!$Q$129</f>
        <v>0</v>
      </c>
      <c r="E469" s="10"/>
      <c r="F469" s="45">
        <f>Standing!$Q$38</f>
        <v>0.85520776258346398</v>
      </c>
      <c r="G469" s="45">
        <f>Standing!$Q$155</f>
        <v>0.85520776258346398</v>
      </c>
      <c r="H469" s="35">
        <f>Reactive!$Q$35</f>
        <v>0</v>
      </c>
      <c r="I469" s="34">
        <f t="shared" si="35"/>
        <v>0</v>
      </c>
      <c r="J469" s="39">
        <f>0.01*Input!$F$60*(E469*$E$450+F469*$F$450+G469*$G$450)+10*(B469*$B$450+C469*$C$450+D469*$D$450+H469*$H$450)</f>
        <v>5786300.2968411865</v>
      </c>
      <c r="K469" s="34">
        <f t="shared" si="36"/>
        <v>0.12520917254375438</v>
      </c>
      <c r="L469" s="43">
        <f t="shared" si="37"/>
        <v>2579.4031132325754</v>
      </c>
      <c r="M469" s="43">
        <f>IF($F$450&lt;&gt;0,J469/$F$450*100/Input!$F$60,"")</f>
        <v>0.86375984020929875</v>
      </c>
      <c r="N469" s="17"/>
    </row>
    <row r="470" spans="1:14">
      <c r="A470" s="4" t="s">
        <v>1584</v>
      </c>
      <c r="B470" s="35">
        <f>Standing!$R$92</f>
        <v>0</v>
      </c>
      <c r="C470" s="35">
        <f>Standing!$R$115</f>
        <v>0</v>
      </c>
      <c r="D470" s="35">
        <f>Standing!$R$129</f>
        <v>0</v>
      </c>
      <c r="E470" s="10"/>
      <c r="F470" s="45">
        <f>Standing!$R$38</f>
        <v>0</v>
      </c>
      <c r="G470" s="45">
        <f>Standing!$R$155</f>
        <v>0</v>
      </c>
      <c r="H470" s="35">
        <f>Reactive!$R$35</f>
        <v>0</v>
      </c>
      <c r="I470" s="34">
        <f t="shared" si="35"/>
        <v>0</v>
      </c>
      <c r="J470" s="39">
        <f>0.01*Input!$F$60*(E470*$E$450+F470*$F$450+G470*$G$450)+10*(B470*$B$450+C470*$C$450+D470*$D$450+H470*$H$450)</f>
        <v>0</v>
      </c>
      <c r="K470" s="34">
        <f t="shared" si="36"/>
        <v>0</v>
      </c>
      <c r="L470" s="43">
        <f t="shared" si="37"/>
        <v>0</v>
      </c>
      <c r="M470" s="43">
        <f>IF($F$450&lt;&gt;0,J470/$F$450*100/Input!$F$60,"")</f>
        <v>0</v>
      </c>
      <c r="N470" s="17"/>
    </row>
    <row r="471" spans="1:14">
      <c r="A471" s="4" t="s">
        <v>1585</v>
      </c>
      <c r="B471" s="35">
        <f>Standing!$S$92</f>
        <v>0</v>
      </c>
      <c r="C471" s="35">
        <f>Standing!$S$115</f>
        <v>0</v>
      </c>
      <c r="D471" s="35">
        <f>Standing!$S$129</f>
        <v>0</v>
      </c>
      <c r="E471" s="10"/>
      <c r="F471" s="45">
        <f>Standing!$S$38</f>
        <v>0</v>
      </c>
      <c r="G471" s="45">
        <f>Standing!$S$155</f>
        <v>0</v>
      </c>
      <c r="H471" s="35">
        <f>Reactive!$S$35</f>
        <v>0</v>
      </c>
      <c r="I471" s="34">
        <f t="shared" si="35"/>
        <v>0</v>
      </c>
      <c r="J471" s="39">
        <f>0.01*Input!$F$60*(E471*$E$450+F471*$F$450+G471*$G$450)+10*(B471*$B$450+C471*$C$450+D471*$D$450+H471*$H$450)</f>
        <v>0</v>
      </c>
      <c r="K471" s="34">
        <f t="shared" si="36"/>
        <v>0</v>
      </c>
      <c r="L471" s="43">
        <f t="shared" si="37"/>
        <v>0</v>
      </c>
      <c r="M471" s="43">
        <f>IF($F$450&lt;&gt;0,J471/$F$450*100/Input!$F$60,"")</f>
        <v>0</v>
      </c>
      <c r="N471" s="17"/>
    </row>
    <row r="472" spans="1:14">
      <c r="A472" s="4" t="s">
        <v>1586</v>
      </c>
      <c r="B472" s="10"/>
      <c r="C472" s="10"/>
      <c r="D472" s="10"/>
      <c r="E472" s="45">
        <f>Otex!$B$134</f>
        <v>0</v>
      </c>
      <c r="F472" s="10"/>
      <c r="G472" s="10"/>
      <c r="H472" s="10"/>
      <c r="I472" s="34">
        <f t="shared" si="35"/>
        <v>0</v>
      </c>
      <c r="J472" s="39">
        <f>0.01*Input!$F$60*(E472*$E$450+F472*$F$450+G472*$G$450)+10*(B472*$B$450+C472*$C$450+D472*$D$450+H472*$H$450)</f>
        <v>0</v>
      </c>
      <c r="K472" s="34">
        <f t="shared" si="36"/>
        <v>0</v>
      </c>
      <c r="L472" s="43">
        <f t="shared" si="37"/>
        <v>0</v>
      </c>
      <c r="M472" s="43">
        <f>IF($F$450&lt;&gt;0,J472/$F$450*100/Input!$F$60,"")</f>
        <v>0</v>
      </c>
      <c r="N472" s="17"/>
    </row>
    <row r="473" spans="1:14">
      <c r="A473" s="4" t="s">
        <v>1587</v>
      </c>
      <c r="B473" s="10"/>
      <c r="C473" s="10"/>
      <c r="D473" s="10"/>
      <c r="E473" s="45">
        <f>Otex!$C$134</f>
        <v>99.182988171499503</v>
      </c>
      <c r="F473" s="10"/>
      <c r="G473" s="10"/>
      <c r="H473" s="10"/>
      <c r="I473" s="34">
        <f t="shared" si="35"/>
        <v>0</v>
      </c>
      <c r="J473" s="39">
        <f>0.01*Input!$F$60*(E473*$E$450+F473*$F$450+G473*$G$450)+10*(B473*$B$450+C473*$C$450+D473*$D$450+H473*$H$450)</f>
        <v>814329.22853053256</v>
      </c>
      <c r="K473" s="34">
        <f t="shared" si="36"/>
        <v>1.7621188609613623E-2</v>
      </c>
      <c r="L473" s="43">
        <f t="shared" si="37"/>
        <v>363.00973670768815</v>
      </c>
      <c r="M473" s="43">
        <f>IF($F$450&lt;&gt;0,J473/$F$450*100/Input!$F$60,"")</f>
        <v>0.12156038370446844</v>
      </c>
      <c r="N473" s="17"/>
    </row>
    <row r="474" spans="1:14">
      <c r="A474" s="4" t="s">
        <v>1588</v>
      </c>
      <c r="B474" s="35">
        <f>Adder!$B$278</f>
        <v>0.57451230457623836</v>
      </c>
      <c r="C474" s="35">
        <f>Adder!$C$278</f>
        <v>0.57451230457623836</v>
      </c>
      <c r="D474" s="35">
        <f>Adder!$D$278</f>
        <v>0.57451230457623836</v>
      </c>
      <c r="E474" s="10"/>
      <c r="F474" s="10"/>
      <c r="G474" s="10"/>
      <c r="H474" s="10"/>
      <c r="I474" s="34">
        <f t="shared" si="35"/>
        <v>0.57451230457623825</v>
      </c>
      <c r="J474" s="39">
        <f>0.01*Input!$F$60*(E474*$E$450+F474*$F$450+G474*$G$450)+10*(B474*$B$450+C474*$C$450+D474*$D$450+H474*$H$450)</f>
        <v>26549977.537362318</v>
      </c>
      <c r="K474" s="34">
        <f t="shared" si="36"/>
        <v>0.57451230457623825</v>
      </c>
      <c r="L474" s="43">
        <f t="shared" si="37"/>
        <v>11835.38551455981</v>
      </c>
      <c r="M474" s="43">
        <f>IF($F$450&lt;&gt;0,J474/$F$450*100/Input!$F$60,"")</f>
        <v>3.9632931543065353</v>
      </c>
      <c r="N474" s="17"/>
    </row>
    <row r="475" spans="1:14">
      <c r="A475" s="4" t="s">
        <v>1589</v>
      </c>
      <c r="B475" s="35">
        <f>Adjust!$B$91</f>
        <v>-1.1549762945506359E-4</v>
      </c>
      <c r="C475" s="35">
        <f>Adjust!$C$91</f>
        <v>-8.9880973551226262E-5</v>
      </c>
      <c r="D475" s="35">
        <f>Adjust!$D$91</f>
        <v>2.0361967642767986E-5</v>
      </c>
      <c r="E475" s="45">
        <f>Adjust!$E$91</f>
        <v>-2.9881714994957065E-3</v>
      </c>
      <c r="F475" s="45">
        <f>Adjust!$F$91</f>
        <v>3.636330267074328E-3</v>
      </c>
      <c r="G475" s="45">
        <f>Adjust!$G$91</f>
        <v>3.049898180118582E-3</v>
      </c>
      <c r="H475" s="35">
        <f>Adjust!$H$91</f>
        <v>3.3217470693500117E-5</v>
      </c>
      <c r="I475" s="34">
        <f t="shared" si="35"/>
        <v>-2.8027063593596942E-5</v>
      </c>
      <c r="J475" s="39">
        <f>0.01*Input!$F$60*(E475*$E$450+F475*$F$450+G475*$G$450)+10*(B475*$B$450+C475*$C$450+D475*$D$450+H475*$H$450)</f>
        <v>23244.224397649625</v>
      </c>
      <c r="K475" s="34">
        <f t="shared" si="36"/>
        <v>5.0297944350380082E-4</v>
      </c>
      <c r="L475" s="43">
        <f t="shared" si="37"/>
        <v>10.361754782879983</v>
      </c>
      <c r="M475" s="43">
        <f>IF($F$450&lt;&gt;0,J475/$F$450*100/Input!$F$60,"")</f>
        <v>3.469821219348647E-3</v>
      </c>
      <c r="N475" s="17"/>
    </row>
    <row r="477" spans="1:14">
      <c r="A477" s="4" t="s">
        <v>1590</v>
      </c>
      <c r="B477" s="34">
        <f>SUM($B$453:$B$475)</f>
        <v>4.2439999999999998</v>
      </c>
      <c r="C477" s="34">
        <f>SUM($C$453:$C$475)</f>
        <v>1.018</v>
      </c>
      <c r="D477" s="34">
        <f>SUM($D$453:$D$475)</f>
        <v>0.63200000000000001</v>
      </c>
      <c r="E477" s="43">
        <f>SUM($E$453:$E$475)</f>
        <v>99.18</v>
      </c>
      <c r="F477" s="43">
        <f>SUM($F$453:$F$475)</f>
        <v>2.93</v>
      </c>
      <c r="G477" s="43">
        <f>SUM($G$453:$G$475)</f>
        <v>5.75</v>
      </c>
      <c r="H477" s="34">
        <f>SUM($H$453:$H$475)</f>
        <v>7.3999999999999996E-2</v>
      </c>
      <c r="I477" s="34">
        <f>SUM(I$453:I$475)</f>
        <v>1.1284912493989909</v>
      </c>
      <c r="J477" s="39">
        <f>SUM($J$453:$J$475)</f>
        <v>72978519.725727201</v>
      </c>
      <c r="K477" s="34">
        <f>SUM($K$453:$K$475)</f>
        <v>1.5791748785168791</v>
      </c>
      <c r="L477" s="43">
        <f>SUM($L$453:$L$475)</f>
        <v>32532.190056297073</v>
      </c>
      <c r="M477" s="43">
        <f>SUM($M$453:$M$475)</f>
        <v>10.893992932136166</v>
      </c>
    </row>
    <row r="479" spans="1:14" ht="21" customHeight="1">
      <c r="A479" s="1" t="s">
        <v>228</v>
      </c>
    </row>
    <row r="481" spans="1:5">
      <c r="B481" s="15" t="s">
        <v>237</v>
      </c>
      <c r="C481" s="15" t="s">
        <v>1571</v>
      </c>
    </row>
    <row r="482" spans="1:5">
      <c r="A482" s="4" t="s">
        <v>228</v>
      </c>
      <c r="B482" s="41">
        <f>Loads!B$348</f>
        <v>17466.3968856461</v>
      </c>
      <c r="C482" s="41">
        <f>Multi!B$142</f>
        <v>17466.3968856461</v>
      </c>
      <c r="D482" s="17"/>
    </row>
    <row r="484" spans="1:5">
      <c r="B484" s="15" t="s">
        <v>1379</v>
      </c>
      <c r="C484" s="15" t="s">
        <v>1573</v>
      </c>
      <c r="D484" s="15" t="s">
        <v>1540</v>
      </c>
    </row>
    <row r="485" spans="1:5">
      <c r="A485" s="4" t="s">
        <v>479</v>
      </c>
      <c r="B485" s="35">
        <f>Yard!$C$81</f>
        <v>0.16693718005860772</v>
      </c>
      <c r="C485" s="39">
        <f t="shared" ref="C485:C505" si="38">0+10*(B485*$B$482)</f>
        <v>29157.910418742082</v>
      </c>
      <c r="D485" s="34">
        <f t="shared" ref="D485:D505" si="39">IF($C$482&lt;&gt;0,0.1*C485/$C$482,"")</f>
        <v>0.16693718005860775</v>
      </c>
      <c r="E485" s="17"/>
    </row>
    <row r="486" spans="1:5">
      <c r="A486" s="4" t="s">
        <v>480</v>
      </c>
      <c r="B486" s="35">
        <f>Yard!$D$81</f>
        <v>6.6032900025135843E-2</v>
      </c>
      <c r="C486" s="39">
        <f t="shared" si="38"/>
        <v>11533.568393492131</v>
      </c>
      <c r="D486" s="34">
        <f t="shared" si="39"/>
        <v>6.6032900025135843E-2</v>
      </c>
      <c r="E486" s="17"/>
    </row>
    <row r="487" spans="1:5">
      <c r="A487" s="4" t="s">
        <v>481</v>
      </c>
      <c r="B487" s="35">
        <f>Yard!$E$81</f>
        <v>0.16684374061807727</v>
      </c>
      <c r="C487" s="39">
        <f t="shared" si="38"/>
        <v>29141.589915211305</v>
      </c>
      <c r="D487" s="34">
        <f t="shared" si="39"/>
        <v>0.16684374061807727</v>
      </c>
      <c r="E487" s="17"/>
    </row>
    <row r="488" spans="1:5">
      <c r="A488" s="4" t="s">
        <v>482</v>
      </c>
      <c r="B488" s="35">
        <f>Yard!$F$81</f>
        <v>0.10524559833953313</v>
      </c>
      <c r="C488" s="39">
        <f t="shared" si="38"/>
        <v>18382.613910655818</v>
      </c>
      <c r="D488" s="34">
        <f t="shared" si="39"/>
        <v>0.10524559833953313</v>
      </c>
      <c r="E488" s="17"/>
    </row>
    <row r="489" spans="1:5">
      <c r="A489" s="4" t="s">
        <v>483</v>
      </c>
      <c r="B489" s="35">
        <f>Yard!$G$81</f>
        <v>0</v>
      </c>
      <c r="C489" s="39">
        <f t="shared" si="38"/>
        <v>0</v>
      </c>
      <c r="D489" s="34">
        <f t="shared" si="39"/>
        <v>0</v>
      </c>
      <c r="E489" s="17"/>
    </row>
    <row r="490" spans="1:5">
      <c r="A490" s="4" t="s">
        <v>484</v>
      </c>
      <c r="B490" s="35">
        <f>Yard!$H$81</f>
        <v>0.13374994471222804</v>
      </c>
      <c r="C490" s="39">
        <f t="shared" si="38"/>
        <v>23361.296177769978</v>
      </c>
      <c r="D490" s="34">
        <f t="shared" si="39"/>
        <v>0.13374994471222804</v>
      </c>
      <c r="E490" s="17"/>
    </row>
    <row r="491" spans="1:5">
      <c r="A491" s="4" t="s">
        <v>485</v>
      </c>
      <c r="B491" s="35">
        <f>Yard!$I$81</f>
        <v>0.12143430360252569</v>
      </c>
      <c r="C491" s="39">
        <f t="shared" si="38"/>
        <v>21210.197422537574</v>
      </c>
      <c r="D491" s="34">
        <f t="shared" si="39"/>
        <v>0.12143430360252569</v>
      </c>
      <c r="E491" s="17"/>
    </row>
    <row r="492" spans="1:5">
      <c r="A492" s="4" t="s">
        <v>486</v>
      </c>
      <c r="B492" s="35">
        <f>Yard!$J$81</f>
        <v>2.8850797747734867E-3</v>
      </c>
      <c r="C492" s="39">
        <f t="shared" si="38"/>
        <v>503.91948392944181</v>
      </c>
      <c r="D492" s="34">
        <f t="shared" si="39"/>
        <v>2.8850797747734871E-3</v>
      </c>
      <c r="E492" s="17"/>
    </row>
    <row r="493" spans="1:5">
      <c r="A493" s="4" t="s">
        <v>1575</v>
      </c>
      <c r="B493" s="10"/>
      <c r="C493" s="39">
        <f t="shared" si="38"/>
        <v>0</v>
      </c>
      <c r="D493" s="34">
        <f t="shared" si="39"/>
        <v>0</v>
      </c>
      <c r="E493" s="17"/>
    </row>
    <row r="494" spans="1:5">
      <c r="A494" s="4" t="s">
        <v>1577</v>
      </c>
      <c r="B494" s="35">
        <f>Yard!$K$81</f>
        <v>9.3543905099219601E-2</v>
      </c>
      <c r="C494" s="39">
        <f t="shared" si="38"/>
        <v>16338.749726961834</v>
      </c>
      <c r="D494" s="34">
        <f t="shared" si="39"/>
        <v>9.3543905099219601E-2</v>
      </c>
      <c r="E494" s="17"/>
    </row>
    <row r="495" spans="1:5">
      <c r="A495" s="4" t="s">
        <v>1578</v>
      </c>
      <c r="B495" s="35">
        <f>Yard!$L$81</f>
        <v>6.5750045633284598E-2</v>
      </c>
      <c r="C495" s="39">
        <f t="shared" si="38"/>
        <v>11484.163922802911</v>
      </c>
      <c r="D495" s="34">
        <f t="shared" si="39"/>
        <v>6.5750045633284598E-2</v>
      </c>
      <c r="E495" s="17"/>
    </row>
    <row r="496" spans="1:5">
      <c r="A496" s="4" t="s">
        <v>1579</v>
      </c>
      <c r="B496" s="35">
        <f>Yard!$M$81</f>
        <v>2.600778441582962E-2</v>
      </c>
      <c r="C496" s="39">
        <f t="shared" si="38"/>
        <v>4542.6228472320163</v>
      </c>
      <c r="D496" s="34">
        <f t="shared" si="39"/>
        <v>2.6007784415829623E-2</v>
      </c>
      <c r="E496" s="17"/>
    </row>
    <row r="497" spans="1:5">
      <c r="A497" s="4" t="s">
        <v>1580</v>
      </c>
      <c r="B497" s="35">
        <f>Yard!$N$81</f>
        <v>6.5713243481261466E-2</v>
      </c>
      <c r="C497" s="39">
        <f t="shared" si="38"/>
        <v>11477.735912868091</v>
      </c>
      <c r="D497" s="34">
        <f t="shared" si="39"/>
        <v>6.5713243481261466E-2</v>
      </c>
      <c r="E497" s="17"/>
    </row>
    <row r="498" spans="1:5">
      <c r="A498" s="4" t="s">
        <v>1581</v>
      </c>
      <c r="B498" s="35">
        <f>Yard!$O$81</f>
        <v>4.1452137211717768E-2</v>
      </c>
      <c r="C498" s="39">
        <f t="shared" si="38"/>
        <v>7240.1948029812211</v>
      </c>
      <c r="D498" s="34">
        <f t="shared" si="39"/>
        <v>4.1452137211717775E-2</v>
      </c>
      <c r="E498" s="17"/>
    </row>
    <row r="499" spans="1:5">
      <c r="A499" s="4" t="s">
        <v>1582</v>
      </c>
      <c r="B499" s="35">
        <f>Yard!$P$81</f>
        <v>0</v>
      </c>
      <c r="C499" s="39">
        <f t="shared" si="38"/>
        <v>0</v>
      </c>
      <c r="D499" s="34">
        <f t="shared" si="39"/>
        <v>0</v>
      </c>
      <c r="E499" s="17"/>
    </row>
    <row r="500" spans="1:5">
      <c r="A500" s="4" t="s">
        <v>1583</v>
      </c>
      <c r="B500" s="35">
        <f>Yard!$Q$81</f>
        <v>7.5255553917184331E-2</v>
      </c>
      <c r="C500" s="39">
        <f t="shared" si="38"/>
        <v>13144.433725666806</v>
      </c>
      <c r="D500" s="34">
        <f t="shared" si="39"/>
        <v>7.5255553917184331E-2</v>
      </c>
      <c r="E500" s="17"/>
    </row>
    <row r="501" spans="1:5">
      <c r="A501" s="4" t="s">
        <v>1584</v>
      </c>
      <c r="B501" s="35">
        <f>Yard!$R$81</f>
        <v>6.8326052783183766E-2</v>
      </c>
      <c r="C501" s="39">
        <f t="shared" si="38"/>
        <v>11934.09955540692</v>
      </c>
      <c r="D501" s="34">
        <f t="shared" si="39"/>
        <v>6.8326052783183766E-2</v>
      </c>
      <c r="E501" s="17"/>
    </row>
    <row r="502" spans="1:5">
      <c r="A502" s="4" t="s">
        <v>1585</v>
      </c>
      <c r="B502" s="35">
        <f>Yard!$S$81</f>
        <v>3.7877347391081652E-2</v>
      </c>
      <c r="C502" s="39">
        <f t="shared" si="38"/>
        <v>6615.8078250812396</v>
      </c>
      <c r="D502" s="34">
        <f t="shared" si="39"/>
        <v>3.7877347391081652E-2</v>
      </c>
      <c r="E502" s="17"/>
    </row>
    <row r="503" spans="1:5">
      <c r="A503" s="4" t="s">
        <v>1586</v>
      </c>
      <c r="B503" s="35">
        <f>Otex!$B$162</f>
        <v>1.7272478538741278</v>
      </c>
      <c r="C503" s="39">
        <f t="shared" si="38"/>
        <v>301687.96535645972</v>
      </c>
      <c r="D503" s="34">
        <f t="shared" si="39"/>
        <v>1.7272478538741278</v>
      </c>
      <c r="E503" s="17"/>
    </row>
    <row r="504" spans="1:5">
      <c r="A504" s="4" t="s">
        <v>1588</v>
      </c>
      <c r="B504" s="35">
        <f>Adder!$B$279</f>
        <v>0.57451230457623836</v>
      </c>
      <c r="C504" s="39">
        <f t="shared" si="38"/>
        <v>100346.59927415772</v>
      </c>
      <c r="D504" s="34">
        <f t="shared" si="39"/>
        <v>0.57451230457623836</v>
      </c>
      <c r="E504" s="17"/>
    </row>
    <row r="505" spans="1:5">
      <c r="A505" s="4" t="s">
        <v>1589</v>
      </c>
      <c r="B505" s="35">
        <f>Adjust!$B$92</f>
        <v>1.8502448598978205E-4</v>
      </c>
      <c r="C505" s="39">
        <f t="shared" si="38"/>
        <v>32.317111058601995</v>
      </c>
      <c r="D505" s="34">
        <f t="shared" si="39"/>
        <v>1.8502448598978205E-4</v>
      </c>
      <c r="E505" s="17"/>
    </row>
    <row r="507" spans="1:5">
      <c r="A507" s="4" t="s">
        <v>1590</v>
      </c>
      <c r="B507" s="34">
        <f>SUM($B$485:$B$505)</f>
        <v>3.5390000000000001</v>
      </c>
      <c r="C507" s="39">
        <f>SUM($C$485:$C$505)</f>
        <v>618135.78578301542</v>
      </c>
      <c r="D507" s="34">
        <f>SUM($D$485:$D$505)</f>
        <v>3.5390000000000001</v>
      </c>
    </row>
    <row r="509" spans="1:5" ht="21" customHeight="1">
      <c r="A509" s="1" t="s">
        <v>229</v>
      </c>
    </row>
    <row r="511" spans="1:5">
      <c r="B511" s="15" t="s">
        <v>237</v>
      </c>
      <c r="C511" s="15" t="s">
        <v>1571</v>
      </c>
    </row>
    <row r="512" spans="1:5">
      <c r="A512" s="4" t="s">
        <v>229</v>
      </c>
      <c r="B512" s="41">
        <f>Loads!B$349</f>
        <v>9322.3454758277185</v>
      </c>
      <c r="C512" s="41">
        <f>Multi!B$143</f>
        <v>9322.3454758277185</v>
      </c>
      <c r="D512" s="17"/>
    </row>
    <row r="514" spans="1:5">
      <c r="B514" s="15" t="s">
        <v>1379</v>
      </c>
      <c r="C514" s="15" t="s">
        <v>1573</v>
      </c>
      <c r="D514" s="15" t="s">
        <v>1540</v>
      </c>
    </row>
    <row r="515" spans="1:5">
      <c r="A515" s="4" t="s">
        <v>479</v>
      </c>
      <c r="B515" s="35">
        <f>Yard!$C$82</f>
        <v>0.20953062465748024</v>
      </c>
      <c r="C515" s="39">
        <f t="shared" ref="C515:C535" si="40">0+10*(B515*$B$512)</f>
        <v>19533.168708230165</v>
      </c>
      <c r="D515" s="34">
        <f t="shared" ref="D515:D535" si="41">IF($C$512&lt;&gt;0,0.1*C515/$C$512,"")</f>
        <v>0.20953062465748024</v>
      </c>
      <c r="E515" s="17"/>
    </row>
    <row r="516" spans="1:5">
      <c r="A516" s="4" t="s">
        <v>480</v>
      </c>
      <c r="B516" s="35">
        <f>Yard!$D$82</f>
        <v>8.2880966273386134E-2</v>
      </c>
      <c r="C516" s="39">
        <f t="shared" si="40"/>
        <v>7726.4500097093096</v>
      </c>
      <c r="D516" s="34">
        <f t="shared" si="41"/>
        <v>8.2880966273386147E-2</v>
      </c>
      <c r="E516" s="17"/>
    </row>
    <row r="517" spans="1:5">
      <c r="A517" s="4" t="s">
        <v>481</v>
      </c>
      <c r="B517" s="35">
        <f>Yard!$E$82</f>
        <v>0.18384697154540899</v>
      </c>
      <c r="C517" s="39">
        <f t="shared" si="40"/>
        <v>17138.849834309709</v>
      </c>
      <c r="D517" s="34">
        <f t="shared" si="41"/>
        <v>0.18384697154540902</v>
      </c>
      <c r="E517" s="17"/>
    </row>
    <row r="518" spans="1:5">
      <c r="A518" s="4" t="s">
        <v>482</v>
      </c>
      <c r="B518" s="35">
        <f>Yard!$F$82</f>
        <v>0.11597129416739563</v>
      </c>
      <c r="C518" s="39">
        <f t="shared" si="40"/>
        <v>10811.244695073059</v>
      </c>
      <c r="D518" s="34">
        <f t="shared" si="41"/>
        <v>0.11597129416739561</v>
      </c>
      <c r="E518" s="17"/>
    </row>
    <row r="519" spans="1:5">
      <c r="A519" s="4" t="s">
        <v>483</v>
      </c>
      <c r="B519" s="35">
        <f>Yard!$G$82</f>
        <v>0</v>
      </c>
      <c r="C519" s="39">
        <f t="shared" si="40"/>
        <v>0</v>
      </c>
      <c r="D519" s="34">
        <f t="shared" si="41"/>
        <v>0</v>
      </c>
      <c r="E519" s="17"/>
    </row>
    <row r="520" spans="1:5">
      <c r="A520" s="4" t="s">
        <v>484</v>
      </c>
      <c r="B520" s="35">
        <f>Yard!$H$82</f>
        <v>0.14738055014000795</v>
      </c>
      <c r="C520" s="39">
        <f t="shared" si="40"/>
        <v>13739.324048227034</v>
      </c>
      <c r="D520" s="34">
        <f t="shared" si="41"/>
        <v>0.14738055014000798</v>
      </c>
      <c r="E520" s="17"/>
    </row>
    <row r="521" spans="1:5">
      <c r="A521" s="4" t="s">
        <v>485</v>
      </c>
      <c r="B521" s="35">
        <f>Yard!$I$82</f>
        <v>0.13380980836527218</v>
      </c>
      <c r="C521" s="39">
        <f t="shared" si="40"/>
        <v>12474.21261635369</v>
      </c>
      <c r="D521" s="34">
        <f t="shared" si="41"/>
        <v>0.13380980836527218</v>
      </c>
      <c r="E521" s="17"/>
    </row>
    <row r="522" spans="1:5">
      <c r="A522" s="4" t="s">
        <v>486</v>
      </c>
      <c r="B522" s="35">
        <f>Yard!$J$82</f>
        <v>3.1791014592101917E-3</v>
      </c>
      <c r="C522" s="39">
        <f t="shared" si="40"/>
        <v>296.36682105465428</v>
      </c>
      <c r="D522" s="34">
        <f t="shared" si="41"/>
        <v>3.1791014592101917E-3</v>
      </c>
      <c r="E522" s="17"/>
    </row>
    <row r="523" spans="1:5">
      <c r="A523" s="4" t="s">
        <v>1575</v>
      </c>
      <c r="B523" s="10"/>
      <c r="C523" s="39">
        <f t="shared" si="40"/>
        <v>0</v>
      </c>
      <c r="D523" s="34">
        <f t="shared" si="41"/>
        <v>0</v>
      </c>
      <c r="E523" s="17"/>
    </row>
    <row r="524" spans="1:5">
      <c r="A524" s="4" t="s">
        <v>1577</v>
      </c>
      <c r="B524" s="35">
        <f>Yard!$K$82</f>
        <v>0.14004887506924621</v>
      </c>
      <c r="C524" s="39">
        <f t="shared" si="40"/>
        <v>13055.839968965487</v>
      </c>
      <c r="D524" s="34">
        <f t="shared" si="41"/>
        <v>0.14004887506924621</v>
      </c>
      <c r="E524" s="17"/>
    </row>
    <row r="525" spans="1:5">
      <c r="A525" s="4" t="s">
        <v>1578</v>
      </c>
      <c r="B525" s="35">
        <f>Yard!$L$82</f>
        <v>8.2525942560927962E-2</v>
      </c>
      <c r="C525" s="39">
        <f t="shared" si="40"/>
        <v>7693.3534727128499</v>
      </c>
      <c r="D525" s="34">
        <f t="shared" si="41"/>
        <v>8.2525942560927976E-2</v>
      </c>
      <c r="E525" s="17"/>
    </row>
    <row r="526" spans="1:5">
      <c r="A526" s="4" t="s">
        <v>1579</v>
      </c>
      <c r="B526" s="35">
        <f>Yard!$M$82</f>
        <v>3.2643580733139818E-2</v>
      </c>
      <c r="C526" s="39">
        <f t="shared" si="40"/>
        <v>3043.1473716240289</v>
      </c>
      <c r="D526" s="34">
        <f t="shared" si="41"/>
        <v>3.2643580733139818E-2</v>
      </c>
      <c r="E526" s="17"/>
    </row>
    <row r="527" spans="1:5">
      <c r="A527" s="4" t="s">
        <v>1580</v>
      </c>
      <c r="B527" s="35">
        <f>Yard!$N$82</f>
        <v>7.2410153115129994E-2</v>
      </c>
      <c r="C527" s="39">
        <f t="shared" si="40"/>
        <v>6750.3246329682452</v>
      </c>
      <c r="D527" s="34">
        <f t="shared" si="41"/>
        <v>7.2410153115129994E-2</v>
      </c>
      <c r="E527" s="17"/>
    </row>
    <row r="528" spans="1:5">
      <c r="A528" s="4" t="s">
        <v>1581</v>
      </c>
      <c r="B528" s="35">
        <f>Yard!$O$82</f>
        <v>4.5676570557741138E-2</v>
      </c>
      <c r="C528" s="39">
        <f t="shared" si="40"/>
        <v>4258.1277089028372</v>
      </c>
      <c r="D528" s="34">
        <f t="shared" si="41"/>
        <v>4.5676570557741145E-2</v>
      </c>
      <c r="E528" s="17"/>
    </row>
    <row r="529" spans="1:5">
      <c r="A529" s="4" t="s">
        <v>1582</v>
      </c>
      <c r="B529" s="35">
        <f>Yard!$P$82</f>
        <v>0</v>
      </c>
      <c r="C529" s="39">
        <f t="shared" si="40"/>
        <v>0</v>
      </c>
      <c r="D529" s="34">
        <f t="shared" si="41"/>
        <v>0</v>
      </c>
      <c r="E529" s="17"/>
    </row>
    <row r="530" spans="1:5">
      <c r="A530" s="4" t="s">
        <v>1583</v>
      </c>
      <c r="B530" s="35">
        <f>Yard!$Q$82</f>
        <v>8.2924931006656669E-2</v>
      </c>
      <c r="C530" s="39">
        <f t="shared" si="40"/>
        <v>7730.5485540323152</v>
      </c>
      <c r="D530" s="34">
        <f t="shared" si="41"/>
        <v>8.2924931006656682E-2</v>
      </c>
      <c r="E530" s="17"/>
    </row>
    <row r="531" spans="1:5">
      <c r="A531" s="4" t="s">
        <v>1584</v>
      </c>
      <c r="B531" s="35">
        <f>Yard!$R$82</f>
        <v>7.5289236715177524E-2</v>
      </c>
      <c r="C531" s="39">
        <f t="shared" si="40"/>
        <v>7018.7227527025734</v>
      </c>
      <c r="D531" s="34">
        <f t="shared" si="41"/>
        <v>7.5289236715177538E-2</v>
      </c>
      <c r="E531" s="17"/>
    </row>
    <row r="532" spans="1:5">
      <c r="A532" s="4" t="s">
        <v>1585</v>
      </c>
      <c r="B532" s="35">
        <f>Yard!$S$82</f>
        <v>4.1737469935802074E-2</v>
      </c>
      <c r="C532" s="39">
        <f t="shared" si="40"/>
        <v>3890.9111402851986</v>
      </c>
      <c r="D532" s="34">
        <f t="shared" si="41"/>
        <v>4.1737469935802074E-2</v>
      </c>
      <c r="E532" s="17"/>
    </row>
    <row r="533" spans="1:5">
      <c r="A533" s="4" t="s">
        <v>1586</v>
      </c>
      <c r="B533" s="35">
        <f>Otex!$B$163</f>
        <v>1.7272478538741278</v>
      </c>
      <c r="C533" s="39">
        <f t="shared" si="40"/>
        <v>161020.01216196612</v>
      </c>
      <c r="D533" s="34">
        <f t="shared" si="41"/>
        <v>1.727247853874128</v>
      </c>
      <c r="E533" s="17"/>
    </row>
    <row r="534" spans="1:5">
      <c r="A534" s="4" t="s">
        <v>1588</v>
      </c>
      <c r="B534" s="35">
        <f>Adder!$B$280</f>
        <v>0.57451230457623836</v>
      </c>
      <c r="C534" s="39">
        <f t="shared" si="40"/>
        <v>53558.021833736522</v>
      </c>
      <c r="D534" s="34">
        <f t="shared" si="41"/>
        <v>0.57451230457623848</v>
      </c>
      <c r="E534" s="17"/>
    </row>
    <row r="535" spans="1:5">
      <c r="A535" s="4" t="s">
        <v>1589</v>
      </c>
      <c r="B535" s="35">
        <f>Adjust!$B$93</f>
        <v>3.8376524765126874E-4</v>
      </c>
      <c r="C535" s="39">
        <f t="shared" si="40"/>
        <v>35.775922202217089</v>
      </c>
      <c r="D535" s="34">
        <f t="shared" si="41"/>
        <v>3.8376524765126874E-4</v>
      </c>
      <c r="E535" s="17"/>
    </row>
    <row r="537" spans="1:5">
      <c r="A537" s="4" t="s">
        <v>1590</v>
      </c>
      <c r="B537" s="34">
        <f>SUM($B$515:$B$535)</f>
        <v>3.7519999999999998</v>
      </c>
      <c r="C537" s="39">
        <f>SUM($C$515:$C$535)</f>
        <v>349774.402253056</v>
      </c>
      <c r="D537" s="34">
        <f>SUM($D$515:$D$535)</f>
        <v>3.7520000000000002</v>
      </c>
    </row>
    <row r="539" spans="1:5" ht="21" customHeight="1">
      <c r="A539" s="1" t="s">
        <v>230</v>
      </c>
    </row>
    <row r="541" spans="1:5">
      <c r="B541" s="15" t="s">
        <v>237</v>
      </c>
      <c r="C541" s="15" t="s">
        <v>1571</v>
      </c>
    </row>
    <row r="542" spans="1:5">
      <c r="A542" s="4" t="s">
        <v>230</v>
      </c>
      <c r="B542" s="41">
        <f>Loads!B$350</f>
        <v>411.24693034888236</v>
      </c>
      <c r="C542" s="41">
        <f>Multi!B$144</f>
        <v>411.24693034888236</v>
      </c>
      <c r="D542" s="17"/>
    </row>
    <row r="544" spans="1:5">
      <c r="B544" s="15" t="s">
        <v>1379</v>
      </c>
      <c r="C544" s="15" t="s">
        <v>1573</v>
      </c>
      <c r="D544" s="15" t="s">
        <v>1540</v>
      </c>
    </row>
    <row r="545" spans="1:5">
      <c r="A545" s="4" t="s">
        <v>479</v>
      </c>
      <c r="B545" s="35">
        <f>Yard!$C$83</f>
        <v>0.38347770164805284</v>
      </c>
      <c r="C545" s="39">
        <f t="shared" ref="C545:C565" si="42">0+10*(B545*$B$542)</f>
        <v>1577.0402766000625</v>
      </c>
      <c r="D545" s="34">
        <f t="shared" ref="D545:D565" si="43">IF($C$542&lt;&gt;0,0.1*C545/$C$542,"")</f>
        <v>0.38347770164805278</v>
      </c>
      <c r="E545" s="17"/>
    </row>
    <row r="546" spans="1:5">
      <c r="A546" s="4" t="s">
        <v>480</v>
      </c>
      <c r="B546" s="35">
        <f>Yard!$D$83</f>
        <v>0.15168666875710213</v>
      </c>
      <c r="C546" s="39">
        <f t="shared" si="42"/>
        <v>623.8067690120597</v>
      </c>
      <c r="D546" s="34">
        <f t="shared" si="43"/>
        <v>0.15168666875710213</v>
      </c>
      <c r="E546" s="17"/>
    </row>
    <row r="547" spans="1:5">
      <c r="A547" s="4" t="s">
        <v>481</v>
      </c>
      <c r="B547" s="35">
        <f>Yard!$E$83</f>
        <v>0.33359990983556237</v>
      </c>
      <c r="C547" s="39">
        <f t="shared" si="42"/>
        <v>1371.9193888453897</v>
      </c>
      <c r="D547" s="34">
        <f t="shared" si="43"/>
        <v>0.33359990983556242</v>
      </c>
      <c r="E547" s="17"/>
    </row>
    <row r="548" spans="1:5">
      <c r="A548" s="4" t="s">
        <v>482</v>
      </c>
      <c r="B548" s="35">
        <f>Yard!$F$83</f>
        <v>0.21043595634209822</v>
      </c>
      <c r="C548" s="39">
        <f t="shared" si="42"/>
        <v>865.41141080719308</v>
      </c>
      <c r="D548" s="34">
        <f t="shared" si="43"/>
        <v>0.21043595634209822</v>
      </c>
      <c r="E548" s="17"/>
    </row>
    <row r="549" spans="1:5">
      <c r="A549" s="4" t="s">
        <v>483</v>
      </c>
      <c r="B549" s="35">
        <f>Yard!$G$83</f>
        <v>0</v>
      </c>
      <c r="C549" s="39">
        <f t="shared" si="42"/>
        <v>0</v>
      </c>
      <c r="D549" s="34">
        <f t="shared" si="43"/>
        <v>0</v>
      </c>
      <c r="E549" s="17"/>
    </row>
    <row r="550" spans="1:5">
      <c r="A550" s="4" t="s">
        <v>484</v>
      </c>
      <c r="B550" s="35">
        <f>Yard!$H$83</f>
        <v>0.26742968798960348</v>
      </c>
      <c r="C550" s="39">
        <f t="shared" si="42"/>
        <v>1099.796382698838</v>
      </c>
      <c r="D550" s="34">
        <f t="shared" si="43"/>
        <v>0.26742968798960348</v>
      </c>
      <c r="E550" s="17"/>
    </row>
    <row r="551" spans="1:5">
      <c r="A551" s="4" t="s">
        <v>485</v>
      </c>
      <c r="B551" s="35">
        <f>Yard!$I$83</f>
        <v>0.24280486989008224</v>
      </c>
      <c r="C551" s="39">
        <f t="shared" si="42"/>
        <v>998.5275741605609</v>
      </c>
      <c r="D551" s="34">
        <f t="shared" si="43"/>
        <v>0.24280486989008224</v>
      </c>
      <c r="E551" s="17"/>
    </row>
    <row r="552" spans="1:5">
      <c r="A552" s="4" t="s">
        <v>486</v>
      </c>
      <c r="B552" s="35">
        <f>Yard!$J$83</f>
        <v>5.7686452555389331E-3</v>
      </c>
      <c r="C552" s="39">
        <f t="shared" si="42"/>
        <v>23.723376536120302</v>
      </c>
      <c r="D552" s="34">
        <f t="shared" si="43"/>
        <v>5.7686452555389331E-3</v>
      </c>
      <c r="E552" s="17"/>
    </row>
    <row r="553" spans="1:5">
      <c r="A553" s="4" t="s">
        <v>1575</v>
      </c>
      <c r="B553" s="10"/>
      <c r="C553" s="39">
        <f t="shared" si="42"/>
        <v>0</v>
      </c>
      <c r="D553" s="34">
        <f t="shared" si="43"/>
        <v>0</v>
      </c>
      <c r="E553" s="17"/>
    </row>
    <row r="554" spans="1:5">
      <c r="A554" s="4" t="s">
        <v>1577</v>
      </c>
      <c r="B554" s="35">
        <f>Yard!$K$83</f>
        <v>0.26735668120973083</v>
      </c>
      <c r="C554" s="39">
        <f t="shared" si="42"/>
        <v>1099.4961445576653</v>
      </c>
      <c r="D554" s="34">
        <f t="shared" si="43"/>
        <v>0.26735668120973088</v>
      </c>
      <c r="E554" s="17"/>
    </row>
    <row r="555" spans="1:5">
      <c r="A555" s="4" t="s">
        <v>1578</v>
      </c>
      <c r="B555" s="35">
        <f>Yard!$L$83</f>
        <v>0.15103691324997004</v>
      </c>
      <c r="C555" s="39">
        <f t="shared" si="42"/>
        <v>621.13466943420622</v>
      </c>
      <c r="D555" s="34">
        <f t="shared" si="43"/>
        <v>0.15103691324997007</v>
      </c>
      <c r="E555" s="17"/>
    </row>
    <row r="556" spans="1:5">
      <c r="A556" s="4" t="s">
        <v>1579</v>
      </c>
      <c r="B556" s="35">
        <f>Yard!$M$83</f>
        <v>5.9743463914024193E-2</v>
      </c>
      <c r="C556" s="39">
        <f t="shared" si="42"/>
        <v>245.69316143051674</v>
      </c>
      <c r="D556" s="34">
        <f t="shared" si="43"/>
        <v>5.97434639140242E-2</v>
      </c>
      <c r="E556" s="17"/>
    </row>
    <row r="557" spans="1:5">
      <c r="A557" s="4" t="s">
        <v>1580</v>
      </c>
      <c r="B557" s="35">
        <f>Yard!$N$83</f>
        <v>0.13139199600261164</v>
      </c>
      <c r="C557" s="39">
        <f t="shared" si="42"/>
        <v>540.34555028486659</v>
      </c>
      <c r="D557" s="34">
        <f t="shared" si="43"/>
        <v>0.13139199600261164</v>
      </c>
      <c r="E557" s="17"/>
    </row>
    <row r="558" spans="1:5">
      <c r="A558" s="4" t="s">
        <v>1581</v>
      </c>
      <c r="B558" s="35">
        <f>Yard!$O$83</f>
        <v>8.2882517408759904E-2</v>
      </c>
      <c r="C558" s="39">
        <f t="shared" si="42"/>
        <v>340.85180863940315</v>
      </c>
      <c r="D558" s="34">
        <f t="shared" si="43"/>
        <v>8.2882517408759904E-2</v>
      </c>
      <c r="E558" s="17"/>
    </row>
    <row r="559" spans="1:5">
      <c r="A559" s="4" t="s">
        <v>1582</v>
      </c>
      <c r="B559" s="35">
        <f>Yard!$P$83</f>
        <v>0</v>
      </c>
      <c r="C559" s="39">
        <f t="shared" si="42"/>
        <v>0</v>
      </c>
      <c r="D559" s="34">
        <f t="shared" si="43"/>
        <v>0</v>
      </c>
      <c r="E559" s="17"/>
    </row>
    <row r="560" spans="1:5">
      <c r="A560" s="4" t="s">
        <v>1583</v>
      </c>
      <c r="B560" s="35">
        <f>Yard!$Q$83</f>
        <v>0.1504716083947466</v>
      </c>
      <c r="C560" s="39">
        <f t="shared" si="42"/>
        <v>618.80987056998651</v>
      </c>
      <c r="D560" s="34">
        <f t="shared" si="43"/>
        <v>0.1504716083947466</v>
      </c>
      <c r="E560" s="17"/>
    </row>
    <row r="561" spans="1:5">
      <c r="A561" s="4" t="s">
        <v>1584</v>
      </c>
      <c r="B561" s="35">
        <f>Yard!$R$83</f>
        <v>0.13661624321925767</v>
      </c>
      <c r="C561" s="39">
        <f t="shared" si="42"/>
        <v>561.83010659716035</v>
      </c>
      <c r="D561" s="34">
        <f t="shared" si="43"/>
        <v>0.13661624321925769</v>
      </c>
      <c r="E561" s="17"/>
    </row>
    <row r="562" spans="1:5">
      <c r="A562" s="4" t="s">
        <v>1585</v>
      </c>
      <c r="B562" s="35">
        <f>Yard!$S$83</f>
        <v>7.5734814070130205E-2</v>
      </c>
      <c r="C562" s="39">
        <f t="shared" si="42"/>
        <v>311.45709806884389</v>
      </c>
      <c r="D562" s="34">
        <f t="shared" si="43"/>
        <v>7.5734814070130205E-2</v>
      </c>
      <c r="E562" s="17"/>
    </row>
    <row r="563" spans="1:5">
      <c r="A563" s="4" t="s">
        <v>1586</v>
      </c>
      <c r="B563" s="35">
        <f>Otex!$B$164</f>
        <v>1.7272478538741278</v>
      </c>
      <c r="C563" s="39">
        <f t="shared" si="42"/>
        <v>7103.2537785742998</v>
      </c>
      <c r="D563" s="34">
        <f t="shared" si="43"/>
        <v>1.7272478538741278</v>
      </c>
      <c r="E563" s="17"/>
    </row>
    <row r="564" spans="1:5">
      <c r="A564" s="4" t="s">
        <v>1588</v>
      </c>
      <c r="B564" s="35">
        <f>Adder!$B$281</f>
        <v>0.57451230457623836</v>
      </c>
      <c r="C564" s="39">
        <f t="shared" si="42"/>
        <v>2362.664217046402</v>
      </c>
      <c r="D564" s="34">
        <f t="shared" si="43"/>
        <v>0.57451230457623836</v>
      </c>
      <c r="E564" s="17"/>
    </row>
    <row r="565" spans="1:5">
      <c r="A565" s="4" t="s">
        <v>1589</v>
      </c>
      <c r="B565" s="35">
        <f>Adjust!$B$94</f>
        <v>-1.9783563763819956E-4</v>
      </c>
      <c r="C565" s="39">
        <f t="shared" si="42"/>
        <v>-0.81359298692323379</v>
      </c>
      <c r="D565" s="34">
        <f t="shared" si="43"/>
        <v>-1.9783563763819958E-4</v>
      </c>
      <c r="E565" s="17"/>
    </row>
    <row r="567" spans="1:5">
      <c r="A567" s="4" t="s">
        <v>1590</v>
      </c>
      <c r="B567" s="34">
        <f>SUM($B$545:$B$565)</f>
        <v>4.952</v>
      </c>
      <c r="C567" s="39">
        <f>SUM($C$545:$C$565)</f>
        <v>20364.947990876652</v>
      </c>
      <c r="D567" s="34">
        <f>SUM($D$545:$D$565)</f>
        <v>4.952</v>
      </c>
    </row>
    <row r="569" spans="1:5" ht="21" customHeight="1">
      <c r="A569" s="1" t="s">
        <v>231</v>
      </c>
    </row>
    <row r="571" spans="1:5">
      <c r="B571" s="15" t="s">
        <v>237</v>
      </c>
      <c r="C571" s="15" t="s">
        <v>1571</v>
      </c>
    </row>
    <row r="572" spans="1:5">
      <c r="A572" s="4" t="s">
        <v>231</v>
      </c>
      <c r="B572" s="41">
        <f>Loads!B$351</f>
        <v>5.1405866293610297E-2</v>
      </c>
      <c r="C572" s="41">
        <f>Multi!B$145</f>
        <v>5.1405866293610297E-2</v>
      </c>
      <c r="D572" s="17"/>
    </row>
    <row r="574" spans="1:5">
      <c r="B574" s="15" t="s">
        <v>1379</v>
      </c>
      <c r="C574" s="15" t="s">
        <v>1573</v>
      </c>
      <c r="D574" s="15" t="s">
        <v>1540</v>
      </c>
    </row>
    <row r="575" spans="1:5">
      <c r="A575" s="4" t="s">
        <v>479</v>
      </c>
      <c r="B575" s="35">
        <f>Yard!$C$84</f>
        <v>0.14634127890877346</v>
      </c>
      <c r="C575" s="39">
        <f t="shared" ref="C575:C595" si="44">0+10*(B575*$B$572)</f>
        <v>7.5228002168203412E-2</v>
      </c>
      <c r="D575" s="34">
        <f t="shared" ref="D575:D595" si="45">IF($C$572&lt;&gt;0,0.1*C575/$C$572,"")</f>
        <v>0.14634127890877346</v>
      </c>
      <c r="E575" s="17"/>
    </row>
    <row r="576" spans="1:5">
      <c r="A576" s="4" t="s">
        <v>480</v>
      </c>
      <c r="B576" s="35">
        <f>Yard!$D$84</f>
        <v>5.7886080478542823E-2</v>
      </c>
      <c r="C576" s="39">
        <f t="shared" si="44"/>
        <v>2.9756841133411375E-2</v>
      </c>
      <c r="D576" s="34">
        <f t="shared" si="45"/>
        <v>5.788608047854283E-2</v>
      </c>
      <c r="E576" s="17"/>
    </row>
    <row r="577" spans="1:5">
      <c r="A577" s="4" t="s">
        <v>481</v>
      </c>
      <c r="B577" s="35">
        <f>Yard!$E$84</f>
        <v>0.16487933023452356</v>
      </c>
      <c r="C577" s="39">
        <f t="shared" si="44"/>
        <v>8.4757648046159373E-2</v>
      </c>
      <c r="D577" s="34">
        <f t="shared" si="45"/>
        <v>0.16487933023452361</v>
      </c>
      <c r="E577" s="17"/>
    </row>
    <row r="578" spans="1:5">
      <c r="A578" s="4" t="s">
        <v>482</v>
      </c>
      <c r="B578" s="35">
        <f>Yard!$F$84</f>
        <v>0.10400644159660943</v>
      </c>
      <c r="C578" s="39">
        <f t="shared" si="44"/>
        <v>5.3465412303894927E-2</v>
      </c>
      <c r="D578" s="34">
        <f t="shared" si="45"/>
        <v>0.10400644159660943</v>
      </c>
      <c r="E578" s="17"/>
    </row>
    <row r="579" spans="1:5">
      <c r="A579" s="4" t="s">
        <v>483</v>
      </c>
      <c r="B579" s="35">
        <f>Yard!$G$84</f>
        <v>0</v>
      </c>
      <c r="C579" s="39">
        <f t="shared" si="44"/>
        <v>0</v>
      </c>
      <c r="D579" s="34">
        <f t="shared" si="45"/>
        <v>0</v>
      </c>
      <c r="E579" s="17"/>
    </row>
    <row r="580" spans="1:5">
      <c r="A580" s="4" t="s">
        <v>484</v>
      </c>
      <c r="B580" s="35">
        <f>Yard!$H$84</f>
        <v>0.13217517913085766</v>
      </c>
      <c r="C580" s="39">
        <f t="shared" si="44"/>
        <v>6.7945795857348598E-2</v>
      </c>
      <c r="D580" s="34">
        <f t="shared" si="45"/>
        <v>0.13217517913085769</v>
      </c>
      <c r="E580" s="17"/>
    </row>
    <row r="581" spans="1:5">
      <c r="A581" s="4" t="s">
        <v>485</v>
      </c>
      <c r="B581" s="35">
        <f>Yard!$I$84</f>
        <v>0.12000454180245629</v>
      </c>
      <c r="C581" s="39">
        <f t="shared" si="44"/>
        <v>6.168937430523036E-2</v>
      </c>
      <c r="D581" s="34">
        <f t="shared" si="45"/>
        <v>0.12000454180245632</v>
      </c>
      <c r="E581" s="17"/>
    </row>
    <row r="582" spans="1:5">
      <c r="A582" s="4" t="s">
        <v>486</v>
      </c>
      <c r="B582" s="35">
        <f>Yard!$J$84</f>
        <v>2.8511109807033558E-3</v>
      </c>
      <c r="C582" s="39">
        <f t="shared" si="44"/>
        <v>1.4656382986228083E-3</v>
      </c>
      <c r="D582" s="34">
        <f t="shared" si="45"/>
        <v>2.8511109807033558E-3</v>
      </c>
      <c r="E582" s="17"/>
    </row>
    <row r="583" spans="1:5">
      <c r="A583" s="4" t="s">
        <v>1575</v>
      </c>
      <c r="B583" s="10"/>
      <c r="C583" s="39">
        <f t="shared" si="44"/>
        <v>0</v>
      </c>
      <c r="D583" s="34">
        <f t="shared" si="45"/>
        <v>0</v>
      </c>
      <c r="E583" s="17"/>
    </row>
    <row r="584" spans="1:5">
      <c r="A584" s="4" t="s">
        <v>1577</v>
      </c>
      <c r="B584" s="35">
        <f>Yard!$K$84</f>
        <v>6.6178217961452748E-2</v>
      </c>
      <c r="C584" s="39">
        <f t="shared" si="44"/>
        <v>3.4019486240758394E-2</v>
      </c>
      <c r="D584" s="34">
        <f t="shared" si="45"/>
        <v>6.6178217961452748E-2</v>
      </c>
      <c r="E584" s="17"/>
    </row>
    <row r="585" spans="1:5">
      <c r="A585" s="4" t="s">
        <v>1578</v>
      </c>
      <c r="B585" s="35">
        <f>Yard!$L$84</f>
        <v>5.7638123292289019E-2</v>
      </c>
      <c r="C585" s="39">
        <f t="shared" si="44"/>
        <v>2.9629376593780343E-2</v>
      </c>
      <c r="D585" s="34">
        <f t="shared" si="45"/>
        <v>5.7638123292289019E-2</v>
      </c>
      <c r="E585" s="17"/>
    </row>
    <row r="586" spans="1:5">
      <c r="A586" s="4" t="s">
        <v>1579</v>
      </c>
      <c r="B586" s="35">
        <f>Yard!$M$84</f>
        <v>2.2799069875626108E-2</v>
      </c>
      <c r="C586" s="39">
        <f t="shared" si="44"/>
        <v>1.1720059376451143E-2</v>
      </c>
      <c r="D586" s="34">
        <f t="shared" si="45"/>
        <v>2.2799069875626115E-2</v>
      </c>
      <c r="E586" s="17"/>
    </row>
    <row r="587" spans="1:5">
      <c r="A587" s="4" t="s">
        <v>1580</v>
      </c>
      <c r="B587" s="35">
        <f>Yard!$N$84</f>
        <v>6.4939538831908866E-2</v>
      </c>
      <c r="C587" s="39">
        <f t="shared" si="44"/>
        <v>3.3382732503618208E-2</v>
      </c>
      <c r="D587" s="34">
        <f t="shared" si="45"/>
        <v>6.4939538831908866E-2</v>
      </c>
      <c r="E587" s="17"/>
    </row>
    <row r="588" spans="1:5">
      <c r="A588" s="4" t="s">
        <v>1581</v>
      </c>
      <c r="B588" s="35">
        <f>Yard!$O$84</f>
        <v>4.0964081690680332E-2</v>
      </c>
      <c r="C588" s="39">
        <f t="shared" si="44"/>
        <v>2.1057941062316426E-2</v>
      </c>
      <c r="D588" s="34">
        <f t="shared" si="45"/>
        <v>4.0964081690680332E-2</v>
      </c>
      <c r="E588" s="17"/>
    </row>
    <row r="589" spans="1:5">
      <c r="A589" s="4" t="s">
        <v>1582</v>
      </c>
      <c r="B589" s="35">
        <f>Yard!$P$84</f>
        <v>0</v>
      </c>
      <c r="C589" s="39">
        <f t="shared" si="44"/>
        <v>0</v>
      </c>
      <c r="D589" s="34">
        <f t="shared" si="45"/>
        <v>0</v>
      </c>
      <c r="E589" s="17"/>
    </row>
    <row r="590" spans="1:5">
      <c r="A590" s="4" t="s">
        <v>1583</v>
      </c>
      <c r="B590" s="35">
        <f>Yard!$Q$84</f>
        <v>7.4369498551922472E-2</v>
      </c>
      <c r="C590" s="39">
        <f t="shared" si="44"/>
        <v>3.8230284988829716E-2</v>
      </c>
      <c r="D590" s="34">
        <f t="shared" si="45"/>
        <v>7.4369498551922486E-2</v>
      </c>
      <c r="E590" s="17"/>
    </row>
    <row r="591" spans="1:5">
      <c r="A591" s="4" t="s">
        <v>1584</v>
      </c>
      <c r="B591" s="35">
        <f>Yard!$R$84</f>
        <v>6.7521585039549498E-2</v>
      </c>
      <c r="C591" s="39">
        <f t="shared" si="44"/>
        <v>3.4710055724757188E-2</v>
      </c>
      <c r="D591" s="34">
        <f t="shared" si="45"/>
        <v>6.7521585039549498E-2</v>
      </c>
      <c r="E591" s="17"/>
    </row>
    <row r="592" spans="1:5">
      <c r="A592" s="4" t="s">
        <v>1585</v>
      </c>
      <c r="B592" s="35">
        <f>Yard!$S$84</f>
        <v>3.7431381277873745E-2</v>
      </c>
      <c r="C592" s="39">
        <f t="shared" si="44"/>
        <v>1.9241925811555254E-2</v>
      </c>
      <c r="D592" s="34">
        <f t="shared" si="45"/>
        <v>3.7431381277873745E-2</v>
      </c>
      <c r="E592" s="17"/>
    </row>
    <row r="593" spans="1:8">
      <c r="A593" s="4" t="s">
        <v>1586</v>
      </c>
      <c r="B593" s="35">
        <f>Otex!$B$165</f>
        <v>1.7272478538741278</v>
      </c>
      <c r="C593" s="39">
        <f t="shared" si="44"/>
        <v>0.88790672232178747</v>
      </c>
      <c r="D593" s="34">
        <f t="shared" si="45"/>
        <v>1.7272478538741278</v>
      </c>
      <c r="E593" s="17"/>
    </row>
    <row r="594" spans="1:8">
      <c r="A594" s="4" t="s">
        <v>1588</v>
      </c>
      <c r="B594" s="35">
        <f>Adder!$B$282</f>
        <v>0.57451230457623836</v>
      </c>
      <c r="C594" s="39">
        <f t="shared" si="44"/>
        <v>0.29533302713080023</v>
      </c>
      <c r="D594" s="34">
        <f t="shared" si="45"/>
        <v>0.57451230457623836</v>
      </c>
      <c r="E594" s="17"/>
    </row>
    <row r="595" spans="1:8">
      <c r="A595" s="4" t="s">
        <v>1589</v>
      </c>
      <c r="B595" s="35">
        <f>Adjust!$B$95</f>
        <v>2.5438189586468596E-4</v>
      </c>
      <c r="C595" s="39">
        <f t="shared" si="44"/>
        <v>1.3076721726335144E-4</v>
      </c>
      <c r="D595" s="34">
        <f t="shared" si="45"/>
        <v>2.5438189586468596E-4</v>
      </c>
      <c r="E595" s="17"/>
    </row>
    <row r="597" spans="1:8">
      <c r="A597" s="4" t="s">
        <v>1590</v>
      </c>
      <c r="B597" s="34">
        <f>SUM($B$575:$B$595)</f>
        <v>3.4620000000000002</v>
      </c>
      <c r="C597" s="39">
        <f>SUM($C$575:$C$595)</f>
        <v>1.7796710910847886</v>
      </c>
      <c r="D597" s="34">
        <f>SUM($D$575:$D$595)</f>
        <v>3.4620000000000002</v>
      </c>
    </row>
    <row r="599" spans="1:8" ht="21" customHeight="1">
      <c r="A599" s="1" t="s">
        <v>232</v>
      </c>
    </row>
    <row r="601" spans="1:8">
      <c r="B601" s="15" t="s">
        <v>237</v>
      </c>
      <c r="C601" s="15" t="s">
        <v>238</v>
      </c>
      <c r="D601" s="15" t="s">
        <v>239</v>
      </c>
      <c r="E601" s="15" t="s">
        <v>1571</v>
      </c>
    </row>
    <row r="602" spans="1:8">
      <c r="A602" s="4" t="s">
        <v>232</v>
      </c>
      <c r="B602" s="41">
        <f>Loads!B$352</f>
        <v>10560.706473771854</v>
      </c>
      <c r="C602" s="41">
        <f>Loads!C$352</f>
        <v>28387.518136671788</v>
      </c>
      <c r="D602" s="41">
        <f>Loads!D$352</f>
        <v>176907.07056212696</v>
      </c>
      <c r="E602" s="41">
        <f>Multi!B$146</f>
        <v>215855.29517257059</v>
      </c>
      <c r="F602" s="17"/>
    </row>
    <row r="604" spans="1:8" ht="30">
      <c r="B604" s="15" t="s">
        <v>1379</v>
      </c>
      <c r="C604" s="15" t="s">
        <v>1380</v>
      </c>
      <c r="D604" s="15" t="s">
        <v>1381</v>
      </c>
      <c r="E604" s="15" t="s">
        <v>1591</v>
      </c>
      <c r="F604" s="15" t="s">
        <v>1573</v>
      </c>
      <c r="G604" s="15" t="s">
        <v>1540</v>
      </c>
    </row>
    <row r="605" spans="1:8">
      <c r="A605" s="4" t="s">
        <v>479</v>
      </c>
      <c r="B605" s="35">
        <f>Yard!$C$85</f>
        <v>3.6221091385780197</v>
      </c>
      <c r="C605" s="35">
        <f>Yard!$C$113</f>
        <v>0.13598079677452737</v>
      </c>
      <c r="D605" s="35">
        <f>Yard!$C$136</f>
        <v>2.2044682214783652E-2</v>
      </c>
      <c r="E605" s="34">
        <f t="shared" ref="E605:E625" si="46">IF(E$602&lt;&gt;0,(($B605*B$602+$C605*C$602+$D605*D$602))/E$602,0)</f>
        <v>0.21316154824216865</v>
      </c>
      <c r="F605" s="39">
        <f t="shared" ref="F605:F625" si="47">0+10*(B605*$B$602+C605*$C$602+D605*$D$602)</f>
        <v>460120.4891525546</v>
      </c>
      <c r="G605" s="34">
        <f t="shared" ref="G605:G625" si="48">IF($E$602&lt;&gt;0,0.1*F605/$E$602,"")</f>
        <v>0.21316154824216868</v>
      </c>
      <c r="H605" s="17"/>
    </row>
    <row r="606" spans="1:8">
      <c r="A606" s="4" t="s">
        <v>480</v>
      </c>
      <c r="B606" s="35">
        <f>Yard!$D$85</f>
        <v>1.4327447638919226</v>
      </c>
      <c r="C606" s="35">
        <f>Yard!$D$113</f>
        <v>5.3787936010409959E-2</v>
      </c>
      <c r="D606" s="35">
        <f>Yard!$D$136</f>
        <v>8.7198926941478589E-3</v>
      </c>
      <c r="E606" s="34">
        <f t="shared" si="46"/>
        <v>8.4317197638876212E-2</v>
      </c>
      <c r="F606" s="39">
        <f t="shared" si="47"/>
        <v>182003.13584463598</v>
      </c>
      <c r="G606" s="34">
        <f t="shared" si="48"/>
        <v>8.4317197638876212E-2</v>
      </c>
      <c r="H606" s="17"/>
    </row>
    <row r="607" spans="1:8">
      <c r="A607" s="4" t="s">
        <v>481</v>
      </c>
      <c r="B607" s="35">
        <f>Yard!$E$85</f>
        <v>3.0065997898099379</v>
      </c>
      <c r="C607" s="35">
        <f>Yard!$E$113</f>
        <v>0.18607697216152</v>
      </c>
      <c r="D607" s="35">
        <f>Yard!$E$136</f>
        <v>2.2666805680079387E-2</v>
      </c>
      <c r="E607" s="34">
        <f t="shared" si="46"/>
        <v>0.19014590049963453</v>
      </c>
      <c r="F607" s="39">
        <f t="shared" si="47"/>
        <v>410439.99478202849</v>
      </c>
      <c r="G607" s="34">
        <f t="shared" si="48"/>
        <v>0.19014590049963453</v>
      </c>
      <c r="H607" s="17"/>
    </row>
    <row r="608" spans="1:8">
      <c r="A608" s="4" t="s">
        <v>482</v>
      </c>
      <c r="B608" s="35">
        <f>Yard!$F$85</f>
        <v>1.8965733606417152</v>
      </c>
      <c r="C608" s="35">
        <f>Yard!$F$113</f>
        <v>0.11737798613120967</v>
      </c>
      <c r="D608" s="35">
        <f>Yard!$F$136</f>
        <v>1.4298298020701466E-2</v>
      </c>
      <c r="E608" s="34">
        <f t="shared" si="46"/>
        <v>0.11994467994878492</v>
      </c>
      <c r="F608" s="39">
        <f t="shared" si="47"/>
        <v>258906.9429472448</v>
      </c>
      <c r="G608" s="34">
        <f t="shared" si="48"/>
        <v>0.11994467994878494</v>
      </c>
      <c r="H608" s="17"/>
    </row>
    <row r="609" spans="1:8">
      <c r="A609" s="4" t="s">
        <v>483</v>
      </c>
      <c r="B609" s="35">
        <f>Yard!$G$85</f>
        <v>0</v>
      </c>
      <c r="C609" s="35">
        <f>Yard!$G$113</f>
        <v>0</v>
      </c>
      <c r="D609" s="35">
        <f>Yard!$G$136</f>
        <v>0</v>
      </c>
      <c r="E609" s="34">
        <f t="shared" si="46"/>
        <v>0</v>
      </c>
      <c r="F609" s="39">
        <f t="shared" si="47"/>
        <v>0</v>
      </c>
      <c r="G609" s="34">
        <f t="shared" si="48"/>
        <v>0</v>
      </c>
      <c r="H609" s="17"/>
    </row>
    <row r="610" spans="1:8">
      <c r="A610" s="4" t="s">
        <v>484</v>
      </c>
      <c r="B610" s="35">
        <f>Yard!$H$85</f>
        <v>2.4102345953714805</v>
      </c>
      <c r="C610" s="35">
        <f>Yard!$H$113</f>
        <v>0.14916822559015161</v>
      </c>
      <c r="D610" s="35">
        <f>Yard!$H$136</f>
        <v>1.817079858844256E-2</v>
      </c>
      <c r="E610" s="34">
        <f t="shared" si="46"/>
        <v>0.15243007370171258</v>
      </c>
      <c r="F610" s="39">
        <f t="shared" si="47"/>
        <v>329028.38552059862</v>
      </c>
      <c r="G610" s="34">
        <f t="shared" si="48"/>
        <v>0.15243007370171258</v>
      </c>
      <c r="H610" s="17"/>
    </row>
    <row r="611" spans="1:8">
      <c r="A611" s="4" t="s">
        <v>485</v>
      </c>
      <c r="B611" s="35">
        <f>Yard!$I$85</f>
        <v>2.1883011633192275</v>
      </c>
      <c r="C611" s="35">
        <f>Yard!$I$113</f>
        <v>0.13543287537903884</v>
      </c>
      <c r="D611" s="35">
        <f>Yard!$I$136</f>
        <v>1.6497638763416589E-2</v>
      </c>
      <c r="E611" s="34">
        <f t="shared" si="46"/>
        <v>0.13839437382852868</v>
      </c>
      <c r="F611" s="39">
        <f t="shared" si="47"/>
        <v>298731.58412980137</v>
      </c>
      <c r="G611" s="34">
        <f t="shared" si="48"/>
        <v>0.13839437382852868</v>
      </c>
      <c r="H611" s="17"/>
    </row>
    <row r="612" spans="1:8">
      <c r="A612" s="4" t="s">
        <v>486</v>
      </c>
      <c r="B612" s="35">
        <f>Yard!$J$85</f>
        <v>5.1990444545805287E-2</v>
      </c>
      <c r="C612" s="35">
        <f>Yard!$J$113</f>
        <v>3.2176628679357472E-3</v>
      </c>
      <c r="D612" s="35">
        <f>Yard!$J$136</f>
        <v>3.919568236965811E-4</v>
      </c>
      <c r="E612" s="34">
        <f t="shared" si="46"/>
        <v>3.2880232111515543E-3</v>
      </c>
      <c r="F612" s="39">
        <f t="shared" si="47"/>
        <v>7097.3722077738221</v>
      </c>
      <c r="G612" s="34">
        <f t="shared" si="48"/>
        <v>3.2880232111515547E-3</v>
      </c>
      <c r="H612" s="17"/>
    </row>
    <row r="613" spans="1:8">
      <c r="A613" s="4" t="s">
        <v>1575</v>
      </c>
      <c r="B613" s="10"/>
      <c r="C613" s="10"/>
      <c r="D613" s="10"/>
      <c r="E613" s="34">
        <f t="shared" si="46"/>
        <v>0</v>
      </c>
      <c r="F613" s="39">
        <f t="shared" si="47"/>
        <v>0</v>
      </c>
      <c r="G613" s="34">
        <f t="shared" si="48"/>
        <v>0</v>
      </c>
      <c r="H613" s="17"/>
    </row>
    <row r="614" spans="1:8">
      <c r="A614" s="4" t="s">
        <v>1577</v>
      </c>
      <c r="B614" s="35">
        <f>Yard!$K$85</f>
        <v>2.7274260841190494</v>
      </c>
      <c r="C614" s="35">
        <f>Yard!$K$113</f>
        <v>3.5115934547945392E-2</v>
      </c>
      <c r="D614" s="35">
        <f>Yard!$K$136</f>
        <v>2.6541245811676105E-3</v>
      </c>
      <c r="E614" s="34">
        <f t="shared" si="46"/>
        <v>0.14023252898437136</v>
      </c>
      <c r="F614" s="39">
        <f t="shared" si="47"/>
        <v>302699.33936717536</v>
      </c>
      <c r="G614" s="34">
        <f t="shared" si="48"/>
        <v>0.14023252898437136</v>
      </c>
      <c r="H614" s="17"/>
    </row>
    <row r="615" spans="1:8">
      <c r="A615" s="4" t="s">
        <v>1578</v>
      </c>
      <c r="B615" s="35">
        <f>Yard!$L$85</f>
        <v>1.4266075482204246</v>
      </c>
      <c r="C615" s="35">
        <f>Yard!$L$113</f>
        <v>5.3557533378943409E-2</v>
      </c>
      <c r="D615" s="35">
        <f>Yard!$L$136</f>
        <v>8.6825407083336269E-3</v>
      </c>
      <c r="E615" s="34">
        <f t="shared" si="46"/>
        <v>8.3956021775758463E-2</v>
      </c>
      <c r="F615" s="39">
        <f t="shared" si="47"/>
        <v>181223.51861921107</v>
      </c>
      <c r="G615" s="34">
        <f t="shared" si="48"/>
        <v>8.3956021775758463E-2</v>
      </c>
      <c r="H615" s="17"/>
    </row>
    <row r="616" spans="1:8">
      <c r="A616" s="4" t="s">
        <v>1579</v>
      </c>
      <c r="B616" s="35">
        <f>Yard!$M$85</f>
        <v>0.56430229367520757</v>
      </c>
      <c r="C616" s="35">
        <f>Yard!$M$113</f>
        <v>2.1184970573739439E-2</v>
      </c>
      <c r="D616" s="35">
        <f>Yard!$M$136</f>
        <v>3.4344257064620517E-3</v>
      </c>
      <c r="E616" s="34">
        <f t="shared" si="46"/>
        <v>3.3209256263227085E-2</v>
      </c>
      <c r="F616" s="39">
        <f t="shared" si="47"/>
        <v>71683.938131604213</v>
      </c>
      <c r="G616" s="34">
        <f t="shared" si="48"/>
        <v>3.3209256263227085E-2</v>
      </c>
      <c r="H616" s="17"/>
    </row>
    <row r="617" spans="1:8">
      <c r="A617" s="4" t="s">
        <v>1580</v>
      </c>
      <c r="B617" s="35">
        <f>Yard!$N$85</f>
        <v>1.1841824170722481</v>
      </c>
      <c r="C617" s="35">
        <f>Yard!$N$113</f>
        <v>7.3288463400592307E-2</v>
      </c>
      <c r="D617" s="35">
        <f>Yard!$N$136</f>
        <v>8.9275708820694636E-3</v>
      </c>
      <c r="E617" s="34">
        <f t="shared" si="46"/>
        <v>7.4891055608126131E-2</v>
      </c>
      <c r="F617" s="39">
        <f t="shared" si="47"/>
        <v>161656.30914077465</v>
      </c>
      <c r="G617" s="34">
        <f t="shared" si="48"/>
        <v>7.4891055608126145E-2</v>
      </c>
      <c r="H617" s="17"/>
    </row>
    <row r="618" spans="1:8">
      <c r="A618" s="4" t="s">
        <v>1581</v>
      </c>
      <c r="B618" s="35">
        <f>Yard!$O$85</f>
        <v>0.74698629128205907</v>
      </c>
      <c r="C618" s="35">
        <f>Yard!$O$113</f>
        <v>4.6230611669375338E-2</v>
      </c>
      <c r="D618" s="35">
        <f>Yard!$O$136</f>
        <v>5.6315420388038922E-3</v>
      </c>
      <c r="E618" s="34">
        <f t="shared" si="46"/>
        <v>4.7241532277792202E-2</v>
      </c>
      <c r="F618" s="39">
        <f t="shared" si="47"/>
        <v>101973.34894227357</v>
      </c>
      <c r="G618" s="34">
        <f t="shared" si="48"/>
        <v>4.7241532277792209E-2</v>
      </c>
      <c r="H618" s="17"/>
    </row>
    <row r="619" spans="1:8">
      <c r="A619" s="4" t="s">
        <v>1582</v>
      </c>
      <c r="B619" s="35">
        <f>Yard!$P$85</f>
        <v>0</v>
      </c>
      <c r="C619" s="35">
        <f>Yard!$P$113</f>
        <v>0</v>
      </c>
      <c r="D619" s="35">
        <f>Yard!$P$136</f>
        <v>0</v>
      </c>
      <c r="E619" s="34">
        <f t="shared" si="46"/>
        <v>0</v>
      </c>
      <c r="F619" s="39">
        <f t="shared" si="47"/>
        <v>0</v>
      </c>
      <c r="G619" s="34">
        <f t="shared" si="48"/>
        <v>0</v>
      </c>
      <c r="H619" s="17"/>
    </row>
    <row r="620" spans="1:8">
      <c r="A620" s="4" t="s">
        <v>1583</v>
      </c>
      <c r="B620" s="35">
        <f>Yard!$Q$85</f>
        <v>1.3561391740034001</v>
      </c>
      <c r="C620" s="35">
        <f>Yard!$Q$113</f>
        <v>8.3930781936271417E-2</v>
      </c>
      <c r="D620" s="35">
        <f>Yard!$Q$136</f>
        <v>1.022395572449023E-2</v>
      </c>
      <c r="E620" s="34">
        <f t="shared" si="46"/>
        <v>8.5766088761686482E-2</v>
      </c>
      <c r="F620" s="39">
        <f t="shared" si="47"/>
        <v>185130.64405450725</v>
      </c>
      <c r="G620" s="34">
        <f t="shared" si="48"/>
        <v>8.5766088761686482E-2</v>
      </c>
      <c r="H620" s="17"/>
    </row>
    <row r="621" spans="1:8">
      <c r="A621" s="4" t="s">
        <v>1584</v>
      </c>
      <c r="B621" s="35">
        <f>Yard!$R$85</f>
        <v>1.231266424352782</v>
      </c>
      <c r="C621" s="35">
        <f>Yard!$R$113</f>
        <v>7.6202469295785474E-2</v>
      </c>
      <c r="D621" s="35">
        <f>Yard!$R$136</f>
        <v>9.2825379938495031E-3</v>
      </c>
      <c r="E621" s="34">
        <f t="shared" si="46"/>
        <v>7.7868781806947701E-2</v>
      </c>
      <c r="F621" s="39">
        <f t="shared" si="47"/>
        <v>168083.88881667191</v>
      </c>
      <c r="G621" s="34">
        <f t="shared" si="48"/>
        <v>7.7868781806947715E-2</v>
      </c>
      <c r="H621" s="17"/>
    </row>
    <row r="622" spans="1:8">
      <c r="A622" s="4" t="s">
        <v>1585</v>
      </c>
      <c r="B622" s="35">
        <f>Yard!$S$85</f>
        <v>0.68256695925603772</v>
      </c>
      <c r="C622" s="35">
        <f>Yard!$S$113</f>
        <v>4.2243731109915368E-2</v>
      </c>
      <c r="D622" s="35">
        <f>Yard!$S$136</f>
        <v>5.1458836262598525E-3</v>
      </c>
      <c r="E622" s="34">
        <f t="shared" si="46"/>
        <v>4.3167470961355037E-2</v>
      </c>
      <c r="F622" s="39">
        <f t="shared" si="47"/>
        <v>93179.271862166614</v>
      </c>
      <c r="G622" s="34">
        <f t="shared" si="48"/>
        <v>4.3167470961355044E-2</v>
      </c>
      <c r="H622" s="17"/>
    </row>
    <row r="623" spans="1:8">
      <c r="A623" s="4" t="s">
        <v>1586</v>
      </c>
      <c r="B623" s="35">
        <f>Otex!$B$166</f>
        <v>1.7272478538741278</v>
      </c>
      <c r="C623" s="35">
        <f>Otex!$B$166</f>
        <v>1.7272478538741278</v>
      </c>
      <c r="D623" s="35">
        <f>Otex!$B$166</f>
        <v>1.7272478538741278</v>
      </c>
      <c r="E623" s="34">
        <f t="shared" si="46"/>
        <v>1.7272478538741278</v>
      </c>
      <c r="F623" s="39">
        <f t="shared" si="47"/>
        <v>3728355.9533418897</v>
      </c>
      <c r="G623" s="34">
        <f t="shared" si="48"/>
        <v>1.727247853874128</v>
      </c>
      <c r="H623" s="17"/>
    </row>
    <row r="624" spans="1:8">
      <c r="A624" s="4" t="s">
        <v>1588</v>
      </c>
      <c r="B624" s="35">
        <f>Adder!$B$283</f>
        <v>0.57451230457623836</v>
      </c>
      <c r="C624" s="35">
        <f>Adder!$C$283</f>
        <v>0.57451230457623836</v>
      </c>
      <c r="D624" s="35">
        <f>Adder!$D$283</f>
        <v>0.57451230457623836</v>
      </c>
      <c r="E624" s="34">
        <f t="shared" si="46"/>
        <v>0.57451230457623836</v>
      </c>
      <c r="F624" s="39">
        <f t="shared" si="47"/>
        <v>1240115.2308457771</v>
      </c>
      <c r="G624" s="34">
        <f t="shared" si="48"/>
        <v>0.57451230457623836</v>
      </c>
      <c r="H624" s="17"/>
    </row>
    <row r="625" spans="1:8">
      <c r="A625" s="4" t="s">
        <v>1589</v>
      </c>
      <c r="B625" s="35">
        <f>Adjust!$B$96</f>
        <v>2.093934103122308E-4</v>
      </c>
      <c r="C625" s="35">
        <f>Adjust!$C$96</f>
        <v>4.4289072227288173E-4</v>
      </c>
      <c r="D625" s="35">
        <f>Adjust!$D$96</f>
        <v>4.6718750292962241E-4</v>
      </c>
      <c r="E625" s="34">
        <f t="shared" si="46"/>
        <v>4.5137963015247969E-4</v>
      </c>
      <c r="F625" s="39">
        <f t="shared" si="47"/>
        <v>974.32683301449242</v>
      </c>
      <c r="G625" s="34">
        <f t="shared" si="48"/>
        <v>4.5137963015247969E-4</v>
      </c>
      <c r="H625" s="17"/>
    </row>
    <row r="627" spans="1:8">
      <c r="A627" s="4" t="s">
        <v>1590</v>
      </c>
      <c r="B627" s="34">
        <f>SUM($B$605:$B$625)</f>
        <v>26.83</v>
      </c>
      <c r="C627" s="34">
        <f>SUM($C$605:$C$625)</f>
        <v>3.5150000000000001</v>
      </c>
      <c r="D627" s="34">
        <f>SUM($D$605:$D$625)</f>
        <v>2.4590000000000001</v>
      </c>
      <c r="E627" s="34">
        <f>SUM(E$605:E$625)</f>
        <v>3.7902260715906402</v>
      </c>
      <c r="F627" s="39">
        <f>SUM($F$605:$F$625)</f>
        <v>8181403.6745397029</v>
      </c>
      <c r="G627" s="34">
        <f>SUM($G$605:$G$625)</f>
        <v>3.7902260715906406</v>
      </c>
    </row>
    <row r="629" spans="1:8" ht="21" customHeight="1">
      <c r="A629" s="1" t="s">
        <v>190</v>
      </c>
    </row>
    <row r="631" spans="1:8">
      <c r="B631" s="15" t="s">
        <v>237</v>
      </c>
      <c r="C631" s="15" t="s">
        <v>240</v>
      </c>
      <c r="D631" s="15" t="s">
        <v>1571</v>
      </c>
      <c r="E631" s="15" t="s">
        <v>1572</v>
      </c>
    </row>
    <row r="632" spans="1:8">
      <c r="A632" s="4" t="s">
        <v>190</v>
      </c>
      <c r="B632" s="41">
        <f>Loads!B$353</f>
        <v>3259.869342874948</v>
      </c>
      <c r="C632" s="41">
        <f>Loads!E$353</f>
        <v>270.06557377049182</v>
      </c>
      <c r="D632" s="41">
        <f>Multi!B$147</f>
        <v>3259.869342874948</v>
      </c>
      <c r="E632" s="34">
        <f>IF(C632,D632/C632,"")</f>
        <v>12.070658608435826</v>
      </c>
      <c r="F632" s="17"/>
    </row>
    <row r="634" spans="1:8" ht="30">
      <c r="B634" s="15" t="s">
        <v>1379</v>
      </c>
      <c r="C634" s="15" t="s">
        <v>1382</v>
      </c>
      <c r="D634" s="15" t="s">
        <v>1573</v>
      </c>
      <c r="E634" s="15" t="s">
        <v>1540</v>
      </c>
      <c r="F634" s="15" t="s">
        <v>1574</v>
      </c>
    </row>
    <row r="635" spans="1:8">
      <c r="A635" s="4" t="s">
        <v>479</v>
      </c>
      <c r="B635" s="35">
        <f>Yard!$C$42</f>
        <v>-0.13631165338487333</v>
      </c>
      <c r="C635" s="10"/>
      <c r="D635" s="39">
        <f>0.01*Input!$F$60*(C635*$C$632)+10*(B635*$B$632)</f>
        <v>-4443.5817994594472</v>
      </c>
      <c r="E635" s="34">
        <f t="shared" ref="E635:E657" si="49">IF($D$632&lt;&gt;0,0.1*D635/$D$632,"")</f>
        <v>-0.13631165338487336</v>
      </c>
      <c r="F635" s="43">
        <f t="shared" ref="F635:F657" si="50">IF($C$632&lt;&gt;0,D635/$C$632,"")</f>
        <v>-16.453714323602419</v>
      </c>
      <c r="G635" s="17"/>
    </row>
    <row r="636" spans="1:8">
      <c r="A636" s="4" t="s">
        <v>480</v>
      </c>
      <c r="B636" s="35">
        <f>Yard!$D$42</f>
        <v>-5.391880812329676E-2</v>
      </c>
      <c r="C636" s="10"/>
      <c r="D636" s="39">
        <f>0.01*Input!$F$60*(C636*$C$632)+10*(B636*$B$632)</f>
        <v>-1757.6826960549181</v>
      </c>
      <c r="E636" s="34">
        <f t="shared" si="49"/>
        <v>-5.391880812329676E-2</v>
      </c>
      <c r="F636" s="43">
        <f t="shared" si="50"/>
        <v>-6.5083552543007164</v>
      </c>
      <c r="G636" s="17"/>
    </row>
    <row r="637" spans="1:8">
      <c r="A637" s="4" t="s">
        <v>481</v>
      </c>
      <c r="B637" s="35">
        <f>Yard!$E$42</f>
        <v>-0.13614863588539305</v>
      </c>
      <c r="C637" s="10"/>
      <c r="D637" s="39">
        <f>0.01*Input!$F$60*(C637*$C$632)+10*(B637*$B$632)</f>
        <v>-4438.2676419703685</v>
      </c>
      <c r="E637" s="34">
        <f t="shared" si="49"/>
        <v>-0.13614863588539308</v>
      </c>
      <c r="F637" s="43">
        <f t="shared" si="50"/>
        <v>-16.434037037768146</v>
      </c>
      <c r="G637" s="17"/>
    </row>
    <row r="638" spans="1:8">
      <c r="A638" s="4" t="s">
        <v>482</v>
      </c>
      <c r="B638" s="35">
        <f>Yard!$F$42</f>
        <v>-8.5883022004823673E-2</v>
      </c>
      <c r="C638" s="10"/>
      <c r="D638" s="39">
        <f>0.01*Input!$F$60*(C638*$C$632)+10*(B638*$B$632)</f>
        <v>-2799.6743050697928</v>
      </c>
      <c r="E638" s="34">
        <f t="shared" si="49"/>
        <v>-8.5883022004823686E-2</v>
      </c>
      <c r="F638" s="43">
        <f t="shared" si="50"/>
        <v>-10.366646388810086</v>
      </c>
      <c r="G638" s="17"/>
    </row>
    <row r="639" spans="1:8">
      <c r="A639" s="4" t="s">
        <v>483</v>
      </c>
      <c r="B639" s="35">
        <f>Yard!$G$42</f>
        <v>0</v>
      </c>
      <c r="C639" s="10"/>
      <c r="D639" s="39">
        <f>0.01*Input!$F$60*(C639*$C$632)+10*(B639*$B$632)</f>
        <v>0</v>
      </c>
      <c r="E639" s="34">
        <f t="shared" si="49"/>
        <v>0</v>
      </c>
      <c r="F639" s="43">
        <f t="shared" si="50"/>
        <v>0</v>
      </c>
      <c r="G639" s="17"/>
    </row>
    <row r="640" spans="1:8">
      <c r="A640" s="4" t="s">
        <v>484</v>
      </c>
      <c r="B640" s="35">
        <f>Yard!$H$42</f>
        <v>-0.1091432765464117</v>
      </c>
      <c r="C640" s="10"/>
      <c r="D640" s="39">
        <f>0.01*Input!$F$60*(C640*$C$632)+10*(B640*$B$632)</f>
        <v>-3557.9282119456984</v>
      </c>
      <c r="E640" s="34">
        <f t="shared" si="49"/>
        <v>-0.1091432765464117</v>
      </c>
      <c r="F640" s="43">
        <f t="shared" si="50"/>
        <v>-13.174312305978365</v>
      </c>
      <c r="G640" s="17"/>
    </row>
    <row r="641" spans="1:7">
      <c r="A641" s="4" t="s">
        <v>485</v>
      </c>
      <c r="B641" s="35">
        <f>Yard!$I$42</f>
        <v>-9.9093407543664302E-2</v>
      </c>
      <c r="C641" s="10"/>
      <c r="D641" s="39">
        <f>0.01*Input!$F$60*(C641*$C$632)+10*(B641*$B$632)</f>
        <v>-3230.3156133260436</v>
      </c>
      <c r="E641" s="34">
        <f t="shared" si="49"/>
        <v>-9.9093407543664302E-2</v>
      </c>
      <c r="F641" s="43">
        <f t="shared" si="50"/>
        <v>-11.961226928061713</v>
      </c>
      <c r="G641" s="17"/>
    </row>
    <row r="642" spans="1:7">
      <c r="A642" s="4" t="s">
        <v>486</v>
      </c>
      <c r="B642" s="35">
        <f>Yard!$J$42</f>
        <v>0</v>
      </c>
      <c r="C642" s="10"/>
      <c r="D642" s="39">
        <f>0.01*Input!$F$60*(C642*$C$632)+10*(B642*$B$632)</f>
        <v>0</v>
      </c>
      <c r="E642" s="34">
        <f t="shared" si="49"/>
        <v>0</v>
      </c>
      <c r="F642" s="43">
        <f t="shared" si="50"/>
        <v>0</v>
      </c>
      <c r="G642" s="17"/>
    </row>
    <row r="643" spans="1:7">
      <c r="A643" s="4" t="s">
        <v>1575</v>
      </c>
      <c r="B643" s="10"/>
      <c r="C643" s="45">
        <f>SM!$B$137</f>
        <v>0</v>
      </c>
      <c r="D643" s="39">
        <f>0.01*Input!$F$60*(C643*$C$632)+10*(B643*$B$632)</f>
        <v>0</v>
      </c>
      <c r="E643" s="34">
        <f t="shared" si="49"/>
        <v>0</v>
      </c>
      <c r="F643" s="43">
        <f t="shared" si="50"/>
        <v>0</v>
      </c>
      <c r="G643" s="17"/>
    </row>
    <row r="644" spans="1:7">
      <c r="A644" s="4" t="s">
        <v>1576</v>
      </c>
      <c r="B644" s="10"/>
      <c r="C644" s="45">
        <f>SM!$C$137</f>
        <v>0</v>
      </c>
      <c r="D644" s="39">
        <f>0.01*Input!$F$60*(C644*$C$632)+10*(B644*$B$632)</f>
        <v>0</v>
      </c>
      <c r="E644" s="34">
        <f t="shared" si="49"/>
        <v>0</v>
      </c>
      <c r="F644" s="43">
        <f t="shared" si="50"/>
        <v>0</v>
      </c>
      <c r="G644" s="17"/>
    </row>
    <row r="645" spans="1:7">
      <c r="A645" s="4" t="s">
        <v>1577</v>
      </c>
      <c r="B645" s="35">
        <f>Yard!$K$42</f>
        <v>-7.6482869925955238E-2</v>
      </c>
      <c r="C645" s="10"/>
      <c r="D645" s="39">
        <f>0.01*Input!$F$60*(C645*$C$632)+10*(B645*$B$632)</f>
        <v>-2493.2416292671383</v>
      </c>
      <c r="E645" s="34">
        <f t="shared" si="49"/>
        <v>-7.6482869925955238E-2</v>
      </c>
      <c r="F645" s="43">
        <f t="shared" si="50"/>
        <v>-9.2319861226960924</v>
      </c>
      <c r="G645" s="17"/>
    </row>
    <row r="646" spans="1:7">
      <c r="A646" s="4" t="s">
        <v>1578</v>
      </c>
      <c r="B646" s="35">
        <f>Yard!$L$42</f>
        <v>-5.3687844896250031E-2</v>
      </c>
      <c r="C646" s="10"/>
      <c r="D646" s="39">
        <f>0.01*Input!$F$60*(C646*$C$632)+10*(B646*$B$632)</f>
        <v>-1750.1535966231072</v>
      </c>
      <c r="E646" s="34">
        <f t="shared" si="49"/>
        <v>-5.3687844896250038E-2</v>
      </c>
      <c r="F646" s="43">
        <f t="shared" si="50"/>
        <v>-6.4804764716528789</v>
      </c>
      <c r="G646" s="17"/>
    </row>
    <row r="647" spans="1:7">
      <c r="A647" s="4" t="s">
        <v>1579</v>
      </c>
      <c r="B647" s="35">
        <f>Yard!$M$42</f>
        <v>-2.1236515995744353E-2</v>
      </c>
      <c r="C647" s="10"/>
      <c r="D647" s="39">
        <f>0.01*Input!$F$60*(C647*$C$632)+10*(B647*$B$632)</f>
        <v>-692.28267444000471</v>
      </c>
      <c r="E647" s="34">
        <f t="shared" si="49"/>
        <v>-2.1236515995744356E-2</v>
      </c>
      <c r="F647" s="43">
        <f t="shared" si="50"/>
        <v>-2.5633873461721675</v>
      </c>
      <c r="G647" s="17"/>
    </row>
    <row r="648" spans="1:7">
      <c r="A648" s="4" t="s">
        <v>1580</v>
      </c>
      <c r="B648" s="35">
        <f>Yard!$N$42</f>
        <v>-5.3623638659951484E-2</v>
      </c>
      <c r="C648" s="10"/>
      <c r="D648" s="39">
        <f>0.01*Input!$F$60*(C648*$C$632)+10*(B648*$B$632)</f>
        <v>-1748.0605572097968</v>
      </c>
      <c r="E648" s="34">
        <f t="shared" si="49"/>
        <v>-5.3623638659951477E-2</v>
      </c>
      <c r="F648" s="43">
        <f t="shared" si="50"/>
        <v>-6.472726356063955</v>
      </c>
      <c r="G648" s="17"/>
    </row>
    <row r="649" spans="1:7">
      <c r="A649" s="4" t="s">
        <v>1581</v>
      </c>
      <c r="B649" s="35">
        <f>Yard!$O$42</f>
        <v>-3.3825973422811365E-2</v>
      </c>
      <c r="C649" s="10"/>
      <c r="D649" s="39">
        <f>0.01*Input!$F$60*(C649*$C$632)+10*(B649*$B$632)</f>
        <v>-1102.6825375392555</v>
      </c>
      <c r="E649" s="34">
        <f t="shared" si="49"/>
        <v>-3.3825973422811371E-2</v>
      </c>
      <c r="F649" s="43">
        <f t="shared" si="50"/>
        <v>-4.0830177728477954</v>
      </c>
      <c r="G649" s="17"/>
    </row>
    <row r="650" spans="1:7">
      <c r="A650" s="4" t="s">
        <v>1582</v>
      </c>
      <c r="B650" s="35">
        <f>Yard!$P$42</f>
        <v>0</v>
      </c>
      <c r="C650" s="10"/>
      <c r="D650" s="39">
        <f>0.01*Input!$F$60*(C650*$C$632)+10*(B650*$B$632)</f>
        <v>0</v>
      </c>
      <c r="E650" s="34">
        <f t="shared" si="49"/>
        <v>0</v>
      </c>
      <c r="F650" s="43">
        <f t="shared" si="50"/>
        <v>0</v>
      </c>
      <c r="G650" s="17"/>
    </row>
    <row r="651" spans="1:7">
      <c r="A651" s="4" t="s">
        <v>1583</v>
      </c>
      <c r="B651" s="35">
        <f>Yard!$Q$42</f>
        <v>-6.1410400957614117E-2</v>
      </c>
      <c r="C651" s="10"/>
      <c r="D651" s="39">
        <f>0.01*Input!$F$60*(C651*$C$632)+10*(B651*$B$632)</f>
        <v>-2001.8988341538461</v>
      </c>
      <c r="E651" s="34">
        <f t="shared" si="49"/>
        <v>-6.1410400957614124E-2</v>
      </c>
      <c r="F651" s="43">
        <f t="shared" si="50"/>
        <v>-7.4126398496652062</v>
      </c>
      <c r="G651" s="17"/>
    </row>
    <row r="652" spans="1:7">
      <c r="A652" s="4" t="s">
        <v>1584</v>
      </c>
      <c r="B652" s="35">
        <f>Yard!$R$42</f>
        <v>-5.5755755939074898E-2</v>
      </c>
      <c r="C652" s="10"/>
      <c r="D652" s="39">
        <f>0.01*Input!$F$60*(C652*$C$632)+10*(B652*$B$632)</f>
        <v>-1817.5647947460807</v>
      </c>
      <c r="E652" s="34">
        <f t="shared" si="49"/>
        <v>-5.5755755939074905E-2</v>
      </c>
      <c r="F652" s="43">
        <f t="shared" si="50"/>
        <v>-6.7300869539584136</v>
      </c>
      <c r="G652" s="17"/>
    </row>
    <row r="653" spans="1:7">
      <c r="A653" s="4" t="s">
        <v>1585</v>
      </c>
      <c r="B653" s="35">
        <f>Yard!$S$42</f>
        <v>0</v>
      </c>
      <c r="C653" s="10"/>
      <c r="D653" s="39">
        <f>0.01*Input!$F$60*(C653*$C$632)+10*(B653*$B$632)</f>
        <v>0</v>
      </c>
      <c r="E653" s="34">
        <f t="shared" si="49"/>
        <v>0</v>
      </c>
      <c r="F653" s="43">
        <f t="shared" si="50"/>
        <v>0</v>
      </c>
      <c r="G653" s="17"/>
    </row>
    <row r="654" spans="1:7">
      <c r="A654" s="4" t="s">
        <v>1586</v>
      </c>
      <c r="B654" s="10"/>
      <c r="C654" s="45">
        <f>Otex!$B$140</f>
        <v>0</v>
      </c>
      <c r="D654" s="39">
        <f>0.01*Input!$F$60*(C654*$C$632)+10*(B654*$B$632)</f>
        <v>0</v>
      </c>
      <c r="E654" s="34">
        <f t="shared" si="49"/>
        <v>0</v>
      </c>
      <c r="F654" s="43">
        <f t="shared" si="50"/>
        <v>0</v>
      </c>
      <c r="G654" s="17"/>
    </row>
    <row r="655" spans="1:7">
      <c r="A655" s="4" t="s">
        <v>1587</v>
      </c>
      <c r="B655" s="10"/>
      <c r="C655" s="45">
        <f>Otex!$C$140</f>
        <v>0</v>
      </c>
      <c r="D655" s="39">
        <f>0.01*Input!$F$60*(C655*$C$632)+10*(B655*$B$632)</f>
        <v>0</v>
      </c>
      <c r="E655" s="34">
        <f t="shared" si="49"/>
        <v>0</v>
      </c>
      <c r="F655" s="43">
        <f t="shared" si="50"/>
        <v>0</v>
      </c>
      <c r="G655" s="17"/>
    </row>
    <row r="656" spans="1:7">
      <c r="A656" s="4" t="s">
        <v>1588</v>
      </c>
      <c r="B656" s="35">
        <f>Adder!$B$284</f>
        <v>0</v>
      </c>
      <c r="C656" s="10"/>
      <c r="D656" s="39">
        <f>0.01*Input!$F$60*(C656*$C$632)+10*(B656*$B$632)</f>
        <v>0</v>
      </c>
      <c r="E656" s="34">
        <f t="shared" si="49"/>
        <v>0</v>
      </c>
      <c r="F656" s="43">
        <f t="shared" si="50"/>
        <v>0</v>
      </c>
      <c r="G656" s="17"/>
    </row>
    <row r="657" spans="1:7">
      <c r="A657" s="4" t="s">
        <v>1589</v>
      </c>
      <c r="B657" s="35">
        <f>Adjust!$B$97</f>
        <v>-4.7819671413573683E-4</v>
      </c>
      <c r="C657" s="45">
        <f>Adjust!$E$97</f>
        <v>0</v>
      </c>
      <c r="D657" s="39">
        <f>0.01*Input!$F$60*(C657*$C$632)+10*(B657*$B$632)</f>
        <v>-15.588588082746238</v>
      </c>
      <c r="E657" s="34">
        <f t="shared" si="49"/>
        <v>-4.7819671413573689E-4</v>
      </c>
      <c r="F657" s="43">
        <f t="shared" si="50"/>
        <v>-5.7721492840082579E-2</v>
      </c>
      <c r="G657" s="17"/>
    </row>
    <row r="659" spans="1:7">
      <c r="A659" s="4" t="s">
        <v>1590</v>
      </c>
      <c r="B659" s="34">
        <f>SUM($B$635:$B$657)</f>
        <v>-0.97699999999999998</v>
      </c>
      <c r="C659" s="43">
        <f>SUM($C$635:$C$657)</f>
        <v>0</v>
      </c>
      <c r="D659" s="39">
        <f>SUM($D$635:$D$657)</f>
        <v>-31848.923479888235</v>
      </c>
      <c r="E659" s="34">
        <f>SUM($E$635:$E$657)</f>
        <v>-0.97699999999999998</v>
      </c>
      <c r="F659" s="43">
        <f>SUM($F$635:$F$657)</f>
        <v>-117.93033460441805</v>
      </c>
    </row>
    <row r="661" spans="1:7" ht="21" customHeight="1">
      <c r="A661" s="1" t="s">
        <v>191</v>
      </c>
    </row>
    <row r="663" spans="1:7">
      <c r="B663" s="15" t="s">
        <v>237</v>
      </c>
      <c r="C663" s="15" t="s">
        <v>240</v>
      </c>
      <c r="D663" s="15" t="s">
        <v>1571</v>
      </c>
      <c r="E663" s="15" t="s">
        <v>1572</v>
      </c>
    </row>
    <row r="664" spans="1:7">
      <c r="A664" s="4" t="s">
        <v>191</v>
      </c>
      <c r="B664" s="41">
        <f>Loads!B$354</f>
        <v>0.95981427317991785</v>
      </c>
      <c r="C664" s="41">
        <f>Loads!E$354</f>
        <v>0.01</v>
      </c>
      <c r="D664" s="41">
        <f>Multi!B$148</f>
        <v>0.95981427317991785</v>
      </c>
      <c r="E664" s="34">
        <f>IF(C664,D664/C664,"")</f>
        <v>95.981427317991788</v>
      </c>
      <c r="F664" s="17"/>
    </row>
    <row r="666" spans="1:7" ht="30">
      <c r="B666" s="15" t="s">
        <v>1379</v>
      </c>
      <c r="C666" s="15" t="s">
        <v>1382</v>
      </c>
      <c r="D666" s="15" t="s">
        <v>1573</v>
      </c>
      <c r="E666" s="15" t="s">
        <v>1540</v>
      </c>
      <c r="F666" s="15" t="s">
        <v>1574</v>
      </c>
    </row>
    <row r="667" spans="1:7">
      <c r="A667" s="4" t="s">
        <v>479</v>
      </c>
      <c r="B667" s="35">
        <f>Yard!$C$43</f>
        <v>-0.12962072025304061</v>
      </c>
      <c r="C667" s="10"/>
      <c r="D667" s="39">
        <f>0.01*Input!$F$60*(C667*$C$664)+10*(B667*$B$664)</f>
        <v>-1.2441181739872962</v>
      </c>
      <c r="E667" s="34">
        <f t="shared" ref="E667:E689" si="51">IF($D$664&lt;&gt;0,0.1*D667/$D$664,"")</f>
        <v>-0.12962072025304061</v>
      </c>
      <c r="F667" s="43">
        <f t="shared" ref="F667:F689" si="52">IF($C$664&lt;&gt;0,D667/$C$664,"")</f>
        <v>-124.41181739872961</v>
      </c>
      <c r="G667" s="17"/>
    </row>
    <row r="668" spans="1:7">
      <c r="A668" s="4" t="s">
        <v>480</v>
      </c>
      <c r="B668" s="35">
        <f>Yard!$D$43</f>
        <v>-5.1272173512516436E-2</v>
      </c>
      <c r="C668" s="10"/>
      <c r="D668" s="39">
        <f>0.01*Input!$F$60*(C668*$C$664)+10*(B668*$B$664)</f>
        <v>-0.49211763954270599</v>
      </c>
      <c r="E668" s="34">
        <f t="shared" si="51"/>
        <v>-5.1272173512516436E-2</v>
      </c>
      <c r="F668" s="43">
        <f t="shared" si="52"/>
        <v>-49.211763954270594</v>
      </c>
      <c r="G668" s="17"/>
    </row>
    <row r="669" spans="1:7">
      <c r="A669" s="4" t="s">
        <v>481</v>
      </c>
      <c r="B669" s="35">
        <f>Yard!$E$43</f>
        <v>-0.12946570455796413</v>
      </c>
      <c r="C669" s="10"/>
      <c r="D669" s="39">
        <f>0.01*Input!$F$60*(C669*$C$664)+10*(B669*$B$664)</f>
        <v>-1.2426303112202832</v>
      </c>
      <c r="E669" s="34">
        <f t="shared" si="51"/>
        <v>-0.12946570455796413</v>
      </c>
      <c r="F669" s="43">
        <f t="shared" si="52"/>
        <v>-124.26303112202832</v>
      </c>
      <c r="G669" s="17"/>
    </row>
    <row r="670" spans="1:7">
      <c r="A670" s="4" t="s">
        <v>482</v>
      </c>
      <c r="B670" s="35">
        <f>Yard!$F$43</f>
        <v>-8.166740622198583E-2</v>
      </c>
      <c r="C670" s="10"/>
      <c r="D670" s="39">
        <f>0.01*Input!$F$60*(C670*$C$664)+10*(B670*$B$664)</f>
        <v>-0.78385542145444442</v>
      </c>
      <c r="E670" s="34">
        <f t="shared" si="51"/>
        <v>-8.1667406221985844E-2</v>
      </c>
      <c r="F670" s="43">
        <f t="shared" si="52"/>
        <v>-78.385542145444447</v>
      </c>
      <c r="G670" s="17"/>
    </row>
    <row r="671" spans="1:7">
      <c r="A671" s="4" t="s">
        <v>483</v>
      </c>
      <c r="B671" s="35">
        <f>Yard!$G$43</f>
        <v>0</v>
      </c>
      <c r="C671" s="10"/>
      <c r="D671" s="39">
        <f>0.01*Input!$F$60*(C671*$C$664)+10*(B671*$B$664)</f>
        <v>0</v>
      </c>
      <c r="E671" s="34">
        <f t="shared" si="51"/>
        <v>0</v>
      </c>
      <c r="F671" s="43">
        <f t="shared" si="52"/>
        <v>0</v>
      </c>
      <c r="G671" s="17"/>
    </row>
    <row r="672" spans="1:7">
      <c r="A672" s="4" t="s">
        <v>484</v>
      </c>
      <c r="B672" s="35">
        <f>Yard!$H$43</f>
        <v>-0.1037859182646567</v>
      </c>
      <c r="C672" s="10"/>
      <c r="D672" s="39">
        <f>0.01*Input!$F$60*(C672*$C$664)+10*(B672*$B$664)</f>
        <v>-0.99615205705501841</v>
      </c>
      <c r="E672" s="34">
        <f t="shared" si="51"/>
        <v>-0.10378591826465672</v>
      </c>
      <c r="F672" s="43">
        <f t="shared" si="52"/>
        <v>-99.615205705501836</v>
      </c>
      <c r="G672" s="17"/>
    </row>
    <row r="673" spans="1:7">
      <c r="A673" s="4" t="s">
        <v>485</v>
      </c>
      <c r="B673" s="35">
        <f>Yard!$I$43</f>
        <v>0</v>
      </c>
      <c r="C673" s="10"/>
      <c r="D673" s="39">
        <f>0.01*Input!$F$60*(C673*$C$664)+10*(B673*$B$664)</f>
        <v>0</v>
      </c>
      <c r="E673" s="34">
        <f t="shared" si="51"/>
        <v>0</v>
      </c>
      <c r="F673" s="43">
        <f t="shared" si="52"/>
        <v>0</v>
      </c>
      <c r="G673" s="17"/>
    </row>
    <row r="674" spans="1:7">
      <c r="A674" s="4" t="s">
        <v>486</v>
      </c>
      <c r="B674" s="35">
        <f>Yard!$J$43</f>
        <v>0</v>
      </c>
      <c r="C674" s="10"/>
      <c r="D674" s="39">
        <f>0.01*Input!$F$60*(C674*$C$664)+10*(B674*$B$664)</f>
        <v>0</v>
      </c>
      <c r="E674" s="34">
        <f t="shared" si="51"/>
        <v>0</v>
      </c>
      <c r="F674" s="43">
        <f t="shared" si="52"/>
        <v>0</v>
      </c>
      <c r="G674" s="17"/>
    </row>
    <row r="675" spans="1:7">
      <c r="A675" s="4" t="s">
        <v>1575</v>
      </c>
      <c r="B675" s="10"/>
      <c r="C675" s="45">
        <f>SM!$B$138</f>
        <v>0</v>
      </c>
      <c r="D675" s="39">
        <f>0.01*Input!$F$60*(C675*$C$664)+10*(B675*$B$664)</f>
        <v>0</v>
      </c>
      <c r="E675" s="34">
        <f t="shared" si="51"/>
        <v>0</v>
      </c>
      <c r="F675" s="43">
        <f t="shared" si="52"/>
        <v>0</v>
      </c>
      <c r="G675" s="17"/>
    </row>
    <row r="676" spans="1:7">
      <c r="A676" s="4" t="s">
        <v>1576</v>
      </c>
      <c r="B676" s="10"/>
      <c r="C676" s="45">
        <f>SM!$C$138</f>
        <v>0</v>
      </c>
      <c r="D676" s="39">
        <f>0.01*Input!$F$60*(C676*$C$664)+10*(B676*$B$664)</f>
        <v>0</v>
      </c>
      <c r="E676" s="34">
        <f t="shared" si="51"/>
        <v>0</v>
      </c>
      <c r="F676" s="43">
        <f t="shared" si="52"/>
        <v>0</v>
      </c>
      <c r="G676" s="17"/>
    </row>
    <row r="677" spans="1:7">
      <c r="A677" s="4" t="s">
        <v>1577</v>
      </c>
      <c r="B677" s="35">
        <f>Yard!$K$43</f>
        <v>-7.2728665823094479E-2</v>
      </c>
      <c r="C677" s="10"/>
      <c r="D677" s="39">
        <f>0.01*Input!$F$60*(C677*$C$664)+10*(B677*$B$664)</f>
        <v>-0.69806011526338563</v>
      </c>
      <c r="E677" s="34">
        <f t="shared" si="51"/>
        <v>-7.2728665823094493E-2</v>
      </c>
      <c r="F677" s="43">
        <f t="shared" si="52"/>
        <v>-69.806011526338565</v>
      </c>
      <c r="G677" s="17"/>
    </row>
    <row r="678" spans="1:7">
      <c r="A678" s="4" t="s">
        <v>1578</v>
      </c>
      <c r="B678" s="35">
        <f>Yard!$L$43</f>
        <v>-5.1052547243607221E-2</v>
      </c>
      <c r="C678" s="10"/>
      <c r="D678" s="39">
        <f>0.01*Input!$F$60*(C678*$C$664)+10*(B678*$B$664)</f>
        <v>-0.49000963526606278</v>
      </c>
      <c r="E678" s="34">
        <f t="shared" si="51"/>
        <v>-5.1052547243607221E-2</v>
      </c>
      <c r="F678" s="43">
        <f t="shared" si="52"/>
        <v>-49.000963526606277</v>
      </c>
      <c r="G678" s="17"/>
    </row>
    <row r="679" spans="1:7">
      <c r="A679" s="4" t="s">
        <v>1579</v>
      </c>
      <c r="B679" s="35">
        <f>Yard!$M$43</f>
        <v>-2.019410982611609E-2</v>
      </c>
      <c r="C679" s="10"/>
      <c r="D679" s="39">
        <f>0.01*Input!$F$60*(C679*$C$664)+10*(B679*$B$664)</f>
        <v>-0.19382594845269052</v>
      </c>
      <c r="E679" s="34">
        <f t="shared" si="51"/>
        <v>-2.019410982611609E-2</v>
      </c>
      <c r="F679" s="43">
        <f t="shared" si="52"/>
        <v>-19.38259484526905</v>
      </c>
      <c r="G679" s="17"/>
    </row>
    <row r="680" spans="1:7">
      <c r="A680" s="4" t="s">
        <v>1580</v>
      </c>
      <c r="B680" s="35">
        <f>Yard!$N$43</f>
        <v>-5.0991492606038892E-2</v>
      </c>
      <c r="C680" s="10"/>
      <c r="D680" s="39">
        <f>0.01*Input!$F$60*(C680*$C$664)+10*(B680*$B$664)</f>
        <v>-0.48942362414024376</v>
      </c>
      <c r="E680" s="34">
        <f t="shared" si="51"/>
        <v>-5.0991492606038899E-2</v>
      </c>
      <c r="F680" s="43">
        <f t="shared" si="52"/>
        <v>-48.942362414024373</v>
      </c>
      <c r="G680" s="17"/>
    </row>
    <row r="681" spans="1:7">
      <c r="A681" s="4" t="s">
        <v>1581</v>
      </c>
      <c r="B681" s="35">
        <f>Yard!$O$43</f>
        <v>-3.2165606750769404E-2</v>
      </c>
      <c r="C681" s="10"/>
      <c r="D681" s="39">
        <f>0.01*Input!$F$60*(C681*$C$664)+10*(B681*$B$664)</f>
        <v>-0.30873008464880791</v>
      </c>
      <c r="E681" s="34">
        <f t="shared" si="51"/>
        <v>-3.2165606750769404E-2</v>
      </c>
      <c r="F681" s="43">
        <f t="shared" si="52"/>
        <v>-30.87300846488079</v>
      </c>
      <c r="G681" s="17"/>
    </row>
    <row r="682" spans="1:7">
      <c r="A682" s="4" t="s">
        <v>1582</v>
      </c>
      <c r="B682" s="35">
        <f>Yard!$P$43</f>
        <v>0</v>
      </c>
      <c r="C682" s="10"/>
      <c r="D682" s="39">
        <f>0.01*Input!$F$60*(C682*$C$664)+10*(B682*$B$664)</f>
        <v>0</v>
      </c>
      <c r="E682" s="34">
        <f t="shared" si="51"/>
        <v>0</v>
      </c>
      <c r="F682" s="43">
        <f t="shared" si="52"/>
        <v>0</v>
      </c>
      <c r="G682" s="17"/>
    </row>
    <row r="683" spans="1:7">
      <c r="A683" s="4" t="s">
        <v>1583</v>
      </c>
      <c r="B683" s="35">
        <f>Yard!$Q$43</f>
        <v>-5.839603735624041E-2</v>
      </c>
      <c r="C683" s="10"/>
      <c r="D683" s="39">
        <f>0.01*Input!$F$60*(C683*$C$664)+10*(B683*$B$664)</f>
        <v>-0.56049350151667221</v>
      </c>
      <c r="E683" s="34">
        <f t="shared" si="51"/>
        <v>-5.8396037356240417E-2</v>
      </c>
      <c r="F683" s="43">
        <f t="shared" si="52"/>
        <v>-56.04935015166722</v>
      </c>
      <c r="G683" s="17"/>
    </row>
    <row r="684" spans="1:7">
      <c r="A684" s="4" t="s">
        <v>1584</v>
      </c>
      <c r="B684" s="35">
        <f>Yard!$R$43</f>
        <v>0</v>
      </c>
      <c r="C684" s="10"/>
      <c r="D684" s="39">
        <f>0.01*Input!$F$60*(C684*$C$664)+10*(B684*$B$664)</f>
        <v>0</v>
      </c>
      <c r="E684" s="34">
        <f t="shared" si="51"/>
        <v>0</v>
      </c>
      <c r="F684" s="43">
        <f t="shared" si="52"/>
        <v>0</v>
      </c>
      <c r="G684" s="17"/>
    </row>
    <row r="685" spans="1:7">
      <c r="A685" s="4" t="s">
        <v>1585</v>
      </c>
      <c r="B685" s="35">
        <f>Yard!$S$43</f>
        <v>0</v>
      </c>
      <c r="C685" s="10"/>
      <c r="D685" s="39">
        <f>0.01*Input!$F$60*(C685*$C$664)+10*(B685*$B$664)</f>
        <v>0</v>
      </c>
      <c r="E685" s="34">
        <f t="shared" si="51"/>
        <v>0</v>
      </c>
      <c r="F685" s="43">
        <f t="shared" si="52"/>
        <v>0</v>
      </c>
      <c r="G685" s="17"/>
    </row>
    <row r="686" spans="1:7">
      <c r="A686" s="4" t="s">
        <v>1586</v>
      </c>
      <c r="B686" s="10"/>
      <c r="C686" s="45">
        <f>Otex!$B$141</f>
        <v>0</v>
      </c>
      <c r="D686" s="39">
        <f>0.01*Input!$F$60*(C686*$C$664)+10*(B686*$B$664)</f>
        <v>0</v>
      </c>
      <c r="E686" s="34">
        <f t="shared" si="51"/>
        <v>0</v>
      </c>
      <c r="F686" s="43">
        <f t="shared" si="52"/>
        <v>0</v>
      </c>
      <c r="G686" s="17"/>
    </row>
    <row r="687" spans="1:7">
      <c r="A687" s="4" t="s">
        <v>1587</v>
      </c>
      <c r="B687" s="10"/>
      <c r="C687" s="45">
        <f>Otex!$C$141</f>
        <v>0</v>
      </c>
      <c r="D687" s="39">
        <f>0.01*Input!$F$60*(C687*$C$664)+10*(B687*$B$664)</f>
        <v>0</v>
      </c>
      <c r="E687" s="34">
        <f t="shared" si="51"/>
        <v>0</v>
      </c>
      <c r="F687" s="43">
        <f t="shared" si="52"/>
        <v>0</v>
      </c>
      <c r="G687" s="17"/>
    </row>
    <row r="688" spans="1:7">
      <c r="A688" s="4" t="s">
        <v>1588</v>
      </c>
      <c r="B688" s="35">
        <f>Adder!$B$285</f>
        <v>0</v>
      </c>
      <c r="C688" s="10"/>
      <c r="D688" s="39">
        <f>0.01*Input!$F$60*(C688*$C$664)+10*(B688*$B$664)</f>
        <v>0</v>
      </c>
      <c r="E688" s="34">
        <f t="shared" si="51"/>
        <v>0</v>
      </c>
      <c r="F688" s="43">
        <f t="shared" si="52"/>
        <v>0</v>
      </c>
      <c r="G688" s="17"/>
    </row>
    <row r="689" spans="1:8">
      <c r="A689" s="4" t="s">
        <v>1589</v>
      </c>
      <c r="B689" s="35">
        <f>Adjust!$B$98</f>
        <v>3.4038241603018271E-4</v>
      </c>
      <c r="C689" s="45">
        <f>Adjust!$E$98</f>
        <v>0</v>
      </c>
      <c r="D689" s="39">
        <f>0.01*Input!$F$60*(C689*$C$664)+10*(B689*$B$664)</f>
        <v>3.2670390124523423E-3</v>
      </c>
      <c r="E689" s="34">
        <f t="shared" si="51"/>
        <v>3.4038241603018276E-4</v>
      </c>
      <c r="F689" s="43">
        <f t="shared" si="52"/>
        <v>0.32670390124523424</v>
      </c>
      <c r="G689" s="17"/>
    </row>
    <row r="691" spans="1:8">
      <c r="A691" s="4" t="s">
        <v>1590</v>
      </c>
      <c r="B691" s="34">
        <f>SUM($B$667:$B$689)</f>
        <v>-0.78100000000000003</v>
      </c>
      <c r="C691" s="43">
        <f>SUM($C$667:$C$689)</f>
        <v>0</v>
      </c>
      <c r="D691" s="39">
        <f>SUM($D$667:$D$689)</f>
        <v>-7.4961494735351586</v>
      </c>
      <c r="E691" s="34">
        <f>SUM($E$667:$E$689)</f>
        <v>-0.78100000000000014</v>
      </c>
      <c r="F691" s="43">
        <f>SUM($F$667:$F$689)</f>
        <v>-749.61494735351584</v>
      </c>
    </row>
    <row r="693" spans="1:8" ht="21" customHeight="1">
      <c r="A693" s="1" t="s">
        <v>192</v>
      </c>
    </row>
    <row r="695" spans="1:8" ht="30">
      <c r="B695" s="15" t="s">
        <v>237</v>
      </c>
      <c r="C695" s="15" t="s">
        <v>240</v>
      </c>
      <c r="D695" s="15" t="s">
        <v>243</v>
      </c>
      <c r="E695" s="15" t="s">
        <v>1571</v>
      </c>
      <c r="F695" s="15" t="s">
        <v>1572</v>
      </c>
    </row>
    <row r="696" spans="1:8">
      <c r="A696" s="4" t="s">
        <v>192</v>
      </c>
      <c r="B696" s="41">
        <f>Loads!B$355</f>
        <v>20683.735342690296</v>
      </c>
      <c r="C696" s="41">
        <f>Loads!E$355</f>
        <v>215.49726775956285</v>
      </c>
      <c r="D696" s="41">
        <f>Loads!H$355</f>
        <v>1784.4707000000001</v>
      </c>
      <c r="E696" s="41">
        <f>Multi!B$149</f>
        <v>20683.735342690296</v>
      </c>
      <c r="F696" s="34">
        <f>IF(C696,E696/C696,"")</f>
        <v>95.981427317991788</v>
      </c>
      <c r="G696" s="17"/>
    </row>
    <row r="698" spans="1:8" ht="30">
      <c r="B698" s="15" t="s">
        <v>1379</v>
      </c>
      <c r="C698" s="15" t="s">
        <v>1382</v>
      </c>
      <c r="D698" s="15" t="s">
        <v>1136</v>
      </c>
      <c r="E698" s="15" t="s">
        <v>1573</v>
      </c>
      <c r="F698" s="15" t="s">
        <v>1540</v>
      </c>
      <c r="G698" s="15" t="s">
        <v>1574</v>
      </c>
    </row>
    <row r="699" spans="1:8">
      <c r="A699" s="4" t="s">
        <v>479</v>
      </c>
      <c r="B699" s="35">
        <f>Yard!$C$44</f>
        <v>-0.13631165338487333</v>
      </c>
      <c r="C699" s="10"/>
      <c r="D699" s="35">
        <f>Reactive!$C$77</f>
        <v>2.1056191636467263E-2</v>
      </c>
      <c r="E699" s="39">
        <f>0.01*Input!$F$60*(C699*$C$696)+10*(B699*$B$696+D699*$D$696)</f>
        <v>-27818.600057083928</v>
      </c>
      <c r="F699" s="34">
        <f t="shared" ref="F699:F721" si="53">IF($E$696&lt;&gt;0,0.1*E699/$E$696,"")</f>
        <v>-0.13449504935246195</v>
      </c>
      <c r="G699" s="43">
        <f t="shared" ref="G699:G721" si="54">IF($C$696&lt;&gt;0,E699/$C$696,"")</f>
        <v>-129.09026804053045</v>
      </c>
      <c r="H699" s="17"/>
    </row>
    <row r="700" spans="1:8">
      <c r="A700" s="4" t="s">
        <v>480</v>
      </c>
      <c r="B700" s="35">
        <f>Yard!$D$44</f>
        <v>-5.391880812329676E-2</v>
      </c>
      <c r="C700" s="10"/>
      <c r="D700" s="35">
        <f>Reactive!$D$77</f>
        <v>6.0644893914494277E-3</v>
      </c>
      <c r="E700" s="39">
        <f>0.01*Input!$F$60*(C700*$C$696)+10*(B700*$B$696+D700*$D$696)</f>
        <v>-11044.204535860677</v>
      </c>
      <c r="F700" s="34">
        <f t="shared" si="53"/>
        <v>-5.3395599744819493E-2</v>
      </c>
      <c r="G700" s="43">
        <f t="shared" si="54"/>
        <v>-51.249858760079725</v>
      </c>
      <c r="H700" s="17"/>
    </row>
    <row r="701" spans="1:8">
      <c r="A701" s="4" t="s">
        <v>481</v>
      </c>
      <c r="B701" s="35">
        <f>Yard!$E$44</f>
        <v>-0.13614863588539305</v>
      </c>
      <c r="C701" s="10"/>
      <c r="D701" s="35">
        <f>Reactive!$E$77</f>
        <v>1.5313245724927805E-2</v>
      </c>
      <c r="E701" s="39">
        <f>0.01*Input!$F$60*(C701*$C$696)+10*(B701*$B$696+D701*$D$696)</f>
        <v>-27887.363136037424</v>
      </c>
      <c r="F701" s="34">
        <f t="shared" si="53"/>
        <v>-0.13482749935636223</v>
      </c>
      <c r="G701" s="43">
        <f t="shared" si="54"/>
        <v>-129.40935829939264</v>
      </c>
      <c r="H701" s="17"/>
    </row>
    <row r="702" spans="1:8">
      <c r="A702" s="4" t="s">
        <v>482</v>
      </c>
      <c r="B702" s="35">
        <f>Yard!$F$44</f>
        <v>-8.5883022004823673E-2</v>
      </c>
      <c r="C702" s="10"/>
      <c r="D702" s="35">
        <f>Reactive!$F$77</f>
        <v>1.0276596869429095E-2</v>
      </c>
      <c r="E702" s="39">
        <f>0.01*Input!$F$60*(C702*$C$696)+10*(B702*$B$696+D702*$D$696)</f>
        <v>-17580.434115690117</v>
      </c>
      <c r="F702" s="34">
        <f t="shared" si="53"/>
        <v>-8.4996417834668853E-2</v>
      </c>
      <c r="G702" s="43">
        <f t="shared" si="54"/>
        <v>-81.580775006879279</v>
      </c>
      <c r="H702" s="17"/>
    </row>
    <row r="703" spans="1:8">
      <c r="A703" s="4" t="s">
        <v>483</v>
      </c>
      <c r="B703" s="35">
        <f>Yard!$G$44</f>
        <v>0</v>
      </c>
      <c r="C703" s="10"/>
      <c r="D703" s="35">
        <f>Reactive!$G$77</f>
        <v>0</v>
      </c>
      <c r="E703" s="39">
        <f>0.01*Input!$F$60*(C703*$C$696)+10*(B703*$B$696+D703*$D$696)</f>
        <v>0</v>
      </c>
      <c r="F703" s="34">
        <f t="shared" si="53"/>
        <v>0</v>
      </c>
      <c r="G703" s="43">
        <f t="shared" si="54"/>
        <v>0</v>
      </c>
      <c r="H703" s="17"/>
    </row>
    <row r="704" spans="1:8">
      <c r="A704" s="4" t="s">
        <v>484</v>
      </c>
      <c r="B704" s="35">
        <f>Yard!$H$44</f>
        <v>-0.1091432765464117</v>
      </c>
      <c r="C704" s="10"/>
      <c r="D704" s="35">
        <f>Reactive!$H$77</f>
        <v>1.3059874092612759E-2</v>
      </c>
      <c r="E704" s="39">
        <f>0.01*Input!$F$60*(C704*$C$696)+10*(B704*$B$696+D704*$D$696)</f>
        <v>-22341.856838560798</v>
      </c>
      <c r="F704" s="34">
        <f t="shared" si="53"/>
        <v>-0.10801654763222683</v>
      </c>
      <c r="G704" s="43">
        <f t="shared" si="54"/>
        <v>-103.67582415702977</v>
      </c>
      <c r="H704" s="17"/>
    </row>
    <row r="705" spans="1:8">
      <c r="A705" s="4" t="s">
        <v>485</v>
      </c>
      <c r="B705" s="35">
        <f>Yard!$I$44</f>
        <v>-9.9093407543664302E-2</v>
      </c>
      <c r="C705" s="10"/>
      <c r="D705" s="35">
        <f>Reactive!$I$77</f>
        <v>1.1857326139351336E-2</v>
      </c>
      <c r="E705" s="39">
        <f>0.01*Input!$F$60*(C705*$C$696)+10*(B705*$B$696+D705*$D$696)</f>
        <v>-20284.62764762486</v>
      </c>
      <c r="F705" s="34">
        <f t="shared" si="53"/>
        <v>-9.8070427374683647E-2</v>
      </c>
      <c r="G705" s="43">
        <f t="shared" si="54"/>
        <v>-94.129395971075908</v>
      </c>
      <c r="H705" s="17"/>
    </row>
    <row r="706" spans="1:8">
      <c r="A706" s="4" t="s">
        <v>486</v>
      </c>
      <c r="B706" s="35">
        <f>Yard!$J$44</f>
        <v>0</v>
      </c>
      <c r="C706" s="10"/>
      <c r="D706" s="35">
        <f>Reactive!$J$77</f>
        <v>2.8171061069784918E-4</v>
      </c>
      <c r="E706" s="39">
        <f>0.01*Input!$F$60*(C706*$C$696)+10*(B706*$B$696+D706*$D$696)</f>
        <v>5.0270433066941846</v>
      </c>
      <c r="F706" s="34">
        <f t="shared" si="53"/>
        <v>2.430433006130471E-5</v>
      </c>
      <c r="G706" s="43">
        <f t="shared" si="54"/>
        <v>2.3327642892916011E-2</v>
      </c>
      <c r="H706" s="17"/>
    </row>
    <row r="707" spans="1:8">
      <c r="A707" s="4" t="s">
        <v>1575</v>
      </c>
      <c r="B707" s="10"/>
      <c r="C707" s="45">
        <f>SM!$B$139</f>
        <v>0</v>
      </c>
      <c r="D707" s="10"/>
      <c r="E707" s="39">
        <f>0.01*Input!$F$60*(C707*$C$696)+10*(B707*$B$696+D707*$D$696)</f>
        <v>0</v>
      </c>
      <c r="F707" s="34">
        <f t="shared" si="53"/>
        <v>0</v>
      </c>
      <c r="G707" s="43">
        <f t="shared" si="54"/>
        <v>0</v>
      </c>
      <c r="H707" s="17"/>
    </row>
    <row r="708" spans="1:8">
      <c r="A708" s="4" t="s">
        <v>1576</v>
      </c>
      <c r="B708" s="10"/>
      <c r="C708" s="45">
        <f>SM!$C$139</f>
        <v>0</v>
      </c>
      <c r="D708" s="10"/>
      <c r="E708" s="39">
        <f>0.01*Input!$F$60*(C708*$C$696)+10*(B708*$B$696+D708*$D$696)</f>
        <v>0</v>
      </c>
      <c r="F708" s="34">
        <f t="shared" si="53"/>
        <v>0</v>
      </c>
      <c r="G708" s="43">
        <f t="shared" si="54"/>
        <v>0</v>
      </c>
      <c r="H708" s="17"/>
    </row>
    <row r="709" spans="1:8">
      <c r="A709" s="4" t="s">
        <v>1577</v>
      </c>
      <c r="B709" s="35">
        <f>Yard!$K$44</f>
        <v>-7.6482869925955238E-2</v>
      </c>
      <c r="C709" s="10"/>
      <c r="D709" s="35">
        <f>Reactive!$K$77</f>
        <v>1.1814382160862443E-2</v>
      </c>
      <c r="E709" s="39">
        <f>0.01*Input!$F$60*(C709*$C$696)+10*(B709*$B$696+D709*$D$696)</f>
        <v>-15608.690209932032</v>
      </c>
      <c r="F709" s="34">
        <f t="shared" si="53"/>
        <v>-7.5463594710170182E-2</v>
      </c>
      <c r="G709" s="43">
        <f t="shared" si="54"/>
        <v>-72.431035308285871</v>
      </c>
      <c r="H709" s="17"/>
    </row>
    <row r="710" spans="1:8">
      <c r="A710" s="4" t="s">
        <v>1578</v>
      </c>
      <c r="B710" s="35">
        <f>Yard!$L$44</f>
        <v>-5.3687844896250031E-2</v>
      </c>
      <c r="C710" s="10"/>
      <c r="D710" s="35">
        <f>Reactive!$L$77</f>
        <v>8.2932128149934108E-3</v>
      </c>
      <c r="E710" s="39">
        <f>0.01*Input!$F$60*(C710*$C$696)+10*(B710*$B$696+D710*$D$696)</f>
        <v>-10956.661796762215</v>
      </c>
      <c r="F710" s="34">
        <f t="shared" si="53"/>
        <v>-5.297235540501314E-2</v>
      </c>
      <c r="G710" s="43">
        <f t="shared" si="54"/>
        <v>-50.843622801690977</v>
      </c>
      <c r="H710" s="17"/>
    </row>
    <row r="711" spans="1:8">
      <c r="A711" s="4" t="s">
        <v>1579</v>
      </c>
      <c r="B711" s="35">
        <f>Yard!$M$44</f>
        <v>-2.1236515995744353E-2</v>
      </c>
      <c r="C711" s="10"/>
      <c r="D711" s="35">
        <f>Reactive!$M$77</f>
        <v>2.3885658910159004E-3</v>
      </c>
      <c r="E711" s="39">
        <f>0.01*Input!$F$60*(C711*$C$696)+10*(B711*$B$696+D711*$D$696)</f>
        <v>-4349.8815060924799</v>
      </c>
      <c r="F711" s="34">
        <f t="shared" si="53"/>
        <v>-2.103044461758569E-2</v>
      </c>
      <c r="G711" s="43">
        <f t="shared" si="54"/>
        <v>-20.18532091527852</v>
      </c>
      <c r="H711" s="17"/>
    </row>
    <row r="712" spans="1:8">
      <c r="A712" s="4" t="s">
        <v>1580</v>
      </c>
      <c r="B712" s="35">
        <f>Yard!$N$44</f>
        <v>-5.3623638659951484E-2</v>
      </c>
      <c r="C712" s="10"/>
      <c r="D712" s="35">
        <f>Reactive!$N$77</f>
        <v>6.0312903623639938E-3</v>
      </c>
      <c r="E712" s="39">
        <f>0.01*Input!$F$60*(C712*$C$696)+10*(B712*$B$696+D712*$D$696)</f>
        <v>-10983.744892196613</v>
      </c>
      <c r="F712" s="34">
        <f t="shared" si="53"/>
        <v>-5.3103294497907544E-2</v>
      </c>
      <c r="G712" s="43">
        <f t="shared" si="54"/>
        <v>-50.969300011968258</v>
      </c>
      <c r="H712" s="17"/>
    </row>
    <row r="713" spans="1:8">
      <c r="A713" s="4" t="s">
        <v>1581</v>
      </c>
      <c r="B713" s="35">
        <f>Yard!$O$44</f>
        <v>-3.3825973422811365E-2</v>
      </c>
      <c r="C713" s="10"/>
      <c r="D713" s="35">
        <f>Reactive!$O$77</f>
        <v>4.0475507785779951E-3</v>
      </c>
      <c r="E713" s="39">
        <f>0.01*Input!$F$60*(C713*$C$696)+10*(B713*$B$696+D713*$D$696)</f>
        <v>-6924.2474621517149</v>
      </c>
      <c r="F713" s="34">
        <f t="shared" si="53"/>
        <v>-3.3476774612660902E-2</v>
      </c>
      <c r="G713" s="43">
        <f t="shared" si="54"/>
        <v>-32.131486093259049</v>
      </c>
      <c r="H713" s="17"/>
    </row>
    <row r="714" spans="1:8">
      <c r="A714" s="4" t="s">
        <v>1582</v>
      </c>
      <c r="B714" s="35">
        <f>Yard!$P$44</f>
        <v>0</v>
      </c>
      <c r="C714" s="10"/>
      <c r="D714" s="35">
        <f>Reactive!$P$77</f>
        <v>0</v>
      </c>
      <c r="E714" s="39">
        <f>0.01*Input!$F$60*(C714*$C$696)+10*(B714*$B$696+D714*$D$696)</f>
        <v>0</v>
      </c>
      <c r="F714" s="34">
        <f t="shared" si="53"/>
        <v>0</v>
      </c>
      <c r="G714" s="43">
        <f t="shared" si="54"/>
        <v>0</v>
      </c>
      <c r="H714" s="17"/>
    </row>
    <row r="715" spans="1:8">
      <c r="A715" s="4" t="s">
        <v>1583</v>
      </c>
      <c r="B715" s="35">
        <f>Yard!$Q$44</f>
        <v>-6.1410400957614117E-2</v>
      </c>
      <c r="C715" s="10"/>
      <c r="D715" s="35">
        <f>Reactive!$Q$77</f>
        <v>7.348250207077682E-3</v>
      </c>
      <c r="E715" s="39">
        <f>0.01*Input!$F$60*(C715*$C$696)+10*(B715*$B$696+D715*$D$696)</f>
        <v>-12570.837435049862</v>
      </c>
      <c r="F715" s="34">
        <f t="shared" si="53"/>
        <v>-6.0776437267132409E-2</v>
      </c>
      <c r="G715" s="43">
        <f t="shared" si="54"/>
        <v>-58.334091962017567</v>
      </c>
      <c r="H715" s="17"/>
    </row>
    <row r="716" spans="1:8">
      <c r="A716" s="4" t="s">
        <v>1584</v>
      </c>
      <c r="B716" s="35">
        <f>Yard!$R$44</f>
        <v>-5.5755755939074898E-2</v>
      </c>
      <c r="C716" s="10"/>
      <c r="D716" s="35">
        <f>Reactive!$R$77</f>
        <v>6.6716262837603459E-3</v>
      </c>
      <c r="E716" s="39">
        <f>0.01*Input!$F$60*(C716*$C$696)+10*(B716*$B$696+D716*$D$696)</f>
        <v>-11413.319780507374</v>
      </c>
      <c r="F716" s="34">
        <f t="shared" si="53"/>
        <v>-5.5180167370208019E-2</v>
      </c>
      <c r="G716" s="43">
        <f t="shared" si="54"/>
        <v>-52.96271223838243</v>
      </c>
      <c r="H716" s="17"/>
    </row>
    <row r="717" spans="1:8">
      <c r="A717" s="4" t="s">
        <v>1585</v>
      </c>
      <c r="B717" s="35">
        <f>Yard!$S$44</f>
        <v>0</v>
      </c>
      <c r="C717" s="10"/>
      <c r="D717" s="35">
        <f>Reactive!$S$77</f>
        <v>3.6984941485695838E-3</v>
      </c>
      <c r="E717" s="39">
        <f>0.01*Input!$F$60*(C717*$C$696)+10*(B717*$B$696+D717*$D$696)</f>
        <v>65.998544422438698</v>
      </c>
      <c r="F717" s="34">
        <f t="shared" si="53"/>
        <v>3.1908426272608841E-4</v>
      </c>
      <c r="G717" s="43">
        <f t="shared" si="54"/>
        <v>0.30626162971159049</v>
      </c>
      <c r="H717" s="17"/>
    </row>
    <row r="718" spans="1:8">
      <c r="A718" s="4" t="s">
        <v>1586</v>
      </c>
      <c r="B718" s="10"/>
      <c r="C718" s="45">
        <f>Otex!$B$142</f>
        <v>0</v>
      </c>
      <c r="D718" s="10"/>
      <c r="E718" s="39">
        <f>0.01*Input!$F$60*(C718*$C$696)+10*(B718*$B$696+D718*$D$696)</f>
        <v>0</v>
      </c>
      <c r="F718" s="34">
        <f t="shared" si="53"/>
        <v>0</v>
      </c>
      <c r="G718" s="43">
        <f t="shared" si="54"/>
        <v>0</v>
      </c>
      <c r="H718" s="17"/>
    </row>
    <row r="719" spans="1:8">
      <c r="A719" s="4" t="s">
        <v>1587</v>
      </c>
      <c r="B719" s="10"/>
      <c r="C719" s="45">
        <f>Otex!$C$142</f>
        <v>0</v>
      </c>
      <c r="D719" s="10"/>
      <c r="E719" s="39">
        <f>0.01*Input!$F$60*(C719*$C$696)+10*(B719*$B$696+D719*$D$696)</f>
        <v>0</v>
      </c>
      <c r="F719" s="34">
        <f t="shared" si="53"/>
        <v>0</v>
      </c>
      <c r="G719" s="43">
        <f t="shared" si="54"/>
        <v>0</v>
      </c>
      <c r="H719" s="17"/>
    </row>
    <row r="720" spans="1:8">
      <c r="A720" s="4" t="s">
        <v>1588</v>
      </c>
      <c r="B720" s="35">
        <f>Adder!$B$286</f>
        <v>0</v>
      </c>
      <c r="C720" s="10"/>
      <c r="D720" s="10"/>
      <c r="E720" s="39">
        <f>0.01*Input!$F$60*(C720*$C$696)+10*(B720*$B$696+D720*$D$696)</f>
        <v>0</v>
      </c>
      <c r="F720" s="34">
        <f t="shared" si="53"/>
        <v>0</v>
      </c>
      <c r="G720" s="43">
        <f t="shared" si="54"/>
        <v>0</v>
      </c>
      <c r="H720" s="17"/>
    </row>
    <row r="721" spans="1:8">
      <c r="A721" s="4" t="s">
        <v>1589</v>
      </c>
      <c r="B721" s="35">
        <f>Adjust!$B$99</f>
        <v>-4.7819671413573683E-4</v>
      </c>
      <c r="C721" s="45">
        <f>Adjust!$E$99</f>
        <v>0</v>
      </c>
      <c r="D721" s="35">
        <f>Adjust!$H$99</f>
        <v>-2.0280711215689418E-4</v>
      </c>
      <c r="E721" s="39">
        <f>0.01*Input!$F$60*(C721*$C$696)+10*(B721*$B$696+D721*$D$696)</f>
        <v>-102.527976263233</v>
      </c>
      <c r="F721" s="34">
        <f t="shared" si="53"/>
        <v>-4.9569371568790039E-4</v>
      </c>
      <c r="G721" s="43">
        <f t="shared" si="54"/>
        <v>-0.47577390344283493</v>
      </c>
      <c r="H721" s="17"/>
    </row>
    <row r="723" spans="1:8">
      <c r="A723" s="4" t="s">
        <v>1590</v>
      </c>
      <c r="B723" s="34">
        <f>SUM($B$699:$B$721)</f>
        <v>-0.97699999999999998</v>
      </c>
      <c r="C723" s="43">
        <f>SUM($C$699:$C$721)</f>
        <v>0</v>
      </c>
      <c r="D723" s="34">
        <f>SUM($D$699:$D$721)</f>
        <v>0.128</v>
      </c>
      <c r="E723" s="39">
        <f>SUM($E$699:$E$721)</f>
        <v>-199795.97180208421</v>
      </c>
      <c r="F723" s="34">
        <f>SUM($F$699:$F$721)</f>
        <v>-0.96595691489880131</v>
      </c>
      <c r="G723" s="43">
        <f>SUM($G$699:$G$721)</f>
        <v>-927.13923419670891</v>
      </c>
    </row>
    <row r="725" spans="1:8" ht="21" customHeight="1">
      <c r="A725" s="1" t="s">
        <v>193</v>
      </c>
    </row>
    <row r="727" spans="1:8">
      <c r="B727" s="15" t="s">
        <v>237</v>
      </c>
      <c r="C727" s="15" t="s">
        <v>240</v>
      </c>
      <c r="D727" s="15" t="s">
        <v>1571</v>
      </c>
      <c r="E727" s="15" t="s">
        <v>1572</v>
      </c>
    </row>
    <row r="728" spans="1:8">
      <c r="A728" s="4" t="s">
        <v>193</v>
      </c>
      <c r="B728" s="41">
        <f>Loads!B$356</f>
        <v>0</v>
      </c>
      <c r="C728" s="41">
        <f>Loads!E$356</f>
        <v>0</v>
      </c>
      <c r="D728" s="41">
        <f>Multi!B$150</f>
        <v>0</v>
      </c>
      <c r="E728" s="34" t="str">
        <f>IF(C728,D728/C728,"")</f>
        <v/>
      </c>
      <c r="F728" s="17"/>
    </row>
    <row r="730" spans="1:8" ht="30">
      <c r="B730" s="15" t="s">
        <v>1379</v>
      </c>
      <c r="C730" s="15" t="s">
        <v>1382</v>
      </c>
      <c r="D730" s="15" t="s">
        <v>1573</v>
      </c>
      <c r="E730" s="15" t="s">
        <v>1540</v>
      </c>
      <c r="F730" s="15" t="s">
        <v>1574</v>
      </c>
    </row>
    <row r="731" spans="1:8">
      <c r="A731" s="4" t="s">
        <v>479</v>
      </c>
      <c r="B731" s="35">
        <f>Yard!$C$45</f>
        <v>-0.13631165338487333</v>
      </c>
      <c r="C731" s="10"/>
      <c r="D731" s="39">
        <f>0.01*Input!$F$60*(C731*$C$728)+10*(B731*$B$728)</f>
        <v>0</v>
      </c>
      <c r="E731" s="34" t="str">
        <f t="shared" ref="E731:E753" si="55">IF($D$728&lt;&gt;0,0.1*D731/$D$728,"")</f>
        <v/>
      </c>
      <c r="F731" s="43" t="str">
        <f t="shared" ref="F731:F753" si="56">IF($C$728&lt;&gt;0,D731/$C$728,"")</f>
        <v/>
      </c>
      <c r="G731" s="17"/>
    </row>
    <row r="732" spans="1:8">
      <c r="A732" s="4" t="s">
        <v>480</v>
      </c>
      <c r="B732" s="35">
        <f>Yard!$D$45</f>
        <v>-5.391880812329676E-2</v>
      </c>
      <c r="C732" s="10"/>
      <c r="D732" s="39">
        <f>0.01*Input!$F$60*(C732*$C$728)+10*(B732*$B$728)</f>
        <v>0</v>
      </c>
      <c r="E732" s="34" t="str">
        <f t="shared" si="55"/>
        <v/>
      </c>
      <c r="F732" s="43" t="str">
        <f t="shared" si="56"/>
        <v/>
      </c>
      <c r="G732" s="17"/>
    </row>
    <row r="733" spans="1:8">
      <c r="A733" s="4" t="s">
        <v>481</v>
      </c>
      <c r="B733" s="35">
        <f>Yard!$E$45</f>
        <v>-0.13614863588539305</v>
      </c>
      <c r="C733" s="10"/>
      <c r="D733" s="39">
        <f>0.01*Input!$F$60*(C733*$C$728)+10*(B733*$B$728)</f>
        <v>0</v>
      </c>
      <c r="E733" s="34" t="str">
        <f t="shared" si="55"/>
        <v/>
      </c>
      <c r="F733" s="43" t="str">
        <f t="shared" si="56"/>
        <v/>
      </c>
      <c r="G733" s="17"/>
    </row>
    <row r="734" spans="1:8">
      <c r="A734" s="4" t="s">
        <v>482</v>
      </c>
      <c r="B734" s="35">
        <f>Yard!$F$45</f>
        <v>-8.5883022004823673E-2</v>
      </c>
      <c r="C734" s="10"/>
      <c r="D734" s="39">
        <f>0.01*Input!$F$60*(C734*$C$728)+10*(B734*$B$728)</f>
        <v>0</v>
      </c>
      <c r="E734" s="34" t="str">
        <f t="shared" si="55"/>
        <v/>
      </c>
      <c r="F734" s="43" t="str">
        <f t="shared" si="56"/>
        <v/>
      </c>
      <c r="G734" s="17"/>
    </row>
    <row r="735" spans="1:8">
      <c r="A735" s="4" t="s">
        <v>483</v>
      </c>
      <c r="B735" s="35">
        <f>Yard!$G$45</f>
        <v>0</v>
      </c>
      <c r="C735" s="10"/>
      <c r="D735" s="39">
        <f>0.01*Input!$F$60*(C735*$C$728)+10*(B735*$B$728)</f>
        <v>0</v>
      </c>
      <c r="E735" s="34" t="str">
        <f t="shared" si="55"/>
        <v/>
      </c>
      <c r="F735" s="43" t="str">
        <f t="shared" si="56"/>
        <v/>
      </c>
      <c r="G735" s="17"/>
    </row>
    <row r="736" spans="1:8">
      <c r="A736" s="4" t="s">
        <v>484</v>
      </c>
      <c r="B736" s="35">
        <f>Yard!$H$45</f>
        <v>-0.1091432765464117</v>
      </c>
      <c r="C736" s="10"/>
      <c r="D736" s="39">
        <f>0.01*Input!$F$60*(C736*$C$728)+10*(B736*$B$728)</f>
        <v>0</v>
      </c>
      <c r="E736" s="34" t="str">
        <f t="shared" si="55"/>
        <v/>
      </c>
      <c r="F736" s="43" t="str">
        <f t="shared" si="56"/>
        <v/>
      </c>
      <c r="G736" s="17"/>
    </row>
    <row r="737" spans="1:7">
      <c r="A737" s="4" t="s">
        <v>485</v>
      </c>
      <c r="B737" s="35">
        <f>Yard!$I$45</f>
        <v>-9.9093407543664302E-2</v>
      </c>
      <c r="C737" s="10"/>
      <c r="D737" s="39">
        <f>0.01*Input!$F$60*(C737*$C$728)+10*(B737*$B$728)</f>
        <v>0</v>
      </c>
      <c r="E737" s="34" t="str">
        <f t="shared" si="55"/>
        <v/>
      </c>
      <c r="F737" s="43" t="str">
        <f t="shared" si="56"/>
        <v/>
      </c>
      <c r="G737" s="17"/>
    </row>
    <row r="738" spans="1:7">
      <c r="A738" s="4" t="s">
        <v>486</v>
      </c>
      <c r="B738" s="35">
        <f>Yard!$J$45</f>
        <v>0</v>
      </c>
      <c r="C738" s="10"/>
      <c r="D738" s="39">
        <f>0.01*Input!$F$60*(C738*$C$728)+10*(B738*$B$728)</f>
        <v>0</v>
      </c>
      <c r="E738" s="34" t="str">
        <f t="shared" si="55"/>
        <v/>
      </c>
      <c r="F738" s="43" t="str">
        <f t="shared" si="56"/>
        <v/>
      </c>
      <c r="G738" s="17"/>
    </row>
    <row r="739" spans="1:7">
      <c r="A739" s="4" t="s">
        <v>1575</v>
      </c>
      <c r="B739" s="10"/>
      <c r="C739" s="45">
        <f>SM!$B$140</f>
        <v>0</v>
      </c>
      <c r="D739" s="39">
        <f>0.01*Input!$F$60*(C739*$C$728)+10*(B739*$B$728)</f>
        <v>0</v>
      </c>
      <c r="E739" s="34" t="str">
        <f t="shared" si="55"/>
        <v/>
      </c>
      <c r="F739" s="43" t="str">
        <f t="shared" si="56"/>
        <v/>
      </c>
      <c r="G739" s="17"/>
    </row>
    <row r="740" spans="1:7">
      <c r="A740" s="4" t="s">
        <v>1576</v>
      </c>
      <c r="B740" s="10"/>
      <c r="C740" s="45">
        <f>SM!$C$140</f>
        <v>0</v>
      </c>
      <c r="D740" s="39">
        <f>0.01*Input!$F$60*(C740*$C$728)+10*(B740*$B$728)</f>
        <v>0</v>
      </c>
      <c r="E740" s="34" t="str">
        <f t="shared" si="55"/>
        <v/>
      </c>
      <c r="F740" s="43" t="str">
        <f t="shared" si="56"/>
        <v/>
      </c>
      <c r="G740" s="17"/>
    </row>
    <row r="741" spans="1:7">
      <c r="A741" s="4" t="s">
        <v>1577</v>
      </c>
      <c r="B741" s="35">
        <f>Yard!$K$45</f>
        <v>-7.6482869925955238E-2</v>
      </c>
      <c r="C741" s="10"/>
      <c r="D741" s="39">
        <f>0.01*Input!$F$60*(C741*$C$728)+10*(B741*$B$728)</f>
        <v>0</v>
      </c>
      <c r="E741" s="34" t="str">
        <f t="shared" si="55"/>
        <v/>
      </c>
      <c r="F741" s="43" t="str">
        <f t="shared" si="56"/>
        <v/>
      </c>
      <c r="G741" s="17"/>
    </row>
    <row r="742" spans="1:7">
      <c r="A742" s="4" t="s">
        <v>1578</v>
      </c>
      <c r="B742" s="35">
        <f>Yard!$L$45</f>
        <v>-5.3687844896250031E-2</v>
      </c>
      <c r="C742" s="10"/>
      <c r="D742" s="39">
        <f>0.01*Input!$F$60*(C742*$C$728)+10*(B742*$B$728)</f>
        <v>0</v>
      </c>
      <c r="E742" s="34" t="str">
        <f t="shared" si="55"/>
        <v/>
      </c>
      <c r="F742" s="43" t="str">
        <f t="shared" si="56"/>
        <v/>
      </c>
      <c r="G742" s="17"/>
    </row>
    <row r="743" spans="1:7">
      <c r="A743" s="4" t="s">
        <v>1579</v>
      </c>
      <c r="B743" s="35">
        <f>Yard!$M$45</f>
        <v>-2.1236515995744353E-2</v>
      </c>
      <c r="C743" s="10"/>
      <c r="D743" s="39">
        <f>0.01*Input!$F$60*(C743*$C$728)+10*(B743*$B$728)</f>
        <v>0</v>
      </c>
      <c r="E743" s="34" t="str">
        <f t="shared" si="55"/>
        <v/>
      </c>
      <c r="F743" s="43" t="str">
        <f t="shared" si="56"/>
        <v/>
      </c>
      <c r="G743" s="17"/>
    </row>
    <row r="744" spans="1:7">
      <c r="A744" s="4" t="s">
        <v>1580</v>
      </c>
      <c r="B744" s="35">
        <f>Yard!$N$45</f>
        <v>-5.3623638659951484E-2</v>
      </c>
      <c r="C744" s="10"/>
      <c r="D744" s="39">
        <f>0.01*Input!$F$60*(C744*$C$728)+10*(B744*$B$728)</f>
        <v>0</v>
      </c>
      <c r="E744" s="34" t="str">
        <f t="shared" si="55"/>
        <v/>
      </c>
      <c r="F744" s="43" t="str">
        <f t="shared" si="56"/>
        <v/>
      </c>
      <c r="G744" s="17"/>
    </row>
    <row r="745" spans="1:7">
      <c r="A745" s="4" t="s">
        <v>1581</v>
      </c>
      <c r="B745" s="35">
        <f>Yard!$O$45</f>
        <v>-3.3825973422811365E-2</v>
      </c>
      <c r="C745" s="10"/>
      <c r="D745" s="39">
        <f>0.01*Input!$F$60*(C745*$C$728)+10*(B745*$B$728)</f>
        <v>0</v>
      </c>
      <c r="E745" s="34" t="str">
        <f t="shared" si="55"/>
        <v/>
      </c>
      <c r="F745" s="43" t="str">
        <f t="shared" si="56"/>
        <v/>
      </c>
      <c r="G745" s="17"/>
    </row>
    <row r="746" spans="1:7">
      <c r="A746" s="4" t="s">
        <v>1582</v>
      </c>
      <c r="B746" s="35">
        <f>Yard!$P$45</f>
        <v>0</v>
      </c>
      <c r="C746" s="10"/>
      <c r="D746" s="39">
        <f>0.01*Input!$F$60*(C746*$C$728)+10*(B746*$B$728)</f>
        <v>0</v>
      </c>
      <c r="E746" s="34" t="str">
        <f t="shared" si="55"/>
        <v/>
      </c>
      <c r="F746" s="43" t="str">
        <f t="shared" si="56"/>
        <v/>
      </c>
      <c r="G746" s="17"/>
    </row>
    <row r="747" spans="1:7">
      <c r="A747" s="4" t="s">
        <v>1583</v>
      </c>
      <c r="B747" s="35">
        <f>Yard!$Q$45</f>
        <v>-6.1410400957614117E-2</v>
      </c>
      <c r="C747" s="10"/>
      <c r="D747" s="39">
        <f>0.01*Input!$F$60*(C747*$C$728)+10*(B747*$B$728)</f>
        <v>0</v>
      </c>
      <c r="E747" s="34" t="str">
        <f t="shared" si="55"/>
        <v/>
      </c>
      <c r="F747" s="43" t="str">
        <f t="shared" si="56"/>
        <v/>
      </c>
      <c r="G747" s="17"/>
    </row>
    <row r="748" spans="1:7">
      <c r="A748" s="4" t="s">
        <v>1584</v>
      </c>
      <c r="B748" s="35">
        <f>Yard!$R$45</f>
        <v>-5.5755755939074898E-2</v>
      </c>
      <c r="C748" s="10"/>
      <c r="D748" s="39">
        <f>0.01*Input!$F$60*(C748*$C$728)+10*(B748*$B$728)</f>
        <v>0</v>
      </c>
      <c r="E748" s="34" t="str">
        <f t="shared" si="55"/>
        <v/>
      </c>
      <c r="F748" s="43" t="str">
        <f t="shared" si="56"/>
        <v/>
      </c>
      <c r="G748" s="17"/>
    </row>
    <row r="749" spans="1:7">
      <c r="A749" s="4" t="s">
        <v>1585</v>
      </c>
      <c r="B749" s="35">
        <f>Yard!$S$45</f>
        <v>0</v>
      </c>
      <c r="C749" s="10"/>
      <c r="D749" s="39">
        <f>0.01*Input!$F$60*(C749*$C$728)+10*(B749*$B$728)</f>
        <v>0</v>
      </c>
      <c r="E749" s="34" t="str">
        <f t="shared" si="55"/>
        <v/>
      </c>
      <c r="F749" s="43" t="str">
        <f t="shared" si="56"/>
        <v/>
      </c>
      <c r="G749" s="17"/>
    </row>
    <row r="750" spans="1:7">
      <c r="A750" s="4" t="s">
        <v>1586</v>
      </c>
      <c r="B750" s="10"/>
      <c r="C750" s="45">
        <f>Otex!$B$143</f>
        <v>0</v>
      </c>
      <c r="D750" s="39">
        <f>0.01*Input!$F$60*(C750*$C$728)+10*(B750*$B$728)</f>
        <v>0</v>
      </c>
      <c r="E750" s="34" t="str">
        <f t="shared" si="55"/>
        <v/>
      </c>
      <c r="F750" s="43" t="str">
        <f t="shared" si="56"/>
        <v/>
      </c>
      <c r="G750" s="17"/>
    </row>
    <row r="751" spans="1:7">
      <c r="A751" s="4" t="s">
        <v>1587</v>
      </c>
      <c r="B751" s="10"/>
      <c r="C751" s="45">
        <f>Otex!$C$143</f>
        <v>0</v>
      </c>
      <c r="D751" s="39">
        <f>0.01*Input!$F$60*(C751*$C$728)+10*(B751*$B$728)</f>
        <v>0</v>
      </c>
      <c r="E751" s="34" t="str">
        <f t="shared" si="55"/>
        <v/>
      </c>
      <c r="F751" s="43" t="str">
        <f t="shared" si="56"/>
        <v/>
      </c>
      <c r="G751" s="17"/>
    </row>
    <row r="752" spans="1:7">
      <c r="A752" s="4" t="s">
        <v>1588</v>
      </c>
      <c r="B752" s="35">
        <f>Adder!$B$287</f>
        <v>0</v>
      </c>
      <c r="C752" s="10"/>
      <c r="D752" s="39">
        <f>0.01*Input!$F$60*(C752*$C$728)+10*(B752*$B$728)</f>
        <v>0</v>
      </c>
      <c r="E752" s="34" t="str">
        <f t="shared" si="55"/>
        <v/>
      </c>
      <c r="F752" s="43" t="str">
        <f t="shared" si="56"/>
        <v/>
      </c>
      <c r="G752" s="17"/>
    </row>
    <row r="753" spans="1:11">
      <c r="A753" s="4" t="s">
        <v>1589</v>
      </c>
      <c r="B753" s="35">
        <f>Adjust!$B$100</f>
        <v>-4.7819671413573683E-4</v>
      </c>
      <c r="C753" s="45">
        <f>Adjust!$E$100</f>
        <v>0</v>
      </c>
      <c r="D753" s="39">
        <f>0.01*Input!$F$60*(C753*$C$728)+10*(B753*$B$728)</f>
        <v>0</v>
      </c>
      <c r="E753" s="34" t="str">
        <f t="shared" si="55"/>
        <v/>
      </c>
      <c r="F753" s="43" t="str">
        <f t="shared" si="56"/>
        <v/>
      </c>
      <c r="G753" s="17"/>
    </row>
    <row r="755" spans="1:11">
      <c r="A755" s="4" t="s">
        <v>1590</v>
      </c>
      <c r="B755" s="34">
        <f>SUM($B$731:$B$753)</f>
        <v>-0.97699999999999998</v>
      </c>
      <c r="C755" s="43">
        <f>SUM($C$731:$C$753)</f>
        <v>0</v>
      </c>
      <c r="D755" s="39">
        <f>SUM($D$731:$D$753)</f>
        <v>0</v>
      </c>
      <c r="E755" s="34">
        <f>SUM($E$731:$E$753)</f>
        <v>0</v>
      </c>
      <c r="F755" s="43">
        <f>SUM($F$731:$F$753)</f>
        <v>0</v>
      </c>
    </row>
    <row r="757" spans="1:11" ht="21" customHeight="1">
      <c r="A757" s="1" t="s">
        <v>194</v>
      </c>
    </row>
    <row r="759" spans="1:11" ht="30">
      <c r="B759" s="15" t="s">
        <v>237</v>
      </c>
      <c r="C759" s="15" t="s">
        <v>238</v>
      </c>
      <c r="D759" s="15" t="s">
        <v>239</v>
      </c>
      <c r="E759" s="15" t="s">
        <v>240</v>
      </c>
      <c r="F759" s="15" t="s">
        <v>243</v>
      </c>
      <c r="G759" s="15" t="s">
        <v>1571</v>
      </c>
      <c r="H759" s="15" t="s">
        <v>1572</v>
      </c>
    </row>
    <row r="760" spans="1:11">
      <c r="A760" s="4" t="s">
        <v>194</v>
      </c>
      <c r="B760" s="41">
        <f>Loads!B$357</f>
        <v>502.12550455304932</v>
      </c>
      <c r="C760" s="41">
        <f>Loads!C$357</f>
        <v>1708.6279222639935</v>
      </c>
      <c r="D760" s="41">
        <f>Loads!D$357</f>
        <v>3789.2692779866338</v>
      </c>
      <c r="E760" s="41">
        <f>Loads!E$357</f>
        <v>20</v>
      </c>
      <c r="F760" s="41">
        <f>Loads!H$357</f>
        <v>830.05949999999996</v>
      </c>
      <c r="G760" s="41">
        <f>Multi!B$151</f>
        <v>6000.0227048036768</v>
      </c>
      <c r="H760" s="34">
        <f>IF(E760,G760/E760,"")</f>
        <v>300.00113524018383</v>
      </c>
      <c r="I760" s="17"/>
    </row>
    <row r="762" spans="1:11" ht="30">
      <c r="B762" s="15" t="s">
        <v>1379</v>
      </c>
      <c r="C762" s="15" t="s">
        <v>1380</v>
      </c>
      <c r="D762" s="15" t="s">
        <v>1381</v>
      </c>
      <c r="E762" s="15" t="s">
        <v>1382</v>
      </c>
      <c r="F762" s="15" t="s">
        <v>1136</v>
      </c>
      <c r="G762" s="15" t="s">
        <v>1591</v>
      </c>
      <c r="H762" s="15" t="s">
        <v>1573</v>
      </c>
      <c r="I762" s="15" t="s">
        <v>1540</v>
      </c>
      <c r="J762" s="15" t="s">
        <v>1574</v>
      </c>
    </row>
    <row r="763" spans="1:11">
      <c r="A763" s="4" t="s">
        <v>479</v>
      </c>
      <c r="B763" s="35">
        <f>Yard!$C$86</f>
        <v>-1.0180394934055255</v>
      </c>
      <c r="C763" s="35">
        <f>Yard!$C$114</f>
        <v>-0.117875814537774</v>
      </c>
      <c r="D763" s="35">
        <f>Yard!$C$137</f>
        <v>-1.7932923320127581E-2</v>
      </c>
      <c r="E763" s="10"/>
      <c r="F763" s="35">
        <f>Reactive!$C$78</f>
        <v>2.1056191636467263E-2</v>
      </c>
      <c r="G763" s="34">
        <f t="shared" ref="G763:G785" si="57">IF(G$760&lt;&gt;0,(($B763*B$760+$C763*C$760+$D763*D$760+$F763*F$760))/G$760,0)</f>
        <v>-0.12717689972221194</v>
      </c>
      <c r="H763" s="39">
        <f>0.01*Input!$F$60*(E763*$E$760)+10*(B763*$B$760+C763*$C$760+D763*$D$760+F763*$F$760)</f>
        <v>-7630.6428585981212</v>
      </c>
      <c r="I763" s="34">
        <f t="shared" ref="I763:I785" si="58">IF($G$760&lt;&gt;0,0.1*H763/$G$760,"")</f>
        <v>-0.12717689972221194</v>
      </c>
      <c r="J763" s="43">
        <f t="shared" ref="J763:J785" si="59">IF($E$760&lt;&gt;0,H763/$E$760,"")</f>
        <v>-381.53214292990606</v>
      </c>
      <c r="K763" s="17"/>
    </row>
    <row r="764" spans="1:11">
      <c r="A764" s="4" t="s">
        <v>480</v>
      </c>
      <c r="B764" s="35">
        <f>Yard!$D$86</f>
        <v>-0.40269100068712194</v>
      </c>
      <c r="C764" s="35">
        <f>Yard!$D$114</f>
        <v>-4.662641284596767E-2</v>
      </c>
      <c r="D764" s="35">
        <f>Yard!$D$137</f>
        <v>-7.0934643339529285E-3</v>
      </c>
      <c r="E764" s="10"/>
      <c r="F764" s="35">
        <f>Reactive!$D$78</f>
        <v>6.0644893914494277E-3</v>
      </c>
      <c r="G764" s="34">
        <f t="shared" si="57"/>
        <v>-5.0618770492749314E-2</v>
      </c>
      <c r="H764" s="39">
        <f>0.01*Input!$F$60*(E764*$E$760)+10*(B764*$B$760+C764*$C$760+D764*$D$760+F764*$F$760)</f>
        <v>-3037.137722457423</v>
      </c>
      <c r="I764" s="34">
        <f t="shared" si="58"/>
        <v>-5.0618770492749314E-2</v>
      </c>
      <c r="J764" s="43">
        <f t="shared" si="59"/>
        <v>-151.85688612287115</v>
      </c>
      <c r="K764" s="17"/>
    </row>
    <row r="765" spans="1:11">
      <c r="A765" s="4" t="s">
        <v>481</v>
      </c>
      <c r="B765" s="35">
        <f>Yard!$E$86</f>
        <v>-0.85753187397201336</v>
      </c>
      <c r="C765" s="35">
        <f>Yard!$E$114</f>
        <v>-0.16591217641903377</v>
      </c>
      <c r="D765" s="35">
        <f>Yard!$E$137</f>
        <v>-1.843900874654025E-2</v>
      </c>
      <c r="E765" s="10"/>
      <c r="F765" s="35">
        <f>Reactive!$E$78</f>
        <v>1.5313245724927805E-2</v>
      </c>
      <c r="G765" s="34">
        <f t="shared" si="57"/>
        <v>-0.12853789133401053</v>
      </c>
      <c r="H765" s="39">
        <f>0.01*Input!$F$60*(E765*$E$760)+10*(B765*$B$760+C765*$C$760+D765*$D$760+F765*$F$760)</f>
        <v>-7712.3026643165103</v>
      </c>
      <c r="I765" s="34">
        <f t="shared" si="58"/>
        <v>-0.12853789133401056</v>
      </c>
      <c r="J765" s="43">
        <f t="shared" si="59"/>
        <v>-385.61513321582549</v>
      </c>
      <c r="K765" s="17"/>
    </row>
    <row r="766" spans="1:11">
      <c r="A766" s="4" t="s">
        <v>482</v>
      </c>
      <c r="B766" s="35">
        <f>Yard!$F$86</f>
        <v>-0.54093401908316519</v>
      </c>
      <c r="C766" s="35">
        <f>Yard!$F$114</f>
        <v>-0.10465796447831173</v>
      </c>
      <c r="D766" s="35">
        <f>Yard!$F$137</f>
        <v>-1.1631389353465799E-2</v>
      </c>
      <c r="E766" s="10"/>
      <c r="F766" s="35">
        <f>Reactive!$F$78</f>
        <v>1.0276596869429095E-2</v>
      </c>
      <c r="G766" s="34">
        <f t="shared" si="57"/>
        <v>-8.0996788019846361E-2</v>
      </c>
      <c r="H766" s="39">
        <f>0.01*Input!$F$60*(E766*$E$760)+10*(B766*$B$760+C766*$C$760+D766*$D$760+F766*$F$760)</f>
        <v>-4859.8256713524861</v>
      </c>
      <c r="I766" s="34">
        <f t="shared" si="58"/>
        <v>-8.0996788019846361E-2</v>
      </c>
      <c r="J766" s="43">
        <f t="shared" si="59"/>
        <v>-242.99128356762429</v>
      </c>
      <c r="K766" s="17"/>
    </row>
    <row r="767" spans="1:11">
      <c r="A767" s="4" t="s">
        <v>483</v>
      </c>
      <c r="B767" s="35">
        <f>Yard!$G$86</f>
        <v>0</v>
      </c>
      <c r="C767" s="35">
        <f>Yard!$G$114</f>
        <v>0</v>
      </c>
      <c r="D767" s="35">
        <f>Yard!$G$137</f>
        <v>0</v>
      </c>
      <c r="E767" s="10"/>
      <c r="F767" s="35">
        <f>Reactive!$G$78</f>
        <v>0</v>
      </c>
      <c r="G767" s="34">
        <f t="shared" si="57"/>
        <v>0</v>
      </c>
      <c r="H767" s="39">
        <f>0.01*Input!$F$60*(E767*$E$760)+10*(B767*$B$760+C767*$C$760+D767*$D$760+F767*$F$760)</f>
        <v>0</v>
      </c>
      <c r="I767" s="34">
        <f t="shared" si="58"/>
        <v>0</v>
      </c>
      <c r="J767" s="43">
        <f t="shared" si="59"/>
        <v>0</v>
      </c>
      <c r="K767" s="17"/>
    </row>
    <row r="768" spans="1:11">
      <c r="A768" s="4" t="s">
        <v>484</v>
      </c>
      <c r="B768" s="35">
        <f>Yard!$H$86</f>
        <v>-0.68743867949639526</v>
      </c>
      <c r="C768" s="35">
        <f>Yard!$H$114</f>
        <v>-0.13300315817018343</v>
      </c>
      <c r="D768" s="35">
        <f>Yard!$H$137</f>
        <v>-1.4781593791063906E-2</v>
      </c>
      <c r="E768" s="10"/>
      <c r="F768" s="35">
        <f>Reactive!$H$78</f>
        <v>1.3059874092612759E-2</v>
      </c>
      <c r="G768" s="34">
        <f t="shared" si="57"/>
        <v>-0.10293367219570662</v>
      </c>
      <c r="H768" s="39">
        <f>0.01*Input!$F$60*(E768*$E$760)+10*(B768*$B$760+C768*$C$760+D768*$D$760+F768*$F$760)</f>
        <v>-6176.0437026305863</v>
      </c>
      <c r="I768" s="34">
        <f t="shared" si="58"/>
        <v>-0.10293367219570662</v>
      </c>
      <c r="J768" s="43">
        <f t="shared" si="59"/>
        <v>-308.80218513152931</v>
      </c>
      <c r="K768" s="17"/>
    </row>
    <row r="769" spans="1:11">
      <c r="A769" s="4" t="s">
        <v>485</v>
      </c>
      <c r="B769" s="35">
        <f>Yard!$I$86</f>
        <v>-0.62413960240278588</v>
      </c>
      <c r="C769" s="35">
        <f>Yard!$I$114</f>
        <v>-0.12075628086488618</v>
      </c>
      <c r="D769" s="35">
        <f>Yard!$I$137</f>
        <v>-1.342051058051134E-2</v>
      </c>
      <c r="E769" s="10"/>
      <c r="F769" s="35">
        <f>Reactive!$I$78</f>
        <v>1.1857326139351336E-2</v>
      </c>
      <c r="G769" s="34">
        <f t="shared" si="57"/>
        <v>-9.345558106382916E-2</v>
      </c>
      <c r="H769" s="39">
        <f>0.01*Input!$F$60*(E769*$E$760)+10*(B769*$B$760+C769*$C$760+D769*$D$760+F769*$F$760)</f>
        <v>-5607.3560827359552</v>
      </c>
      <c r="I769" s="34">
        <f t="shared" si="58"/>
        <v>-9.345558106382916E-2</v>
      </c>
      <c r="J769" s="43">
        <f t="shared" si="59"/>
        <v>-280.36780413679776</v>
      </c>
      <c r="K769" s="17"/>
    </row>
    <row r="770" spans="1:11">
      <c r="A770" s="4" t="s">
        <v>486</v>
      </c>
      <c r="B770" s="35">
        <f>Yard!$J$86</f>
        <v>0</v>
      </c>
      <c r="C770" s="35">
        <f>Yard!$J$114</f>
        <v>0</v>
      </c>
      <c r="D770" s="35">
        <f>Yard!$J$137</f>
        <v>0</v>
      </c>
      <c r="E770" s="10"/>
      <c r="F770" s="35">
        <f>Reactive!$J$78</f>
        <v>2.8171061069784918E-4</v>
      </c>
      <c r="G770" s="34">
        <f t="shared" si="57"/>
        <v>3.8972613965833745E-5</v>
      </c>
      <c r="H770" s="39">
        <f>0.01*Input!$F$60*(E770*$E$760)+10*(B770*$B$760+C770*$C$760+D770*$D$760+F770*$F$760)</f>
        <v>2.3383656866055134</v>
      </c>
      <c r="I770" s="34">
        <f t="shared" si="58"/>
        <v>3.8972613965833745E-5</v>
      </c>
      <c r="J770" s="43">
        <f t="shared" si="59"/>
        <v>0.11691828433027567</v>
      </c>
      <c r="K770" s="17"/>
    </row>
    <row r="771" spans="1:11">
      <c r="A771" s="4" t="s">
        <v>1575</v>
      </c>
      <c r="B771" s="10"/>
      <c r="C771" s="10"/>
      <c r="D771" s="10"/>
      <c r="E771" s="45">
        <f>SM!$B$141</f>
        <v>0</v>
      </c>
      <c r="F771" s="10"/>
      <c r="G771" s="34">
        <f t="shared" si="57"/>
        <v>0</v>
      </c>
      <c r="H771" s="39">
        <f>0.01*Input!$F$60*(E771*$E$760)+10*(B771*$B$760+C771*$C$760+D771*$D$760+F771*$F$760)</f>
        <v>0</v>
      </c>
      <c r="I771" s="34">
        <f t="shared" si="58"/>
        <v>0</v>
      </c>
      <c r="J771" s="43">
        <f t="shared" si="59"/>
        <v>0</v>
      </c>
      <c r="K771" s="17"/>
    </row>
    <row r="772" spans="1:11">
      <c r="A772" s="4" t="s">
        <v>1576</v>
      </c>
      <c r="B772" s="10"/>
      <c r="C772" s="10"/>
      <c r="D772" s="10"/>
      <c r="E772" s="45">
        <f>SM!$C$141</f>
        <v>0</v>
      </c>
      <c r="F772" s="10"/>
      <c r="G772" s="34">
        <f t="shared" si="57"/>
        <v>0</v>
      </c>
      <c r="H772" s="39">
        <f>0.01*Input!$F$60*(E772*$E$760)+10*(B772*$B$760+C772*$C$760+D772*$D$760+F772*$F$760)</f>
        <v>0</v>
      </c>
      <c r="I772" s="34">
        <f t="shared" si="58"/>
        <v>0</v>
      </c>
      <c r="J772" s="43">
        <f t="shared" si="59"/>
        <v>0</v>
      </c>
      <c r="K772" s="17"/>
    </row>
    <row r="773" spans="1:11">
      <c r="A773" s="4" t="s">
        <v>1577</v>
      </c>
      <c r="B773" s="35">
        <f>Yard!$K$86</f>
        <v>-0.74177424049038965</v>
      </c>
      <c r="C773" s="35">
        <f>Yard!$K$114</f>
        <v>-3.0328697757831577E-2</v>
      </c>
      <c r="D773" s="35">
        <f>Yard!$K$137</f>
        <v>-2.1590790981883797E-3</v>
      </c>
      <c r="E773" s="10"/>
      <c r="F773" s="35">
        <f>Reactive!$K$78</f>
        <v>1.1814382160862443E-2</v>
      </c>
      <c r="G773" s="34">
        <f t="shared" si="57"/>
        <v>-7.0442886193330112E-2</v>
      </c>
      <c r="H773" s="39">
        <f>0.01*Input!$F$60*(E773*$E$760)+10*(B773*$B$760+C773*$C$760+D773*$D$760+F773*$F$760)</f>
        <v>-4226.5891655188216</v>
      </c>
      <c r="I773" s="34">
        <f t="shared" si="58"/>
        <v>-7.0442886193330112E-2</v>
      </c>
      <c r="J773" s="43">
        <f t="shared" si="59"/>
        <v>-211.32945827594108</v>
      </c>
      <c r="K773" s="17"/>
    </row>
    <row r="774" spans="1:11">
      <c r="A774" s="4" t="s">
        <v>1578</v>
      </c>
      <c r="B774" s="35">
        <f>Yard!$L$86</f>
        <v>-0.40096605875575175</v>
      </c>
      <c r="C774" s="35">
        <f>Yard!$L$114</f>
        <v>-4.6426686866270703E-2</v>
      </c>
      <c r="D774" s="35">
        <f>Yard!$L$137</f>
        <v>-7.063079214723952E-3</v>
      </c>
      <c r="E774" s="10"/>
      <c r="F774" s="35">
        <f>Reactive!$L$78</f>
        <v>8.2932128149934108E-3</v>
      </c>
      <c r="G774" s="34">
        <f t="shared" si="57"/>
        <v>-5.0090021631486951E-2</v>
      </c>
      <c r="H774" s="39">
        <f>0.01*Input!$F$60*(E774*$E$760)+10*(B774*$B$760+C774*$C$760+D774*$D$760+F774*$F$760)</f>
        <v>-3005.4126707302903</v>
      </c>
      <c r="I774" s="34">
        <f t="shared" si="58"/>
        <v>-5.0090021631486951E-2</v>
      </c>
      <c r="J774" s="43">
        <f t="shared" si="59"/>
        <v>-150.27063353651451</v>
      </c>
      <c r="K774" s="17"/>
    </row>
    <row r="775" spans="1:11">
      <c r="A775" s="4" t="s">
        <v>1579</v>
      </c>
      <c r="B775" s="35">
        <f>Yard!$M$86</f>
        <v>-0.15860428253308143</v>
      </c>
      <c r="C775" s="35">
        <f>Yard!$M$114</f>
        <v>-1.8364325857561807E-2</v>
      </c>
      <c r="D775" s="35">
        <f>Yard!$M$137</f>
        <v>-2.7938389967515991E-3</v>
      </c>
      <c r="E775" s="10"/>
      <c r="F775" s="35">
        <f>Reactive!$M$78</f>
        <v>2.3885658910159004E-3</v>
      </c>
      <c r="G775" s="34">
        <f t="shared" si="57"/>
        <v>-1.993675985559705E-2</v>
      </c>
      <c r="H775" s="39">
        <f>0.01*Input!$F$60*(E775*$E$760)+10*(B775*$B$760+C775*$C$760+D775*$D$760+F775*$F$760)</f>
        <v>-1196.2101179380077</v>
      </c>
      <c r="I775" s="34">
        <f t="shared" si="58"/>
        <v>-1.993675985559705E-2</v>
      </c>
      <c r="J775" s="43">
        <f t="shared" si="59"/>
        <v>-59.810505896900381</v>
      </c>
      <c r="K775" s="17"/>
    </row>
    <row r="776" spans="1:11">
      <c r="A776" s="4" t="s">
        <v>1580</v>
      </c>
      <c r="B776" s="35">
        <f>Yard!$N$86</f>
        <v>-0.33774836633673366</v>
      </c>
      <c r="C776" s="35">
        <f>Yard!$N$114</f>
        <v>-6.5346336668914803E-2</v>
      </c>
      <c r="D776" s="35">
        <f>Yard!$N$137</f>
        <v>-7.2624065297612044E-3</v>
      </c>
      <c r="E776" s="10"/>
      <c r="F776" s="35">
        <f>Reactive!$N$78</f>
        <v>6.0312903623639938E-3</v>
      </c>
      <c r="G776" s="34">
        <f t="shared" si="57"/>
        <v>-5.0626063156513648E-2</v>
      </c>
      <c r="H776" s="39">
        <f>0.01*Input!$F$60*(E776*$E$760)+10*(B776*$B$760+C776*$C$760+D776*$D$760+F776*$F$760)</f>
        <v>-3037.575283939068</v>
      </c>
      <c r="I776" s="34">
        <f t="shared" si="58"/>
        <v>-5.0626063156513648E-2</v>
      </c>
      <c r="J776" s="43">
        <f t="shared" si="59"/>
        <v>-151.8787641969534</v>
      </c>
      <c r="K776" s="17"/>
    </row>
    <row r="777" spans="1:11">
      <c r="A777" s="4" t="s">
        <v>1581</v>
      </c>
      <c r="B777" s="35">
        <f>Yard!$O$86</f>
        <v>-0.2130528167950819</v>
      </c>
      <c r="C777" s="35">
        <f>Yard!$O$114</f>
        <v>-4.1220691148130234E-2</v>
      </c>
      <c r="D777" s="35">
        <f>Yard!$O$137</f>
        <v>-4.5811507089096992E-3</v>
      </c>
      <c r="E777" s="10"/>
      <c r="F777" s="35">
        <f>Reactive!$O$78</f>
        <v>4.0475507785779951E-3</v>
      </c>
      <c r="G777" s="34">
        <f t="shared" si="57"/>
        <v>-3.190147639120719E-2</v>
      </c>
      <c r="H777" s="39">
        <f>0.01*Input!$F$60*(E777*$E$760)+10*(B777*$B$760+C777*$C$760+D777*$D$760+F777*$F$760)</f>
        <v>-1914.095826640016</v>
      </c>
      <c r="I777" s="34">
        <f t="shared" si="58"/>
        <v>-3.190147639120719E-2</v>
      </c>
      <c r="J777" s="43">
        <f t="shared" si="59"/>
        <v>-95.704791332000795</v>
      </c>
      <c r="K777" s="17"/>
    </row>
    <row r="778" spans="1:11">
      <c r="A778" s="4" t="s">
        <v>1582</v>
      </c>
      <c r="B778" s="35">
        <f>Yard!$P$86</f>
        <v>0</v>
      </c>
      <c r="C778" s="35">
        <f>Yard!$P$114</f>
        <v>0</v>
      </c>
      <c r="D778" s="35">
        <f>Yard!$P$137</f>
        <v>0</v>
      </c>
      <c r="E778" s="10"/>
      <c r="F778" s="35">
        <f>Reactive!$P$78</f>
        <v>0</v>
      </c>
      <c r="G778" s="34">
        <f t="shared" si="57"/>
        <v>0</v>
      </c>
      <c r="H778" s="39">
        <f>0.01*Input!$F$60*(E778*$E$760)+10*(B778*$B$760+C778*$C$760+D778*$D$760+F778*$F$760)</f>
        <v>0</v>
      </c>
      <c r="I778" s="34">
        <f t="shared" si="58"/>
        <v>0</v>
      </c>
      <c r="J778" s="43">
        <f t="shared" si="59"/>
        <v>0</v>
      </c>
      <c r="K778" s="17"/>
    </row>
    <row r="779" spans="1:11">
      <c r="A779" s="4" t="s">
        <v>1583</v>
      </c>
      <c r="B779" s="35">
        <f>Yard!$Q$86</f>
        <v>-0.38679327098719352</v>
      </c>
      <c r="C779" s="35">
        <f>Yard!$Q$114</f>
        <v>-7.4835368062151783E-2</v>
      </c>
      <c r="D779" s="35">
        <f>Yard!$Q$137</f>
        <v>-8.3169905671267638E-3</v>
      </c>
      <c r="E779" s="10"/>
      <c r="F779" s="35">
        <f>Reactive!$Q$78</f>
        <v>7.348250207077682E-3</v>
      </c>
      <c r="G779" s="34">
        <f t="shared" si="57"/>
        <v>-5.7916513793590897E-2</v>
      </c>
      <c r="H779" s="39">
        <f>0.01*Input!$F$60*(E779*$E$760)+10*(B779*$B$760+C779*$C$760+D779*$D$760+F779*$F$760)</f>
        <v>-3475.0039774462075</v>
      </c>
      <c r="I779" s="34">
        <f t="shared" si="58"/>
        <v>-5.7916513793590911E-2</v>
      </c>
      <c r="J779" s="43">
        <f t="shared" si="59"/>
        <v>-173.75019887231036</v>
      </c>
      <c r="K779" s="17"/>
    </row>
    <row r="780" spans="1:11">
      <c r="A780" s="4" t="s">
        <v>1584</v>
      </c>
      <c r="B780" s="35">
        <f>Yard!$R$86</f>
        <v>-0.35117750217790283</v>
      </c>
      <c r="C780" s="35">
        <f>Yard!$R$114</f>
        <v>-6.7944557472667616E-2</v>
      </c>
      <c r="D780" s="35">
        <f>Yard!$R$137</f>
        <v>-7.5511654211209396E-3</v>
      </c>
      <c r="E780" s="10"/>
      <c r="F780" s="35">
        <f>Reactive!$R$78</f>
        <v>6.6716262837603459E-3</v>
      </c>
      <c r="G780" s="34">
        <f t="shared" si="57"/>
        <v>-5.2583584499738413E-2</v>
      </c>
      <c r="H780" s="39">
        <f>0.01*Input!$F$60*(E780*$E$760)+10*(B780*$B$760+C780*$C$760+D780*$D$760+F780*$F$760)</f>
        <v>-3155.0270089839319</v>
      </c>
      <c r="I780" s="34">
        <f t="shared" si="58"/>
        <v>-5.2583584499738413E-2</v>
      </c>
      <c r="J780" s="43">
        <f t="shared" si="59"/>
        <v>-157.75135044919659</v>
      </c>
      <c r="K780" s="17"/>
    </row>
    <row r="781" spans="1:11">
      <c r="A781" s="4" t="s">
        <v>1585</v>
      </c>
      <c r="B781" s="35">
        <f>Yard!$S$86</f>
        <v>0</v>
      </c>
      <c r="C781" s="35">
        <f>Yard!$S$114</f>
        <v>0</v>
      </c>
      <c r="D781" s="35">
        <f>Yard!$S$137</f>
        <v>0</v>
      </c>
      <c r="E781" s="10"/>
      <c r="F781" s="35">
        <f>Reactive!$S$78</f>
        <v>3.6984941485695838E-3</v>
      </c>
      <c r="G781" s="34">
        <f t="shared" si="57"/>
        <v>5.1165976443001563E-4</v>
      </c>
      <c r="H781" s="39">
        <f>0.01*Input!$F$60*(E781*$E$760)+10*(B781*$B$760+C781*$C$760+D781*$D$760+F781*$F$760)</f>
        <v>30.69970203714594</v>
      </c>
      <c r="I781" s="34">
        <f t="shared" si="58"/>
        <v>5.1165976443001563E-4</v>
      </c>
      <c r="J781" s="43">
        <f t="shared" si="59"/>
        <v>1.5349851018572971</v>
      </c>
      <c r="K781" s="17"/>
    </row>
    <row r="782" spans="1:11">
      <c r="A782" s="4" t="s">
        <v>1586</v>
      </c>
      <c r="B782" s="10"/>
      <c r="C782" s="10"/>
      <c r="D782" s="10"/>
      <c r="E782" s="45">
        <f>Otex!$B$144</f>
        <v>0</v>
      </c>
      <c r="F782" s="10"/>
      <c r="G782" s="34">
        <f t="shared" si="57"/>
        <v>0</v>
      </c>
      <c r="H782" s="39">
        <f>0.01*Input!$F$60*(E782*$E$760)+10*(B782*$B$760+C782*$C$760+D782*$D$760+F782*$F$760)</f>
        <v>0</v>
      </c>
      <c r="I782" s="34">
        <f t="shared" si="58"/>
        <v>0</v>
      </c>
      <c r="J782" s="43">
        <f t="shared" si="59"/>
        <v>0</v>
      </c>
      <c r="K782" s="17"/>
    </row>
    <row r="783" spans="1:11">
      <c r="A783" s="4" t="s">
        <v>1587</v>
      </c>
      <c r="B783" s="10"/>
      <c r="C783" s="10"/>
      <c r="D783" s="10"/>
      <c r="E783" s="45">
        <f>Otex!$C$144</f>
        <v>0</v>
      </c>
      <c r="F783" s="10"/>
      <c r="G783" s="34">
        <f t="shared" si="57"/>
        <v>0</v>
      </c>
      <c r="H783" s="39">
        <f>0.01*Input!$F$60*(E783*$E$760)+10*(B783*$B$760+C783*$C$760+D783*$D$760+F783*$F$760)</f>
        <v>0</v>
      </c>
      <c r="I783" s="34">
        <f t="shared" si="58"/>
        <v>0</v>
      </c>
      <c r="J783" s="43">
        <f t="shared" si="59"/>
        <v>0</v>
      </c>
      <c r="K783" s="17"/>
    </row>
    <row r="784" spans="1:11">
      <c r="A784" s="4" t="s">
        <v>1588</v>
      </c>
      <c r="B784" s="35">
        <f>Adder!$B$288</f>
        <v>0</v>
      </c>
      <c r="C784" s="35">
        <f>Adder!$C$288</f>
        <v>0</v>
      </c>
      <c r="D784" s="35">
        <f>Adder!$D$288</f>
        <v>0</v>
      </c>
      <c r="E784" s="10"/>
      <c r="F784" s="10"/>
      <c r="G784" s="34">
        <f t="shared" si="57"/>
        <v>0</v>
      </c>
      <c r="H784" s="39">
        <f>0.01*Input!$F$60*(E784*$E$760)+10*(B784*$B$760+C784*$C$760+D784*$D$760+F784*$F$760)</f>
        <v>0</v>
      </c>
      <c r="I784" s="34">
        <f t="shared" si="58"/>
        <v>0</v>
      </c>
      <c r="J784" s="43">
        <f t="shared" si="59"/>
        <v>0</v>
      </c>
      <c r="K784" s="17"/>
    </row>
    <row r="785" spans="1:11">
      <c r="A785" s="4" t="s">
        <v>1589</v>
      </c>
      <c r="B785" s="35">
        <f>Adjust!$B$101</f>
        <v>-1.087928768583879E-4</v>
      </c>
      <c r="C785" s="35">
        <f>Adjust!$C$101</f>
        <v>2.9847114968517552E-4</v>
      </c>
      <c r="D785" s="35">
        <f>Adjust!$D$101</f>
        <v>2.6600662244358197E-5</v>
      </c>
      <c r="E785" s="45">
        <f>Adjust!$E$101</f>
        <v>0</v>
      </c>
      <c r="F785" s="35">
        <f>Adjust!$H$101</f>
        <v>-2.0280711215689418E-4</v>
      </c>
      <c r="G785" s="34">
        <f t="shared" si="57"/>
        <v>6.4633682794367042E-5</v>
      </c>
      <c r="H785" s="39">
        <f>0.01*Input!$F$60*(E785*$E$760)+10*(B785*$B$760+C785*$C$760+D785*$D$760+F785*$F$760)</f>
        <v>3.8780356426128106</v>
      </c>
      <c r="I785" s="34">
        <f t="shared" si="58"/>
        <v>6.4633682794367056E-5</v>
      </c>
      <c r="J785" s="43">
        <f t="shared" si="59"/>
        <v>0.19390178213064052</v>
      </c>
      <c r="K785" s="17"/>
    </row>
    <row r="787" spans="1:11">
      <c r="A787" s="4" t="s">
        <v>1590</v>
      </c>
      <c r="B787" s="34">
        <f>SUM($B$763:$B$785)</f>
        <v>-6.7210000000000001</v>
      </c>
      <c r="C787" s="34">
        <f>SUM($C$763:$C$785)</f>
        <v>-1.0329999999999999</v>
      </c>
      <c r="D787" s="34">
        <f>SUM($D$763:$D$785)</f>
        <v>-0.123</v>
      </c>
      <c r="E787" s="43">
        <f>SUM($E$763:$E$785)</f>
        <v>0</v>
      </c>
      <c r="F787" s="34">
        <f>SUM($F$763:$F$785)</f>
        <v>0.128</v>
      </c>
      <c r="G787" s="34">
        <f>SUM(G$763:G$785)</f>
        <v>-0.91660164228862784</v>
      </c>
      <c r="H787" s="39">
        <f>SUM($H$763:$H$785)</f>
        <v>-54996.306649921062</v>
      </c>
      <c r="I787" s="34">
        <f>SUM($I$763:$I$785)</f>
        <v>-0.91660164228862784</v>
      </c>
      <c r="J787" s="43">
        <f>SUM($J$763:$J$785)</f>
        <v>-2749.8153324960531</v>
      </c>
    </row>
    <row r="789" spans="1:11" ht="21" customHeight="1">
      <c r="A789" s="1" t="s">
        <v>195</v>
      </c>
    </row>
    <row r="791" spans="1:11">
      <c r="B791" s="15" t="s">
        <v>237</v>
      </c>
      <c r="C791" s="15" t="s">
        <v>238</v>
      </c>
      <c r="D791" s="15" t="s">
        <v>239</v>
      </c>
      <c r="E791" s="15" t="s">
        <v>240</v>
      </c>
      <c r="F791" s="15" t="s">
        <v>1571</v>
      </c>
      <c r="G791" s="15" t="s">
        <v>1572</v>
      </c>
    </row>
    <row r="792" spans="1:11" ht="30">
      <c r="A792" s="4" t="s">
        <v>195</v>
      </c>
      <c r="B792" s="41">
        <f>Loads!B$358</f>
        <v>0</v>
      </c>
      <c r="C792" s="41">
        <f>Loads!C$358</f>
        <v>0</v>
      </c>
      <c r="D792" s="41">
        <f>Loads!D$358</f>
        <v>0</v>
      </c>
      <c r="E792" s="41">
        <f>Loads!E$358</f>
        <v>0</v>
      </c>
      <c r="F792" s="41">
        <f>Multi!B$152</f>
        <v>0</v>
      </c>
      <c r="G792" s="34" t="str">
        <f>IF(E792,F792/E792,"")</f>
        <v/>
      </c>
      <c r="H792" s="17"/>
    </row>
    <row r="794" spans="1:11" ht="30">
      <c r="B794" s="15" t="s">
        <v>1379</v>
      </c>
      <c r="C794" s="15" t="s">
        <v>1380</v>
      </c>
      <c r="D794" s="15" t="s">
        <v>1381</v>
      </c>
      <c r="E794" s="15" t="s">
        <v>1382</v>
      </c>
      <c r="F794" s="15" t="s">
        <v>1591</v>
      </c>
      <c r="G794" s="15" t="s">
        <v>1573</v>
      </c>
      <c r="H794" s="15" t="s">
        <v>1540</v>
      </c>
      <c r="I794" s="15" t="s">
        <v>1574</v>
      </c>
    </row>
    <row r="795" spans="1:11">
      <c r="A795" s="4" t="s">
        <v>479</v>
      </c>
      <c r="B795" s="35">
        <f>Yard!$C$87</f>
        <v>-1.0180394934055255</v>
      </c>
      <c r="C795" s="35">
        <f>Yard!$C$115</f>
        <v>-0.117875814537774</v>
      </c>
      <c r="D795" s="35">
        <f>Yard!$C$138</f>
        <v>-1.7932923320127581E-2</v>
      </c>
      <c r="E795" s="10"/>
      <c r="F795" s="34">
        <f t="shared" ref="F795:F817" si="60">IF(F$792&lt;&gt;0,(($B795*B$792+$C795*C$792+$D795*D$792))/F$792,0)</f>
        <v>0</v>
      </c>
      <c r="G795" s="39">
        <f>0.01*Input!$F$60*(E795*$E$792)+10*(B795*$B$792+C795*$C$792+D795*$D$792)</f>
        <v>0</v>
      </c>
      <c r="H795" s="34" t="str">
        <f t="shared" ref="H795:H817" si="61">IF($F$792&lt;&gt;0,0.1*G795/$F$792,"")</f>
        <v/>
      </c>
      <c r="I795" s="43" t="str">
        <f t="shared" ref="I795:I817" si="62">IF($E$792&lt;&gt;0,G795/$E$792,"")</f>
        <v/>
      </c>
      <c r="J795" s="17"/>
    </row>
    <row r="796" spans="1:11">
      <c r="A796" s="4" t="s">
        <v>480</v>
      </c>
      <c r="B796" s="35">
        <f>Yard!$D$87</f>
        <v>-0.40269100068712194</v>
      </c>
      <c r="C796" s="35">
        <f>Yard!$D$115</f>
        <v>-4.662641284596767E-2</v>
      </c>
      <c r="D796" s="35">
        <f>Yard!$D$138</f>
        <v>-7.0934643339529285E-3</v>
      </c>
      <c r="E796" s="10"/>
      <c r="F796" s="34">
        <f t="shared" si="60"/>
        <v>0</v>
      </c>
      <c r="G796" s="39">
        <f>0.01*Input!$F$60*(E796*$E$792)+10*(B796*$B$792+C796*$C$792+D796*$D$792)</f>
        <v>0</v>
      </c>
      <c r="H796" s="34" t="str">
        <f t="shared" si="61"/>
        <v/>
      </c>
      <c r="I796" s="43" t="str">
        <f t="shared" si="62"/>
        <v/>
      </c>
      <c r="J796" s="17"/>
    </row>
    <row r="797" spans="1:11">
      <c r="A797" s="4" t="s">
        <v>481</v>
      </c>
      <c r="B797" s="35">
        <f>Yard!$E$87</f>
        <v>-0.85753187397201336</v>
      </c>
      <c r="C797" s="35">
        <f>Yard!$E$115</f>
        <v>-0.16591217641903377</v>
      </c>
      <c r="D797" s="35">
        <f>Yard!$E$138</f>
        <v>-1.843900874654025E-2</v>
      </c>
      <c r="E797" s="10"/>
      <c r="F797" s="34">
        <f t="shared" si="60"/>
        <v>0</v>
      </c>
      <c r="G797" s="39">
        <f>0.01*Input!$F$60*(E797*$E$792)+10*(B797*$B$792+C797*$C$792+D797*$D$792)</f>
        <v>0</v>
      </c>
      <c r="H797" s="34" t="str">
        <f t="shared" si="61"/>
        <v/>
      </c>
      <c r="I797" s="43" t="str">
        <f t="shared" si="62"/>
        <v/>
      </c>
      <c r="J797" s="17"/>
    </row>
    <row r="798" spans="1:11">
      <c r="A798" s="4" t="s">
        <v>482</v>
      </c>
      <c r="B798" s="35">
        <f>Yard!$F$87</f>
        <v>-0.54093401908316519</v>
      </c>
      <c r="C798" s="35">
        <f>Yard!$F$115</f>
        <v>-0.10465796447831173</v>
      </c>
      <c r="D798" s="35">
        <f>Yard!$F$138</f>
        <v>-1.1631389353465799E-2</v>
      </c>
      <c r="E798" s="10"/>
      <c r="F798" s="34">
        <f t="shared" si="60"/>
        <v>0</v>
      </c>
      <c r="G798" s="39">
        <f>0.01*Input!$F$60*(E798*$E$792)+10*(B798*$B$792+C798*$C$792+D798*$D$792)</f>
        <v>0</v>
      </c>
      <c r="H798" s="34" t="str">
        <f t="shared" si="61"/>
        <v/>
      </c>
      <c r="I798" s="43" t="str">
        <f t="shared" si="62"/>
        <v/>
      </c>
      <c r="J798" s="17"/>
    </row>
    <row r="799" spans="1:11">
      <c r="A799" s="4" t="s">
        <v>483</v>
      </c>
      <c r="B799" s="35">
        <f>Yard!$G$87</f>
        <v>0</v>
      </c>
      <c r="C799" s="35">
        <f>Yard!$G$115</f>
        <v>0</v>
      </c>
      <c r="D799" s="35">
        <f>Yard!$G$138</f>
        <v>0</v>
      </c>
      <c r="E799" s="10"/>
      <c r="F799" s="34">
        <f t="shared" si="60"/>
        <v>0</v>
      </c>
      <c r="G799" s="39">
        <f>0.01*Input!$F$60*(E799*$E$792)+10*(B799*$B$792+C799*$C$792+D799*$D$792)</f>
        <v>0</v>
      </c>
      <c r="H799" s="34" t="str">
        <f t="shared" si="61"/>
        <v/>
      </c>
      <c r="I799" s="43" t="str">
        <f t="shared" si="62"/>
        <v/>
      </c>
      <c r="J799" s="17"/>
    </row>
    <row r="800" spans="1:11">
      <c r="A800" s="4" t="s">
        <v>484</v>
      </c>
      <c r="B800" s="35">
        <f>Yard!$H$87</f>
        <v>-0.68743867949639526</v>
      </c>
      <c r="C800" s="35">
        <f>Yard!$H$115</f>
        <v>-0.13300315817018343</v>
      </c>
      <c r="D800" s="35">
        <f>Yard!$H$138</f>
        <v>-1.4781593791063906E-2</v>
      </c>
      <c r="E800" s="10"/>
      <c r="F800" s="34">
        <f t="shared" si="60"/>
        <v>0</v>
      </c>
      <c r="G800" s="39">
        <f>0.01*Input!$F$60*(E800*$E$792)+10*(B800*$B$792+C800*$C$792+D800*$D$792)</f>
        <v>0</v>
      </c>
      <c r="H800" s="34" t="str">
        <f t="shared" si="61"/>
        <v/>
      </c>
      <c r="I800" s="43" t="str">
        <f t="shared" si="62"/>
        <v/>
      </c>
      <c r="J800" s="17"/>
    </row>
    <row r="801" spans="1:10">
      <c r="A801" s="4" t="s">
        <v>485</v>
      </c>
      <c r="B801" s="35">
        <f>Yard!$I$87</f>
        <v>-0.62413960240278588</v>
      </c>
      <c r="C801" s="35">
        <f>Yard!$I$115</f>
        <v>-0.12075628086488618</v>
      </c>
      <c r="D801" s="35">
        <f>Yard!$I$138</f>
        <v>-1.342051058051134E-2</v>
      </c>
      <c r="E801" s="10"/>
      <c r="F801" s="34">
        <f t="shared" si="60"/>
        <v>0</v>
      </c>
      <c r="G801" s="39">
        <f>0.01*Input!$F$60*(E801*$E$792)+10*(B801*$B$792+C801*$C$792+D801*$D$792)</f>
        <v>0</v>
      </c>
      <c r="H801" s="34" t="str">
        <f t="shared" si="61"/>
        <v/>
      </c>
      <c r="I801" s="43" t="str">
        <f t="shared" si="62"/>
        <v/>
      </c>
      <c r="J801" s="17"/>
    </row>
    <row r="802" spans="1:10">
      <c r="A802" s="4" t="s">
        <v>486</v>
      </c>
      <c r="B802" s="35">
        <f>Yard!$J$87</f>
        <v>0</v>
      </c>
      <c r="C802" s="35">
        <f>Yard!$J$115</f>
        <v>0</v>
      </c>
      <c r="D802" s="35">
        <f>Yard!$J$138</f>
        <v>0</v>
      </c>
      <c r="E802" s="10"/>
      <c r="F802" s="34">
        <f t="shared" si="60"/>
        <v>0</v>
      </c>
      <c r="G802" s="39">
        <f>0.01*Input!$F$60*(E802*$E$792)+10*(B802*$B$792+C802*$C$792+D802*$D$792)</f>
        <v>0</v>
      </c>
      <c r="H802" s="34" t="str">
        <f t="shared" si="61"/>
        <v/>
      </c>
      <c r="I802" s="43" t="str">
        <f t="shared" si="62"/>
        <v/>
      </c>
      <c r="J802" s="17"/>
    </row>
    <row r="803" spans="1:10">
      <c r="A803" s="4" t="s">
        <v>1575</v>
      </c>
      <c r="B803" s="10"/>
      <c r="C803" s="10"/>
      <c r="D803" s="10"/>
      <c r="E803" s="45">
        <f>SM!$B$142</f>
        <v>0</v>
      </c>
      <c r="F803" s="34">
        <f t="shared" si="60"/>
        <v>0</v>
      </c>
      <c r="G803" s="39">
        <f>0.01*Input!$F$60*(E803*$E$792)+10*(B803*$B$792+C803*$C$792+D803*$D$792)</f>
        <v>0</v>
      </c>
      <c r="H803" s="34" t="str">
        <f t="shared" si="61"/>
        <v/>
      </c>
      <c r="I803" s="43" t="str">
        <f t="shared" si="62"/>
        <v/>
      </c>
      <c r="J803" s="17"/>
    </row>
    <row r="804" spans="1:10">
      <c r="A804" s="4" t="s">
        <v>1576</v>
      </c>
      <c r="B804" s="10"/>
      <c r="C804" s="10"/>
      <c r="D804" s="10"/>
      <c r="E804" s="45">
        <f>SM!$C$142</f>
        <v>0</v>
      </c>
      <c r="F804" s="34">
        <f t="shared" si="60"/>
        <v>0</v>
      </c>
      <c r="G804" s="39">
        <f>0.01*Input!$F$60*(E804*$E$792)+10*(B804*$B$792+C804*$C$792+D804*$D$792)</f>
        <v>0</v>
      </c>
      <c r="H804" s="34" t="str">
        <f t="shared" si="61"/>
        <v/>
      </c>
      <c r="I804" s="43" t="str">
        <f t="shared" si="62"/>
        <v/>
      </c>
      <c r="J804" s="17"/>
    </row>
    <row r="805" spans="1:10">
      <c r="A805" s="4" t="s">
        <v>1577</v>
      </c>
      <c r="B805" s="35">
        <f>Yard!$K$87</f>
        <v>-0.74177424049038965</v>
      </c>
      <c r="C805" s="35">
        <f>Yard!$K$115</f>
        <v>-3.0328697757831577E-2</v>
      </c>
      <c r="D805" s="35">
        <f>Yard!$K$138</f>
        <v>-2.1590790981883797E-3</v>
      </c>
      <c r="E805" s="10"/>
      <c r="F805" s="34">
        <f t="shared" si="60"/>
        <v>0</v>
      </c>
      <c r="G805" s="39">
        <f>0.01*Input!$F$60*(E805*$E$792)+10*(B805*$B$792+C805*$C$792+D805*$D$792)</f>
        <v>0</v>
      </c>
      <c r="H805" s="34" t="str">
        <f t="shared" si="61"/>
        <v/>
      </c>
      <c r="I805" s="43" t="str">
        <f t="shared" si="62"/>
        <v/>
      </c>
      <c r="J805" s="17"/>
    </row>
    <row r="806" spans="1:10">
      <c r="A806" s="4" t="s">
        <v>1578</v>
      </c>
      <c r="B806" s="35">
        <f>Yard!$L$87</f>
        <v>-0.40096605875575175</v>
      </c>
      <c r="C806" s="35">
        <f>Yard!$L$115</f>
        <v>-4.6426686866270703E-2</v>
      </c>
      <c r="D806" s="35">
        <f>Yard!$L$138</f>
        <v>-7.063079214723952E-3</v>
      </c>
      <c r="E806" s="10"/>
      <c r="F806" s="34">
        <f t="shared" si="60"/>
        <v>0</v>
      </c>
      <c r="G806" s="39">
        <f>0.01*Input!$F$60*(E806*$E$792)+10*(B806*$B$792+C806*$C$792+D806*$D$792)</f>
        <v>0</v>
      </c>
      <c r="H806" s="34" t="str">
        <f t="shared" si="61"/>
        <v/>
      </c>
      <c r="I806" s="43" t="str">
        <f t="shared" si="62"/>
        <v/>
      </c>
      <c r="J806" s="17"/>
    </row>
    <row r="807" spans="1:10">
      <c r="A807" s="4" t="s">
        <v>1579</v>
      </c>
      <c r="B807" s="35">
        <f>Yard!$M$87</f>
        <v>-0.15860428253308143</v>
      </c>
      <c r="C807" s="35">
        <f>Yard!$M$115</f>
        <v>-1.8364325857561807E-2</v>
      </c>
      <c r="D807" s="35">
        <f>Yard!$M$138</f>
        <v>-2.7938389967515991E-3</v>
      </c>
      <c r="E807" s="10"/>
      <c r="F807" s="34">
        <f t="shared" si="60"/>
        <v>0</v>
      </c>
      <c r="G807" s="39">
        <f>0.01*Input!$F$60*(E807*$E$792)+10*(B807*$B$792+C807*$C$792+D807*$D$792)</f>
        <v>0</v>
      </c>
      <c r="H807" s="34" t="str">
        <f t="shared" si="61"/>
        <v/>
      </c>
      <c r="I807" s="43" t="str">
        <f t="shared" si="62"/>
        <v/>
      </c>
      <c r="J807" s="17"/>
    </row>
    <row r="808" spans="1:10">
      <c r="A808" s="4" t="s">
        <v>1580</v>
      </c>
      <c r="B808" s="35">
        <f>Yard!$N$87</f>
        <v>-0.33774836633673366</v>
      </c>
      <c r="C808" s="35">
        <f>Yard!$N$115</f>
        <v>-6.5346336668914803E-2</v>
      </c>
      <c r="D808" s="35">
        <f>Yard!$N$138</f>
        <v>-7.2624065297612044E-3</v>
      </c>
      <c r="E808" s="10"/>
      <c r="F808" s="34">
        <f t="shared" si="60"/>
        <v>0</v>
      </c>
      <c r="G808" s="39">
        <f>0.01*Input!$F$60*(E808*$E$792)+10*(B808*$B$792+C808*$C$792+D808*$D$792)</f>
        <v>0</v>
      </c>
      <c r="H808" s="34" t="str">
        <f t="shared" si="61"/>
        <v/>
      </c>
      <c r="I808" s="43" t="str">
        <f t="shared" si="62"/>
        <v/>
      </c>
      <c r="J808" s="17"/>
    </row>
    <row r="809" spans="1:10">
      <c r="A809" s="4" t="s">
        <v>1581</v>
      </c>
      <c r="B809" s="35">
        <f>Yard!$O$87</f>
        <v>-0.2130528167950819</v>
      </c>
      <c r="C809" s="35">
        <f>Yard!$O$115</f>
        <v>-4.1220691148130234E-2</v>
      </c>
      <c r="D809" s="35">
        <f>Yard!$O$138</f>
        <v>-4.5811507089096992E-3</v>
      </c>
      <c r="E809" s="10"/>
      <c r="F809" s="34">
        <f t="shared" si="60"/>
        <v>0</v>
      </c>
      <c r="G809" s="39">
        <f>0.01*Input!$F$60*(E809*$E$792)+10*(B809*$B$792+C809*$C$792+D809*$D$792)</f>
        <v>0</v>
      </c>
      <c r="H809" s="34" t="str">
        <f t="shared" si="61"/>
        <v/>
      </c>
      <c r="I809" s="43" t="str">
        <f t="shared" si="62"/>
        <v/>
      </c>
      <c r="J809" s="17"/>
    </row>
    <row r="810" spans="1:10">
      <c r="A810" s="4" t="s">
        <v>1582</v>
      </c>
      <c r="B810" s="35">
        <f>Yard!$P$87</f>
        <v>0</v>
      </c>
      <c r="C810" s="35">
        <f>Yard!$P$115</f>
        <v>0</v>
      </c>
      <c r="D810" s="35">
        <f>Yard!$P$138</f>
        <v>0</v>
      </c>
      <c r="E810" s="10"/>
      <c r="F810" s="34">
        <f t="shared" si="60"/>
        <v>0</v>
      </c>
      <c r="G810" s="39">
        <f>0.01*Input!$F$60*(E810*$E$792)+10*(B810*$B$792+C810*$C$792+D810*$D$792)</f>
        <v>0</v>
      </c>
      <c r="H810" s="34" t="str">
        <f t="shared" si="61"/>
        <v/>
      </c>
      <c r="I810" s="43" t="str">
        <f t="shared" si="62"/>
        <v/>
      </c>
      <c r="J810" s="17"/>
    </row>
    <row r="811" spans="1:10">
      <c r="A811" s="4" t="s">
        <v>1583</v>
      </c>
      <c r="B811" s="35">
        <f>Yard!$Q$87</f>
        <v>-0.38679327098719352</v>
      </c>
      <c r="C811" s="35">
        <f>Yard!$Q$115</f>
        <v>-7.4835368062151783E-2</v>
      </c>
      <c r="D811" s="35">
        <f>Yard!$Q$138</f>
        <v>-8.3169905671267638E-3</v>
      </c>
      <c r="E811" s="10"/>
      <c r="F811" s="34">
        <f t="shared" si="60"/>
        <v>0</v>
      </c>
      <c r="G811" s="39">
        <f>0.01*Input!$F$60*(E811*$E$792)+10*(B811*$B$792+C811*$C$792+D811*$D$792)</f>
        <v>0</v>
      </c>
      <c r="H811" s="34" t="str">
        <f t="shared" si="61"/>
        <v/>
      </c>
      <c r="I811" s="43" t="str">
        <f t="shared" si="62"/>
        <v/>
      </c>
      <c r="J811" s="17"/>
    </row>
    <row r="812" spans="1:10">
      <c r="A812" s="4" t="s">
        <v>1584</v>
      </c>
      <c r="B812" s="35">
        <f>Yard!$R$87</f>
        <v>-0.35117750217790283</v>
      </c>
      <c r="C812" s="35">
        <f>Yard!$R$115</f>
        <v>-6.7944557472667616E-2</v>
      </c>
      <c r="D812" s="35">
        <f>Yard!$R$138</f>
        <v>-7.5511654211209396E-3</v>
      </c>
      <c r="E812" s="10"/>
      <c r="F812" s="34">
        <f t="shared" si="60"/>
        <v>0</v>
      </c>
      <c r="G812" s="39">
        <f>0.01*Input!$F$60*(E812*$E$792)+10*(B812*$B$792+C812*$C$792+D812*$D$792)</f>
        <v>0</v>
      </c>
      <c r="H812" s="34" t="str">
        <f t="shared" si="61"/>
        <v/>
      </c>
      <c r="I812" s="43" t="str">
        <f t="shared" si="62"/>
        <v/>
      </c>
      <c r="J812" s="17"/>
    </row>
    <row r="813" spans="1:10">
      <c r="A813" s="4" t="s">
        <v>1585</v>
      </c>
      <c r="B813" s="35">
        <f>Yard!$S$87</f>
        <v>0</v>
      </c>
      <c r="C813" s="35">
        <f>Yard!$S$115</f>
        <v>0</v>
      </c>
      <c r="D813" s="35">
        <f>Yard!$S$138</f>
        <v>0</v>
      </c>
      <c r="E813" s="10"/>
      <c r="F813" s="34">
        <f t="shared" si="60"/>
        <v>0</v>
      </c>
      <c r="G813" s="39">
        <f>0.01*Input!$F$60*(E813*$E$792)+10*(B813*$B$792+C813*$C$792+D813*$D$792)</f>
        <v>0</v>
      </c>
      <c r="H813" s="34" t="str">
        <f t="shared" si="61"/>
        <v/>
      </c>
      <c r="I813" s="43" t="str">
        <f t="shared" si="62"/>
        <v/>
      </c>
      <c r="J813" s="17"/>
    </row>
    <row r="814" spans="1:10">
      <c r="A814" s="4" t="s">
        <v>1586</v>
      </c>
      <c r="B814" s="10"/>
      <c r="C814" s="10"/>
      <c r="D814" s="10"/>
      <c r="E814" s="45">
        <f>Otex!$B$145</f>
        <v>0</v>
      </c>
      <c r="F814" s="34">
        <f t="shared" si="60"/>
        <v>0</v>
      </c>
      <c r="G814" s="39">
        <f>0.01*Input!$F$60*(E814*$E$792)+10*(B814*$B$792+C814*$C$792+D814*$D$792)</f>
        <v>0</v>
      </c>
      <c r="H814" s="34" t="str">
        <f t="shared" si="61"/>
        <v/>
      </c>
      <c r="I814" s="43" t="str">
        <f t="shared" si="62"/>
        <v/>
      </c>
      <c r="J814" s="17"/>
    </row>
    <row r="815" spans="1:10">
      <c r="A815" s="4" t="s">
        <v>1587</v>
      </c>
      <c r="B815" s="10"/>
      <c r="C815" s="10"/>
      <c r="D815" s="10"/>
      <c r="E815" s="45">
        <f>Otex!$C$145</f>
        <v>0</v>
      </c>
      <c r="F815" s="34">
        <f t="shared" si="60"/>
        <v>0</v>
      </c>
      <c r="G815" s="39">
        <f>0.01*Input!$F$60*(E815*$E$792)+10*(B815*$B$792+C815*$C$792+D815*$D$792)</f>
        <v>0</v>
      </c>
      <c r="H815" s="34" t="str">
        <f t="shared" si="61"/>
        <v/>
      </c>
      <c r="I815" s="43" t="str">
        <f t="shared" si="62"/>
        <v/>
      </c>
      <c r="J815" s="17"/>
    </row>
    <row r="816" spans="1:10">
      <c r="A816" s="4" t="s">
        <v>1588</v>
      </c>
      <c r="B816" s="35">
        <f>Adder!$B$289</f>
        <v>0</v>
      </c>
      <c r="C816" s="35">
        <f>Adder!$C$289</f>
        <v>0</v>
      </c>
      <c r="D816" s="35">
        <f>Adder!$D$289</f>
        <v>0</v>
      </c>
      <c r="E816" s="10"/>
      <c r="F816" s="34">
        <f t="shared" si="60"/>
        <v>0</v>
      </c>
      <c r="G816" s="39">
        <f>0.01*Input!$F$60*(E816*$E$792)+10*(B816*$B$792+C816*$C$792+D816*$D$792)</f>
        <v>0</v>
      </c>
      <c r="H816" s="34" t="str">
        <f t="shared" si="61"/>
        <v/>
      </c>
      <c r="I816" s="43" t="str">
        <f t="shared" si="62"/>
        <v/>
      </c>
      <c r="J816" s="17"/>
    </row>
    <row r="817" spans="1:10">
      <c r="A817" s="4" t="s">
        <v>1589</v>
      </c>
      <c r="B817" s="35">
        <f>Adjust!$B$102</f>
        <v>-1.087928768583879E-4</v>
      </c>
      <c r="C817" s="35">
        <f>Adjust!$C$102</f>
        <v>2.9847114968517552E-4</v>
      </c>
      <c r="D817" s="35">
        <f>Adjust!$D$102</f>
        <v>2.6600662244358197E-5</v>
      </c>
      <c r="E817" s="45">
        <f>Adjust!$E$102</f>
        <v>0</v>
      </c>
      <c r="F817" s="34">
        <f t="shared" si="60"/>
        <v>0</v>
      </c>
      <c r="G817" s="39">
        <f>0.01*Input!$F$60*(E817*$E$792)+10*(B817*$B$792+C817*$C$792+D817*$D$792)</f>
        <v>0</v>
      </c>
      <c r="H817" s="34" t="str">
        <f t="shared" si="61"/>
        <v/>
      </c>
      <c r="I817" s="43" t="str">
        <f t="shared" si="62"/>
        <v/>
      </c>
      <c r="J817" s="17"/>
    </row>
    <row r="819" spans="1:10">
      <c r="A819" s="4" t="s">
        <v>1590</v>
      </c>
      <c r="B819" s="34">
        <f>SUM($B$795:$B$817)</f>
        <v>-6.7210000000000001</v>
      </c>
      <c r="C819" s="34">
        <f>SUM($C$795:$C$817)</f>
        <v>-1.0329999999999999</v>
      </c>
      <c r="D819" s="34">
        <f>SUM($D$795:$D$817)</f>
        <v>-0.123</v>
      </c>
      <c r="E819" s="43">
        <f>SUM($E$795:$E$817)</f>
        <v>0</v>
      </c>
      <c r="F819" s="34">
        <f>SUM(F$795:F$817)</f>
        <v>0</v>
      </c>
      <c r="G819" s="39">
        <f>SUM($G$795:$G$817)</f>
        <v>0</v>
      </c>
      <c r="H819" s="34">
        <f>SUM($H$795:$H$817)</f>
        <v>0</v>
      </c>
      <c r="I819" s="43">
        <f>SUM($I$795:$I$817)</f>
        <v>0</v>
      </c>
    </row>
    <row r="821" spans="1:10" ht="21" customHeight="1">
      <c r="A821" s="1" t="s">
        <v>196</v>
      </c>
    </row>
    <row r="823" spans="1:10" ht="30">
      <c r="B823" s="15" t="s">
        <v>237</v>
      </c>
      <c r="C823" s="15" t="s">
        <v>240</v>
      </c>
      <c r="D823" s="15" t="s">
        <v>243</v>
      </c>
      <c r="E823" s="15" t="s">
        <v>1571</v>
      </c>
      <c r="F823" s="15" t="s">
        <v>1572</v>
      </c>
    </row>
    <row r="824" spans="1:10">
      <c r="A824" s="4" t="s">
        <v>196</v>
      </c>
      <c r="B824" s="41">
        <f>Loads!B$359</f>
        <v>4182.5823952552873</v>
      </c>
      <c r="C824" s="41">
        <f>Loads!E$359</f>
        <v>50.497267759562838</v>
      </c>
      <c r="D824" s="41">
        <f>Loads!H$359</f>
        <v>228.45760000000004</v>
      </c>
      <c r="E824" s="41">
        <f>Multi!B$153</f>
        <v>4182.5823952552873</v>
      </c>
      <c r="F824" s="34">
        <f>IF(C824,E824/C824,"")</f>
        <v>82.827895068901384</v>
      </c>
      <c r="G824" s="17"/>
    </row>
    <row r="826" spans="1:10" ht="30">
      <c r="B826" s="15" t="s">
        <v>1379</v>
      </c>
      <c r="C826" s="15" t="s">
        <v>1382</v>
      </c>
      <c r="D826" s="15" t="s">
        <v>1136</v>
      </c>
      <c r="E826" s="15" t="s">
        <v>1573</v>
      </c>
      <c r="F826" s="15" t="s">
        <v>1540</v>
      </c>
      <c r="G826" s="15" t="s">
        <v>1574</v>
      </c>
    </row>
    <row r="827" spans="1:10">
      <c r="A827" s="4" t="s">
        <v>479</v>
      </c>
      <c r="B827" s="35">
        <f>Yard!$C$48</f>
        <v>-0.12962072025304061</v>
      </c>
      <c r="C827" s="10"/>
      <c r="D827" s="35">
        <f>Reactive!$C$79</f>
        <v>2.0022636788057713E-2</v>
      </c>
      <c r="E827" s="39">
        <f>0.01*Input!$F$60*(C827*$C$824)+10*(B827*$B$824+D827*$D$824)</f>
        <v>-5375.7501904440678</v>
      </c>
      <c r="F827" s="34">
        <f t="shared" ref="F827:F849" si="63">IF($E$824&lt;&gt;0,0.1*E827/$E$824,"")</f>
        <v>-0.12852706013735216</v>
      </c>
      <c r="G827" s="43">
        <f t="shared" ref="G827:G849" si="64">IF($C$824&lt;&gt;0,E827/$C$824,"")</f>
        <v>-106.45625850570983</v>
      </c>
      <c r="H827" s="17"/>
    </row>
    <row r="828" spans="1:10">
      <c r="A828" s="4" t="s">
        <v>480</v>
      </c>
      <c r="B828" s="35">
        <f>Yard!$D$48</f>
        <v>-5.1272173512516436E-2</v>
      </c>
      <c r="C828" s="10"/>
      <c r="D828" s="35">
        <f>Reactive!$D$79</f>
        <v>5.7668105651033901E-3</v>
      </c>
      <c r="E828" s="39">
        <f>0.01*Input!$F$60*(C828*$C$824)+10*(B828*$B$824+D828*$D$824)</f>
        <v>-2131.3261859856757</v>
      </c>
      <c r="F828" s="34">
        <f t="shared" si="63"/>
        <v>-5.0957183495140411E-2</v>
      </c>
      <c r="G828" s="43">
        <f t="shared" si="64"/>
        <v>-42.20676247542243</v>
      </c>
      <c r="H828" s="17"/>
    </row>
    <row r="829" spans="1:10">
      <c r="A829" s="4" t="s">
        <v>481</v>
      </c>
      <c r="B829" s="35">
        <f>Yard!$E$48</f>
        <v>-0.12946570455796413</v>
      </c>
      <c r="C829" s="10"/>
      <c r="D829" s="35">
        <f>Reactive!$E$79</f>
        <v>1.4561586562761231E-2</v>
      </c>
      <c r="E829" s="39">
        <f>0.01*Input!$F$60*(C829*$C$824)+10*(B829*$B$824+D829*$D$824)</f>
        <v>-5381.7427155514233</v>
      </c>
      <c r="F829" s="34">
        <f t="shared" si="63"/>
        <v>-0.12867033346806178</v>
      </c>
      <c r="G829" s="43">
        <f t="shared" si="64"/>
        <v>-106.57492878973169</v>
      </c>
      <c r="H829" s="17"/>
    </row>
    <row r="830" spans="1:10">
      <c r="A830" s="4" t="s">
        <v>482</v>
      </c>
      <c r="B830" s="35">
        <f>Yard!$F$48</f>
        <v>-8.166740622198583E-2</v>
      </c>
      <c r="C830" s="10"/>
      <c r="D830" s="35">
        <f>Reactive!$F$79</f>
        <v>9.7721644106575131E-3</v>
      </c>
      <c r="E830" s="39">
        <f>0.01*Input!$F$60*(C830*$C$824)+10*(B830*$B$824+D830*$D$824)</f>
        <v>-3393.4813030217583</v>
      </c>
      <c r="F830" s="34">
        <f t="shared" si="63"/>
        <v>-8.1133639037722638E-2</v>
      </c>
      <c r="G830" s="43">
        <f t="shared" si="64"/>
        <v>-67.201285407746113</v>
      </c>
      <c r="H830" s="17"/>
    </row>
    <row r="831" spans="1:10">
      <c r="A831" s="4" t="s">
        <v>483</v>
      </c>
      <c r="B831" s="35">
        <f>Yard!$G$48</f>
        <v>0</v>
      </c>
      <c r="C831" s="10"/>
      <c r="D831" s="35">
        <f>Reactive!$G$79</f>
        <v>0</v>
      </c>
      <c r="E831" s="39">
        <f>0.01*Input!$F$60*(C831*$C$824)+10*(B831*$B$824+D831*$D$824)</f>
        <v>0</v>
      </c>
      <c r="F831" s="34">
        <f t="shared" si="63"/>
        <v>0</v>
      </c>
      <c r="G831" s="43">
        <f t="shared" si="64"/>
        <v>0</v>
      </c>
      <c r="H831" s="17"/>
    </row>
    <row r="832" spans="1:10">
      <c r="A832" s="4" t="s">
        <v>484</v>
      </c>
      <c r="B832" s="35">
        <f>Yard!$H$48</f>
        <v>-0.1037859182646567</v>
      </c>
      <c r="C832" s="10"/>
      <c r="D832" s="35">
        <f>Reactive!$H$79</f>
        <v>1.2418822927184499E-2</v>
      </c>
      <c r="E832" s="39">
        <f>0.01*Input!$F$60*(C832*$C$824)+10*(B832*$B$824+D832*$D$824)</f>
        <v>-4312.5598012838773</v>
      </c>
      <c r="F832" s="34">
        <f t="shared" si="63"/>
        <v>-0.1031075874602264</v>
      </c>
      <c r="G832" s="43">
        <f t="shared" si="64"/>
        <v>-85.401844349632029</v>
      </c>
      <c r="H832" s="17"/>
    </row>
    <row r="833" spans="1:8">
      <c r="A833" s="4" t="s">
        <v>485</v>
      </c>
      <c r="B833" s="35">
        <f>Yard!$I$48</f>
        <v>0</v>
      </c>
      <c r="C833" s="10"/>
      <c r="D833" s="35">
        <f>Reactive!$I$79</f>
        <v>4.8322725888772086E-4</v>
      </c>
      <c r="E833" s="39">
        <f>0.01*Input!$F$60*(C833*$C$824)+10*(B833*$B$824+D833*$D$824)</f>
        <v>1.103969398200674</v>
      </c>
      <c r="F833" s="34">
        <f t="shared" si="63"/>
        <v>2.6394444720396053E-5</v>
      </c>
      <c r="G833" s="43">
        <f t="shared" si="64"/>
        <v>2.1861962977028821E-2</v>
      </c>
      <c r="H833" s="17"/>
    </row>
    <row r="834" spans="1:8">
      <c r="A834" s="4" t="s">
        <v>486</v>
      </c>
      <c r="B834" s="35">
        <f>Yard!$J$48</f>
        <v>0</v>
      </c>
      <c r="C834" s="10"/>
      <c r="D834" s="35">
        <f>Reactive!$J$79</f>
        <v>0</v>
      </c>
      <c r="E834" s="39">
        <f>0.01*Input!$F$60*(C834*$C$824)+10*(B834*$B$824+D834*$D$824)</f>
        <v>0</v>
      </c>
      <c r="F834" s="34">
        <f t="shared" si="63"/>
        <v>0</v>
      </c>
      <c r="G834" s="43">
        <f t="shared" si="64"/>
        <v>0</v>
      </c>
      <c r="H834" s="17"/>
    </row>
    <row r="835" spans="1:8">
      <c r="A835" s="4" t="s">
        <v>1575</v>
      </c>
      <c r="B835" s="10"/>
      <c r="C835" s="45">
        <f>SM!$B$143</f>
        <v>0</v>
      </c>
      <c r="D835" s="10"/>
      <c r="E835" s="39">
        <f>0.01*Input!$F$60*(C835*$C$824)+10*(B835*$B$824+D835*$D$824)</f>
        <v>0</v>
      </c>
      <c r="F835" s="34">
        <f t="shared" si="63"/>
        <v>0</v>
      </c>
      <c r="G835" s="43">
        <f t="shared" si="64"/>
        <v>0</v>
      </c>
      <c r="H835" s="17"/>
    </row>
    <row r="836" spans="1:8">
      <c r="A836" s="4" t="s">
        <v>1576</v>
      </c>
      <c r="B836" s="10"/>
      <c r="C836" s="45">
        <f>SM!$C$143</f>
        <v>0</v>
      </c>
      <c r="D836" s="10"/>
      <c r="E836" s="39">
        <f>0.01*Input!$F$60*(C836*$C$824)+10*(B836*$B$824+D836*$D$824)</f>
        <v>0</v>
      </c>
      <c r="F836" s="34">
        <f t="shared" si="63"/>
        <v>0</v>
      </c>
      <c r="G836" s="43">
        <f t="shared" si="64"/>
        <v>0</v>
      </c>
      <c r="H836" s="17"/>
    </row>
    <row r="837" spans="1:8">
      <c r="A837" s="4" t="s">
        <v>1577</v>
      </c>
      <c r="B837" s="35">
        <f>Yard!$K$48</f>
        <v>-7.2728665823094479E-2</v>
      </c>
      <c r="C837" s="10"/>
      <c r="D837" s="35">
        <f>Reactive!$K$79</f>
        <v>1.1234466657900611E-2</v>
      </c>
      <c r="E837" s="39">
        <f>0.01*Input!$F$60*(C837*$C$824)+10*(B837*$B$824+D837*$D$824)</f>
        <v>-3016.2703801213588</v>
      </c>
      <c r="F837" s="34">
        <f t="shared" si="63"/>
        <v>-7.2115025959632248E-2</v>
      </c>
      <c r="G837" s="43">
        <f t="shared" si="64"/>
        <v>-59.731358030755189</v>
      </c>
      <c r="H837" s="17"/>
    </row>
    <row r="838" spans="1:8">
      <c r="A838" s="4" t="s">
        <v>1578</v>
      </c>
      <c r="B838" s="35">
        <f>Yard!$L$48</f>
        <v>-5.1052547243607221E-2</v>
      </c>
      <c r="C838" s="10"/>
      <c r="D838" s="35">
        <f>Reactive!$L$79</f>
        <v>7.8861358629113594E-3</v>
      </c>
      <c r="E838" s="39">
        <f>0.01*Input!$F$60*(C838*$C$824)+10*(B838*$B$824+D838*$D$824)</f>
        <v>-2117.2983766153575</v>
      </c>
      <c r="F838" s="34">
        <f t="shared" si="63"/>
        <v>-5.0621797170504433E-2</v>
      </c>
      <c r="G838" s="43">
        <f t="shared" si="64"/>
        <v>-41.928969042377496</v>
      </c>
      <c r="H838" s="17"/>
    </row>
    <row r="839" spans="1:8">
      <c r="A839" s="4" t="s">
        <v>1579</v>
      </c>
      <c r="B839" s="35">
        <f>Yard!$M$48</f>
        <v>-2.019410982611609E-2</v>
      </c>
      <c r="C839" s="10"/>
      <c r="D839" s="35">
        <f>Reactive!$M$79</f>
        <v>2.2713218090837438E-3</v>
      </c>
      <c r="E839" s="39">
        <f>0.01*Input!$F$60*(C839*$C$824)+10*(B839*$B$824+D839*$D$824)</f>
        <v>-839.44627517234039</v>
      </c>
      <c r="F839" s="34">
        <f t="shared" si="63"/>
        <v>-2.0070047541074301E-2</v>
      </c>
      <c r="G839" s="43">
        <f t="shared" si="64"/>
        <v>-16.623597917599643</v>
      </c>
      <c r="H839" s="17"/>
    </row>
    <row r="840" spans="1:8">
      <c r="A840" s="4" t="s">
        <v>1580</v>
      </c>
      <c r="B840" s="35">
        <f>Yard!$N$48</f>
        <v>-5.0991492606038892E-2</v>
      </c>
      <c r="C840" s="10"/>
      <c r="D840" s="35">
        <f>Reactive!$N$79</f>
        <v>5.7352411287793685E-3</v>
      </c>
      <c r="E840" s="39">
        <f>0.01*Input!$F$60*(C840*$C$824)+10*(B840*$B$824+D840*$D$824)</f>
        <v>-2119.6585985810621</v>
      </c>
      <c r="F840" s="34">
        <f t="shared" si="63"/>
        <v>-5.0678226948633422E-2</v>
      </c>
      <c r="G840" s="43">
        <f t="shared" si="64"/>
        <v>-41.975708639793787</v>
      </c>
      <c r="H840" s="17"/>
    </row>
    <row r="841" spans="1:8">
      <c r="A841" s="4" t="s">
        <v>1581</v>
      </c>
      <c r="B841" s="35">
        <f>Yard!$O$48</f>
        <v>-3.2165606750769404E-2</v>
      </c>
      <c r="C841" s="10"/>
      <c r="D841" s="35">
        <f>Reactive!$O$79</f>
        <v>3.8488745030383132E-3</v>
      </c>
      <c r="E841" s="39">
        <f>0.01*Input!$F$60*(C841*$C$824)+10*(B841*$B$824+D841*$D$824)</f>
        <v>-1336.5599589680742</v>
      </c>
      <c r="F841" s="34">
        <f t="shared" si="63"/>
        <v>-3.1955376670744488E-2</v>
      </c>
      <c r="G841" s="43">
        <f t="shared" si="64"/>
        <v>-26.467965857716436</v>
      </c>
      <c r="H841" s="17"/>
    </row>
    <row r="842" spans="1:8">
      <c r="A842" s="4" t="s">
        <v>1582</v>
      </c>
      <c r="B842" s="35">
        <f>Yard!$P$48</f>
        <v>0</v>
      </c>
      <c r="C842" s="10"/>
      <c r="D842" s="35">
        <f>Reactive!$P$79</f>
        <v>0</v>
      </c>
      <c r="E842" s="39">
        <f>0.01*Input!$F$60*(C842*$C$824)+10*(B842*$B$824+D842*$D$824)</f>
        <v>0</v>
      </c>
      <c r="F842" s="34">
        <f t="shared" si="63"/>
        <v>0</v>
      </c>
      <c r="G842" s="43">
        <f t="shared" si="64"/>
        <v>0</v>
      </c>
      <c r="H842" s="17"/>
    </row>
    <row r="843" spans="1:8">
      <c r="A843" s="4" t="s">
        <v>1583</v>
      </c>
      <c r="B843" s="35">
        <f>Yard!$Q$48</f>
        <v>-5.839603735624041E-2</v>
      </c>
      <c r="C843" s="10"/>
      <c r="D843" s="35">
        <f>Reactive!$Q$79</f>
        <v>6.9875572688685656E-3</v>
      </c>
      <c r="E843" s="39">
        <f>0.01*Input!$F$60*(C843*$C$824)+10*(B843*$B$824+D843*$D$824)</f>
        <v>-2426.4987723537301</v>
      </c>
      <c r="F843" s="34">
        <f t="shared" si="63"/>
        <v>-5.801436870930135E-2</v>
      </c>
      <c r="G843" s="43">
        <f t="shared" si="64"/>
        <v>-48.052080439425673</v>
      </c>
      <c r="H843" s="17"/>
    </row>
    <row r="844" spans="1:8">
      <c r="A844" s="4" t="s">
        <v>1584</v>
      </c>
      <c r="B844" s="35">
        <f>Yard!$R$48</f>
        <v>0</v>
      </c>
      <c r="C844" s="10"/>
      <c r="D844" s="35">
        <f>Reactive!$R$79</f>
        <v>6.3441458062168769E-3</v>
      </c>
      <c r="E844" s="39">
        <f>0.01*Input!$F$60*(C844*$C$824)+10*(B844*$B$824+D844*$D$824)</f>
        <v>14.49368324938373</v>
      </c>
      <c r="F844" s="34">
        <f t="shared" si="63"/>
        <v>3.4652475145081029E-4</v>
      </c>
      <c r="G844" s="43">
        <f t="shared" si="64"/>
        <v>0.2870191575194484</v>
      </c>
      <c r="H844" s="17"/>
    </row>
    <row r="845" spans="1:8">
      <c r="A845" s="4" t="s">
        <v>1585</v>
      </c>
      <c r="B845" s="35">
        <f>Yard!$S$48</f>
        <v>0</v>
      </c>
      <c r="C845" s="10"/>
      <c r="D845" s="35">
        <f>Reactive!$S$79</f>
        <v>0</v>
      </c>
      <c r="E845" s="39">
        <f>0.01*Input!$F$60*(C845*$C$824)+10*(B845*$B$824+D845*$D$824)</f>
        <v>0</v>
      </c>
      <c r="F845" s="34">
        <f t="shared" si="63"/>
        <v>0</v>
      </c>
      <c r="G845" s="43">
        <f t="shared" si="64"/>
        <v>0</v>
      </c>
      <c r="H845" s="17"/>
    </row>
    <row r="846" spans="1:8">
      <c r="A846" s="4" t="s">
        <v>1586</v>
      </c>
      <c r="B846" s="10"/>
      <c r="C846" s="45">
        <f>Otex!$B$146</f>
        <v>0</v>
      </c>
      <c r="D846" s="10"/>
      <c r="E846" s="39">
        <f>0.01*Input!$F$60*(C846*$C$824)+10*(B846*$B$824+D846*$D$824)</f>
        <v>0</v>
      </c>
      <c r="F846" s="34">
        <f t="shared" si="63"/>
        <v>0</v>
      </c>
      <c r="G846" s="43">
        <f t="shared" si="64"/>
        <v>0</v>
      </c>
      <c r="H846" s="17"/>
    </row>
    <row r="847" spans="1:8">
      <c r="A847" s="4" t="s">
        <v>1587</v>
      </c>
      <c r="B847" s="10"/>
      <c r="C847" s="45">
        <f>Otex!$C$146</f>
        <v>0</v>
      </c>
      <c r="D847" s="10"/>
      <c r="E847" s="39">
        <f>0.01*Input!$F$60*(C847*$C$824)+10*(B847*$B$824+D847*$D$824)</f>
        <v>0</v>
      </c>
      <c r="F847" s="34">
        <f t="shared" si="63"/>
        <v>0</v>
      </c>
      <c r="G847" s="43">
        <f t="shared" si="64"/>
        <v>0</v>
      </c>
      <c r="H847" s="17"/>
    </row>
    <row r="848" spans="1:8">
      <c r="A848" s="4" t="s">
        <v>1588</v>
      </c>
      <c r="B848" s="35">
        <f>Adder!$B$290</f>
        <v>0</v>
      </c>
      <c r="C848" s="10"/>
      <c r="D848" s="10"/>
      <c r="E848" s="39">
        <f>0.01*Input!$F$60*(C848*$C$824)+10*(B848*$B$824+D848*$D$824)</f>
        <v>0</v>
      </c>
      <c r="F848" s="34">
        <f t="shared" si="63"/>
        <v>0</v>
      </c>
      <c r="G848" s="43">
        <f t="shared" si="64"/>
        <v>0</v>
      </c>
      <c r="H848" s="17"/>
    </row>
    <row r="849" spans="1:8">
      <c r="A849" s="4" t="s">
        <v>1589</v>
      </c>
      <c r="B849" s="35">
        <f>Adjust!$B$103</f>
        <v>3.4038241603018271E-4</v>
      </c>
      <c r="C849" s="45">
        <f>Adjust!$E$103</f>
        <v>0</v>
      </c>
      <c r="D849" s="35">
        <f>Adjust!$H$103</f>
        <v>-3.3299154945089227E-4</v>
      </c>
      <c r="E849" s="39">
        <f>0.01*Input!$F$60*(C849*$C$824)+10*(B849*$B$824+D849*$D$824)</f>
        <v>13.476030507344712</v>
      </c>
      <c r="F849" s="34">
        <f t="shared" si="63"/>
        <v>3.2219402354468599E-4</v>
      </c>
      <c r="G849" s="43">
        <f t="shared" si="64"/>
        <v>0.26686652773986391</v>
      </c>
      <c r="H849" s="17"/>
    </row>
    <row r="851" spans="1:8">
      <c r="A851" s="4" t="s">
        <v>1590</v>
      </c>
      <c r="B851" s="34">
        <f>SUM($B$827:$B$849)</f>
        <v>-0.78100000000000003</v>
      </c>
      <c r="C851" s="43">
        <f>SUM($C$827:$C$849)</f>
        <v>0</v>
      </c>
      <c r="D851" s="34">
        <f>SUM($D$827:$D$849)</f>
        <v>0.107</v>
      </c>
      <c r="E851" s="39">
        <f>SUM($E$827:$E$849)</f>
        <v>-32421.518874943798</v>
      </c>
      <c r="F851" s="34">
        <f>SUM($F$827:$F$849)</f>
        <v>-0.77515553337867771</v>
      </c>
      <c r="G851" s="43">
        <f>SUM($G$827:$G$849)</f>
        <v>-642.04501180767409</v>
      </c>
    </row>
    <row r="853" spans="1:8" ht="21" customHeight="1">
      <c r="A853" s="1" t="s">
        <v>197</v>
      </c>
    </row>
    <row r="855" spans="1:8">
      <c r="B855" s="15" t="s">
        <v>237</v>
      </c>
      <c r="C855" s="15" t="s">
        <v>240</v>
      </c>
      <c r="D855" s="15" t="s">
        <v>1571</v>
      </c>
      <c r="E855" s="15" t="s">
        <v>1572</v>
      </c>
    </row>
    <row r="856" spans="1:8" ht="30">
      <c r="A856" s="4" t="s">
        <v>197</v>
      </c>
      <c r="B856" s="41">
        <f>Loads!B$360</f>
        <v>0</v>
      </c>
      <c r="C856" s="41">
        <f>Loads!E$360</f>
        <v>0</v>
      </c>
      <c r="D856" s="41">
        <f>Multi!B$154</f>
        <v>0</v>
      </c>
      <c r="E856" s="34" t="str">
        <f>IF(C856,D856/C856,"")</f>
        <v/>
      </c>
      <c r="F856" s="17"/>
    </row>
    <row r="858" spans="1:8" ht="30">
      <c r="B858" s="15" t="s">
        <v>1379</v>
      </c>
      <c r="C858" s="15" t="s">
        <v>1382</v>
      </c>
      <c r="D858" s="15" t="s">
        <v>1573</v>
      </c>
      <c r="E858" s="15" t="s">
        <v>1540</v>
      </c>
      <c r="F858" s="15" t="s">
        <v>1574</v>
      </c>
    </row>
    <row r="859" spans="1:8">
      <c r="A859" s="4" t="s">
        <v>479</v>
      </c>
      <c r="B859" s="35">
        <f>Yard!$C$49</f>
        <v>-0.12962072025304061</v>
      </c>
      <c r="C859" s="10"/>
      <c r="D859" s="39">
        <f>0.01*Input!$F$60*(C859*$C$856)+10*(B859*$B$856)</f>
        <v>0</v>
      </c>
      <c r="E859" s="34" t="str">
        <f t="shared" ref="E859:E881" si="65">IF($D$856&lt;&gt;0,0.1*D859/$D$856,"")</f>
        <v/>
      </c>
      <c r="F859" s="43" t="str">
        <f t="shared" ref="F859:F881" si="66">IF($C$856&lt;&gt;0,D859/$C$856,"")</f>
        <v/>
      </c>
      <c r="G859" s="17"/>
    </row>
    <row r="860" spans="1:8">
      <c r="A860" s="4" t="s">
        <v>480</v>
      </c>
      <c r="B860" s="35">
        <f>Yard!$D$49</f>
        <v>-5.1272173512516436E-2</v>
      </c>
      <c r="C860" s="10"/>
      <c r="D860" s="39">
        <f>0.01*Input!$F$60*(C860*$C$856)+10*(B860*$B$856)</f>
        <v>0</v>
      </c>
      <c r="E860" s="34" t="str">
        <f t="shared" si="65"/>
        <v/>
      </c>
      <c r="F860" s="43" t="str">
        <f t="shared" si="66"/>
        <v/>
      </c>
      <c r="G860" s="17"/>
    </row>
    <row r="861" spans="1:8">
      <c r="A861" s="4" t="s">
        <v>481</v>
      </c>
      <c r="B861" s="35">
        <f>Yard!$E$49</f>
        <v>-0.12946570455796413</v>
      </c>
      <c r="C861" s="10"/>
      <c r="D861" s="39">
        <f>0.01*Input!$F$60*(C861*$C$856)+10*(B861*$B$856)</f>
        <v>0</v>
      </c>
      <c r="E861" s="34" t="str">
        <f t="shared" si="65"/>
        <v/>
      </c>
      <c r="F861" s="43" t="str">
        <f t="shared" si="66"/>
        <v/>
      </c>
      <c r="G861" s="17"/>
    </row>
    <row r="862" spans="1:8">
      <c r="A862" s="4" t="s">
        <v>482</v>
      </c>
      <c r="B862" s="35">
        <f>Yard!$F$49</f>
        <v>-8.166740622198583E-2</v>
      </c>
      <c r="C862" s="10"/>
      <c r="D862" s="39">
        <f>0.01*Input!$F$60*(C862*$C$856)+10*(B862*$B$856)</f>
        <v>0</v>
      </c>
      <c r="E862" s="34" t="str">
        <f t="shared" si="65"/>
        <v/>
      </c>
      <c r="F862" s="43" t="str">
        <f t="shared" si="66"/>
        <v/>
      </c>
      <c r="G862" s="17"/>
    </row>
    <row r="863" spans="1:8">
      <c r="A863" s="4" t="s">
        <v>483</v>
      </c>
      <c r="B863" s="35">
        <f>Yard!$G$49</f>
        <v>0</v>
      </c>
      <c r="C863" s="10"/>
      <c r="D863" s="39">
        <f>0.01*Input!$F$60*(C863*$C$856)+10*(B863*$B$856)</f>
        <v>0</v>
      </c>
      <c r="E863" s="34" t="str">
        <f t="shared" si="65"/>
        <v/>
      </c>
      <c r="F863" s="43" t="str">
        <f t="shared" si="66"/>
        <v/>
      </c>
      <c r="G863" s="17"/>
    </row>
    <row r="864" spans="1:8">
      <c r="A864" s="4" t="s">
        <v>484</v>
      </c>
      <c r="B864" s="35">
        <f>Yard!$H$49</f>
        <v>-0.1037859182646567</v>
      </c>
      <c r="C864" s="10"/>
      <c r="D864" s="39">
        <f>0.01*Input!$F$60*(C864*$C$856)+10*(B864*$B$856)</f>
        <v>0</v>
      </c>
      <c r="E864" s="34" t="str">
        <f t="shared" si="65"/>
        <v/>
      </c>
      <c r="F864" s="43" t="str">
        <f t="shared" si="66"/>
        <v/>
      </c>
      <c r="G864" s="17"/>
    </row>
    <row r="865" spans="1:7">
      <c r="A865" s="4" t="s">
        <v>485</v>
      </c>
      <c r="B865" s="35">
        <f>Yard!$I$49</f>
        <v>0</v>
      </c>
      <c r="C865" s="10"/>
      <c r="D865" s="39">
        <f>0.01*Input!$F$60*(C865*$C$856)+10*(B865*$B$856)</f>
        <v>0</v>
      </c>
      <c r="E865" s="34" t="str">
        <f t="shared" si="65"/>
        <v/>
      </c>
      <c r="F865" s="43" t="str">
        <f t="shared" si="66"/>
        <v/>
      </c>
      <c r="G865" s="17"/>
    </row>
    <row r="866" spans="1:7">
      <c r="A866" s="4" t="s">
        <v>486</v>
      </c>
      <c r="B866" s="35">
        <f>Yard!$J$49</f>
        <v>0</v>
      </c>
      <c r="C866" s="10"/>
      <c r="D866" s="39">
        <f>0.01*Input!$F$60*(C866*$C$856)+10*(B866*$B$856)</f>
        <v>0</v>
      </c>
      <c r="E866" s="34" t="str">
        <f t="shared" si="65"/>
        <v/>
      </c>
      <c r="F866" s="43" t="str">
        <f t="shared" si="66"/>
        <v/>
      </c>
      <c r="G866" s="17"/>
    </row>
    <row r="867" spans="1:7">
      <c r="A867" s="4" t="s">
        <v>1575</v>
      </c>
      <c r="B867" s="10"/>
      <c r="C867" s="45">
        <f>SM!$B$144</f>
        <v>0</v>
      </c>
      <c r="D867" s="39">
        <f>0.01*Input!$F$60*(C867*$C$856)+10*(B867*$B$856)</f>
        <v>0</v>
      </c>
      <c r="E867" s="34" t="str">
        <f t="shared" si="65"/>
        <v/>
      </c>
      <c r="F867" s="43" t="str">
        <f t="shared" si="66"/>
        <v/>
      </c>
      <c r="G867" s="17"/>
    </row>
    <row r="868" spans="1:7">
      <c r="A868" s="4" t="s">
        <v>1576</v>
      </c>
      <c r="B868" s="10"/>
      <c r="C868" s="45">
        <f>SM!$C$144</f>
        <v>0</v>
      </c>
      <c r="D868" s="39">
        <f>0.01*Input!$F$60*(C868*$C$856)+10*(B868*$B$856)</f>
        <v>0</v>
      </c>
      <c r="E868" s="34" t="str">
        <f t="shared" si="65"/>
        <v/>
      </c>
      <c r="F868" s="43" t="str">
        <f t="shared" si="66"/>
        <v/>
      </c>
      <c r="G868" s="17"/>
    </row>
    <row r="869" spans="1:7">
      <c r="A869" s="4" t="s">
        <v>1577</v>
      </c>
      <c r="B869" s="35">
        <f>Yard!$K$49</f>
        <v>-7.2728665823094479E-2</v>
      </c>
      <c r="C869" s="10"/>
      <c r="D869" s="39">
        <f>0.01*Input!$F$60*(C869*$C$856)+10*(B869*$B$856)</f>
        <v>0</v>
      </c>
      <c r="E869" s="34" t="str">
        <f t="shared" si="65"/>
        <v/>
      </c>
      <c r="F869" s="43" t="str">
        <f t="shared" si="66"/>
        <v/>
      </c>
      <c r="G869" s="17"/>
    </row>
    <row r="870" spans="1:7">
      <c r="A870" s="4" t="s">
        <v>1578</v>
      </c>
      <c r="B870" s="35">
        <f>Yard!$L$49</f>
        <v>-5.1052547243607221E-2</v>
      </c>
      <c r="C870" s="10"/>
      <c r="D870" s="39">
        <f>0.01*Input!$F$60*(C870*$C$856)+10*(B870*$B$856)</f>
        <v>0</v>
      </c>
      <c r="E870" s="34" t="str">
        <f t="shared" si="65"/>
        <v/>
      </c>
      <c r="F870" s="43" t="str">
        <f t="shared" si="66"/>
        <v/>
      </c>
      <c r="G870" s="17"/>
    </row>
    <row r="871" spans="1:7">
      <c r="A871" s="4" t="s">
        <v>1579</v>
      </c>
      <c r="B871" s="35">
        <f>Yard!$M$49</f>
        <v>-2.019410982611609E-2</v>
      </c>
      <c r="C871" s="10"/>
      <c r="D871" s="39">
        <f>0.01*Input!$F$60*(C871*$C$856)+10*(B871*$B$856)</f>
        <v>0</v>
      </c>
      <c r="E871" s="34" t="str">
        <f t="shared" si="65"/>
        <v/>
      </c>
      <c r="F871" s="43" t="str">
        <f t="shared" si="66"/>
        <v/>
      </c>
      <c r="G871" s="17"/>
    </row>
    <row r="872" spans="1:7">
      <c r="A872" s="4" t="s">
        <v>1580</v>
      </c>
      <c r="B872" s="35">
        <f>Yard!$N$49</f>
        <v>-5.0991492606038892E-2</v>
      </c>
      <c r="C872" s="10"/>
      <c r="D872" s="39">
        <f>0.01*Input!$F$60*(C872*$C$856)+10*(B872*$B$856)</f>
        <v>0</v>
      </c>
      <c r="E872" s="34" t="str">
        <f t="shared" si="65"/>
        <v/>
      </c>
      <c r="F872" s="43" t="str">
        <f t="shared" si="66"/>
        <v/>
      </c>
      <c r="G872" s="17"/>
    </row>
    <row r="873" spans="1:7">
      <c r="A873" s="4" t="s">
        <v>1581</v>
      </c>
      <c r="B873" s="35">
        <f>Yard!$O$49</f>
        <v>-3.2165606750769404E-2</v>
      </c>
      <c r="C873" s="10"/>
      <c r="D873" s="39">
        <f>0.01*Input!$F$60*(C873*$C$856)+10*(B873*$B$856)</f>
        <v>0</v>
      </c>
      <c r="E873" s="34" t="str">
        <f t="shared" si="65"/>
        <v/>
      </c>
      <c r="F873" s="43" t="str">
        <f t="shared" si="66"/>
        <v/>
      </c>
      <c r="G873" s="17"/>
    </row>
    <row r="874" spans="1:7">
      <c r="A874" s="4" t="s">
        <v>1582</v>
      </c>
      <c r="B874" s="35">
        <f>Yard!$P$49</f>
        <v>0</v>
      </c>
      <c r="C874" s="10"/>
      <c r="D874" s="39">
        <f>0.01*Input!$F$60*(C874*$C$856)+10*(B874*$B$856)</f>
        <v>0</v>
      </c>
      <c r="E874" s="34" t="str">
        <f t="shared" si="65"/>
        <v/>
      </c>
      <c r="F874" s="43" t="str">
        <f t="shared" si="66"/>
        <v/>
      </c>
      <c r="G874" s="17"/>
    </row>
    <row r="875" spans="1:7">
      <c r="A875" s="4" t="s">
        <v>1583</v>
      </c>
      <c r="B875" s="35">
        <f>Yard!$Q$49</f>
        <v>-5.839603735624041E-2</v>
      </c>
      <c r="C875" s="10"/>
      <c r="D875" s="39">
        <f>0.01*Input!$F$60*(C875*$C$856)+10*(B875*$B$856)</f>
        <v>0</v>
      </c>
      <c r="E875" s="34" t="str">
        <f t="shared" si="65"/>
        <v/>
      </c>
      <c r="F875" s="43" t="str">
        <f t="shared" si="66"/>
        <v/>
      </c>
      <c r="G875" s="17"/>
    </row>
    <row r="876" spans="1:7">
      <c r="A876" s="4" t="s">
        <v>1584</v>
      </c>
      <c r="B876" s="35">
        <f>Yard!$R$49</f>
        <v>0</v>
      </c>
      <c r="C876" s="10"/>
      <c r="D876" s="39">
        <f>0.01*Input!$F$60*(C876*$C$856)+10*(B876*$B$856)</f>
        <v>0</v>
      </c>
      <c r="E876" s="34" t="str">
        <f t="shared" si="65"/>
        <v/>
      </c>
      <c r="F876" s="43" t="str">
        <f t="shared" si="66"/>
        <v/>
      </c>
      <c r="G876" s="17"/>
    </row>
    <row r="877" spans="1:7">
      <c r="A877" s="4" t="s">
        <v>1585</v>
      </c>
      <c r="B877" s="35">
        <f>Yard!$S$49</f>
        <v>0</v>
      </c>
      <c r="C877" s="10"/>
      <c r="D877" s="39">
        <f>0.01*Input!$F$60*(C877*$C$856)+10*(B877*$B$856)</f>
        <v>0</v>
      </c>
      <c r="E877" s="34" t="str">
        <f t="shared" si="65"/>
        <v/>
      </c>
      <c r="F877" s="43" t="str">
        <f t="shared" si="66"/>
        <v/>
      </c>
      <c r="G877" s="17"/>
    </row>
    <row r="878" spans="1:7">
      <c r="A878" s="4" t="s">
        <v>1586</v>
      </c>
      <c r="B878" s="10"/>
      <c r="C878" s="45">
        <f>Otex!$B$147</f>
        <v>0</v>
      </c>
      <c r="D878" s="39">
        <f>0.01*Input!$F$60*(C878*$C$856)+10*(B878*$B$856)</f>
        <v>0</v>
      </c>
      <c r="E878" s="34" t="str">
        <f t="shared" si="65"/>
        <v/>
      </c>
      <c r="F878" s="43" t="str">
        <f t="shared" si="66"/>
        <v/>
      </c>
      <c r="G878" s="17"/>
    </row>
    <row r="879" spans="1:7">
      <c r="A879" s="4" t="s">
        <v>1587</v>
      </c>
      <c r="B879" s="10"/>
      <c r="C879" s="45">
        <f>Otex!$C$147</f>
        <v>0</v>
      </c>
      <c r="D879" s="39">
        <f>0.01*Input!$F$60*(C879*$C$856)+10*(B879*$B$856)</f>
        <v>0</v>
      </c>
      <c r="E879" s="34" t="str">
        <f t="shared" si="65"/>
        <v/>
      </c>
      <c r="F879" s="43" t="str">
        <f t="shared" si="66"/>
        <v/>
      </c>
      <c r="G879" s="17"/>
    </row>
    <row r="880" spans="1:7">
      <c r="A880" s="4" t="s">
        <v>1588</v>
      </c>
      <c r="B880" s="35">
        <f>Adder!$B$291</f>
        <v>0</v>
      </c>
      <c r="C880" s="10"/>
      <c r="D880" s="39">
        <f>0.01*Input!$F$60*(C880*$C$856)+10*(B880*$B$856)</f>
        <v>0</v>
      </c>
      <c r="E880" s="34" t="str">
        <f t="shared" si="65"/>
        <v/>
      </c>
      <c r="F880" s="43" t="str">
        <f t="shared" si="66"/>
        <v/>
      </c>
      <c r="G880" s="17"/>
    </row>
    <row r="881" spans="1:11">
      <c r="A881" s="4" t="s">
        <v>1589</v>
      </c>
      <c r="B881" s="35">
        <f>Adjust!$B$104</f>
        <v>3.4038241603018271E-4</v>
      </c>
      <c r="C881" s="45">
        <f>Adjust!$E$104</f>
        <v>0</v>
      </c>
      <c r="D881" s="39">
        <f>0.01*Input!$F$60*(C881*$C$856)+10*(B881*$B$856)</f>
        <v>0</v>
      </c>
      <c r="E881" s="34" t="str">
        <f t="shared" si="65"/>
        <v/>
      </c>
      <c r="F881" s="43" t="str">
        <f t="shared" si="66"/>
        <v/>
      </c>
      <c r="G881" s="17"/>
    </row>
    <row r="883" spans="1:11">
      <c r="A883" s="4" t="s">
        <v>1590</v>
      </c>
      <c r="B883" s="34">
        <f>SUM($B$859:$B$881)</f>
        <v>-0.78100000000000003</v>
      </c>
      <c r="C883" s="43">
        <f>SUM($C$859:$C$881)</f>
        <v>0</v>
      </c>
      <c r="D883" s="39">
        <f>SUM($D$859:$D$881)</f>
        <v>0</v>
      </c>
      <c r="E883" s="34">
        <f>SUM($E$859:$E$881)</f>
        <v>0</v>
      </c>
      <c r="F883" s="43">
        <f>SUM($F$859:$F$881)</f>
        <v>0</v>
      </c>
    </row>
    <row r="885" spans="1:11" ht="21" customHeight="1">
      <c r="A885" s="1" t="s">
        <v>198</v>
      </c>
    </row>
    <row r="887" spans="1:11" ht="30">
      <c r="B887" s="15" t="s">
        <v>237</v>
      </c>
      <c r="C887" s="15" t="s">
        <v>238</v>
      </c>
      <c r="D887" s="15" t="s">
        <v>239</v>
      </c>
      <c r="E887" s="15" t="s">
        <v>240</v>
      </c>
      <c r="F887" s="15" t="s">
        <v>243</v>
      </c>
      <c r="G887" s="15" t="s">
        <v>1571</v>
      </c>
      <c r="H887" s="15" t="s">
        <v>1572</v>
      </c>
    </row>
    <row r="888" spans="1:11">
      <c r="A888" s="4" t="s">
        <v>198</v>
      </c>
      <c r="B888" s="41">
        <f>Loads!B$361</f>
        <v>158.87000909090909</v>
      </c>
      <c r="C888" s="41">
        <f>Loads!C$361</f>
        <v>430.70374155844155</v>
      </c>
      <c r="D888" s="41">
        <f>Loads!D$361</f>
        <v>1007.8770038961039</v>
      </c>
      <c r="E888" s="41">
        <f>Loads!E$361</f>
        <v>12</v>
      </c>
      <c r="F888" s="41">
        <f>Loads!H$361</f>
        <v>227.47309999999999</v>
      </c>
      <c r="G888" s="41">
        <f>Multi!B$155</f>
        <v>1597.4507545454544</v>
      </c>
      <c r="H888" s="34">
        <f>IF(E888,G888/E888,"")</f>
        <v>133.12089621212121</v>
      </c>
      <c r="I888" s="17"/>
    </row>
    <row r="890" spans="1:11" ht="30">
      <c r="B890" s="15" t="s">
        <v>1379</v>
      </c>
      <c r="C890" s="15" t="s">
        <v>1380</v>
      </c>
      <c r="D890" s="15" t="s">
        <v>1381</v>
      </c>
      <c r="E890" s="15" t="s">
        <v>1382</v>
      </c>
      <c r="F890" s="15" t="s">
        <v>1136</v>
      </c>
      <c r="G890" s="15" t="s">
        <v>1591</v>
      </c>
      <c r="H890" s="15" t="s">
        <v>1573</v>
      </c>
      <c r="I890" s="15" t="s">
        <v>1540</v>
      </c>
      <c r="J890" s="15" t="s">
        <v>1574</v>
      </c>
    </row>
    <row r="891" spans="1:11">
      <c r="A891" s="4" t="s">
        <v>479</v>
      </c>
      <c r="B891" s="35">
        <f>Yard!$C$88</f>
        <v>-0.96806846006541392</v>
      </c>
      <c r="C891" s="35">
        <f>Yard!$C$116</f>
        <v>-0.11208981478391816</v>
      </c>
      <c r="D891" s="35">
        <f>Yard!$C$139</f>
        <v>-1.7052675829808666E-2</v>
      </c>
      <c r="E891" s="10"/>
      <c r="F891" s="35">
        <f>Reactive!$C$80</f>
        <v>2.0022636788057713E-2</v>
      </c>
      <c r="G891" s="34">
        <f t="shared" ref="G891:G913" si="67">IF(G$888&lt;&gt;0,(($B891*B$888+$C891*C$888+$D891*D$888+$F891*F$888))/G$888,0)</f>
        <v>-0.13440598129345158</v>
      </c>
      <c r="H891" s="39">
        <f>0.01*Input!$F$60*(E891*$E$888)+10*(B891*$B$888+C891*$C$888+D891*$D$888+F891*$F$888)</f>
        <v>-2147.0693623264647</v>
      </c>
      <c r="I891" s="34">
        <f t="shared" ref="I891:I913" si="68">IF($G$888&lt;&gt;0,0.1*H891/$G$888,"")</f>
        <v>-0.1344059812934516</v>
      </c>
      <c r="J891" s="43">
        <f t="shared" ref="J891:J913" si="69">IF($E$888&lt;&gt;0,H891/$E$888,"")</f>
        <v>-178.92244686053871</v>
      </c>
      <c r="K891" s="17"/>
    </row>
    <row r="892" spans="1:11">
      <c r="A892" s="4" t="s">
        <v>480</v>
      </c>
      <c r="B892" s="35">
        <f>Yard!$D$88</f>
        <v>-0.38292468950622244</v>
      </c>
      <c r="C892" s="35">
        <f>Yard!$D$116</f>
        <v>-4.4337729503181551E-2</v>
      </c>
      <c r="D892" s="35">
        <f>Yard!$D$139</f>
        <v>-6.7452777016808402E-3</v>
      </c>
      <c r="E892" s="10"/>
      <c r="F892" s="35">
        <f>Reactive!$D$80</f>
        <v>5.7668105651033901E-3</v>
      </c>
      <c r="G892" s="34">
        <f t="shared" si="67"/>
        <v>-5.3471626998967646E-2</v>
      </c>
      <c r="H892" s="39">
        <f>0.01*Input!$F$60*(E892*$E$888)+10*(B892*$B$888+C892*$C$888+D892*$D$888+F892*$F$888)</f>
        <v>-854.18290896273959</v>
      </c>
      <c r="I892" s="34">
        <f t="shared" si="68"/>
        <v>-5.3471626998967646E-2</v>
      </c>
      <c r="J892" s="43">
        <f t="shared" si="69"/>
        <v>-71.181909080228294</v>
      </c>
      <c r="K892" s="17"/>
    </row>
    <row r="893" spans="1:11">
      <c r="A893" s="4" t="s">
        <v>481</v>
      </c>
      <c r="B893" s="35">
        <f>Yard!$E$88</f>
        <v>-0.81543944618110642</v>
      </c>
      <c r="C893" s="35">
        <f>Yard!$E$116</f>
        <v>-0.15776828519175756</v>
      </c>
      <c r="D893" s="35">
        <f>Yard!$E$139</f>
        <v>-1.7533919772290671E-2</v>
      </c>
      <c r="E893" s="10"/>
      <c r="F893" s="35">
        <f>Reactive!$E$80</f>
        <v>1.4561586562761231E-2</v>
      </c>
      <c r="G893" s="34">
        <f t="shared" si="67"/>
        <v>-0.13262376173205565</v>
      </c>
      <c r="H893" s="39">
        <f>0.01*Input!$F$60*(E893*$E$888)+10*(B893*$B$888+C893*$C$888+D893*$D$888+F893*$F$888)</f>
        <v>-2118.5992824952887</v>
      </c>
      <c r="I893" s="34">
        <f t="shared" si="68"/>
        <v>-0.13262376173205567</v>
      </c>
      <c r="J893" s="43">
        <f t="shared" si="69"/>
        <v>-176.54994020794072</v>
      </c>
      <c r="K893" s="17"/>
    </row>
    <row r="894" spans="1:11">
      <c r="A894" s="4" t="s">
        <v>482</v>
      </c>
      <c r="B894" s="35">
        <f>Yard!$F$88</f>
        <v>-0.51438197264734209</v>
      </c>
      <c r="C894" s="35">
        <f>Yard!$F$116</f>
        <v>-9.9520770227861724E-2</v>
      </c>
      <c r="D894" s="35">
        <f>Yard!$F$139</f>
        <v>-1.1060456153979079E-2</v>
      </c>
      <c r="E894" s="10"/>
      <c r="F894" s="35">
        <f>Reactive!$F$80</f>
        <v>9.7721644106575131E-3</v>
      </c>
      <c r="G894" s="34">
        <f t="shared" si="67"/>
        <v>-8.3575979584162394E-2</v>
      </c>
      <c r="H894" s="39">
        <f>0.01*Input!$F$60*(E894*$E$888)+10*(B894*$B$888+C894*$C$888+D894*$D$888+F894*$F$888)</f>
        <v>-1335.0851164859571</v>
      </c>
      <c r="I894" s="34">
        <f t="shared" si="68"/>
        <v>-8.3575979584162394E-2</v>
      </c>
      <c r="J894" s="43">
        <f t="shared" si="69"/>
        <v>-111.25709304049643</v>
      </c>
      <c r="K894" s="17"/>
    </row>
    <row r="895" spans="1:11">
      <c r="A895" s="4" t="s">
        <v>483</v>
      </c>
      <c r="B895" s="35">
        <f>Yard!$G$88</f>
        <v>0</v>
      </c>
      <c r="C895" s="35">
        <f>Yard!$G$116</f>
        <v>0</v>
      </c>
      <c r="D895" s="35">
        <f>Yard!$G$139</f>
        <v>0</v>
      </c>
      <c r="E895" s="10"/>
      <c r="F895" s="35">
        <f>Reactive!$G$80</f>
        <v>0</v>
      </c>
      <c r="G895" s="34">
        <f t="shared" si="67"/>
        <v>0</v>
      </c>
      <c r="H895" s="39">
        <f>0.01*Input!$F$60*(E895*$E$888)+10*(B895*$B$888+C895*$C$888+D895*$D$888+F895*$F$888)</f>
        <v>0</v>
      </c>
      <c r="I895" s="34">
        <f t="shared" si="68"/>
        <v>0</v>
      </c>
      <c r="J895" s="43">
        <f t="shared" si="69"/>
        <v>0</v>
      </c>
      <c r="K895" s="17"/>
    </row>
    <row r="896" spans="1:11">
      <c r="A896" s="4" t="s">
        <v>484</v>
      </c>
      <c r="B896" s="35">
        <f>Yard!$H$88</f>
        <v>-0.65369537052369231</v>
      </c>
      <c r="C896" s="35">
        <f>Yard!$H$116</f>
        <v>-0.12647462436151041</v>
      </c>
      <c r="D896" s="35">
        <f>Yard!$H$139</f>
        <v>-1.4056031059030479E-2</v>
      </c>
      <c r="E896" s="10"/>
      <c r="F896" s="35">
        <f>Reactive!$H$80</f>
        <v>1.2418822927184499E-2</v>
      </c>
      <c r="G896" s="34">
        <f t="shared" si="67"/>
        <v>-0.10621140289962276</v>
      </c>
      <c r="H896" s="39">
        <f>0.01*Input!$F$60*(E896*$E$888)+10*(B896*$B$888+C896*$C$888+D896*$D$888+F896*$F$888)</f>
        <v>-1696.6748570333366</v>
      </c>
      <c r="I896" s="34">
        <f t="shared" si="68"/>
        <v>-0.10621140289962279</v>
      </c>
      <c r="J896" s="43">
        <f t="shared" si="69"/>
        <v>-141.38957141944471</v>
      </c>
      <c r="K896" s="17"/>
    </row>
    <row r="897" spans="1:11">
      <c r="A897" s="4" t="s">
        <v>485</v>
      </c>
      <c r="B897" s="35">
        <f>Yard!$I$88</f>
        <v>0</v>
      </c>
      <c r="C897" s="35">
        <f>Yard!$I$116</f>
        <v>0</v>
      </c>
      <c r="D897" s="35">
        <f>Yard!$I$139</f>
        <v>0</v>
      </c>
      <c r="E897" s="10"/>
      <c r="F897" s="35">
        <f>Reactive!$I$80</f>
        <v>4.8322725888772086E-4</v>
      </c>
      <c r="G897" s="34">
        <f t="shared" si="67"/>
        <v>6.8810385716691389E-5</v>
      </c>
      <c r="H897" s="39">
        <f>0.01*Input!$F$60*(E897*$E$888)+10*(B897*$B$888+C897*$C$888+D897*$D$888+F897*$F$888)</f>
        <v>1.099212025836924</v>
      </c>
      <c r="I897" s="34">
        <f t="shared" si="68"/>
        <v>6.8810385716691389E-5</v>
      </c>
      <c r="J897" s="43">
        <f t="shared" si="69"/>
        <v>9.1601002153076996E-2</v>
      </c>
      <c r="K897" s="17"/>
    </row>
    <row r="898" spans="1:11">
      <c r="A898" s="4" t="s">
        <v>486</v>
      </c>
      <c r="B898" s="35">
        <f>Yard!$J$88</f>
        <v>0</v>
      </c>
      <c r="C898" s="35">
        <f>Yard!$J$116</f>
        <v>0</v>
      </c>
      <c r="D898" s="35">
        <f>Yard!$J$139</f>
        <v>0</v>
      </c>
      <c r="E898" s="10"/>
      <c r="F898" s="35">
        <f>Reactive!$J$80</f>
        <v>0</v>
      </c>
      <c r="G898" s="34">
        <f t="shared" si="67"/>
        <v>0</v>
      </c>
      <c r="H898" s="39">
        <f>0.01*Input!$F$60*(E898*$E$888)+10*(B898*$B$888+C898*$C$888+D898*$D$888+F898*$F$888)</f>
        <v>0</v>
      </c>
      <c r="I898" s="34">
        <f t="shared" si="68"/>
        <v>0</v>
      </c>
      <c r="J898" s="43">
        <f t="shared" si="69"/>
        <v>0</v>
      </c>
      <c r="K898" s="17"/>
    </row>
    <row r="899" spans="1:11">
      <c r="A899" s="4" t="s">
        <v>1575</v>
      </c>
      <c r="B899" s="10"/>
      <c r="C899" s="10"/>
      <c r="D899" s="10"/>
      <c r="E899" s="45">
        <f>SM!$B$145</f>
        <v>0</v>
      </c>
      <c r="F899" s="10"/>
      <c r="G899" s="34">
        <f t="shared" si="67"/>
        <v>0</v>
      </c>
      <c r="H899" s="39">
        <f>0.01*Input!$F$60*(E899*$E$888)+10*(B899*$B$888+C899*$C$888+D899*$D$888+F899*$F$888)</f>
        <v>0</v>
      </c>
      <c r="I899" s="34">
        <f t="shared" si="68"/>
        <v>0</v>
      </c>
      <c r="J899" s="43">
        <f t="shared" si="69"/>
        <v>0</v>
      </c>
      <c r="K899" s="17"/>
    </row>
    <row r="900" spans="1:11">
      <c r="A900" s="4" t="s">
        <v>1576</v>
      </c>
      <c r="B900" s="10"/>
      <c r="C900" s="10"/>
      <c r="D900" s="10"/>
      <c r="E900" s="45">
        <f>SM!$C$145</f>
        <v>0</v>
      </c>
      <c r="F900" s="10"/>
      <c r="G900" s="34">
        <f t="shared" si="67"/>
        <v>0</v>
      </c>
      <c r="H900" s="39">
        <f>0.01*Input!$F$60*(E900*$E$888)+10*(B900*$B$888+C900*$C$888+D900*$D$888+F900*$F$888)</f>
        <v>0</v>
      </c>
      <c r="I900" s="34">
        <f t="shared" si="68"/>
        <v>0</v>
      </c>
      <c r="J900" s="43">
        <f t="shared" si="69"/>
        <v>0</v>
      </c>
      <c r="K900" s="17"/>
    </row>
    <row r="901" spans="1:11">
      <c r="A901" s="4" t="s">
        <v>1577</v>
      </c>
      <c r="B901" s="35">
        <f>Yard!$K$88</f>
        <v>-0.7053638403610345</v>
      </c>
      <c r="C901" s="35">
        <f>Yard!$K$116</f>
        <v>-2.8839996802086772E-2</v>
      </c>
      <c r="D901" s="35">
        <f>Yard!$K$139</f>
        <v>-2.0530995028009815E-3</v>
      </c>
      <c r="E901" s="10"/>
      <c r="F901" s="35">
        <f>Reactive!$K$80</f>
        <v>1.1234466657900611E-2</v>
      </c>
      <c r="G901" s="34">
        <f t="shared" si="67"/>
        <v>-7.7621414447355014E-2</v>
      </c>
      <c r="H901" s="39">
        <f>0.01*Input!$F$60*(E901*$E$888)+10*(B901*$B$888+C901*$C$888+D901*$D$888+F901*$F$888)</f>
        <v>-1239.9638707781269</v>
      </c>
      <c r="I901" s="34">
        <f t="shared" si="68"/>
        <v>-7.7621414447355014E-2</v>
      </c>
      <c r="J901" s="43">
        <f t="shared" si="69"/>
        <v>-103.33032256484391</v>
      </c>
      <c r="K901" s="17"/>
    </row>
    <row r="902" spans="1:11">
      <c r="A902" s="4" t="s">
        <v>1578</v>
      </c>
      <c r="B902" s="35">
        <f>Yard!$L$88</f>
        <v>-0.38128441730654777</v>
      </c>
      <c r="C902" s="35">
        <f>Yard!$L$116</f>
        <v>-4.4147807184005579E-2</v>
      </c>
      <c r="D902" s="35">
        <f>Yard!$L$139</f>
        <v>-6.7163840528868214E-3</v>
      </c>
      <c r="E902" s="10"/>
      <c r="F902" s="35">
        <f>Reactive!$L$80</f>
        <v>7.8861358629113594E-3</v>
      </c>
      <c r="G902" s="34">
        <f t="shared" si="67"/>
        <v>-5.2937274969711977E-2</v>
      </c>
      <c r="H902" s="39">
        <f>0.01*Input!$F$60*(E902*$E$888)+10*(B902*$B$888+C902*$C$888+D902*$D$888+F902*$F$888)</f>
        <v>-845.64689843946599</v>
      </c>
      <c r="I902" s="34">
        <f t="shared" si="68"/>
        <v>-5.2937274969711984E-2</v>
      </c>
      <c r="J902" s="43">
        <f t="shared" si="69"/>
        <v>-70.470574869955499</v>
      </c>
      <c r="K902" s="17"/>
    </row>
    <row r="903" spans="1:11">
      <c r="A903" s="4" t="s">
        <v>1579</v>
      </c>
      <c r="B903" s="35">
        <f>Yard!$M$88</f>
        <v>-0.15081910333160228</v>
      </c>
      <c r="C903" s="35">
        <f>Yard!$M$116</f>
        <v>-1.7462902734351658E-2</v>
      </c>
      <c r="D903" s="35">
        <f>Yard!$M$139</f>
        <v>-2.6567018595796874E-3</v>
      </c>
      <c r="E903" s="10"/>
      <c r="F903" s="35">
        <f>Reactive!$M$80</f>
        <v>2.2713218090837438E-3</v>
      </c>
      <c r="G903" s="34">
        <f t="shared" si="67"/>
        <v>-2.1060388788368137E-2</v>
      </c>
      <c r="H903" s="39">
        <f>0.01*Input!$F$60*(E903*$E$888)+10*(B903*$B$888+C903*$C$888+D903*$D$888+F903*$F$888)</f>
        <v>-336.42933960999306</v>
      </c>
      <c r="I903" s="34">
        <f t="shared" si="68"/>
        <v>-2.1060388788368137E-2</v>
      </c>
      <c r="J903" s="43">
        <f t="shared" si="69"/>
        <v>-28.035778300832757</v>
      </c>
      <c r="K903" s="17"/>
    </row>
    <row r="904" spans="1:11">
      <c r="A904" s="4" t="s">
        <v>1580</v>
      </c>
      <c r="B904" s="35">
        <f>Yard!$N$88</f>
        <v>-0.32116980039296822</v>
      </c>
      <c r="C904" s="35">
        <f>Yard!$N$116</f>
        <v>-6.2138775479502535E-2</v>
      </c>
      <c r="D904" s="35">
        <f>Yard!$N$139</f>
        <v>-6.9059272760790694E-3</v>
      </c>
      <c r="E904" s="10"/>
      <c r="F904" s="35">
        <f>Reactive!$N$80</f>
        <v>5.7352411287793685E-3</v>
      </c>
      <c r="G904" s="34">
        <f t="shared" si="67"/>
        <v>-5.223532818081103E-2</v>
      </c>
      <c r="H904" s="39">
        <f>0.01*Input!$F$60*(E904*$E$888)+10*(B904*$B$888+C904*$C$888+D904*$D$888+F904*$F$888)</f>
        <v>-834.43364416366023</v>
      </c>
      <c r="I904" s="34">
        <f t="shared" si="68"/>
        <v>-5.223532818081103E-2</v>
      </c>
      <c r="J904" s="43">
        <f t="shared" si="69"/>
        <v>-69.536137013638353</v>
      </c>
      <c r="K904" s="17"/>
    </row>
    <row r="905" spans="1:11">
      <c r="A905" s="4" t="s">
        <v>1581</v>
      </c>
      <c r="B905" s="35">
        <f>Yard!$O$88</f>
        <v>-0.20259500108141315</v>
      </c>
      <c r="C905" s="35">
        <f>Yard!$O$116</f>
        <v>-3.9197350653966193E-2</v>
      </c>
      <c r="D905" s="35">
        <f>Yard!$O$139</f>
        <v>-4.3562823847494965E-3</v>
      </c>
      <c r="E905" s="10"/>
      <c r="F905" s="35">
        <f>Reactive!$O$80</f>
        <v>3.8488745030383132E-3</v>
      </c>
      <c r="G905" s="34">
        <f t="shared" si="67"/>
        <v>-3.2917319374724856E-2</v>
      </c>
      <c r="H905" s="39">
        <f>0.01*Input!$F$60*(E905*$E$888)+10*(B905*$B$888+C905*$C$888+D905*$D$888+F905*$F$888)</f>
        <v>-525.83796672767926</v>
      </c>
      <c r="I905" s="34">
        <f t="shared" si="68"/>
        <v>-3.2917319374724856E-2</v>
      </c>
      <c r="J905" s="43">
        <f t="shared" si="69"/>
        <v>-43.819830560639936</v>
      </c>
      <c r="K905" s="17"/>
    </row>
    <row r="906" spans="1:11">
      <c r="A906" s="4" t="s">
        <v>1582</v>
      </c>
      <c r="B906" s="35">
        <f>Yard!$P$88</f>
        <v>0</v>
      </c>
      <c r="C906" s="35">
        <f>Yard!$P$116</f>
        <v>0</v>
      </c>
      <c r="D906" s="35">
        <f>Yard!$P$139</f>
        <v>0</v>
      </c>
      <c r="E906" s="10"/>
      <c r="F906" s="35">
        <f>Reactive!$P$80</f>
        <v>0</v>
      </c>
      <c r="G906" s="34">
        <f t="shared" si="67"/>
        <v>0</v>
      </c>
      <c r="H906" s="39">
        <f>0.01*Input!$F$60*(E906*$E$888)+10*(B906*$B$888+C906*$C$888+D906*$D$888+F906*$F$888)</f>
        <v>0</v>
      </c>
      <c r="I906" s="34">
        <f t="shared" si="68"/>
        <v>0</v>
      </c>
      <c r="J906" s="43">
        <f t="shared" si="69"/>
        <v>0</v>
      </c>
      <c r="K906" s="17"/>
    </row>
    <row r="907" spans="1:11">
      <c r="A907" s="4" t="s">
        <v>1583</v>
      </c>
      <c r="B907" s="35">
        <f>Yard!$Q$88</f>
        <v>-0.36780730868864392</v>
      </c>
      <c r="C907" s="35">
        <f>Yard!$Q$116</f>
        <v>-7.1162032502306599E-2</v>
      </c>
      <c r="D907" s="35">
        <f>Yard!$Q$139</f>
        <v>-7.9087464708893999E-3</v>
      </c>
      <c r="E907" s="10"/>
      <c r="F907" s="35">
        <f>Reactive!$Q$80</f>
        <v>6.9875572688685656E-3</v>
      </c>
      <c r="G907" s="34">
        <f t="shared" si="67"/>
        <v>-5.9760757095861386E-2</v>
      </c>
      <c r="H907" s="39">
        <f>0.01*Input!$F$60*(E907*$E$888)+10*(B907*$B$888+C907*$C$888+D907*$D$888+F907*$F$888)</f>
        <v>-954.64866514991388</v>
      </c>
      <c r="I907" s="34">
        <f t="shared" si="68"/>
        <v>-5.9760757095861393E-2</v>
      </c>
      <c r="J907" s="43">
        <f t="shared" si="69"/>
        <v>-79.55405542915949</v>
      </c>
      <c r="K907" s="17"/>
    </row>
    <row r="908" spans="1:11">
      <c r="A908" s="4" t="s">
        <v>1584</v>
      </c>
      <c r="B908" s="35">
        <f>Yard!$R$88</f>
        <v>0</v>
      </c>
      <c r="C908" s="35">
        <f>Yard!$R$116</f>
        <v>0</v>
      </c>
      <c r="D908" s="35">
        <f>Yard!$R$139</f>
        <v>0</v>
      </c>
      <c r="E908" s="10"/>
      <c r="F908" s="35">
        <f>Reactive!$R$80</f>
        <v>6.3441458062168769E-3</v>
      </c>
      <c r="G908" s="34">
        <f t="shared" si="67"/>
        <v>9.033909241244714E-4</v>
      </c>
      <c r="H908" s="39">
        <f>0.01*Input!$F$60*(E908*$E$888)+10*(B908*$B$888+C908*$C$888+D908*$D$888+F908*$F$888)</f>
        <v>14.431225133921522</v>
      </c>
      <c r="I908" s="34">
        <f t="shared" si="68"/>
        <v>9.0339092412447151E-4</v>
      </c>
      <c r="J908" s="43">
        <f t="shared" si="69"/>
        <v>1.2026020944934601</v>
      </c>
      <c r="K908" s="17"/>
    </row>
    <row r="909" spans="1:11">
      <c r="A909" s="4" t="s">
        <v>1585</v>
      </c>
      <c r="B909" s="35">
        <f>Yard!$S$88</f>
        <v>0</v>
      </c>
      <c r="C909" s="35">
        <f>Yard!$S$116</f>
        <v>0</v>
      </c>
      <c r="D909" s="35">
        <f>Yard!$S$139</f>
        <v>0</v>
      </c>
      <c r="E909" s="10"/>
      <c r="F909" s="35">
        <f>Reactive!$S$80</f>
        <v>0</v>
      </c>
      <c r="G909" s="34">
        <f t="shared" si="67"/>
        <v>0</v>
      </c>
      <c r="H909" s="39">
        <f>0.01*Input!$F$60*(E909*$E$888)+10*(B909*$B$888+C909*$C$888+D909*$D$888+F909*$F$888)</f>
        <v>0</v>
      </c>
      <c r="I909" s="34">
        <f t="shared" si="68"/>
        <v>0</v>
      </c>
      <c r="J909" s="43">
        <f t="shared" si="69"/>
        <v>0</v>
      </c>
      <c r="K909" s="17"/>
    </row>
    <row r="910" spans="1:11">
      <c r="A910" s="4" t="s">
        <v>1586</v>
      </c>
      <c r="B910" s="10"/>
      <c r="C910" s="10"/>
      <c r="D910" s="10"/>
      <c r="E910" s="45">
        <f>Otex!$B$148</f>
        <v>0</v>
      </c>
      <c r="F910" s="10"/>
      <c r="G910" s="34">
        <f t="shared" si="67"/>
        <v>0</v>
      </c>
      <c r="H910" s="39">
        <f>0.01*Input!$F$60*(E910*$E$888)+10*(B910*$B$888+C910*$C$888+D910*$D$888+F910*$F$888)</f>
        <v>0</v>
      </c>
      <c r="I910" s="34">
        <f t="shared" si="68"/>
        <v>0</v>
      </c>
      <c r="J910" s="43">
        <f t="shared" si="69"/>
        <v>0</v>
      </c>
      <c r="K910" s="17"/>
    </row>
    <row r="911" spans="1:11">
      <c r="A911" s="4" t="s">
        <v>1587</v>
      </c>
      <c r="B911" s="10"/>
      <c r="C911" s="10"/>
      <c r="D911" s="10"/>
      <c r="E911" s="45">
        <f>Otex!$C$148</f>
        <v>0</v>
      </c>
      <c r="F911" s="10"/>
      <c r="G911" s="34">
        <f t="shared" si="67"/>
        <v>0</v>
      </c>
      <c r="H911" s="39">
        <f>0.01*Input!$F$60*(E911*$E$888)+10*(B911*$B$888+C911*$C$888+D911*$D$888+F911*$F$888)</f>
        <v>0</v>
      </c>
      <c r="I911" s="34">
        <f t="shared" si="68"/>
        <v>0</v>
      </c>
      <c r="J911" s="43">
        <f t="shared" si="69"/>
        <v>0</v>
      </c>
      <c r="K911" s="17"/>
    </row>
    <row r="912" spans="1:11">
      <c r="A912" s="4" t="s">
        <v>1588</v>
      </c>
      <c r="B912" s="35">
        <f>Adder!$B$292</f>
        <v>0</v>
      </c>
      <c r="C912" s="35">
        <f>Adder!$C$292</f>
        <v>0</v>
      </c>
      <c r="D912" s="35">
        <f>Adder!$D$292</f>
        <v>0</v>
      </c>
      <c r="E912" s="10"/>
      <c r="F912" s="10"/>
      <c r="G912" s="34">
        <f t="shared" si="67"/>
        <v>0</v>
      </c>
      <c r="H912" s="39">
        <f>0.01*Input!$F$60*(E912*$E$888)+10*(B912*$B$888+C912*$C$888+D912*$D$888+F912*$F$888)</f>
        <v>0</v>
      </c>
      <c r="I912" s="34">
        <f t="shared" si="68"/>
        <v>0</v>
      </c>
      <c r="J912" s="43">
        <f t="shared" si="69"/>
        <v>0</v>
      </c>
      <c r="K912" s="17"/>
    </row>
    <row r="913" spans="1:11">
      <c r="A913" s="4" t="s">
        <v>1589</v>
      </c>
      <c r="B913" s="35">
        <f>Adjust!$B$105</f>
        <v>-4.5058991401525361E-4</v>
      </c>
      <c r="C913" s="35">
        <f>Adjust!$C$105</f>
        <v>1.4008942444876382E-4</v>
      </c>
      <c r="D913" s="35">
        <f>Adjust!$D$105</f>
        <v>4.5502063775196278E-5</v>
      </c>
      <c r="E913" s="45">
        <f>Adjust!$E$105</f>
        <v>0</v>
      </c>
      <c r="F913" s="35">
        <f>Adjust!$H$105</f>
        <v>-3.3299154945089227E-4</v>
      </c>
      <c r="G913" s="34">
        <f t="shared" si="67"/>
        <v>-2.5749977377732763E-5</v>
      </c>
      <c r="H913" s="39">
        <f>0.01*Input!$F$60*(E913*$E$888)+10*(B913*$B$888+C913*$C$888+D913*$D$888+F913*$F$888)</f>
        <v>-0.41134320791587581</v>
      </c>
      <c r="I913" s="34">
        <f t="shared" si="68"/>
        <v>-2.5749977377732763E-5</v>
      </c>
      <c r="J913" s="43">
        <f t="shared" si="69"/>
        <v>-3.4278600659656315E-2</v>
      </c>
      <c r="K913" s="17"/>
    </row>
    <row r="915" spans="1:11">
      <c r="A915" s="4" t="s">
        <v>1590</v>
      </c>
      <c r="B915" s="34">
        <f>SUM($B$891:$B$913)</f>
        <v>-5.4640000000000004</v>
      </c>
      <c r="C915" s="34">
        <f>SUM($C$891:$C$913)</f>
        <v>-0.80300000000000005</v>
      </c>
      <c r="D915" s="34">
        <f>SUM($D$891:$D$913)</f>
        <v>-9.7000000000000003E-2</v>
      </c>
      <c r="E915" s="43">
        <f>SUM($E$891:$E$913)</f>
        <v>0</v>
      </c>
      <c r="F915" s="34">
        <f>SUM($F$891:$F$913)</f>
        <v>0.107</v>
      </c>
      <c r="G915" s="34">
        <f>SUM(G$891:G$913)</f>
        <v>-0.80587478403262891</v>
      </c>
      <c r="H915" s="39">
        <f>SUM($H$891:$H$913)</f>
        <v>-12873.452818220783</v>
      </c>
      <c r="I915" s="34">
        <f>SUM($I$891:$I$913)</f>
        <v>-0.80587478403262902</v>
      </c>
      <c r="J915" s="43">
        <f>SUM($J$891:$J$913)</f>
        <v>-1072.787734851732</v>
      </c>
    </row>
    <row r="917" spans="1:11" ht="21" customHeight="1">
      <c r="A917" s="1" t="s">
        <v>199</v>
      </c>
    </row>
    <row r="919" spans="1:11">
      <c r="B919" s="15" t="s">
        <v>237</v>
      </c>
      <c r="C919" s="15" t="s">
        <v>238</v>
      </c>
      <c r="D919" s="15" t="s">
        <v>239</v>
      </c>
      <c r="E919" s="15" t="s">
        <v>240</v>
      </c>
      <c r="F919" s="15" t="s">
        <v>1571</v>
      </c>
      <c r="G919" s="15" t="s">
        <v>1572</v>
      </c>
    </row>
    <row r="920" spans="1:11" ht="30">
      <c r="A920" s="4" t="s">
        <v>199</v>
      </c>
      <c r="B920" s="41">
        <f>Loads!B$362</f>
        <v>0</v>
      </c>
      <c r="C920" s="41">
        <f>Loads!C$362</f>
        <v>0</v>
      </c>
      <c r="D920" s="41">
        <f>Loads!D$362</f>
        <v>0</v>
      </c>
      <c r="E920" s="41">
        <f>Loads!E$362</f>
        <v>0</v>
      </c>
      <c r="F920" s="41">
        <f>Multi!B$156</f>
        <v>0</v>
      </c>
      <c r="G920" s="34" t="str">
        <f>IF(E920,F920/E920,"")</f>
        <v/>
      </c>
      <c r="H920" s="17"/>
    </row>
    <row r="922" spans="1:11" ht="30">
      <c r="B922" s="15" t="s">
        <v>1379</v>
      </c>
      <c r="C922" s="15" t="s">
        <v>1380</v>
      </c>
      <c r="D922" s="15" t="s">
        <v>1381</v>
      </c>
      <c r="E922" s="15" t="s">
        <v>1382</v>
      </c>
      <c r="F922" s="15" t="s">
        <v>1591</v>
      </c>
      <c r="G922" s="15" t="s">
        <v>1573</v>
      </c>
      <c r="H922" s="15" t="s">
        <v>1540</v>
      </c>
      <c r="I922" s="15" t="s">
        <v>1574</v>
      </c>
    </row>
    <row r="923" spans="1:11">
      <c r="A923" s="4" t="s">
        <v>479</v>
      </c>
      <c r="B923" s="35">
        <f>Yard!$C$89</f>
        <v>-0.96806846006541392</v>
      </c>
      <c r="C923" s="35">
        <f>Yard!$C$117</f>
        <v>-0.11208981478391816</v>
      </c>
      <c r="D923" s="35">
        <f>Yard!$C$140</f>
        <v>-1.7052675829808666E-2</v>
      </c>
      <c r="E923" s="10"/>
      <c r="F923" s="34">
        <f t="shared" ref="F923:F945" si="70">IF(F$920&lt;&gt;0,(($B923*B$920+$C923*C$920+$D923*D$920))/F$920,0)</f>
        <v>0</v>
      </c>
      <c r="G923" s="39">
        <f>0.01*Input!$F$60*(E923*$E$920)+10*(B923*$B$920+C923*$C$920+D923*$D$920)</f>
        <v>0</v>
      </c>
      <c r="H923" s="34" t="str">
        <f t="shared" ref="H923:H945" si="71">IF($F$920&lt;&gt;0,0.1*G923/$F$920,"")</f>
        <v/>
      </c>
      <c r="I923" s="43" t="str">
        <f t="shared" ref="I923:I945" si="72">IF($E$920&lt;&gt;0,G923/$E$920,"")</f>
        <v/>
      </c>
      <c r="J923" s="17"/>
    </row>
    <row r="924" spans="1:11">
      <c r="A924" s="4" t="s">
        <v>480</v>
      </c>
      <c r="B924" s="35">
        <f>Yard!$D$89</f>
        <v>-0.38292468950622244</v>
      </c>
      <c r="C924" s="35">
        <f>Yard!$D$117</f>
        <v>-4.4337729503181551E-2</v>
      </c>
      <c r="D924" s="35">
        <f>Yard!$D$140</f>
        <v>-6.7452777016808402E-3</v>
      </c>
      <c r="E924" s="10"/>
      <c r="F924" s="34">
        <f t="shared" si="70"/>
        <v>0</v>
      </c>
      <c r="G924" s="39">
        <f>0.01*Input!$F$60*(E924*$E$920)+10*(B924*$B$920+C924*$C$920+D924*$D$920)</f>
        <v>0</v>
      </c>
      <c r="H924" s="34" t="str">
        <f t="shared" si="71"/>
        <v/>
      </c>
      <c r="I924" s="43" t="str">
        <f t="shared" si="72"/>
        <v/>
      </c>
      <c r="J924" s="17"/>
    </row>
    <row r="925" spans="1:11">
      <c r="A925" s="4" t="s">
        <v>481</v>
      </c>
      <c r="B925" s="35">
        <f>Yard!$E$89</f>
        <v>-0.81543944618110642</v>
      </c>
      <c r="C925" s="35">
        <f>Yard!$E$117</f>
        <v>-0.15776828519175756</v>
      </c>
      <c r="D925" s="35">
        <f>Yard!$E$140</f>
        <v>-1.7533919772290671E-2</v>
      </c>
      <c r="E925" s="10"/>
      <c r="F925" s="34">
        <f t="shared" si="70"/>
        <v>0</v>
      </c>
      <c r="G925" s="39">
        <f>0.01*Input!$F$60*(E925*$E$920)+10*(B925*$B$920+C925*$C$920+D925*$D$920)</f>
        <v>0</v>
      </c>
      <c r="H925" s="34" t="str">
        <f t="shared" si="71"/>
        <v/>
      </c>
      <c r="I925" s="43" t="str">
        <f t="shared" si="72"/>
        <v/>
      </c>
      <c r="J925" s="17"/>
    </row>
    <row r="926" spans="1:11">
      <c r="A926" s="4" t="s">
        <v>482</v>
      </c>
      <c r="B926" s="35">
        <f>Yard!$F$89</f>
        <v>-0.51438197264734209</v>
      </c>
      <c r="C926" s="35">
        <f>Yard!$F$117</f>
        <v>-9.9520770227861724E-2</v>
      </c>
      <c r="D926" s="35">
        <f>Yard!$F$140</f>
        <v>-1.1060456153979079E-2</v>
      </c>
      <c r="E926" s="10"/>
      <c r="F926" s="34">
        <f t="shared" si="70"/>
        <v>0</v>
      </c>
      <c r="G926" s="39">
        <f>0.01*Input!$F$60*(E926*$E$920)+10*(B926*$B$920+C926*$C$920+D926*$D$920)</f>
        <v>0</v>
      </c>
      <c r="H926" s="34" t="str">
        <f t="shared" si="71"/>
        <v/>
      </c>
      <c r="I926" s="43" t="str">
        <f t="shared" si="72"/>
        <v/>
      </c>
      <c r="J926" s="17"/>
    </row>
    <row r="927" spans="1:11">
      <c r="A927" s="4" t="s">
        <v>483</v>
      </c>
      <c r="B927" s="35">
        <f>Yard!$G$89</f>
        <v>0</v>
      </c>
      <c r="C927" s="35">
        <f>Yard!$G$117</f>
        <v>0</v>
      </c>
      <c r="D927" s="35">
        <f>Yard!$G$140</f>
        <v>0</v>
      </c>
      <c r="E927" s="10"/>
      <c r="F927" s="34">
        <f t="shared" si="70"/>
        <v>0</v>
      </c>
      <c r="G927" s="39">
        <f>0.01*Input!$F$60*(E927*$E$920)+10*(B927*$B$920+C927*$C$920+D927*$D$920)</f>
        <v>0</v>
      </c>
      <c r="H927" s="34" t="str">
        <f t="shared" si="71"/>
        <v/>
      </c>
      <c r="I927" s="43" t="str">
        <f t="shared" si="72"/>
        <v/>
      </c>
      <c r="J927" s="17"/>
    </row>
    <row r="928" spans="1:11">
      <c r="A928" s="4" t="s">
        <v>484</v>
      </c>
      <c r="B928" s="35">
        <f>Yard!$H$89</f>
        <v>-0.65369537052369231</v>
      </c>
      <c r="C928" s="35">
        <f>Yard!$H$117</f>
        <v>-0.12647462436151041</v>
      </c>
      <c r="D928" s="35">
        <f>Yard!$H$140</f>
        <v>-1.4056031059030479E-2</v>
      </c>
      <c r="E928" s="10"/>
      <c r="F928" s="34">
        <f t="shared" si="70"/>
        <v>0</v>
      </c>
      <c r="G928" s="39">
        <f>0.01*Input!$F$60*(E928*$E$920)+10*(B928*$B$920+C928*$C$920+D928*$D$920)</f>
        <v>0</v>
      </c>
      <c r="H928" s="34" t="str">
        <f t="shared" si="71"/>
        <v/>
      </c>
      <c r="I928" s="43" t="str">
        <f t="shared" si="72"/>
        <v/>
      </c>
      <c r="J928" s="17"/>
    </row>
    <row r="929" spans="1:10">
      <c r="A929" s="4" t="s">
        <v>485</v>
      </c>
      <c r="B929" s="35">
        <f>Yard!$I$89</f>
        <v>0</v>
      </c>
      <c r="C929" s="35">
        <f>Yard!$I$117</f>
        <v>0</v>
      </c>
      <c r="D929" s="35">
        <f>Yard!$I$140</f>
        <v>0</v>
      </c>
      <c r="E929" s="10"/>
      <c r="F929" s="34">
        <f t="shared" si="70"/>
        <v>0</v>
      </c>
      <c r="G929" s="39">
        <f>0.01*Input!$F$60*(E929*$E$920)+10*(B929*$B$920+C929*$C$920+D929*$D$920)</f>
        <v>0</v>
      </c>
      <c r="H929" s="34" t="str">
        <f t="shared" si="71"/>
        <v/>
      </c>
      <c r="I929" s="43" t="str">
        <f t="shared" si="72"/>
        <v/>
      </c>
      <c r="J929" s="17"/>
    </row>
    <row r="930" spans="1:10">
      <c r="A930" s="4" t="s">
        <v>486</v>
      </c>
      <c r="B930" s="35">
        <f>Yard!$J$89</f>
        <v>0</v>
      </c>
      <c r="C930" s="35">
        <f>Yard!$J$117</f>
        <v>0</v>
      </c>
      <c r="D930" s="35">
        <f>Yard!$J$140</f>
        <v>0</v>
      </c>
      <c r="E930" s="10"/>
      <c r="F930" s="34">
        <f t="shared" si="70"/>
        <v>0</v>
      </c>
      <c r="G930" s="39">
        <f>0.01*Input!$F$60*(E930*$E$920)+10*(B930*$B$920+C930*$C$920+D930*$D$920)</f>
        <v>0</v>
      </c>
      <c r="H930" s="34" t="str">
        <f t="shared" si="71"/>
        <v/>
      </c>
      <c r="I930" s="43" t="str">
        <f t="shared" si="72"/>
        <v/>
      </c>
      <c r="J930" s="17"/>
    </row>
    <row r="931" spans="1:10">
      <c r="A931" s="4" t="s">
        <v>1575</v>
      </c>
      <c r="B931" s="10"/>
      <c r="C931" s="10"/>
      <c r="D931" s="10"/>
      <c r="E931" s="45">
        <f>SM!$B$146</f>
        <v>0</v>
      </c>
      <c r="F931" s="34">
        <f t="shared" si="70"/>
        <v>0</v>
      </c>
      <c r="G931" s="39">
        <f>0.01*Input!$F$60*(E931*$E$920)+10*(B931*$B$920+C931*$C$920+D931*$D$920)</f>
        <v>0</v>
      </c>
      <c r="H931" s="34" t="str">
        <f t="shared" si="71"/>
        <v/>
      </c>
      <c r="I931" s="43" t="str">
        <f t="shared" si="72"/>
        <v/>
      </c>
      <c r="J931" s="17"/>
    </row>
    <row r="932" spans="1:10">
      <c r="A932" s="4" t="s">
        <v>1576</v>
      </c>
      <c r="B932" s="10"/>
      <c r="C932" s="10"/>
      <c r="D932" s="10"/>
      <c r="E932" s="45">
        <f>SM!$C$146</f>
        <v>0</v>
      </c>
      <c r="F932" s="34">
        <f t="shared" si="70"/>
        <v>0</v>
      </c>
      <c r="G932" s="39">
        <f>0.01*Input!$F$60*(E932*$E$920)+10*(B932*$B$920+C932*$C$920+D932*$D$920)</f>
        <v>0</v>
      </c>
      <c r="H932" s="34" t="str">
        <f t="shared" si="71"/>
        <v/>
      </c>
      <c r="I932" s="43" t="str">
        <f t="shared" si="72"/>
        <v/>
      </c>
      <c r="J932" s="17"/>
    </row>
    <row r="933" spans="1:10">
      <c r="A933" s="4" t="s">
        <v>1577</v>
      </c>
      <c r="B933" s="35">
        <f>Yard!$K$89</f>
        <v>-0.7053638403610345</v>
      </c>
      <c r="C933" s="35">
        <f>Yard!$K$117</f>
        <v>-2.8839996802086772E-2</v>
      </c>
      <c r="D933" s="35">
        <f>Yard!$K$140</f>
        <v>-2.0530995028009815E-3</v>
      </c>
      <c r="E933" s="10"/>
      <c r="F933" s="34">
        <f t="shared" si="70"/>
        <v>0</v>
      </c>
      <c r="G933" s="39">
        <f>0.01*Input!$F$60*(E933*$E$920)+10*(B933*$B$920+C933*$C$920+D933*$D$920)</f>
        <v>0</v>
      </c>
      <c r="H933" s="34" t="str">
        <f t="shared" si="71"/>
        <v/>
      </c>
      <c r="I933" s="43" t="str">
        <f t="shared" si="72"/>
        <v/>
      </c>
      <c r="J933" s="17"/>
    </row>
    <row r="934" spans="1:10">
      <c r="A934" s="4" t="s">
        <v>1578</v>
      </c>
      <c r="B934" s="35">
        <f>Yard!$L$89</f>
        <v>-0.38128441730654777</v>
      </c>
      <c r="C934" s="35">
        <f>Yard!$L$117</f>
        <v>-4.4147807184005579E-2</v>
      </c>
      <c r="D934" s="35">
        <f>Yard!$L$140</f>
        <v>-6.7163840528868214E-3</v>
      </c>
      <c r="E934" s="10"/>
      <c r="F934" s="34">
        <f t="shared" si="70"/>
        <v>0</v>
      </c>
      <c r="G934" s="39">
        <f>0.01*Input!$F$60*(E934*$E$920)+10*(B934*$B$920+C934*$C$920+D934*$D$920)</f>
        <v>0</v>
      </c>
      <c r="H934" s="34" t="str">
        <f t="shared" si="71"/>
        <v/>
      </c>
      <c r="I934" s="43" t="str">
        <f t="shared" si="72"/>
        <v/>
      </c>
      <c r="J934" s="17"/>
    </row>
    <row r="935" spans="1:10">
      <c r="A935" s="4" t="s">
        <v>1579</v>
      </c>
      <c r="B935" s="35">
        <f>Yard!$M$89</f>
        <v>-0.15081910333160228</v>
      </c>
      <c r="C935" s="35">
        <f>Yard!$M$117</f>
        <v>-1.7462902734351658E-2</v>
      </c>
      <c r="D935" s="35">
        <f>Yard!$M$140</f>
        <v>-2.6567018595796874E-3</v>
      </c>
      <c r="E935" s="10"/>
      <c r="F935" s="34">
        <f t="shared" si="70"/>
        <v>0</v>
      </c>
      <c r="G935" s="39">
        <f>0.01*Input!$F$60*(E935*$E$920)+10*(B935*$B$920+C935*$C$920+D935*$D$920)</f>
        <v>0</v>
      </c>
      <c r="H935" s="34" t="str">
        <f t="shared" si="71"/>
        <v/>
      </c>
      <c r="I935" s="43" t="str">
        <f t="shared" si="72"/>
        <v/>
      </c>
      <c r="J935" s="17"/>
    </row>
    <row r="936" spans="1:10">
      <c r="A936" s="4" t="s">
        <v>1580</v>
      </c>
      <c r="B936" s="35">
        <f>Yard!$N$89</f>
        <v>-0.32116980039296822</v>
      </c>
      <c r="C936" s="35">
        <f>Yard!$N$117</f>
        <v>-6.2138775479502535E-2</v>
      </c>
      <c r="D936" s="35">
        <f>Yard!$N$140</f>
        <v>-6.9059272760790694E-3</v>
      </c>
      <c r="E936" s="10"/>
      <c r="F936" s="34">
        <f t="shared" si="70"/>
        <v>0</v>
      </c>
      <c r="G936" s="39">
        <f>0.01*Input!$F$60*(E936*$E$920)+10*(B936*$B$920+C936*$C$920+D936*$D$920)</f>
        <v>0</v>
      </c>
      <c r="H936" s="34" t="str">
        <f t="shared" si="71"/>
        <v/>
      </c>
      <c r="I936" s="43" t="str">
        <f t="shared" si="72"/>
        <v/>
      </c>
      <c r="J936" s="17"/>
    </row>
    <row r="937" spans="1:10">
      <c r="A937" s="4" t="s">
        <v>1581</v>
      </c>
      <c r="B937" s="35">
        <f>Yard!$O$89</f>
        <v>-0.20259500108141315</v>
      </c>
      <c r="C937" s="35">
        <f>Yard!$O$117</f>
        <v>-3.9197350653966193E-2</v>
      </c>
      <c r="D937" s="35">
        <f>Yard!$O$140</f>
        <v>-4.3562823847494965E-3</v>
      </c>
      <c r="E937" s="10"/>
      <c r="F937" s="34">
        <f t="shared" si="70"/>
        <v>0</v>
      </c>
      <c r="G937" s="39">
        <f>0.01*Input!$F$60*(E937*$E$920)+10*(B937*$B$920+C937*$C$920+D937*$D$920)</f>
        <v>0</v>
      </c>
      <c r="H937" s="34" t="str">
        <f t="shared" si="71"/>
        <v/>
      </c>
      <c r="I937" s="43" t="str">
        <f t="shared" si="72"/>
        <v/>
      </c>
      <c r="J937" s="17"/>
    </row>
    <row r="938" spans="1:10">
      <c r="A938" s="4" t="s">
        <v>1582</v>
      </c>
      <c r="B938" s="35">
        <f>Yard!$P$89</f>
        <v>0</v>
      </c>
      <c r="C938" s="35">
        <f>Yard!$P$117</f>
        <v>0</v>
      </c>
      <c r="D938" s="35">
        <f>Yard!$P$140</f>
        <v>0</v>
      </c>
      <c r="E938" s="10"/>
      <c r="F938" s="34">
        <f t="shared" si="70"/>
        <v>0</v>
      </c>
      <c r="G938" s="39">
        <f>0.01*Input!$F$60*(E938*$E$920)+10*(B938*$B$920+C938*$C$920+D938*$D$920)</f>
        <v>0</v>
      </c>
      <c r="H938" s="34" t="str">
        <f t="shared" si="71"/>
        <v/>
      </c>
      <c r="I938" s="43" t="str">
        <f t="shared" si="72"/>
        <v/>
      </c>
      <c r="J938" s="17"/>
    </row>
    <row r="939" spans="1:10">
      <c r="A939" s="4" t="s">
        <v>1583</v>
      </c>
      <c r="B939" s="35">
        <f>Yard!$Q$89</f>
        <v>-0.36780730868864392</v>
      </c>
      <c r="C939" s="35">
        <f>Yard!$Q$117</f>
        <v>-7.1162032502306599E-2</v>
      </c>
      <c r="D939" s="35">
        <f>Yard!$Q$140</f>
        <v>-7.9087464708893999E-3</v>
      </c>
      <c r="E939" s="10"/>
      <c r="F939" s="34">
        <f t="shared" si="70"/>
        <v>0</v>
      </c>
      <c r="G939" s="39">
        <f>0.01*Input!$F$60*(E939*$E$920)+10*(B939*$B$920+C939*$C$920+D939*$D$920)</f>
        <v>0</v>
      </c>
      <c r="H939" s="34" t="str">
        <f t="shared" si="71"/>
        <v/>
      </c>
      <c r="I939" s="43" t="str">
        <f t="shared" si="72"/>
        <v/>
      </c>
      <c r="J939" s="17"/>
    </row>
    <row r="940" spans="1:10">
      <c r="A940" s="4" t="s">
        <v>1584</v>
      </c>
      <c r="B940" s="35">
        <f>Yard!$R$89</f>
        <v>0</v>
      </c>
      <c r="C940" s="35">
        <f>Yard!$R$117</f>
        <v>0</v>
      </c>
      <c r="D940" s="35">
        <f>Yard!$R$140</f>
        <v>0</v>
      </c>
      <c r="E940" s="10"/>
      <c r="F940" s="34">
        <f t="shared" si="70"/>
        <v>0</v>
      </c>
      <c r="G940" s="39">
        <f>0.01*Input!$F$60*(E940*$E$920)+10*(B940*$B$920+C940*$C$920+D940*$D$920)</f>
        <v>0</v>
      </c>
      <c r="H940" s="34" t="str">
        <f t="shared" si="71"/>
        <v/>
      </c>
      <c r="I940" s="43" t="str">
        <f t="shared" si="72"/>
        <v/>
      </c>
      <c r="J940" s="17"/>
    </row>
    <row r="941" spans="1:10">
      <c r="A941" s="4" t="s">
        <v>1585</v>
      </c>
      <c r="B941" s="35">
        <f>Yard!$S$89</f>
        <v>0</v>
      </c>
      <c r="C941" s="35">
        <f>Yard!$S$117</f>
        <v>0</v>
      </c>
      <c r="D941" s="35">
        <f>Yard!$S$140</f>
        <v>0</v>
      </c>
      <c r="E941" s="10"/>
      <c r="F941" s="34">
        <f t="shared" si="70"/>
        <v>0</v>
      </c>
      <c r="G941" s="39">
        <f>0.01*Input!$F$60*(E941*$E$920)+10*(B941*$B$920+C941*$C$920+D941*$D$920)</f>
        <v>0</v>
      </c>
      <c r="H941" s="34" t="str">
        <f t="shared" si="71"/>
        <v/>
      </c>
      <c r="I941" s="43" t="str">
        <f t="shared" si="72"/>
        <v/>
      </c>
      <c r="J941" s="17"/>
    </row>
    <row r="942" spans="1:10">
      <c r="A942" s="4" t="s">
        <v>1586</v>
      </c>
      <c r="B942" s="10"/>
      <c r="C942" s="10"/>
      <c r="D942" s="10"/>
      <c r="E942" s="45">
        <f>Otex!$B$149</f>
        <v>0</v>
      </c>
      <c r="F942" s="34">
        <f t="shared" si="70"/>
        <v>0</v>
      </c>
      <c r="G942" s="39">
        <f>0.01*Input!$F$60*(E942*$E$920)+10*(B942*$B$920+C942*$C$920+D942*$D$920)</f>
        <v>0</v>
      </c>
      <c r="H942" s="34" t="str">
        <f t="shared" si="71"/>
        <v/>
      </c>
      <c r="I942" s="43" t="str">
        <f t="shared" si="72"/>
        <v/>
      </c>
      <c r="J942" s="17"/>
    </row>
    <row r="943" spans="1:10">
      <c r="A943" s="4" t="s">
        <v>1587</v>
      </c>
      <c r="B943" s="10"/>
      <c r="C943" s="10"/>
      <c r="D943" s="10"/>
      <c r="E943" s="45">
        <f>Otex!$C$149</f>
        <v>0</v>
      </c>
      <c r="F943" s="34">
        <f t="shared" si="70"/>
        <v>0</v>
      </c>
      <c r="G943" s="39">
        <f>0.01*Input!$F$60*(E943*$E$920)+10*(B943*$B$920+C943*$C$920+D943*$D$920)</f>
        <v>0</v>
      </c>
      <c r="H943" s="34" t="str">
        <f t="shared" si="71"/>
        <v/>
      </c>
      <c r="I943" s="43" t="str">
        <f t="shared" si="72"/>
        <v/>
      </c>
      <c r="J943" s="17"/>
    </row>
    <row r="944" spans="1:10">
      <c r="A944" s="4" t="s">
        <v>1588</v>
      </c>
      <c r="B944" s="35">
        <f>Adder!$B$293</f>
        <v>0</v>
      </c>
      <c r="C944" s="35">
        <f>Adder!$C$293</f>
        <v>0</v>
      </c>
      <c r="D944" s="35">
        <f>Adder!$D$293</f>
        <v>0</v>
      </c>
      <c r="E944" s="10"/>
      <c r="F944" s="34">
        <f t="shared" si="70"/>
        <v>0</v>
      </c>
      <c r="G944" s="39">
        <f>0.01*Input!$F$60*(E944*$E$920)+10*(B944*$B$920+C944*$C$920+D944*$D$920)</f>
        <v>0</v>
      </c>
      <c r="H944" s="34" t="str">
        <f t="shared" si="71"/>
        <v/>
      </c>
      <c r="I944" s="43" t="str">
        <f t="shared" si="72"/>
        <v/>
      </c>
      <c r="J944" s="17"/>
    </row>
    <row r="945" spans="1:10">
      <c r="A945" s="4" t="s">
        <v>1589</v>
      </c>
      <c r="B945" s="35">
        <f>Adjust!$B$106</f>
        <v>-4.5058991401525361E-4</v>
      </c>
      <c r="C945" s="35">
        <f>Adjust!$C$106</f>
        <v>1.4008942444876382E-4</v>
      </c>
      <c r="D945" s="35">
        <f>Adjust!$D$106</f>
        <v>4.5502063775196278E-5</v>
      </c>
      <c r="E945" s="45">
        <f>Adjust!$E$106</f>
        <v>0</v>
      </c>
      <c r="F945" s="34">
        <f t="shared" si="70"/>
        <v>0</v>
      </c>
      <c r="G945" s="39">
        <f>0.01*Input!$F$60*(E945*$E$920)+10*(B945*$B$920+C945*$C$920+D945*$D$920)</f>
        <v>0</v>
      </c>
      <c r="H945" s="34" t="str">
        <f t="shared" si="71"/>
        <v/>
      </c>
      <c r="I945" s="43" t="str">
        <f t="shared" si="72"/>
        <v/>
      </c>
      <c r="J945" s="17"/>
    </row>
    <row r="947" spans="1:10">
      <c r="A947" s="4" t="s">
        <v>1590</v>
      </c>
      <c r="B947" s="34">
        <f>SUM($B$923:$B$945)</f>
        <v>-5.4640000000000004</v>
      </c>
      <c r="C947" s="34">
        <f>SUM($C$923:$C$945)</f>
        <v>-0.80300000000000005</v>
      </c>
      <c r="D947" s="34">
        <f>SUM($D$923:$D$945)</f>
        <v>-9.7000000000000003E-2</v>
      </c>
      <c r="E947" s="43">
        <f>SUM($E$923:$E$945)</f>
        <v>0</v>
      </c>
      <c r="F947" s="34">
        <f>SUM(F$923:F$945)</f>
        <v>0</v>
      </c>
      <c r="G947" s="39">
        <f>SUM($G$923:$G$945)</f>
        <v>0</v>
      </c>
      <c r="H947" s="34">
        <f>SUM($H$923:$H$945)</f>
        <v>0</v>
      </c>
      <c r="I947" s="43">
        <f>SUM($I$923:$I$945)</f>
        <v>0</v>
      </c>
    </row>
    <row r="949" spans="1:10" ht="21" customHeight="1">
      <c r="A949" s="1" t="s">
        <v>207</v>
      </c>
    </row>
    <row r="951" spans="1:10" ht="30">
      <c r="B951" s="15" t="s">
        <v>237</v>
      </c>
      <c r="C951" s="15" t="s">
        <v>240</v>
      </c>
      <c r="D951" s="15" t="s">
        <v>243</v>
      </c>
      <c r="E951" s="15" t="s">
        <v>1571</v>
      </c>
      <c r="F951" s="15" t="s">
        <v>1572</v>
      </c>
    </row>
    <row r="952" spans="1:10">
      <c r="A952" s="4" t="s">
        <v>207</v>
      </c>
      <c r="B952" s="41">
        <f>Loads!B$363</f>
        <v>405655.95821367676</v>
      </c>
      <c r="C952" s="41">
        <f>Loads!E$363</f>
        <v>186.99453551912569</v>
      </c>
      <c r="D952" s="41">
        <f>Loads!H$363</f>
        <v>9680.9220000000005</v>
      </c>
      <c r="E952" s="41">
        <f>Multi!B$157</f>
        <v>405655.95821367676</v>
      </c>
      <c r="F952" s="34">
        <f>IF(C952,E952/C952,"")</f>
        <v>2169.3465912654251</v>
      </c>
      <c r="G952" s="17"/>
    </row>
    <row r="954" spans="1:10" ht="30">
      <c r="B954" s="15" t="s">
        <v>1379</v>
      </c>
      <c r="C954" s="15" t="s">
        <v>1382</v>
      </c>
      <c r="D954" s="15" t="s">
        <v>1136</v>
      </c>
      <c r="E954" s="15" t="s">
        <v>1573</v>
      </c>
      <c r="F954" s="15" t="s">
        <v>1540</v>
      </c>
      <c r="G954" s="15" t="s">
        <v>1574</v>
      </c>
    </row>
    <row r="955" spans="1:10">
      <c r="A955" s="4" t="s">
        <v>479</v>
      </c>
      <c r="B955" s="35">
        <f>Yard!$C$52</f>
        <v>-0.12791551877758725</v>
      </c>
      <c r="C955" s="10"/>
      <c r="D955" s="35">
        <f>Reactive!$C$81</f>
        <v>1.9759232683167607E-2</v>
      </c>
      <c r="E955" s="39">
        <f>0.01*Input!$F$60*(C955*$C$952)+10*(B955*$B$952+D955*$D$952)</f>
        <v>-516984.04749736126</v>
      </c>
      <c r="F955" s="34">
        <f t="shared" ref="F955:F977" si="73">IF($E$952&lt;&gt;0,0.1*E955/$E$952,"")</f>
        <v>-0.12744396748760267</v>
      </c>
      <c r="G955" s="43">
        <f t="shared" ref="G955:G977" si="74">IF($C$952&lt;&gt;0,E955/$C$952,"")</f>
        <v>-2764.701364465725</v>
      </c>
      <c r="H955" s="17"/>
    </row>
    <row r="956" spans="1:10">
      <c r="A956" s="4" t="s">
        <v>480</v>
      </c>
      <c r="B956" s="35">
        <f>Yard!$D$52</f>
        <v>-5.0597671891536633E-2</v>
      </c>
      <c r="C956" s="10"/>
      <c r="D956" s="35">
        <f>Reactive!$D$81</f>
        <v>5.690946352459935E-3</v>
      </c>
      <c r="E956" s="39">
        <f>0.01*Input!$F$60*(C956*$C$952)+10*(B956*$B$952+D956*$D$952)</f>
        <v>-204701.53466798164</v>
      </c>
      <c r="F956" s="34">
        <f t="shared" si="73"/>
        <v>-5.0461858262699645E-2</v>
      </c>
      <c r="G956" s="43">
        <f t="shared" si="74"/>
        <v>-1094.6926021110648</v>
      </c>
      <c r="H956" s="17"/>
    </row>
    <row r="957" spans="1:10">
      <c r="A957" s="4" t="s">
        <v>481</v>
      </c>
      <c r="B957" s="35">
        <f>Yard!$E$52</f>
        <v>-0.12776254236289314</v>
      </c>
      <c r="C957" s="10"/>
      <c r="D957" s="35">
        <f>Reactive!$E$81</f>
        <v>1.4370024296764795E-2</v>
      </c>
      <c r="E957" s="39">
        <f>0.01*Input!$F$60*(C957*$C$952)+10*(B957*$B$952+D957*$D$952)</f>
        <v>-516885.21461679798</v>
      </c>
      <c r="F957" s="34">
        <f t="shared" si="73"/>
        <v>-0.12741960376791309</v>
      </c>
      <c r="G957" s="43">
        <f t="shared" si="74"/>
        <v>-2764.1728309431332</v>
      </c>
      <c r="H957" s="17"/>
    </row>
    <row r="958" spans="1:10">
      <c r="A958" s="4" t="s">
        <v>482</v>
      </c>
      <c r="B958" s="35">
        <f>Yard!$F$52</f>
        <v>-3.4655009661234276E-2</v>
      </c>
      <c r="C958" s="10"/>
      <c r="D958" s="35">
        <f>Reactive!$F$81</f>
        <v>4.1467516568603358E-3</v>
      </c>
      <c r="E958" s="39">
        <f>0.01*Input!$F$60*(C958*$C$952)+10*(B958*$B$952+D958*$D$952)</f>
        <v>-140178.66771688781</v>
      </c>
      <c r="F958" s="34">
        <f t="shared" si="73"/>
        <v>-3.4556048020142616E-2</v>
      </c>
      <c r="G958" s="43">
        <f t="shared" si="74"/>
        <v>-749.64044980100721</v>
      </c>
      <c r="H958" s="17"/>
    </row>
    <row r="959" spans="1:10">
      <c r="A959" s="4" t="s">
        <v>483</v>
      </c>
      <c r="B959" s="35">
        <f>Yard!$G$52</f>
        <v>0</v>
      </c>
      <c r="C959" s="10"/>
      <c r="D959" s="35">
        <f>Reactive!$G$81</f>
        <v>0</v>
      </c>
      <c r="E959" s="39">
        <f>0.01*Input!$F$60*(C959*$C$952)+10*(B959*$B$952+D959*$D$952)</f>
        <v>0</v>
      </c>
      <c r="F959" s="34">
        <f t="shared" si="73"/>
        <v>0</v>
      </c>
      <c r="G959" s="43">
        <f t="shared" si="74"/>
        <v>0</v>
      </c>
      <c r="H959" s="17"/>
    </row>
    <row r="960" spans="1:10">
      <c r="A960" s="4" t="s">
        <v>484</v>
      </c>
      <c r="B960" s="35">
        <f>Yard!$H$52</f>
        <v>0</v>
      </c>
      <c r="C960" s="10"/>
      <c r="D960" s="35">
        <f>Reactive!$H$81</f>
        <v>1.575700636235368E-3</v>
      </c>
      <c r="E960" s="39">
        <f>0.01*Input!$F$60*(C960*$C$952)+10*(B960*$B$952+D960*$D$952)</f>
        <v>152.5423495474497</v>
      </c>
      <c r="F960" s="34">
        <f t="shared" si="73"/>
        <v>3.7603872557222241E-5</v>
      </c>
      <c r="G960" s="43">
        <f t="shared" si="74"/>
        <v>0.81575832750389521</v>
      </c>
      <c r="H960" s="17"/>
    </row>
    <row r="961" spans="1:8">
      <c r="A961" s="4" t="s">
        <v>485</v>
      </c>
      <c r="B961" s="35">
        <f>Yard!$I$52</f>
        <v>0</v>
      </c>
      <c r="C961" s="10"/>
      <c r="D961" s="35">
        <f>Reactive!$I$81</f>
        <v>0</v>
      </c>
      <c r="E961" s="39">
        <f>0.01*Input!$F$60*(C961*$C$952)+10*(B961*$B$952+D961*$D$952)</f>
        <v>0</v>
      </c>
      <c r="F961" s="34">
        <f t="shared" si="73"/>
        <v>0</v>
      </c>
      <c r="G961" s="43">
        <f t="shared" si="74"/>
        <v>0</v>
      </c>
      <c r="H961" s="17"/>
    </row>
    <row r="962" spans="1:8">
      <c r="A962" s="4" t="s">
        <v>486</v>
      </c>
      <c r="B962" s="35">
        <f>Yard!$J$52</f>
        <v>0</v>
      </c>
      <c r="C962" s="10"/>
      <c r="D962" s="35">
        <f>Reactive!$J$81</f>
        <v>0</v>
      </c>
      <c r="E962" s="39">
        <f>0.01*Input!$F$60*(C962*$C$952)+10*(B962*$B$952+D962*$D$952)</f>
        <v>0</v>
      </c>
      <c r="F962" s="34">
        <f t="shared" si="73"/>
        <v>0</v>
      </c>
      <c r="G962" s="43">
        <f t="shared" si="74"/>
        <v>0</v>
      </c>
      <c r="H962" s="17"/>
    </row>
    <row r="963" spans="1:8">
      <c r="A963" s="4" t="s">
        <v>1575</v>
      </c>
      <c r="B963" s="10"/>
      <c r="C963" s="45">
        <f>SM!$B$147</f>
        <v>0</v>
      </c>
      <c r="D963" s="10"/>
      <c r="E963" s="39">
        <f>0.01*Input!$F$60*(C963*$C$952)+10*(B963*$B$952+D963*$D$952)</f>
        <v>0</v>
      </c>
      <c r="F963" s="34">
        <f t="shared" si="73"/>
        <v>0</v>
      </c>
      <c r="G963" s="43">
        <f t="shared" si="74"/>
        <v>0</v>
      </c>
      <c r="H963" s="17"/>
    </row>
    <row r="964" spans="1:8">
      <c r="A964" s="4" t="s">
        <v>1576</v>
      </c>
      <c r="B964" s="10"/>
      <c r="C964" s="45">
        <f>SM!$C$147</f>
        <v>0</v>
      </c>
      <c r="D964" s="10"/>
      <c r="E964" s="39">
        <f>0.01*Input!$F$60*(C964*$C$952)+10*(B964*$B$952+D964*$D$952)</f>
        <v>0</v>
      </c>
      <c r="F964" s="34">
        <f t="shared" si="73"/>
        <v>0</v>
      </c>
      <c r="G964" s="43">
        <f t="shared" si="74"/>
        <v>0</v>
      </c>
      <c r="H964" s="17"/>
    </row>
    <row r="965" spans="1:8">
      <c r="A965" s="4" t="s">
        <v>1577</v>
      </c>
      <c r="B965" s="35">
        <f>Yard!$K$52</f>
        <v>-7.177189727538702E-2</v>
      </c>
      <c r="C965" s="10"/>
      <c r="D965" s="35">
        <f>Reactive!$K$81</f>
        <v>1.1086673704092097E-2</v>
      </c>
      <c r="E965" s="39">
        <f>0.01*Input!$F$60*(C965*$C$952)+10*(B965*$B$952+D965*$D$952)</f>
        <v>-290073.6853869193</v>
      </c>
      <c r="F965" s="34">
        <f t="shared" si="73"/>
        <v>-7.1507315377363392E-2</v>
      </c>
      <c r="G965" s="43">
        <f t="shared" si="74"/>
        <v>-1551.2415086442497</v>
      </c>
      <c r="H965" s="17"/>
    </row>
    <row r="966" spans="1:8">
      <c r="A966" s="4" t="s">
        <v>1578</v>
      </c>
      <c r="B966" s="35">
        <f>Yard!$L$52</f>
        <v>-5.038093487549581E-2</v>
      </c>
      <c r="C966" s="10"/>
      <c r="D966" s="35">
        <f>Reactive!$L$81</f>
        <v>7.7823912572432957E-3</v>
      </c>
      <c r="E966" s="39">
        <f>0.01*Input!$F$60*(C966*$C$952)+10*(B966*$B$952+D966*$D$952)</f>
        <v>-203619.85689885245</v>
      </c>
      <c r="F966" s="34">
        <f t="shared" si="73"/>
        <v>-5.0195209210164481E-2</v>
      </c>
      <c r="G966" s="43">
        <f t="shared" si="74"/>
        <v>-1088.9080599792519</v>
      </c>
      <c r="H966" s="17"/>
    </row>
    <row r="967" spans="1:8">
      <c r="A967" s="4" t="s">
        <v>1579</v>
      </c>
      <c r="B967" s="35">
        <f>Yard!$M$52</f>
        <v>-1.9928449939303719E-2</v>
      </c>
      <c r="C967" s="10"/>
      <c r="D967" s="35">
        <f>Reactive!$M$81</f>
        <v>2.241441853992319E-3</v>
      </c>
      <c r="E967" s="39">
        <f>0.01*Input!$F$60*(C967*$C$952)+10*(B967*$B$952+D967*$D$952)</f>
        <v>-80623.952320855038</v>
      </c>
      <c r="F967" s="34">
        <f t="shared" si="73"/>
        <v>-1.987495824685678E-2</v>
      </c>
      <c r="G967" s="43">
        <f t="shared" si="74"/>
        <v>-431.156729243614</v>
      </c>
      <c r="H967" s="17"/>
    </row>
    <row r="968" spans="1:8">
      <c r="A968" s="4" t="s">
        <v>1580</v>
      </c>
      <c r="B968" s="35">
        <f>Yard!$N$52</f>
        <v>-5.0320683430949864E-2</v>
      </c>
      <c r="C968" s="10"/>
      <c r="D968" s="35">
        <f>Reactive!$N$81</f>
        <v>5.6597922220321777E-3</v>
      </c>
      <c r="E968" s="39">
        <f>0.01*Input!$F$60*(C968*$C$952)+10*(B968*$B$952+D968*$D$952)</f>
        <v>-203580.93048111355</v>
      </c>
      <c r="F968" s="34">
        <f t="shared" si="73"/>
        <v>-5.0185613291023966E-2</v>
      </c>
      <c r="G968" s="43">
        <f t="shared" si="74"/>
        <v>-1088.6998912344764</v>
      </c>
      <c r="H968" s="17"/>
    </row>
    <row r="969" spans="1:8">
      <c r="A969" s="4" t="s">
        <v>1581</v>
      </c>
      <c r="B969" s="35">
        <f>Yard!$O$52</f>
        <v>-3.1742458044426838E-2</v>
      </c>
      <c r="C969" s="10"/>
      <c r="D969" s="35">
        <f>Reactive!$O$81</f>
        <v>3.7982413444769066E-3</v>
      </c>
      <c r="E969" s="39">
        <f>0.01*Input!$F$60*(C969*$C$952)+10*(B969*$B$952+D969*$D$952)</f>
        <v>-128397.46755876346</v>
      </c>
      <c r="F969" s="34">
        <f t="shared" si="73"/>
        <v>-3.1651813552589531E-2</v>
      </c>
      <c r="G969" s="43">
        <f t="shared" si="74"/>
        <v>-686.63753837678871</v>
      </c>
      <c r="H969" s="17"/>
    </row>
    <row r="970" spans="1:8">
      <c r="A970" s="4" t="s">
        <v>1582</v>
      </c>
      <c r="B970" s="35">
        <f>Yard!$P$52</f>
        <v>0</v>
      </c>
      <c r="C970" s="10"/>
      <c r="D970" s="35">
        <f>Reactive!$P$81</f>
        <v>0</v>
      </c>
      <c r="E970" s="39">
        <f>0.01*Input!$F$60*(C970*$C$952)+10*(B970*$B$952+D970*$D$952)</f>
        <v>0</v>
      </c>
      <c r="F970" s="34">
        <f t="shared" si="73"/>
        <v>0</v>
      </c>
      <c r="G970" s="43">
        <f t="shared" si="74"/>
        <v>0</v>
      </c>
      <c r="H970" s="17"/>
    </row>
    <row r="971" spans="1:8">
      <c r="A971" s="4" t="s">
        <v>1583</v>
      </c>
      <c r="B971" s="35">
        <f>Yard!$Q$52</f>
        <v>0</v>
      </c>
      <c r="C971" s="10"/>
      <c r="D971" s="35">
        <f>Reactive!$Q$81</f>
        <v>6.8956337481426416E-3</v>
      </c>
      <c r="E971" s="39">
        <f>0.01*Input!$F$60*(C971*$C$952)+10*(B971*$B$952+D971*$D$952)</f>
        <v>667.56092456336557</v>
      </c>
      <c r="F971" s="34">
        <f t="shared" si="73"/>
        <v>1.6456332294563069E-4</v>
      </c>
      <c r="G971" s="43">
        <f t="shared" si="74"/>
        <v>3.5699488367941523</v>
      </c>
      <c r="H971" s="17"/>
    </row>
    <row r="972" spans="1:8">
      <c r="A972" s="4" t="s">
        <v>1584</v>
      </c>
      <c r="B972" s="35">
        <f>Yard!$R$52</f>
        <v>0</v>
      </c>
      <c r="C972" s="10"/>
      <c r="D972" s="35">
        <f>Reactive!$R$81</f>
        <v>0</v>
      </c>
      <c r="E972" s="39">
        <f>0.01*Input!$F$60*(C972*$C$952)+10*(B972*$B$952+D972*$D$952)</f>
        <v>0</v>
      </c>
      <c r="F972" s="34">
        <f t="shared" si="73"/>
        <v>0</v>
      </c>
      <c r="G972" s="43">
        <f t="shared" si="74"/>
        <v>0</v>
      </c>
      <c r="H972" s="17"/>
    </row>
    <row r="973" spans="1:8">
      <c r="A973" s="4" t="s">
        <v>1585</v>
      </c>
      <c r="B973" s="35">
        <f>Yard!$S$52</f>
        <v>0</v>
      </c>
      <c r="C973" s="10"/>
      <c r="D973" s="35">
        <f>Reactive!$S$81</f>
        <v>0</v>
      </c>
      <c r="E973" s="39">
        <f>0.01*Input!$F$60*(C973*$C$952)+10*(B973*$B$952+D973*$D$952)</f>
        <v>0</v>
      </c>
      <c r="F973" s="34">
        <f t="shared" si="73"/>
        <v>0</v>
      </c>
      <c r="G973" s="43">
        <f t="shared" si="74"/>
        <v>0</v>
      </c>
      <c r="H973" s="17"/>
    </row>
    <row r="974" spans="1:8">
      <c r="A974" s="4" t="s">
        <v>1586</v>
      </c>
      <c r="B974" s="10"/>
      <c r="C974" s="45">
        <f>Otex!$B$150</f>
        <v>0</v>
      </c>
      <c r="D974" s="10"/>
      <c r="E974" s="39">
        <f>0.01*Input!$F$60*(C974*$C$952)+10*(B974*$B$952+D974*$D$952)</f>
        <v>0</v>
      </c>
      <c r="F974" s="34">
        <f t="shared" si="73"/>
        <v>0</v>
      </c>
      <c r="G974" s="43">
        <f t="shared" si="74"/>
        <v>0</v>
      </c>
      <c r="H974" s="17"/>
    </row>
    <row r="975" spans="1:8">
      <c r="A975" s="4" t="s">
        <v>1587</v>
      </c>
      <c r="B975" s="10"/>
      <c r="C975" s="45">
        <f>Otex!$C$150</f>
        <v>6.6786577800535563</v>
      </c>
      <c r="D975" s="10"/>
      <c r="E975" s="39">
        <f>0.01*Input!$F$60*(C975*$C$952)+10*(B975*$B$952+D975*$D$952)</f>
        <v>4570.8733846686546</v>
      </c>
      <c r="F975" s="34">
        <f t="shared" si="73"/>
        <v>1.1267857138834321E-3</v>
      </c>
      <c r="G975" s="43">
        <f t="shared" si="74"/>
        <v>24.443887474996018</v>
      </c>
      <c r="H975" s="17"/>
    </row>
    <row r="976" spans="1:8">
      <c r="A976" s="4" t="s">
        <v>1588</v>
      </c>
      <c r="B976" s="35">
        <f>Adder!$B$294</f>
        <v>0</v>
      </c>
      <c r="C976" s="10"/>
      <c r="D976" s="10"/>
      <c r="E976" s="39">
        <f>0.01*Input!$F$60*(C976*$C$952)+10*(B976*$B$952+D976*$D$952)</f>
        <v>0</v>
      </c>
      <c r="F976" s="34">
        <f t="shared" si="73"/>
        <v>0</v>
      </c>
      <c r="G976" s="43">
        <f t="shared" si="74"/>
        <v>0</v>
      </c>
      <c r="H976" s="17"/>
    </row>
    <row r="977" spans="1:8">
      <c r="A977" s="4" t="s">
        <v>1589</v>
      </c>
      <c r="B977" s="35">
        <f>Adjust!$B$107</f>
        <v>7.5166258814651776E-5</v>
      </c>
      <c r="C977" s="45">
        <f>Adjust!$E$107</f>
        <v>1.342219946443457E-3</v>
      </c>
      <c r="D977" s="35">
        <f>Adjust!$H$107</f>
        <v>-6.8297554674801031E-6</v>
      </c>
      <c r="E977" s="39">
        <f>0.01*Input!$F$60*(C977*$C$952)+10*(B977*$B$952+D977*$D$952)</f>
        <v>305.17383947969631</v>
      </c>
      <c r="F977" s="34">
        <f t="shared" si="73"/>
        <v>7.5229719495195459E-5</v>
      </c>
      <c r="G977" s="43">
        <f t="shared" si="74"/>
        <v>1.6319933554875634</v>
      </c>
      <c r="H977" s="17"/>
    </row>
    <row r="979" spans="1:8">
      <c r="A979" s="4" t="s">
        <v>1590</v>
      </c>
      <c r="B979" s="34">
        <f>SUM($B$955:$B$977)</f>
        <v>-0.56499999999999995</v>
      </c>
      <c r="C979" s="43">
        <f>SUM($C$955:$C$977)</f>
        <v>6.68</v>
      </c>
      <c r="D979" s="34">
        <f>SUM($D$955:$D$977)</f>
        <v>8.3000000000000004E-2</v>
      </c>
      <c r="E979" s="39">
        <f>SUM($E$955:$E$977)</f>
        <v>-2279349.2066472736</v>
      </c>
      <c r="F979" s="34">
        <f>SUM($F$955:$F$977)</f>
        <v>-0.56189220458747458</v>
      </c>
      <c r="G979" s="43">
        <f>SUM($G$955:$G$977)</f>
        <v>-12189.389386804531</v>
      </c>
    </row>
    <row r="981" spans="1:8" ht="21" customHeight="1">
      <c r="A981" s="1" t="s">
        <v>208</v>
      </c>
    </row>
    <row r="983" spans="1:8">
      <c r="B983" s="15" t="s">
        <v>237</v>
      </c>
      <c r="C983" s="15" t="s">
        <v>240</v>
      </c>
      <c r="D983" s="15" t="s">
        <v>1571</v>
      </c>
      <c r="E983" s="15" t="s">
        <v>1572</v>
      </c>
    </row>
    <row r="984" spans="1:8">
      <c r="A984" s="4" t="s">
        <v>208</v>
      </c>
      <c r="B984" s="41">
        <f>Loads!B$364</f>
        <v>0</v>
      </c>
      <c r="C984" s="41">
        <f>Loads!E$364</f>
        <v>0</v>
      </c>
      <c r="D984" s="41">
        <f>Multi!B$158</f>
        <v>0</v>
      </c>
      <c r="E984" s="34" t="str">
        <f>IF(C984,D984/C984,"")</f>
        <v/>
      </c>
      <c r="F984" s="17"/>
    </row>
    <row r="986" spans="1:8" ht="30">
      <c r="B986" s="15" t="s">
        <v>1379</v>
      </c>
      <c r="C986" s="15" t="s">
        <v>1382</v>
      </c>
      <c r="D986" s="15" t="s">
        <v>1573</v>
      </c>
      <c r="E986" s="15" t="s">
        <v>1540</v>
      </c>
      <c r="F986" s="15" t="s">
        <v>1574</v>
      </c>
    </row>
    <row r="987" spans="1:8">
      <c r="A987" s="4" t="s">
        <v>479</v>
      </c>
      <c r="B987" s="35">
        <f>Yard!$C$53</f>
        <v>-0.12791551877758725</v>
      </c>
      <c r="C987" s="10"/>
      <c r="D987" s="39">
        <f>0.01*Input!$F$60*(C987*$C$984)+10*(B987*$B$984)</f>
        <v>0</v>
      </c>
      <c r="E987" s="34" t="str">
        <f t="shared" ref="E987:E1009" si="75">IF($D$984&lt;&gt;0,0.1*D987/$D$984,"")</f>
        <v/>
      </c>
      <c r="F987" s="43" t="str">
        <f t="shared" ref="F987:F1009" si="76">IF($C$984&lt;&gt;0,D987/$C$984,"")</f>
        <v/>
      </c>
      <c r="G987" s="17"/>
    </row>
    <row r="988" spans="1:8">
      <c r="A988" s="4" t="s">
        <v>480</v>
      </c>
      <c r="B988" s="35">
        <f>Yard!$D$53</f>
        <v>-5.0597671891536633E-2</v>
      </c>
      <c r="C988" s="10"/>
      <c r="D988" s="39">
        <f>0.01*Input!$F$60*(C988*$C$984)+10*(B988*$B$984)</f>
        <v>0</v>
      </c>
      <c r="E988" s="34" t="str">
        <f t="shared" si="75"/>
        <v/>
      </c>
      <c r="F988" s="43" t="str">
        <f t="shared" si="76"/>
        <v/>
      </c>
      <c r="G988" s="17"/>
    </row>
    <row r="989" spans="1:8">
      <c r="A989" s="4" t="s">
        <v>481</v>
      </c>
      <c r="B989" s="35">
        <f>Yard!$E$53</f>
        <v>-0.12776254236289314</v>
      </c>
      <c r="C989" s="10"/>
      <c r="D989" s="39">
        <f>0.01*Input!$F$60*(C989*$C$984)+10*(B989*$B$984)</f>
        <v>0</v>
      </c>
      <c r="E989" s="34" t="str">
        <f t="shared" si="75"/>
        <v/>
      </c>
      <c r="F989" s="43" t="str">
        <f t="shared" si="76"/>
        <v/>
      </c>
      <c r="G989" s="17"/>
    </row>
    <row r="990" spans="1:8">
      <c r="A990" s="4" t="s">
        <v>482</v>
      </c>
      <c r="B990" s="35">
        <f>Yard!$F$53</f>
        <v>-3.4655009661234276E-2</v>
      </c>
      <c r="C990" s="10"/>
      <c r="D990" s="39">
        <f>0.01*Input!$F$60*(C990*$C$984)+10*(B990*$B$984)</f>
        <v>0</v>
      </c>
      <c r="E990" s="34" t="str">
        <f t="shared" si="75"/>
        <v/>
      </c>
      <c r="F990" s="43" t="str">
        <f t="shared" si="76"/>
        <v/>
      </c>
      <c r="G990" s="17"/>
    </row>
    <row r="991" spans="1:8">
      <c r="A991" s="4" t="s">
        <v>483</v>
      </c>
      <c r="B991" s="35">
        <f>Yard!$G$53</f>
        <v>0</v>
      </c>
      <c r="C991" s="10"/>
      <c r="D991" s="39">
        <f>0.01*Input!$F$60*(C991*$C$984)+10*(B991*$B$984)</f>
        <v>0</v>
      </c>
      <c r="E991" s="34" t="str">
        <f t="shared" si="75"/>
        <v/>
      </c>
      <c r="F991" s="43" t="str">
        <f t="shared" si="76"/>
        <v/>
      </c>
      <c r="G991" s="17"/>
    </row>
    <row r="992" spans="1:8">
      <c r="A992" s="4" t="s">
        <v>484</v>
      </c>
      <c r="B992" s="35">
        <f>Yard!$H$53</f>
        <v>0</v>
      </c>
      <c r="C992" s="10"/>
      <c r="D992" s="39">
        <f>0.01*Input!$F$60*(C992*$C$984)+10*(B992*$B$984)</f>
        <v>0</v>
      </c>
      <c r="E992" s="34" t="str">
        <f t="shared" si="75"/>
        <v/>
      </c>
      <c r="F992" s="43" t="str">
        <f t="shared" si="76"/>
        <v/>
      </c>
      <c r="G992" s="17"/>
    </row>
    <row r="993" spans="1:7">
      <c r="A993" s="4" t="s">
        <v>485</v>
      </c>
      <c r="B993" s="35">
        <f>Yard!$I$53</f>
        <v>0</v>
      </c>
      <c r="C993" s="10"/>
      <c r="D993" s="39">
        <f>0.01*Input!$F$60*(C993*$C$984)+10*(B993*$B$984)</f>
        <v>0</v>
      </c>
      <c r="E993" s="34" t="str">
        <f t="shared" si="75"/>
        <v/>
      </c>
      <c r="F993" s="43" t="str">
        <f t="shared" si="76"/>
        <v/>
      </c>
      <c r="G993" s="17"/>
    </row>
    <row r="994" spans="1:7">
      <c r="A994" s="4" t="s">
        <v>486</v>
      </c>
      <c r="B994" s="35">
        <f>Yard!$J$53</f>
        <v>0</v>
      </c>
      <c r="C994" s="10"/>
      <c r="D994" s="39">
        <f>0.01*Input!$F$60*(C994*$C$984)+10*(B994*$B$984)</f>
        <v>0</v>
      </c>
      <c r="E994" s="34" t="str">
        <f t="shared" si="75"/>
        <v/>
      </c>
      <c r="F994" s="43" t="str">
        <f t="shared" si="76"/>
        <v/>
      </c>
      <c r="G994" s="17"/>
    </row>
    <row r="995" spans="1:7">
      <c r="A995" s="4" t="s">
        <v>1575</v>
      </c>
      <c r="B995" s="10"/>
      <c r="C995" s="45">
        <f>SM!$B$148</f>
        <v>0</v>
      </c>
      <c r="D995" s="39">
        <f>0.01*Input!$F$60*(C995*$C$984)+10*(B995*$B$984)</f>
        <v>0</v>
      </c>
      <c r="E995" s="34" t="str">
        <f t="shared" si="75"/>
        <v/>
      </c>
      <c r="F995" s="43" t="str">
        <f t="shared" si="76"/>
        <v/>
      </c>
      <c r="G995" s="17"/>
    </row>
    <row r="996" spans="1:7">
      <c r="A996" s="4" t="s">
        <v>1576</v>
      </c>
      <c r="B996" s="10"/>
      <c r="C996" s="45">
        <f>SM!$C$148</f>
        <v>0</v>
      </c>
      <c r="D996" s="39">
        <f>0.01*Input!$F$60*(C996*$C$984)+10*(B996*$B$984)</f>
        <v>0</v>
      </c>
      <c r="E996" s="34" t="str">
        <f t="shared" si="75"/>
        <v/>
      </c>
      <c r="F996" s="43" t="str">
        <f t="shared" si="76"/>
        <v/>
      </c>
      <c r="G996" s="17"/>
    </row>
    <row r="997" spans="1:7">
      <c r="A997" s="4" t="s">
        <v>1577</v>
      </c>
      <c r="B997" s="35">
        <f>Yard!$K$53</f>
        <v>-7.177189727538702E-2</v>
      </c>
      <c r="C997" s="10"/>
      <c r="D997" s="39">
        <f>0.01*Input!$F$60*(C997*$C$984)+10*(B997*$B$984)</f>
        <v>0</v>
      </c>
      <c r="E997" s="34" t="str">
        <f t="shared" si="75"/>
        <v/>
      </c>
      <c r="F997" s="43" t="str">
        <f t="shared" si="76"/>
        <v/>
      </c>
      <c r="G997" s="17"/>
    </row>
    <row r="998" spans="1:7">
      <c r="A998" s="4" t="s">
        <v>1578</v>
      </c>
      <c r="B998" s="35">
        <f>Yard!$L$53</f>
        <v>-5.038093487549581E-2</v>
      </c>
      <c r="C998" s="10"/>
      <c r="D998" s="39">
        <f>0.01*Input!$F$60*(C998*$C$984)+10*(B998*$B$984)</f>
        <v>0</v>
      </c>
      <c r="E998" s="34" t="str">
        <f t="shared" si="75"/>
        <v/>
      </c>
      <c r="F998" s="43" t="str">
        <f t="shared" si="76"/>
        <v/>
      </c>
      <c r="G998" s="17"/>
    </row>
    <row r="999" spans="1:7">
      <c r="A999" s="4" t="s">
        <v>1579</v>
      </c>
      <c r="B999" s="35">
        <f>Yard!$M$53</f>
        <v>-1.9928449939303719E-2</v>
      </c>
      <c r="C999" s="10"/>
      <c r="D999" s="39">
        <f>0.01*Input!$F$60*(C999*$C$984)+10*(B999*$B$984)</f>
        <v>0</v>
      </c>
      <c r="E999" s="34" t="str">
        <f t="shared" si="75"/>
        <v/>
      </c>
      <c r="F999" s="43" t="str">
        <f t="shared" si="76"/>
        <v/>
      </c>
      <c r="G999" s="17"/>
    </row>
    <row r="1000" spans="1:7">
      <c r="A1000" s="4" t="s">
        <v>1580</v>
      </c>
      <c r="B1000" s="35">
        <f>Yard!$N$53</f>
        <v>-5.0320683430949864E-2</v>
      </c>
      <c r="C1000" s="10"/>
      <c r="D1000" s="39">
        <f>0.01*Input!$F$60*(C1000*$C$984)+10*(B1000*$B$984)</f>
        <v>0</v>
      </c>
      <c r="E1000" s="34" t="str">
        <f t="shared" si="75"/>
        <v/>
      </c>
      <c r="F1000" s="43" t="str">
        <f t="shared" si="76"/>
        <v/>
      </c>
      <c r="G1000" s="17"/>
    </row>
    <row r="1001" spans="1:7">
      <c r="A1001" s="4" t="s">
        <v>1581</v>
      </c>
      <c r="B1001" s="35">
        <f>Yard!$O$53</f>
        <v>-3.1742458044426838E-2</v>
      </c>
      <c r="C1001" s="10"/>
      <c r="D1001" s="39">
        <f>0.01*Input!$F$60*(C1001*$C$984)+10*(B1001*$B$984)</f>
        <v>0</v>
      </c>
      <c r="E1001" s="34" t="str">
        <f t="shared" si="75"/>
        <v/>
      </c>
      <c r="F1001" s="43" t="str">
        <f t="shared" si="76"/>
        <v/>
      </c>
      <c r="G1001" s="17"/>
    </row>
    <row r="1002" spans="1:7">
      <c r="A1002" s="4" t="s">
        <v>1582</v>
      </c>
      <c r="B1002" s="35">
        <f>Yard!$P$53</f>
        <v>0</v>
      </c>
      <c r="C1002" s="10"/>
      <c r="D1002" s="39">
        <f>0.01*Input!$F$60*(C1002*$C$984)+10*(B1002*$B$984)</f>
        <v>0</v>
      </c>
      <c r="E1002" s="34" t="str">
        <f t="shared" si="75"/>
        <v/>
      </c>
      <c r="F1002" s="43" t="str">
        <f t="shared" si="76"/>
        <v/>
      </c>
      <c r="G1002" s="17"/>
    </row>
    <row r="1003" spans="1:7">
      <c r="A1003" s="4" t="s">
        <v>1583</v>
      </c>
      <c r="B1003" s="35">
        <f>Yard!$Q$53</f>
        <v>0</v>
      </c>
      <c r="C1003" s="10"/>
      <c r="D1003" s="39">
        <f>0.01*Input!$F$60*(C1003*$C$984)+10*(B1003*$B$984)</f>
        <v>0</v>
      </c>
      <c r="E1003" s="34" t="str">
        <f t="shared" si="75"/>
        <v/>
      </c>
      <c r="F1003" s="43" t="str">
        <f t="shared" si="76"/>
        <v/>
      </c>
      <c r="G1003" s="17"/>
    </row>
    <row r="1004" spans="1:7">
      <c r="A1004" s="4" t="s">
        <v>1584</v>
      </c>
      <c r="B1004" s="35">
        <f>Yard!$R$53</f>
        <v>0</v>
      </c>
      <c r="C1004" s="10"/>
      <c r="D1004" s="39">
        <f>0.01*Input!$F$60*(C1004*$C$984)+10*(B1004*$B$984)</f>
        <v>0</v>
      </c>
      <c r="E1004" s="34" t="str">
        <f t="shared" si="75"/>
        <v/>
      </c>
      <c r="F1004" s="43" t="str">
        <f t="shared" si="76"/>
        <v/>
      </c>
      <c r="G1004" s="17"/>
    </row>
    <row r="1005" spans="1:7">
      <c r="A1005" s="4" t="s">
        <v>1585</v>
      </c>
      <c r="B1005" s="35">
        <f>Yard!$S$53</f>
        <v>0</v>
      </c>
      <c r="C1005" s="10"/>
      <c r="D1005" s="39">
        <f>0.01*Input!$F$60*(C1005*$C$984)+10*(B1005*$B$984)</f>
        <v>0</v>
      </c>
      <c r="E1005" s="34" t="str">
        <f t="shared" si="75"/>
        <v/>
      </c>
      <c r="F1005" s="43" t="str">
        <f t="shared" si="76"/>
        <v/>
      </c>
      <c r="G1005" s="17"/>
    </row>
    <row r="1006" spans="1:7">
      <c r="A1006" s="4" t="s">
        <v>1586</v>
      </c>
      <c r="B1006" s="10"/>
      <c r="C1006" s="45">
        <f>Otex!$B$151</f>
        <v>0</v>
      </c>
      <c r="D1006" s="39">
        <f>0.01*Input!$F$60*(C1006*$C$984)+10*(B1006*$B$984)</f>
        <v>0</v>
      </c>
      <c r="E1006" s="34" t="str">
        <f t="shared" si="75"/>
        <v/>
      </c>
      <c r="F1006" s="43" t="str">
        <f t="shared" si="76"/>
        <v/>
      </c>
      <c r="G1006" s="17"/>
    </row>
    <row r="1007" spans="1:7">
      <c r="A1007" s="4" t="s">
        <v>1587</v>
      </c>
      <c r="B1007" s="10"/>
      <c r="C1007" s="45">
        <f>Otex!$C$151</f>
        <v>6.6786577800535563</v>
      </c>
      <c r="D1007" s="39">
        <f>0.01*Input!$F$60*(C1007*$C$984)+10*(B1007*$B$984)</f>
        <v>0</v>
      </c>
      <c r="E1007" s="34" t="str">
        <f t="shared" si="75"/>
        <v/>
      </c>
      <c r="F1007" s="43" t="str">
        <f t="shared" si="76"/>
        <v/>
      </c>
      <c r="G1007" s="17"/>
    </row>
    <row r="1008" spans="1:7">
      <c r="A1008" s="4" t="s">
        <v>1588</v>
      </c>
      <c r="B1008" s="35">
        <f>Adder!$B$295</f>
        <v>0</v>
      </c>
      <c r="C1008" s="10"/>
      <c r="D1008" s="39">
        <f>0.01*Input!$F$60*(C1008*$C$984)+10*(B1008*$B$984)</f>
        <v>0</v>
      </c>
      <c r="E1008" s="34" t="str">
        <f t="shared" si="75"/>
        <v/>
      </c>
      <c r="F1008" s="43" t="str">
        <f t="shared" si="76"/>
        <v/>
      </c>
      <c r="G1008" s="17"/>
    </row>
    <row r="1009" spans="1:11">
      <c r="A1009" s="4" t="s">
        <v>1589</v>
      </c>
      <c r="B1009" s="35">
        <f>Adjust!$B$108</f>
        <v>7.5166258814651776E-5</v>
      </c>
      <c r="C1009" s="45">
        <f>Adjust!$E$108</f>
        <v>1.342219946443457E-3</v>
      </c>
      <c r="D1009" s="39">
        <f>0.01*Input!$F$60*(C1009*$C$984)+10*(B1009*$B$984)</f>
        <v>0</v>
      </c>
      <c r="E1009" s="34" t="str">
        <f t="shared" si="75"/>
        <v/>
      </c>
      <c r="F1009" s="43" t="str">
        <f t="shared" si="76"/>
        <v/>
      </c>
      <c r="G1009" s="17"/>
    </row>
    <row r="1011" spans="1:11">
      <c r="A1011" s="4" t="s">
        <v>1590</v>
      </c>
      <c r="B1011" s="34">
        <f>SUM($B$987:$B$1009)</f>
        <v>-0.56499999999999995</v>
      </c>
      <c r="C1011" s="43">
        <f>SUM($C$987:$C$1009)</f>
        <v>6.68</v>
      </c>
      <c r="D1011" s="39">
        <f>SUM($D$987:$D$1009)</f>
        <v>0</v>
      </c>
      <c r="E1011" s="34">
        <f>SUM($E$987:$E$1009)</f>
        <v>0</v>
      </c>
      <c r="F1011" s="43">
        <f>SUM($F$987:$F$1009)</f>
        <v>0</v>
      </c>
    </row>
    <row r="1013" spans="1:11" ht="21" customHeight="1">
      <c r="A1013" s="1" t="s">
        <v>209</v>
      </c>
    </row>
    <row r="1015" spans="1:11" ht="30">
      <c r="B1015" s="15" t="s">
        <v>237</v>
      </c>
      <c r="C1015" s="15" t="s">
        <v>238</v>
      </c>
      <c r="D1015" s="15" t="s">
        <v>239</v>
      </c>
      <c r="E1015" s="15" t="s">
        <v>240</v>
      </c>
      <c r="F1015" s="15" t="s">
        <v>243</v>
      </c>
      <c r="G1015" s="15" t="s">
        <v>1571</v>
      </c>
      <c r="H1015" s="15" t="s">
        <v>1572</v>
      </c>
    </row>
    <row r="1016" spans="1:11">
      <c r="A1016" s="4" t="s">
        <v>209</v>
      </c>
      <c r="B1016" s="41">
        <f>Loads!B$365</f>
        <v>53031.032570626296</v>
      </c>
      <c r="C1016" s="41">
        <f>Loads!C$365</f>
        <v>138554.41737676441</v>
      </c>
      <c r="D1016" s="41">
        <f>Loads!D$365</f>
        <v>277588.80488136888</v>
      </c>
      <c r="E1016" s="41">
        <f>Loads!E$365</f>
        <v>139.49726775956285</v>
      </c>
      <c r="F1016" s="41">
        <f>Loads!H$365</f>
        <v>20239.200199999999</v>
      </c>
      <c r="G1016" s="41">
        <f>Multi!B$159</f>
        <v>469174.25482875959</v>
      </c>
      <c r="H1016" s="34">
        <f>IF(E1016,G1016/E1016,"")</f>
        <v>3363.3221808862036</v>
      </c>
      <c r="I1016" s="17"/>
    </row>
    <row r="1018" spans="1:11" ht="30">
      <c r="B1018" s="15" t="s">
        <v>1379</v>
      </c>
      <c r="C1018" s="15" t="s">
        <v>1380</v>
      </c>
      <c r="D1018" s="15" t="s">
        <v>1381</v>
      </c>
      <c r="E1018" s="15" t="s">
        <v>1382</v>
      </c>
      <c r="F1018" s="15" t="s">
        <v>1136</v>
      </c>
      <c r="G1018" s="15" t="s">
        <v>1591</v>
      </c>
      <c r="H1018" s="15" t="s">
        <v>1573</v>
      </c>
      <c r="I1018" s="15" t="s">
        <v>1540</v>
      </c>
      <c r="J1018" s="15" t="s">
        <v>1574</v>
      </c>
    </row>
    <row r="1019" spans="1:11">
      <c r="A1019" s="4" t="s">
        <v>479</v>
      </c>
      <c r="B1019" s="35">
        <f>Yard!$C$90</f>
        <v>-0.95533321400891247</v>
      </c>
      <c r="C1019" s="35">
        <f>Yard!$C$118</f>
        <v>-0.11061523790161333</v>
      </c>
      <c r="D1019" s="35">
        <f>Yard!$C$141</f>
        <v>-1.6828342498465862E-2</v>
      </c>
      <c r="E1019" s="10"/>
      <c r="F1019" s="35">
        <f>Reactive!$C$82</f>
        <v>1.9759232683167607E-2</v>
      </c>
      <c r="G1019" s="34">
        <f t="shared" ref="G1019:G1041" si="77">IF(G$1016&lt;&gt;0,(($B1019*B$1016+$C1019*C$1016+$D1019*D$1016+$F1019*F$1016))/G$1016,0)</f>
        <v>-0.14975243061922081</v>
      </c>
      <c r="H1019" s="39">
        <f>0.01*Input!$F$60*(E1019*$E$1016)+10*(B1019*$B$1016+C1019*$C$1016+D1019*$D$1016+F1019*$F$1016)</f>
        <v>-702599.85044568439</v>
      </c>
      <c r="I1019" s="34">
        <f t="shared" ref="I1019:I1041" si="78">IF($G$1016&lt;&gt;0,0.1*H1019/$G$1016,"")</f>
        <v>-0.14975243061922081</v>
      </c>
      <c r="J1019" s="43">
        <f t="shared" ref="J1019:J1041" si="79">IF($E$1016&lt;&gt;0,H1019/$E$1016,"")</f>
        <v>-5036.6567154324757</v>
      </c>
      <c r="K1019" s="17"/>
    </row>
    <row r="1020" spans="1:11">
      <c r="A1020" s="4" t="s">
        <v>480</v>
      </c>
      <c r="B1020" s="35">
        <f>Yard!$D$90</f>
        <v>-0.37788719438770396</v>
      </c>
      <c r="C1020" s="35">
        <f>Yard!$D$118</f>
        <v>-4.3754452681239148E-2</v>
      </c>
      <c r="D1020" s="35">
        <f>Yard!$D$141</f>
        <v>-6.6565414451101703E-3</v>
      </c>
      <c r="E1020" s="10"/>
      <c r="F1020" s="35">
        <f>Reactive!$D$82</f>
        <v>5.690946352459935E-3</v>
      </c>
      <c r="G1020" s="34">
        <f t="shared" si="77"/>
        <v>-5.9327044712802791E-2</v>
      </c>
      <c r="H1020" s="39">
        <f>0.01*Input!$F$60*(E1020*$E$1016)+10*(B1020*$B$1016+C1020*$C$1016+D1020*$D$1016+F1020*$F$1016)</f>
        <v>-278347.21994321747</v>
      </c>
      <c r="I1020" s="34">
        <f t="shared" si="78"/>
        <v>-5.9327044712802791E-2</v>
      </c>
      <c r="J1020" s="43">
        <f t="shared" si="79"/>
        <v>-1995.3596540899716</v>
      </c>
      <c r="K1020" s="17"/>
    </row>
    <row r="1021" spans="1:11">
      <c r="A1021" s="4" t="s">
        <v>481</v>
      </c>
      <c r="B1021" s="35">
        <f>Yard!$E$90</f>
        <v>-0.80471208296281493</v>
      </c>
      <c r="C1021" s="35">
        <f>Yard!$E$118</f>
        <v>-0.15569279361785215</v>
      </c>
      <c r="D1021" s="35">
        <f>Yard!$E$141</f>
        <v>-1.7303255525032795E-2</v>
      </c>
      <c r="E1021" s="10"/>
      <c r="F1021" s="35">
        <f>Reactive!$E$82</f>
        <v>1.4370024296764795E-2</v>
      </c>
      <c r="G1021" s="34">
        <f t="shared" si="77"/>
        <v>-0.14655320172946285</v>
      </c>
      <c r="H1021" s="39">
        <f>0.01*Input!$F$60*(E1021*$E$1016)+10*(B1021*$B$1016+C1021*$C$1016+D1021*$D$1016+F1021*$F$1016)</f>
        <v>-687589.89214189607</v>
      </c>
      <c r="I1021" s="34">
        <f t="shared" si="78"/>
        <v>-0.14655320172946285</v>
      </c>
      <c r="J1021" s="43">
        <f t="shared" si="79"/>
        <v>-4929.0563405659268</v>
      </c>
      <c r="K1021" s="17"/>
    </row>
    <row r="1022" spans="1:11">
      <c r="A1022" s="4" t="s">
        <v>482</v>
      </c>
      <c r="B1022" s="35">
        <f>Yard!$F$90</f>
        <v>-0.21827449966029949</v>
      </c>
      <c r="C1022" s="35">
        <f>Yard!$F$118</f>
        <v>-4.2230963529873218E-2</v>
      </c>
      <c r="D1022" s="35">
        <f>Yard!$F$141</f>
        <v>-4.6934295162004815E-3</v>
      </c>
      <c r="E1022" s="10"/>
      <c r="F1022" s="35">
        <f>Reactive!$F$82</f>
        <v>4.1467516568603358E-3</v>
      </c>
      <c r="G1022" s="34">
        <f t="shared" si="77"/>
        <v>-3.97411516282003E-2</v>
      </c>
      <c r="H1022" s="39">
        <f>0.01*Input!$F$60*(E1022*$E$1016)+10*(B1022*$B$1016+C1022*$C$1016+D1022*$D$1016+F1022*$F$1016)</f>
        <v>-186455.25201197623</v>
      </c>
      <c r="I1022" s="34">
        <f t="shared" si="78"/>
        <v>-3.97411516282003E-2</v>
      </c>
      <c r="J1022" s="43">
        <f t="shared" si="79"/>
        <v>-1336.6229676508794</v>
      </c>
      <c r="K1022" s="17"/>
    </row>
    <row r="1023" spans="1:11">
      <c r="A1023" s="4" t="s">
        <v>483</v>
      </c>
      <c r="B1023" s="35">
        <f>Yard!$G$90</f>
        <v>0</v>
      </c>
      <c r="C1023" s="35">
        <f>Yard!$G$118</f>
        <v>0</v>
      </c>
      <c r="D1023" s="35">
        <f>Yard!$G$141</f>
        <v>0</v>
      </c>
      <c r="E1023" s="10"/>
      <c r="F1023" s="35">
        <f>Reactive!$G$82</f>
        <v>0</v>
      </c>
      <c r="G1023" s="34">
        <f t="shared" si="77"/>
        <v>0</v>
      </c>
      <c r="H1023" s="39">
        <f>0.01*Input!$F$60*(E1023*$E$1016)+10*(B1023*$B$1016+C1023*$C$1016+D1023*$D$1016+F1023*$F$1016)</f>
        <v>0</v>
      </c>
      <c r="I1023" s="34">
        <f t="shared" si="78"/>
        <v>0</v>
      </c>
      <c r="J1023" s="43">
        <f t="shared" si="79"/>
        <v>0</v>
      </c>
      <c r="K1023" s="17"/>
    </row>
    <row r="1024" spans="1:11">
      <c r="A1024" s="4" t="s">
        <v>484</v>
      </c>
      <c r="B1024" s="35">
        <f>Yard!$H$90</f>
        <v>0</v>
      </c>
      <c r="C1024" s="35">
        <f>Yard!$H$118</f>
        <v>0</v>
      </c>
      <c r="D1024" s="35">
        <f>Yard!$H$141</f>
        <v>0</v>
      </c>
      <c r="E1024" s="10"/>
      <c r="F1024" s="35">
        <f>Reactive!$H$82</f>
        <v>1.575700636235368E-3</v>
      </c>
      <c r="G1024" s="34">
        <f t="shared" si="77"/>
        <v>6.7972443721735359E-5</v>
      </c>
      <c r="H1024" s="39">
        <f>0.01*Input!$F$60*(E1024*$E$1016)+10*(B1024*$B$1016+C1024*$C$1016+D1024*$D$1016+F1024*$F$1016)</f>
        <v>318.90920632034982</v>
      </c>
      <c r="I1024" s="34">
        <f t="shared" si="78"/>
        <v>6.7972443721735359E-5</v>
      </c>
      <c r="J1024" s="43">
        <f t="shared" si="79"/>
        <v>2.2861322765835168</v>
      </c>
      <c r="K1024" s="17"/>
    </row>
    <row r="1025" spans="1:11">
      <c r="A1025" s="4" t="s">
        <v>485</v>
      </c>
      <c r="B1025" s="35">
        <f>Yard!$I$90</f>
        <v>0</v>
      </c>
      <c r="C1025" s="35">
        <f>Yard!$I$118</f>
        <v>0</v>
      </c>
      <c r="D1025" s="35">
        <f>Yard!$I$141</f>
        <v>0</v>
      </c>
      <c r="E1025" s="10"/>
      <c r="F1025" s="35">
        <f>Reactive!$I$82</f>
        <v>0</v>
      </c>
      <c r="G1025" s="34">
        <f t="shared" si="77"/>
        <v>0</v>
      </c>
      <c r="H1025" s="39">
        <f>0.01*Input!$F$60*(E1025*$E$1016)+10*(B1025*$B$1016+C1025*$C$1016+D1025*$D$1016+F1025*$F$1016)</f>
        <v>0</v>
      </c>
      <c r="I1025" s="34">
        <f t="shared" si="78"/>
        <v>0</v>
      </c>
      <c r="J1025" s="43">
        <f t="shared" si="79"/>
        <v>0</v>
      </c>
      <c r="K1025" s="17"/>
    </row>
    <row r="1026" spans="1:11">
      <c r="A1026" s="4" t="s">
        <v>486</v>
      </c>
      <c r="B1026" s="35">
        <f>Yard!$J$90</f>
        <v>0</v>
      </c>
      <c r="C1026" s="35">
        <f>Yard!$J$118</f>
        <v>0</v>
      </c>
      <c r="D1026" s="35">
        <f>Yard!$J$141</f>
        <v>0</v>
      </c>
      <c r="E1026" s="10"/>
      <c r="F1026" s="35">
        <f>Reactive!$J$82</f>
        <v>0</v>
      </c>
      <c r="G1026" s="34">
        <f t="shared" si="77"/>
        <v>0</v>
      </c>
      <c r="H1026" s="39">
        <f>0.01*Input!$F$60*(E1026*$E$1016)+10*(B1026*$B$1016+C1026*$C$1016+D1026*$D$1016+F1026*$F$1016)</f>
        <v>0</v>
      </c>
      <c r="I1026" s="34">
        <f t="shared" si="78"/>
        <v>0</v>
      </c>
      <c r="J1026" s="43">
        <f t="shared" si="79"/>
        <v>0</v>
      </c>
      <c r="K1026" s="17"/>
    </row>
    <row r="1027" spans="1:11">
      <c r="A1027" s="4" t="s">
        <v>1575</v>
      </c>
      <c r="B1027" s="10"/>
      <c r="C1027" s="10"/>
      <c r="D1027" s="10"/>
      <c r="E1027" s="45">
        <f>SM!$B$149</f>
        <v>0</v>
      </c>
      <c r="F1027" s="10"/>
      <c r="G1027" s="34">
        <f t="shared" si="77"/>
        <v>0</v>
      </c>
      <c r="H1027" s="39">
        <f>0.01*Input!$F$60*(E1027*$E$1016)+10*(B1027*$B$1016+C1027*$C$1016+D1027*$D$1016+F1027*$F$1016)</f>
        <v>0</v>
      </c>
      <c r="I1027" s="34">
        <f t="shared" si="78"/>
        <v>0</v>
      </c>
      <c r="J1027" s="43">
        <f t="shared" si="79"/>
        <v>0</v>
      </c>
      <c r="K1027" s="17"/>
    </row>
    <row r="1028" spans="1:11">
      <c r="A1028" s="4" t="s">
        <v>1576</v>
      </c>
      <c r="B1028" s="10"/>
      <c r="C1028" s="10"/>
      <c r="D1028" s="10"/>
      <c r="E1028" s="45">
        <f>SM!$C$149</f>
        <v>0</v>
      </c>
      <c r="F1028" s="10"/>
      <c r="G1028" s="34">
        <f t="shared" si="77"/>
        <v>0</v>
      </c>
      <c r="H1028" s="39">
        <f>0.01*Input!$F$60*(E1028*$E$1016)+10*(B1028*$B$1016+C1028*$C$1016+D1028*$D$1016+F1028*$F$1016)</f>
        <v>0</v>
      </c>
      <c r="I1028" s="34">
        <f t="shared" si="78"/>
        <v>0</v>
      </c>
      <c r="J1028" s="43">
        <f t="shared" si="79"/>
        <v>0</v>
      </c>
      <c r="K1028" s="17"/>
    </row>
    <row r="1029" spans="1:11">
      <c r="A1029" s="4" t="s">
        <v>1577</v>
      </c>
      <c r="B1029" s="35">
        <f>Yard!$K$90</f>
        <v>-0.696084556470565</v>
      </c>
      <c r="C1029" s="35">
        <f>Yard!$K$118</f>
        <v>-2.8460597543982162E-2</v>
      </c>
      <c r="D1029" s="35">
        <f>Yard!$K$141</f>
        <v>-2.0260903310065771E-3</v>
      </c>
      <c r="E1029" s="10"/>
      <c r="F1029" s="35">
        <f>Reactive!$K$82</f>
        <v>1.1086673704092097E-2</v>
      </c>
      <c r="G1029" s="34">
        <f t="shared" si="77"/>
        <v>-8.7804176077295126E-2</v>
      </c>
      <c r="H1029" s="39">
        <f>0.01*Input!$F$60*(E1029*$E$1016)+10*(B1029*$B$1016+C1029*$C$1016+D1029*$D$1016+F1029*$F$1016)</f>
        <v>-411954.58881918137</v>
      </c>
      <c r="I1029" s="34">
        <f t="shared" si="78"/>
        <v>-8.7804176077295126E-2</v>
      </c>
      <c r="J1029" s="43">
        <f t="shared" si="79"/>
        <v>-2953.1373297520445</v>
      </c>
      <c r="K1029" s="17"/>
    </row>
    <row r="1030" spans="1:11">
      <c r="A1030" s="4" t="s">
        <v>1578</v>
      </c>
      <c r="B1030" s="35">
        <f>Yard!$L$90</f>
        <v>-0.3762685004863876</v>
      </c>
      <c r="C1030" s="35">
        <f>Yard!$L$118</f>
        <v>-4.356702885010004E-2</v>
      </c>
      <c r="D1030" s="35">
        <f>Yard!$L$141</f>
        <v>-6.6280279013831381E-3</v>
      </c>
      <c r="E1030" s="10"/>
      <c r="F1030" s="35">
        <f>Reactive!$L$82</f>
        <v>7.7823912572432957E-3</v>
      </c>
      <c r="G1030" s="34">
        <f t="shared" si="77"/>
        <v>-5.8981642935697548E-2</v>
      </c>
      <c r="H1030" s="39">
        <f>0.01*Input!$F$60*(E1030*$E$1016)+10*(B1030*$B$1016+C1030*$C$1016+D1030*$D$1016+F1030*$F$1016)</f>
        <v>-276726.68372931867</v>
      </c>
      <c r="I1030" s="34">
        <f t="shared" si="78"/>
        <v>-5.8981642935697548E-2</v>
      </c>
      <c r="J1030" s="43">
        <f t="shared" si="79"/>
        <v>-1983.7426795074159</v>
      </c>
      <c r="K1030" s="17"/>
    </row>
    <row r="1031" spans="1:11">
      <c r="A1031" s="4" t="s">
        <v>1579</v>
      </c>
      <c r="B1031" s="35">
        <f>Yard!$M$90</f>
        <v>-0.14883503043781221</v>
      </c>
      <c r="C1031" s="35">
        <f>Yard!$M$118</f>
        <v>-1.7233172738636584E-2</v>
      </c>
      <c r="D1031" s="35">
        <f>Yard!$M$141</f>
        <v>-2.6217521083211591E-3</v>
      </c>
      <c r="E1031" s="10"/>
      <c r="F1031" s="35">
        <f>Reactive!$M$82</f>
        <v>2.241441853992319E-3</v>
      </c>
      <c r="G1031" s="34">
        <f t="shared" si="77"/>
        <v>-2.3366609498167126E-2</v>
      </c>
      <c r="H1031" s="39">
        <f>0.01*Input!$F$60*(E1031*$E$1016)+10*(B1031*$B$1016+C1031*$C$1016+D1031*$D$1016+F1031*$F$1016)</f>
        <v>-109630.11599177176</v>
      </c>
      <c r="I1031" s="34">
        <f t="shared" si="78"/>
        <v>-2.3366609498167126E-2</v>
      </c>
      <c r="J1031" s="43">
        <f t="shared" si="79"/>
        <v>-785.89436017291723</v>
      </c>
      <c r="K1031" s="17"/>
    </row>
    <row r="1032" spans="1:11">
      <c r="A1032" s="4" t="s">
        <v>1580</v>
      </c>
      <c r="B1032" s="35">
        <f>Yard!$N$90</f>
        <v>-0.3169447103268736</v>
      </c>
      <c r="C1032" s="35">
        <f>Yard!$N$118</f>
        <v>-6.132132028079923E-2</v>
      </c>
      <c r="D1032" s="35">
        <f>Yard!$N$141</f>
        <v>-6.8150776236658214E-3</v>
      </c>
      <c r="E1032" s="10"/>
      <c r="F1032" s="35">
        <f>Reactive!$N$82</f>
        <v>5.6597922220321777E-3</v>
      </c>
      <c r="G1032" s="34">
        <f t="shared" si="77"/>
        <v>-5.772159142758497E-2</v>
      </c>
      <c r="H1032" s="39">
        <f>0.01*Input!$F$60*(E1032*$E$1016)+10*(B1032*$B$1016+C1032*$C$1016+D1032*$D$1016+F1032*$F$1016)</f>
        <v>-270814.84645567299</v>
      </c>
      <c r="I1032" s="34">
        <f t="shared" si="78"/>
        <v>-5.7721591427584977E-2</v>
      </c>
      <c r="J1032" s="43">
        <f t="shared" si="79"/>
        <v>-1941.3630876444749</v>
      </c>
      <c r="K1032" s="17"/>
    </row>
    <row r="1033" spans="1:11">
      <c r="A1033" s="4" t="s">
        <v>1581</v>
      </c>
      <c r="B1033" s="35">
        <f>Yard!$O$90</f>
        <v>-0.1999297999153565</v>
      </c>
      <c r="C1033" s="35">
        <f>Yard!$O$118</f>
        <v>-3.8681697137780469E-2</v>
      </c>
      <c r="D1033" s="35">
        <f>Yard!$O$141</f>
        <v>-4.2989741153966867E-3</v>
      </c>
      <c r="E1033" s="10"/>
      <c r="F1033" s="35">
        <f>Reactive!$O$82</f>
        <v>3.7982413444769066E-3</v>
      </c>
      <c r="G1033" s="34">
        <f t="shared" si="77"/>
        <v>-3.6401139417556419E-2</v>
      </c>
      <c r="H1033" s="39">
        <f>0.01*Input!$F$60*(E1033*$E$1016)+10*(B1033*$B$1016+C1033*$C$1016+D1033*$D$1016+F1033*$F$1016)</f>
        <v>-170784.77461149823</v>
      </c>
      <c r="I1033" s="34">
        <f t="shared" si="78"/>
        <v>-3.6401139417556426E-2</v>
      </c>
      <c r="J1033" s="43">
        <f t="shared" si="79"/>
        <v>-1224.2875961259863</v>
      </c>
      <c r="K1033" s="17"/>
    </row>
    <row r="1034" spans="1:11">
      <c r="A1034" s="4" t="s">
        <v>1582</v>
      </c>
      <c r="B1034" s="35">
        <f>Yard!$P$90</f>
        <v>0</v>
      </c>
      <c r="C1034" s="35">
        <f>Yard!$P$118</f>
        <v>0</v>
      </c>
      <c r="D1034" s="35">
        <f>Yard!$P$141</f>
        <v>0</v>
      </c>
      <c r="E1034" s="10"/>
      <c r="F1034" s="35">
        <f>Reactive!$P$82</f>
        <v>0</v>
      </c>
      <c r="G1034" s="34">
        <f t="shared" si="77"/>
        <v>0</v>
      </c>
      <c r="H1034" s="39">
        <f>0.01*Input!$F$60*(E1034*$E$1016)+10*(B1034*$B$1016+C1034*$C$1016+D1034*$D$1016+F1034*$F$1016)</f>
        <v>0</v>
      </c>
      <c r="I1034" s="34">
        <f t="shared" si="78"/>
        <v>0</v>
      </c>
      <c r="J1034" s="43">
        <f t="shared" si="79"/>
        <v>0</v>
      </c>
      <c r="K1034" s="17"/>
    </row>
    <row r="1035" spans="1:11">
      <c r="A1035" s="4" t="s">
        <v>1583</v>
      </c>
      <c r="B1035" s="35">
        <f>Yard!$Q$90</f>
        <v>0</v>
      </c>
      <c r="C1035" s="35">
        <f>Yard!$Q$118</f>
        <v>0</v>
      </c>
      <c r="D1035" s="35">
        <f>Yard!$Q$141</f>
        <v>0</v>
      </c>
      <c r="E1035" s="10"/>
      <c r="F1035" s="35">
        <f>Reactive!$Q$82</f>
        <v>6.8956337481426416E-3</v>
      </c>
      <c r="G1035" s="34">
        <f t="shared" si="77"/>
        <v>2.974632782983223E-4</v>
      </c>
      <c r="H1035" s="39">
        <f>0.01*Input!$F$60*(E1035*$E$1016)+10*(B1035*$B$1016+C1035*$C$1016+D1035*$D$1016+F1035*$F$1016)</f>
        <v>1395.621119345353</v>
      </c>
      <c r="I1035" s="34">
        <f t="shared" si="78"/>
        <v>2.974632782983223E-4</v>
      </c>
      <c r="J1035" s="43">
        <f t="shared" si="79"/>
        <v>10.00464841899873</v>
      </c>
      <c r="K1035" s="17"/>
    </row>
    <row r="1036" spans="1:11">
      <c r="A1036" s="4" t="s">
        <v>1584</v>
      </c>
      <c r="B1036" s="35">
        <f>Yard!$R$90</f>
        <v>0</v>
      </c>
      <c r="C1036" s="35">
        <f>Yard!$R$118</f>
        <v>0</v>
      </c>
      <c r="D1036" s="35">
        <f>Yard!$R$141</f>
        <v>0</v>
      </c>
      <c r="E1036" s="10"/>
      <c r="F1036" s="35">
        <f>Reactive!$R$82</f>
        <v>0</v>
      </c>
      <c r="G1036" s="34">
        <f t="shared" si="77"/>
        <v>0</v>
      </c>
      <c r="H1036" s="39">
        <f>0.01*Input!$F$60*(E1036*$E$1016)+10*(B1036*$B$1016+C1036*$C$1016+D1036*$D$1016+F1036*$F$1016)</f>
        <v>0</v>
      </c>
      <c r="I1036" s="34">
        <f t="shared" si="78"/>
        <v>0</v>
      </c>
      <c r="J1036" s="43">
        <f t="shared" si="79"/>
        <v>0</v>
      </c>
      <c r="K1036" s="17"/>
    </row>
    <row r="1037" spans="1:11">
      <c r="A1037" s="4" t="s">
        <v>1585</v>
      </c>
      <c r="B1037" s="35">
        <f>Yard!$S$90</f>
        <v>0</v>
      </c>
      <c r="C1037" s="35">
        <f>Yard!$S$118</f>
        <v>0</v>
      </c>
      <c r="D1037" s="35">
        <f>Yard!$S$141</f>
        <v>0</v>
      </c>
      <c r="E1037" s="10"/>
      <c r="F1037" s="35">
        <f>Reactive!$S$82</f>
        <v>0</v>
      </c>
      <c r="G1037" s="34">
        <f t="shared" si="77"/>
        <v>0</v>
      </c>
      <c r="H1037" s="39">
        <f>0.01*Input!$F$60*(E1037*$E$1016)+10*(B1037*$B$1016+C1037*$C$1016+D1037*$D$1016+F1037*$F$1016)</f>
        <v>0</v>
      </c>
      <c r="I1037" s="34">
        <f t="shared" si="78"/>
        <v>0</v>
      </c>
      <c r="J1037" s="43">
        <f t="shared" si="79"/>
        <v>0</v>
      </c>
      <c r="K1037" s="17"/>
    </row>
    <row r="1038" spans="1:11">
      <c r="A1038" s="4" t="s">
        <v>1586</v>
      </c>
      <c r="B1038" s="10"/>
      <c r="C1038" s="10"/>
      <c r="D1038" s="10"/>
      <c r="E1038" s="45">
        <f>Otex!$B$152</f>
        <v>0</v>
      </c>
      <c r="F1038" s="10"/>
      <c r="G1038" s="34">
        <f t="shared" si="77"/>
        <v>0</v>
      </c>
      <c r="H1038" s="39">
        <f>0.01*Input!$F$60*(E1038*$E$1016)+10*(B1038*$B$1016+C1038*$C$1016+D1038*$D$1016+F1038*$F$1016)</f>
        <v>0</v>
      </c>
      <c r="I1038" s="34">
        <f t="shared" si="78"/>
        <v>0</v>
      </c>
      <c r="J1038" s="43">
        <f t="shared" si="79"/>
        <v>0</v>
      </c>
      <c r="K1038" s="17"/>
    </row>
    <row r="1039" spans="1:11">
      <c r="A1039" s="4" t="s">
        <v>1587</v>
      </c>
      <c r="B1039" s="10"/>
      <c r="C1039" s="10"/>
      <c r="D1039" s="10"/>
      <c r="E1039" s="45">
        <f>Otex!$C$152</f>
        <v>6.6786577800535563</v>
      </c>
      <c r="F1039" s="10"/>
      <c r="G1039" s="34">
        <f t="shared" si="77"/>
        <v>0</v>
      </c>
      <c r="H1039" s="39">
        <f>0.01*Input!$F$60*(E1039*$E$1016)+10*(B1039*$B$1016+C1039*$C$1016+D1039*$D$1016+F1039*$F$1016)</f>
        <v>3409.8555161841437</v>
      </c>
      <c r="I1039" s="34">
        <f t="shared" si="78"/>
        <v>7.2677805337564426E-4</v>
      </c>
      <c r="J1039" s="43">
        <f t="shared" si="79"/>
        <v>24.443887474996014</v>
      </c>
      <c r="K1039" s="17"/>
    </row>
    <row r="1040" spans="1:11">
      <c r="A1040" s="4" t="s">
        <v>1588</v>
      </c>
      <c r="B1040" s="35">
        <f>Adder!$B$296</f>
        <v>0</v>
      </c>
      <c r="C1040" s="35">
        <f>Adder!$C$296</f>
        <v>0</v>
      </c>
      <c r="D1040" s="35">
        <f>Adder!$D$296</f>
        <v>0</v>
      </c>
      <c r="E1040" s="10"/>
      <c r="F1040" s="10"/>
      <c r="G1040" s="34">
        <f t="shared" si="77"/>
        <v>0</v>
      </c>
      <c r="H1040" s="39">
        <f>0.01*Input!$F$60*(E1040*$E$1016)+10*(B1040*$B$1016+C1040*$C$1016+D1040*$D$1016+F1040*$F$1016)</f>
        <v>0</v>
      </c>
      <c r="I1040" s="34">
        <f t="shared" si="78"/>
        <v>0</v>
      </c>
      <c r="J1040" s="43">
        <f t="shared" si="79"/>
        <v>0</v>
      </c>
      <c r="K1040" s="17"/>
    </row>
    <row r="1041" spans="1:11">
      <c r="A1041" s="4" t="s">
        <v>1589</v>
      </c>
      <c r="B1041" s="35">
        <f>Adjust!$B$109</f>
        <v>2.6958865672543908E-4</v>
      </c>
      <c r="C1041" s="35">
        <f>Adjust!$C$109</f>
        <v>-4.4273571812369905E-4</v>
      </c>
      <c r="D1041" s="35">
        <f>Adjust!$D$109</f>
        <v>-1.2850893541731245E-4</v>
      </c>
      <c r="E1041" s="45">
        <f>Adjust!$E$109</f>
        <v>1.342219946443457E-3</v>
      </c>
      <c r="F1041" s="35">
        <f>Adjust!$H$109</f>
        <v>-6.8297554674801031E-6</v>
      </c>
      <c r="G1041" s="34">
        <f t="shared" si="77"/>
        <v>-1.7660239106378074E-4</v>
      </c>
      <c r="H1041" s="39">
        <f>0.01*Input!$F$60*(E1041*$E$1016)+10*(B1041*$B$1016+C1041*$C$1016+D1041*$D$1016+F1041*$F$1016)</f>
        <v>-827.88766846740896</v>
      </c>
      <c r="I1041" s="34">
        <f t="shared" si="78"/>
        <v>-1.7645632938013053E-4</v>
      </c>
      <c r="J1041" s="43">
        <f t="shared" si="79"/>
        <v>-5.9347948656195486</v>
      </c>
      <c r="K1041" s="17"/>
    </row>
    <row r="1043" spans="1:11">
      <c r="A1043" s="4" t="s">
        <v>1590</v>
      </c>
      <c r="B1043" s="34">
        <f>SUM($B$1019:$B$1041)</f>
        <v>-4.0940000000000003</v>
      </c>
      <c r="C1043" s="34">
        <f>SUM($C$1019:$C$1041)</f>
        <v>-0.54200000000000004</v>
      </c>
      <c r="D1043" s="34">
        <f>SUM($D$1019:$D$1041)</f>
        <v>-6.8000000000000005E-2</v>
      </c>
      <c r="E1043" s="43">
        <f>SUM($E$1019:$E$1041)</f>
        <v>6.68</v>
      </c>
      <c r="F1043" s="34">
        <f>SUM($F$1019:$F$1041)</f>
        <v>8.3000000000000004E-2</v>
      </c>
      <c r="G1043" s="34">
        <f>SUM(G$1019:G$1041)</f>
        <v>-0.65946015471503161</v>
      </c>
      <c r="H1043" s="39">
        <f>SUM($H$1019:$H$1041)</f>
        <v>-3090606.7259768345</v>
      </c>
      <c r="I1043" s="34">
        <f>SUM($I$1019:$I$1041)</f>
        <v>-0.65873323059997235</v>
      </c>
      <c r="J1043" s="43">
        <f>SUM($J$1019:$J$1041)</f>
        <v>-22155.320857637133</v>
      </c>
    </row>
    <row r="1045" spans="1:11" ht="21" customHeight="1">
      <c r="A1045" s="1" t="s">
        <v>210</v>
      </c>
    </row>
    <row r="1047" spans="1:11">
      <c r="B1047" s="15" t="s">
        <v>237</v>
      </c>
      <c r="C1047" s="15" t="s">
        <v>238</v>
      </c>
      <c r="D1047" s="15" t="s">
        <v>239</v>
      </c>
      <c r="E1047" s="15" t="s">
        <v>240</v>
      </c>
      <c r="F1047" s="15" t="s">
        <v>1571</v>
      </c>
      <c r="G1047" s="15" t="s">
        <v>1572</v>
      </c>
    </row>
    <row r="1048" spans="1:11" ht="30">
      <c r="A1048" s="4" t="s">
        <v>210</v>
      </c>
      <c r="B1048" s="41">
        <f>Loads!B$366</f>
        <v>0</v>
      </c>
      <c r="C1048" s="41">
        <f>Loads!C$366</f>
        <v>0</v>
      </c>
      <c r="D1048" s="41">
        <f>Loads!D$366</f>
        <v>0</v>
      </c>
      <c r="E1048" s="41">
        <f>Loads!E$366</f>
        <v>0</v>
      </c>
      <c r="F1048" s="41">
        <f>Multi!B$160</f>
        <v>0</v>
      </c>
      <c r="G1048" s="34" t="str">
        <f>IF(E1048,F1048/E1048,"")</f>
        <v/>
      </c>
      <c r="H1048" s="17"/>
    </row>
    <row r="1050" spans="1:11" ht="30">
      <c r="B1050" s="15" t="s">
        <v>1379</v>
      </c>
      <c r="C1050" s="15" t="s">
        <v>1380</v>
      </c>
      <c r="D1050" s="15" t="s">
        <v>1381</v>
      </c>
      <c r="E1050" s="15" t="s">
        <v>1382</v>
      </c>
      <c r="F1050" s="15" t="s">
        <v>1591</v>
      </c>
      <c r="G1050" s="15" t="s">
        <v>1573</v>
      </c>
      <c r="H1050" s="15" t="s">
        <v>1540</v>
      </c>
      <c r="I1050" s="15" t="s">
        <v>1574</v>
      </c>
    </row>
    <row r="1051" spans="1:11">
      <c r="A1051" s="4" t="s">
        <v>479</v>
      </c>
      <c r="B1051" s="35">
        <f>Yard!$C$91</f>
        <v>-0.95533321400891247</v>
      </c>
      <c r="C1051" s="35">
        <f>Yard!$C$119</f>
        <v>-0.11061523790161333</v>
      </c>
      <c r="D1051" s="35">
        <f>Yard!$C$142</f>
        <v>-1.6828342498465862E-2</v>
      </c>
      <c r="E1051" s="10"/>
      <c r="F1051" s="34">
        <f t="shared" ref="F1051:F1073" si="80">IF(F$1048&lt;&gt;0,(($B1051*B$1048+$C1051*C$1048+$D1051*D$1048))/F$1048,0)</f>
        <v>0</v>
      </c>
      <c r="G1051" s="39">
        <f>0.01*Input!$F$60*(E1051*$E$1048)+10*(B1051*$B$1048+C1051*$C$1048+D1051*$D$1048)</f>
        <v>0</v>
      </c>
      <c r="H1051" s="34" t="str">
        <f t="shared" ref="H1051:H1073" si="81">IF($F$1048&lt;&gt;0,0.1*G1051/$F$1048,"")</f>
        <v/>
      </c>
      <c r="I1051" s="43" t="str">
        <f t="shared" ref="I1051:I1073" si="82">IF($E$1048&lt;&gt;0,G1051/$E$1048,"")</f>
        <v/>
      </c>
      <c r="J1051" s="17"/>
    </row>
    <row r="1052" spans="1:11">
      <c r="A1052" s="4" t="s">
        <v>480</v>
      </c>
      <c r="B1052" s="35">
        <f>Yard!$D$91</f>
        <v>-0.37788719438770396</v>
      </c>
      <c r="C1052" s="35">
        <f>Yard!$D$119</f>
        <v>-4.3754452681239148E-2</v>
      </c>
      <c r="D1052" s="35">
        <f>Yard!$D$142</f>
        <v>-6.6565414451101703E-3</v>
      </c>
      <c r="E1052" s="10"/>
      <c r="F1052" s="34">
        <f t="shared" si="80"/>
        <v>0</v>
      </c>
      <c r="G1052" s="39">
        <f>0.01*Input!$F$60*(E1052*$E$1048)+10*(B1052*$B$1048+C1052*$C$1048+D1052*$D$1048)</f>
        <v>0</v>
      </c>
      <c r="H1052" s="34" t="str">
        <f t="shared" si="81"/>
        <v/>
      </c>
      <c r="I1052" s="43" t="str">
        <f t="shared" si="82"/>
        <v/>
      </c>
      <c r="J1052" s="17"/>
    </row>
    <row r="1053" spans="1:11">
      <c r="A1053" s="4" t="s">
        <v>481</v>
      </c>
      <c r="B1053" s="35">
        <f>Yard!$E$91</f>
        <v>-0.80471208296281493</v>
      </c>
      <c r="C1053" s="35">
        <f>Yard!$E$119</f>
        <v>-0.15569279361785215</v>
      </c>
      <c r="D1053" s="35">
        <f>Yard!$E$142</f>
        <v>-1.7303255525032795E-2</v>
      </c>
      <c r="E1053" s="10"/>
      <c r="F1053" s="34">
        <f t="shared" si="80"/>
        <v>0</v>
      </c>
      <c r="G1053" s="39">
        <f>0.01*Input!$F$60*(E1053*$E$1048)+10*(B1053*$B$1048+C1053*$C$1048+D1053*$D$1048)</f>
        <v>0</v>
      </c>
      <c r="H1053" s="34" t="str">
        <f t="shared" si="81"/>
        <v/>
      </c>
      <c r="I1053" s="43" t="str">
        <f t="shared" si="82"/>
        <v/>
      </c>
      <c r="J1053" s="17"/>
    </row>
    <row r="1054" spans="1:11">
      <c r="A1054" s="4" t="s">
        <v>482</v>
      </c>
      <c r="B1054" s="35">
        <f>Yard!$F$91</f>
        <v>-0.21827449966029949</v>
      </c>
      <c r="C1054" s="35">
        <f>Yard!$F$119</f>
        <v>-4.2230963529873218E-2</v>
      </c>
      <c r="D1054" s="35">
        <f>Yard!$F$142</f>
        <v>-4.6934295162004815E-3</v>
      </c>
      <c r="E1054" s="10"/>
      <c r="F1054" s="34">
        <f t="shared" si="80"/>
        <v>0</v>
      </c>
      <c r="G1054" s="39">
        <f>0.01*Input!$F$60*(E1054*$E$1048)+10*(B1054*$B$1048+C1054*$C$1048+D1054*$D$1048)</f>
        <v>0</v>
      </c>
      <c r="H1054" s="34" t="str">
        <f t="shared" si="81"/>
        <v/>
      </c>
      <c r="I1054" s="43" t="str">
        <f t="shared" si="82"/>
        <v/>
      </c>
      <c r="J1054" s="17"/>
    </row>
    <row r="1055" spans="1:11">
      <c r="A1055" s="4" t="s">
        <v>483</v>
      </c>
      <c r="B1055" s="35">
        <f>Yard!$G$91</f>
        <v>0</v>
      </c>
      <c r="C1055" s="35">
        <f>Yard!$G$119</f>
        <v>0</v>
      </c>
      <c r="D1055" s="35">
        <f>Yard!$G$142</f>
        <v>0</v>
      </c>
      <c r="E1055" s="10"/>
      <c r="F1055" s="34">
        <f t="shared" si="80"/>
        <v>0</v>
      </c>
      <c r="G1055" s="39">
        <f>0.01*Input!$F$60*(E1055*$E$1048)+10*(B1055*$B$1048+C1055*$C$1048+D1055*$D$1048)</f>
        <v>0</v>
      </c>
      <c r="H1055" s="34" t="str">
        <f t="shared" si="81"/>
        <v/>
      </c>
      <c r="I1055" s="43" t="str">
        <f t="shared" si="82"/>
        <v/>
      </c>
      <c r="J1055" s="17"/>
    </row>
    <row r="1056" spans="1:11">
      <c r="A1056" s="4" t="s">
        <v>484</v>
      </c>
      <c r="B1056" s="35">
        <f>Yard!$H$91</f>
        <v>0</v>
      </c>
      <c r="C1056" s="35">
        <f>Yard!$H$119</f>
        <v>0</v>
      </c>
      <c r="D1056" s="35">
        <f>Yard!$H$142</f>
        <v>0</v>
      </c>
      <c r="E1056" s="10"/>
      <c r="F1056" s="34">
        <f t="shared" si="80"/>
        <v>0</v>
      </c>
      <c r="G1056" s="39">
        <f>0.01*Input!$F$60*(E1056*$E$1048)+10*(B1056*$B$1048+C1056*$C$1048+D1056*$D$1048)</f>
        <v>0</v>
      </c>
      <c r="H1056" s="34" t="str">
        <f t="shared" si="81"/>
        <v/>
      </c>
      <c r="I1056" s="43" t="str">
        <f t="shared" si="82"/>
        <v/>
      </c>
      <c r="J1056" s="17"/>
    </row>
    <row r="1057" spans="1:10">
      <c r="A1057" s="4" t="s">
        <v>485</v>
      </c>
      <c r="B1057" s="35">
        <f>Yard!$I$91</f>
        <v>0</v>
      </c>
      <c r="C1057" s="35">
        <f>Yard!$I$119</f>
        <v>0</v>
      </c>
      <c r="D1057" s="35">
        <f>Yard!$I$142</f>
        <v>0</v>
      </c>
      <c r="E1057" s="10"/>
      <c r="F1057" s="34">
        <f t="shared" si="80"/>
        <v>0</v>
      </c>
      <c r="G1057" s="39">
        <f>0.01*Input!$F$60*(E1057*$E$1048)+10*(B1057*$B$1048+C1057*$C$1048+D1057*$D$1048)</f>
        <v>0</v>
      </c>
      <c r="H1057" s="34" t="str">
        <f t="shared" si="81"/>
        <v/>
      </c>
      <c r="I1057" s="43" t="str">
        <f t="shared" si="82"/>
        <v/>
      </c>
      <c r="J1057" s="17"/>
    </row>
    <row r="1058" spans="1:10">
      <c r="A1058" s="4" t="s">
        <v>486</v>
      </c>
      <c r="B1058" s="35">
        <f>Yard!$J$91</f>
        <v>0</v>
      </c>
      <c r="C1058" s="35">
        <f>Yard!$J$119</f>
        <v>0</v>
      </c>
      <c r="D1058" s="35">
        <f>Yard!$J$142</f>
        <v>0</v>
      </c>
      <c r="E1058" s="10"/>
      <c r="F1058" s="34">
        <f t="shared" si="80"/>
        <v>0</v>
      </c>
      <c r="G1058" s="39">
        <f>0.01*Input!$F$60*(E1058*$E$1048)+10*(B1058*$B$1048+C1058*$C$1048+D1058*$D$1048)</f>
        <v>0</v>
      </c>
      <c r="H1058" s="34" t="str">
        <f t="shared" si="81"/>
        <v/>
      </c>
      <c r="I1058" s="43" t="str">
        <f t="shared" si="82"/>
        <v/>
      </c>
      <c r="J1058" s="17"/>
    </row>
    <row r="1059" spans="1:10">
      <c r="A1059" s="4" t="s">
        <v>1575</v>
      </c>
      <c r="B1059" s="10"/>
      <c r="C1059" s="10"/>
      <c r="D1059" s="10"/>
      <c r="E1059" s="45">
        <f>SM!$B$150</f>
        <v>0</v>
      </c>
      <c r="F1059" s="34">
        <f t="shared" si="80"/>
        <v>0</v>
      </c>
      <c r="G1059" s="39">
        <f>0.01*Input!$F$60*(E1059*$E$1048)+10*(B1059*$B$1048+C1059*$C$1048+D1059*$D$1048)</f>
        <v>0</v>
      </c>
      <c r="H1059" s="34" t="str">
        <f t="shared" si="81"/>
        <v/>
      </c>
      <c r="I1059" s="43" t="str">
        <f t="shared" si="82"/>
        <v/>
      </c>
      <c r="J1059" s="17"/>
    </row>
    <row r="1060" spans="1:10">
      <c r="A1060" s="4" t="s">
        <v>1576</v>
      </c>
      <c r="B1060" s="10"/>
      <c r="C1060" s="10"/>
      <c r="D1060" s="10"/>
      <c r="E1060" s="45">
        <f>SM!$C$150</f>
        <v>0</v>
      </c>
      <c r="F1060" s="34">
        <f t="shared" si="80"/>
        <v>0</v>
      </c>
      <c r="G1060" s="39">
        <f>0.01*Input!$F$60*(E1060*$E$1048)+10*(B1060*$B$1048+C1060*$C$1048+D1060*$D$1048)</f>
        <v>0</v>
      </c>
      <c r="H1060" s="34" t="str">
        <f t="shared" si="81"/>
        <v/>
      </c>
      <c r="I1060" s="43" t="str">
        <f t="shared" si="82"/>
        <v/>
      </c>
      <c r="J1060" s="17"/>
    </row>
    <row r="1061" spans="1:10">
      <c r="A1061" s="4" t="s">
        <v>1577</v>
      </c>
      <c r="B1061" s="35">
        <f>Yard!$K$91</f>
        <v>-0.696084556470565</v>
      </c>
      <c r="C1061" s="35">
        <f>Yard!$K$119</f>
        <v>-2.8460597543982162E-2</v>
      </c>
      <c r="D1061" s="35">
        <f>Yard!$K$142</f>
        <v>-2.0260903310065771E-3</v>
      </c>
      <c r="E1061" s="10"/>
      <c r="F1061" s="34">
        <f t="shared" si="80"/>
        <v>0</v>
      </c>
      <c r="G1061" s="39">
        <f>0.01*Input!$F$60*(E1061*$E$1048)+10*(B1061*$B$1048+C1061*$C$1048+D1061*$D$1048)</f>
        <v>0</v>
      </c>
      <c r="H1061" s="34" t="str">
        <f t="shared" si="81"/>
        <v/>
      </c>
      <c r="I1061" s="43" t="str">
        <f t="shared" si="82"/>
        <v/>
      </c>
      <c r="J1061" s="17"/>
    </row>
    <row r="1062" spans="1:10">
      <c r="A1062" s="4" t="s">
        <v>1578</v>
      </c>
      <c r="B1062" s="35">
        <f>Yard!$L$91</f>
        <v>-0.3762685004863876</v>
      </c>
      <c r="C1062" s="35">
        <f>Yard!$L$119</f>
        <v>-4.356702885010004E-2</v>
      </c>
      <c r="D1062" s="35">
        <f>Yard!$L$142</f>
        <v>-6.6280279013831381E-3</v>
      </c>
      <c r="E1062" s="10"/>
      <c r="F1062" s="34">
        <f t="shared" si="80"/>
        <v>0</v>
      </c>
      <c r="G1062" s="39">
        <f>0.01*Input!$F$60*(E1062*$E$1048)+10*(B1062*$B$1048+C1062*$C$1048+D1062*$D$1048)</f>
        <v>0</v>
      </c>
      <c r="H1062" s="34" t="str">
        <f t="shared" si="81"/>
        <v/>
      </c>
      <c r="I1062" s="43" t="str">
        <f t="shared" si="82"/>
        <v/>
      </c>
      <c r="J1062" s="17"/>
    </row>
    <row r="1063" spans="1:10">
      <c r="A1063" s="4" t="s">
        <v>1579</v>
      </c>
      <c r="B1063" s="35">
        <f>Yard!$M$91</f>
        <v>-0.14883503043781221</v>
      </c>
      <c r="C1063" s="35">
        <f>Yard!$M$119</f>
        <v>-1.7233172738636584E-2</v>
      </c>
      <c r="D1063" s="35">
        <f>Yard!$M$142</f>
        <v>-2.6217521083211591E-3</v>
      </c>
      <c r="E1063" s="10"/>
      <c r="F1063" s="34">
        <f t="shared" si="80"/>
        <v>0</v>
      </c>
      <c r="G1063" s="39">
        <f>0.01*Input!$F$60*(E1063*$E$1048)+10*(B1063*$B$1048+C1063*$C$1048+D1063*$D$1048)</f>
        <v>0</v>
      </c>
      <c r="H1063" s="34" t="str">
        <f t="shared" si="81"/>
        <v/>
      </c>
      <c r="I1063" s="43" t="str">
        <f t="shared" si="82"/>
        <v/>
      </c>
      <c r="J1063" s="17"/>
    </row>
    <row r="1064" spans="1:10">
      <c r="A1064" s="4" t="s">
        <v>1580</v>
      </c>
      <c r="B1064" s="35">
        <f>Yard!$N$91</f>
        <v>-0.3169447103268736</v>
      </c>
      <c r="C1064" s="35">
        <f>Yard!$N$119</f>
        <v>-6.132132028079923E-2</v>
      </c>
      <c r="D1064" s="35">
        <f>Yard!$N$142</f>
        <v>-6.8150776236658214E-3</v>
      </c>
      <c r="E1064" s="10"/>
      <c r="F1064" s="34">
        <f t="shared" si="80"/>
        <v>0</v>
      </c>
      <c r="G1064" s="39">
        <f>0.01*Input!$F$60*(E1064*$E$1048)+10*(B1064*$B$1048+C1064*$C$1048+D1064*$D$1048)</f>
        <v>0</v>
      </c>
      <c r="H1064" s="34" t="str">
        <f t="shared" si="81"/>
        <v/>
      </c>
      <c r="I1064" s="43" t="str">
        <f t="shared" si="82"/>
        <v/>
      </c>
      <c r="J1064" s="17"/>
    </row>
    <row r="1065" spans="1:10">
      <c r="A1065" s="4" t="s">
        <v>1581</v>
      </c>
      <c r="B1065" s="35">
        <f>Yard!$O$91</f>
        <v>-0.1999297999153565</v>
      </c>
      <c r="C1065" s="35">
        <f>Yard!$O$119</f>
        <v>-3.8681697137780469E-2</v>
      </c>
      <c r="D1065" s="35">
        <f>Yard!$O$142</f>
        <v>-4.2989741153966867E-3</v>
      </c>
      <c r="E1065" s="10"/>
      <c r="F1065" s="34">
        <f t="shared" si="80"/>
        <v>0</v>
      </c>
      <c r="G1065" s="39">
        <f>0.01*Input!$F$60*(E1065*$E$1048)+10*(B1065*$B$1048+C1065*$C$1048+D1065*$D$1048)</f>
        <v>0</v>
      </c>
      <c r="H1065" s="34" t="str">
        <f t="shared" si="81"/>
        <v/>
      </c>
      <c r="I1065" s="43" t="str">
        <f t="shared" si="82"/>
        <v/>
      </c>
      <c r="J1065" s="17"/>
    </row>
    <row r="1066" spans="1:10">
      <c r="A1066" s="4" t="s">
        <v>1582</v>
      </c>
      <c r="B1066" s="35">
        <f>Yard!$P$91</f>
        <v>0</v>
      </c>
      <c r="C1066" s="35">
        <f>Yard!$P$119</f>
        <v>0</v>
      </c>
      <c r="D1066" s="35">
        <f>Yard!$P$142</f>
        <v>0</v>
      </c>
      <c r="E1066" s="10"/>
      <c r="F1066" s="34">
        <f t="shared" si="80"/>
        <v>0</v>
      </c>
      <c r="G1066" s="39">
        <f>0.01*Input!$F$60*(E1066*$E$1048)+10*(B1066*$B$1048+C1066*$C$1048+D1066*$D$1048)</f>
        <v>0</v>
      </c>
      <c r="H1066" s="34" t="str">
        <f t="shared" si="81"/>
        <v/>
      </c>
      <c r="I1066" s="43" t="str">
        <f t="shared" si="82"/>
        <v/>
      </c>
      <c r="J1066" s="17"/>
    </row>
    <row r="1067" spans="1:10">
      <c r="A1067" s="4" t="s">
        <v>1583</v>
      </c>
      <c r="B1067" s="35">
        <f>Yard!$Q$91</f>
        <v>0</v>
      </c>
      <c r="C1067" s="35">
        <f>Yard!$Q$119</f>
        <v>0</v>
      </c>
      <c r="D1067" s="35">
        <f>Yard!$Q$142</f>
        <v>0</v>
      </c>
      <c r="E1067" s="10"/>
      <c r="F1067" s="34">
        <f t="shared" si="80"/>
        <v>0</v>
      </c>
      <c r="G1067" s="39">
        <f>0.01*Input!$F$60*(E1067*$E$1048)+10*(B1067*$B$1048+C1067*$C$1048+D1067*$D$1048)</f>
        <v>0</v>
      </c>
      <c r="H1067" s="34" t="str">
        <f t="shared" si="81"/>
        <v/>
      </c>
      <c r="I1067" s="43" t="str">
        <f t="shared" si="82"/>
        <v/>
      </c>
      <c r="J1067" s="17"/>
    </row>
    <row r="1068" spans="1:10">
      <c r="A1068" s="4" t="s">
        <v>1584</v>
      </c>
      <c r="B1068" s="35">
        <f>Yard!$R$91</f>
        <v>0</v>
      </c>
      <c r="C1068" s="35">
        <f>Yard!$R$119</f>
        <v>0</v>
      </c>
      <c r="D1068" s="35">
        <f>Yard!$R$142</f>
        <v>0</v>
      </c>
      <c r="E1068" s="10"/>
      <c r="F1068" s="34">
        <f t="shared" si="80"/>
        <v>0</v>
      </c>
      <c r="G1068" s="39">
        <f>0.01*Input!$F$60*(E1068*$E$1048)+10*(B1068*$B$1048+C1068*$C$1048+D1068*$D$1048)</f>
        <v>0</v>
      </c>
      <c r="H1068" s="34" t="str">
        <f t="shared" si="81"/>
        <v/>
      </c>
      <c r="I1068" s="43" t="str">
        <f t="shared" si="82"/>
        <v/>
      </c>
      <c r="J1068" s="17"/>
    </row>
    <row r="1069" spans="1:10">
      <c r="A1069" s="4" t="s">
        <v>1585</v>
      </c>
      <c r="B1069" s="35">
        <f>Yard!$S$91</f>
        <v>0</v>
      </c>
      <c r="C1069" s="35">
        <f>Yard!$S$119</f>
        <v>0</v>
      </c>
      <c r="D1069" s="35">
        <f>Yard!$S$142</f>
        <v>0</v>
      </c>
      <c r="E1069" s="10"/>
      <c r="F1069" s="34">
        <f t="shared" si="80"/>
        <v>0</v>
      </c>
      <c r="G1069" s="39">
        <f>0.01*Input!$F$60*(E1069*$E$1048)+10*(B1069*$B$1048+C1069*$C$1048+D1069*$D$1048)</f>
        <v>0</v>
      </c>
      <c r="H1069" s="34" t="str">
        <f t="shared" si="81"/>
        <v/>
      </c>
      <c r="I1069" s="43" t="str">
        <f t="shared" si="82"/>
        <v/>
      </c>
      <c r="J1069" s="17"/>
    </row>
    <row r="1070" spans="1:10">
      <c r="A1070" s="4" t="s">
        <v>1586</v>
      </c>
      <c r="B1070" s="10"/>
      <c r="C1070" s="10"/>
      <c r="D1070" s="10"/>
      <c r="E1070" s="45">
        <f>Otex!$B$153</f>
        <v>0</v>
      </c>
      <c r="F1070" s="34">
        <f t="shared" si="80"/>
        <v>0</v>
      </c>
      <c r="G1070" s="39">
        <f>0.01*Input!$F$60*(E1070*$E$1048)+10*(B1070*$B$1048+C1070*$C$1048+D1070*$D$1048)</f>
        <v>0</v>
      </c>
      <c r="H1070" s="34" t="str">
        <f t="shared" si="81"/>
        <v/>
      </c>
      <c r="I1070" s="43" t="str">
        <f t="shared" si="82"/>
        <v/>
      </c>
      <c r="J1070" s="17"/>
    </row>
    <row r="1071" spans="1:10">
      <c r="A1071" s="4" t="s">
        <v>1587</v>
      </c>
      <c r="B1071" s="10"/>
      <c r="C1071" s="10"/>
      <c r="D1071" s="10"/>
      <c r="E1071" s="45">
        <f>Otex!$C$153</f>
        <v>6.6786577800535563</v>
      </c>
      <c r="F1071" s="34">
        <f t="shared" si="80"/>
        <v>0</v>
      </c>
      <c r="G1071" s="39">
        <f>0.01*Input!$F$60*(E1071*$E$1048)+10*(B1071*$B$1048+C1071*$C$1048+D1071*$D$1048)</f>
        <v>0</v>
      </c>
      <c r="H1071" s="34" t="str">
        <f t="shared" si="81"/>
        <v/>
      </c>
      <c r="I1071" s="43" t="str">
        <f t="shared" si="82"/>
        <v/>
      </c>
      <c r="J1071" s="17"/>
    </row>
    <row r="1072" spans="1:10">
      <c r="A1072" s="4" t="s">
        <v>1588</v>
      </c>
      <c r="B1072" s="35">
        <f>Adder!$B$297</f>
        <v>0</v>
      </c>
      <c r="C1072" s="35">
        <f>Adder!$C$297</f>
        <v>0</v>
      </c>
      <c r="D1072" s="35">
        <f>Adder!$D$297</f>
        <v>0</v>
      </c>
      <c r="E1072" s="10"/>
      <c r="F1072" s="34">
        <f t="shared" si="80"/>
        <v>0</v>
      </c>
      <c r="G1072" s="39">
        <f>0.01*Input!$F$60*(E1072*$E$1048)+10*(B1072*$B$1048+C1072*$C$1048+D1072*$D$1048)</f>
        <v>0</v>
      </c>
      <c r="H1072" s="34" t="str">
        <f t="shared" si="81"/>
        <v/>
      </c>
      <c r="I1072" s="43" t="str">
        <f t="shared" si="82"/>
        <v/>
      </c>
      <c r="J1072" s="17"/>
    </row>
    <row r="1073" spans="1:10">
      <c r="A1073" s="4" t="s">
        <v>1589</v>
      </c>
      <c r="B1073" s="35">
        <f>Adjust!$B$110</f>
        <v>2.6958865672543908E-4</v>
      </c>
      <c r="C1073" s="35">
        <f>Adjust!$C$110</f>
        <v>-4.4273571812369905E-4</v>
      </c>
      <c r="D1073" s="35">
        <f>Adjust!$D$110</f>
        <v>-1.2850893541731245E-4</v>
      </c>
      <c r="E1073" s="45">
        <f>Adjust!$E$110</f>
        <v>1.342219946443457E-3</v>
      </c>
      <c r="F1073" s="34">
        <f t="shared" si="80"/>
        <v>0</v>
      </c>
      <c r="G1073" s="39">
        <f>0.01*Input!$F$60*(E1073*$E$1048)+10*(B1073*$B$1048+C1073*$C$1048+D1073*$D$1048)</f>
        <v>0</v>
      </c>
      <c r="H1073" s="34" t="str">
        <f t="shared" si="81"/>
        <v/>
      </c>
      <c r="I1073" s="43" t="str">
        <f t="shared" si="82"/>
        <v/>
      </c>
      <c r="J1073" s="17"/>
    </row>
    <row r="1075" spans="1:10">
      <c r="A1075" s="4" t="s">
        <v>1590</v>
      </c>
      <c r="B1075" s="34">
        <f>SUM($B$1051:$B$1073)</f>
        <v>-4.0940000000000003</v>
      </c>
      <c r="C1075" s="34">
        <f>SUM($C$1051:$C$1073)</f>
        <v>-0.54200000000000004</v>
      </c>
      <c r="D1075" s="34">
        <f>SUM($D$1051:$D$1073)</f>
        <v>-6.8000000000000005E-2</v>
      </c>
      <c r="E1075" s="43">
        <f>SUM($E$1051:$E$1073)</f>
        <v>6.68</v>
      </c>
      <c r="F1075" s="34">
        <f>SUM(F$1051:F$1073)</f>
        <v>0</v>
      </c>
      <c r="G1075" s="39">
        <f>SUM($G$1051:$G$1073)</f>
        <v>0</v>
      </c>
      <c r="H1075" s="34">
        <f>SUM($H$1051:$H$1073)</f>
        <v>0</v>
      </c>
      <c r="I1075" s="43">
        <f>SUM($I$1051:$I$1073)</f>
        <v>0</v>
      </c>
    </row>
  </sheetData>
  <sheetProtection sheet="1" objects="1" scenarios="1"/>
  <hyperlinks>
    <hyperlink ref="A5" location="'M-ATW'!B41" display="Domestic Unrestricted"/>
    <hyperlink ref="A6" location="'M-ATW'!B73" display="Domestic Two Rate"/>
    <hyperlink ref="A7" location="'M-ATW'!B105" display="Domestic Off Peak (related MPAN)"/>
    <hyperlink ref="A8" location="'M-ATW'!B133" display="Small Non Domestic Unrestricted"/>
    <hyperlink ref="A9" location="'M-ATW'!B165" display="Small Non Domestic Two Rate"/>
    <hyperlink ref="A10" location="'M-ATW'!B197" display="Small Non Domestic Off Peak (related MPAN)"/>
    <hyperlink ref="A11" location="'M-ATW'!B225" display="LV Medium Non-Domestic"/>
    <hyperlink ref="A12" location="'M-ATW'!B257" display="LV Sub Medium Non-Domestic"/>
    <hyperlink ref="A13" location="'M-ATW'!B289" display="HV Medium Non-Domestic"/>
    <hyperlink ref="A14" location="'M-ATW'!B321" display="LV Network Domestic"/>
    <hyperlink ref="A15" location="'M-ATW'!B353" display="LV Network Non-Domestic Non-CT"/>
    <hyperlink ref="A16" location="'M-ATW'!B385" display="LV HH Metered"/>
    <hyperlink ref="A17" location="'M-ATW'!B417" display="LV Sub HH Metered"/>
    <hyperlink ref="A18" location="'M-ATW'!B449" display="HV HH Metered"/>
    <hyperlink ref="A19" location="'M-ATW'!B481" display="NHH UMS category A"/>
    <hyperlink ref="A20" location="'M-ATW'!B511" display="NHH UMS category B"/>
    <hyperlink ref="A21" location="'M-ATW'!B541" display="NHH UMS category C"/>
    <hyperlink ref="A22" location="'M-ATW'!B571" display="NHH UMS category D"/>
    <hyperlink ref="A23" location="'M-ATW'!B601" display="LV UMS (Pseudo HH Metered)"/>
    <hyperlink ref="A24" location="'M-ATW'!B631" display="LV Generation NHH or Aggregate HH"/>
    <hyperlink ref="A25" location="'M-ATW'!B663" display="LV Sub Generation NHH"/>
    <hyperlink ref="A26" location="'M-ATW'!B695" display="LV Generation Intermittent"/>
    <hyperlink ref="A27" location="'M-ATW'!B727" display="LV Generation Intermittent no RP charge"/>
    <hyperlink ref="A28" location="'M-ATW'!B759" display="LV Generation Non-Intermittent"/>
    <hyperlink ref="A29" location="'M-ATW'!B791" display="LV Generation Non-Intermittent no RP charge"/>
    <hyperlink ref="A30" location="'M-ATW'!B823" display="LV Sub Generation Intermittent"/>
    <hyperlink ref="A31" location="'M-ATW'!B855" display="LV Sub Generation Intermittent no RP charge"/>
    <hyperlink ref="A32" location="'M-ATW'!B887" display="LV Sub Generation Non-Intermittent"/>
    <hyperlink ref="A33" location="'M-ATW'!B919" display="LV Sub Generation Non-Intermittent no RP charge"/>
    <hyperlink ref="A34" location="'M-ATW'!B951" display="HV Generation Intermittent"/>
    <hyperlink ref="A35" location="'M-ATW'!B983" display="HV Generation Intermittent no RP charge"/>
    <hyperlink ref="A36" location="'M-ATW'!B1015" display="HV Generation Non-Intermittent"/>
    <hyperlink ref="A37" location="'M-ATW'!B1047" display="HV Generation Non-Intermittent no RP charge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  <rowBreaks count="33" manualBreakCount="33">
    <brk id="37" max="16383" man="1"/>
    <brk id="69" max="16383" man="1"/>
    <brk id="101" max="16383" man="1"/>
    <brk id="129" max="16383" man="1"/>
    <brk id="161" max="16383" man="1"/>
    <brk id="193" max="16383" man="1"/>
    <brk id="221" max="16383" man="1"/>
    <brk id="253" max="16383" man="1"/>
    <brk id="285" max="16383" man="1"/>
    <brk id="317" max="16383" man="1"/>
    <brk id="349" max="16383" man="1"/>
    <brk id="381" max="16383" man="1"/>
    <brk id="413" max="16383" man="1"/>
    <brk id="445" max="16383" man="1"/>
    <brk id="477" max="16383" man="1"/>
    <brk id="507" max="16383" man="1"/>
    <brk id="537" max="16383" man="1"/>
    <brk id="567" max="16383" man="1"/>
    <brk id="597" max="16383" man="1"/>
    <brk id="627" max="16383" man="1"/>
    <brk id="659" max="16383" man="1"/>
    <brk id="691" max="16383" man="1"/>
    <brk id="723" max="16383" man="1"/>
    <brk id="755" max="16383" man="1"/>
    <brk id="787" max="16383" man="1"/>
    <brk id="819" max="16383" man="1"/>
    <brk id="851" max="16383" man="1"/>
    <brk id="883" max="16383" man="1"/>
    <brk id="915" max="16383" man="1"/>
    <brk id="947" max="16383" man="1"/>
    <brk id="979" max="16383" man="1"/>
    <brk id="1011" max="16383" man="1"/>
    <brk id="1043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50.7109375" customWidth="1"/>
    <col min="2" max="251" width="20.7109375" customWidth="1"/>
  </cols>
  <sheetData>
    <row r="1" spans="1:26" ht="21" customHeight="1">
      <c r="A1" s="1" t="str">
        <f>"Revenue matrix for "&amp;Input!B7&amp;" in "&amp;Input!C7&amp;" ("&amp;Input!D7&amp;")"</f>
        <v>Revenue matrix for Electricity North West in 2019/20 (Version 1)</v>
      </c>
    </row>
    <row r="2" spans="1:26">
      <c r="A2" s="2" t="s">
        <v>1480</v>
      </c>
    </row>
    <row r="4" spans="1:26" ht="21" customHeight="1">
      <c r="A4" s="1" t="s">
        <v>1594</v>
      </c>
    </row>
    <row r="6" spans="1:26">
      <c r="B6" s="32" t="s">
        <v>1595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</row>
    <row r="7" spans="1:26" ht="30">
      <c r="B7" s="15" t="s">
        <v>333</v>
      </c>
      <c r="C7" s="15" t="s">
        <v>334</v>
      </c>
      <c r="D7" s="15" t="s">
        <v>335</v>
      </c>
      <c r="E7" s="15" t="s">
        <v>336</v>
      </c>
      <c r="F7" s="15" t="s">
        <v>337</v>
      </c>
      <c r="G7" s="15" t="s">
        <v>338</v>
      </c>
      <c r="H7" s="15" t="s">
        <v>339</v>
      </c>
      <c r="I7" s="15" t="s">
        <v>340</v>
      </c>
      <c r="J7" s="15" t="s">
        <v>491</v>
      </c>
      <c r="K7" s="15" t="s">
        <v>503</v>
      </c>
      <c r="L7" s="15" t="s">
        <v>321</v>
      </c>
      <c r="M7" s="15" t="s">
        <v>909</v>
      </c>
      <c r="N7" s="15" t="s">
        <v>910</v>
      </c>
      <c r="O7" s="15" t="s">
        <v>911</v>
      </c>
      <c r="P7" s="15" t="s">
        <v>912</v>
      </c>
      <c r="Q7" s="15" t="s">
        <v>913</v>
      </c>
      <c r="R7" s="15" t="s">
        <v>914</v>
      </c>
      <c r="S7" s="15" t="s">
        <v>915</v>
      </c>
      <c r="T7" s="15" t="s">
        <v>916</v>
      </c>
      <c r="U7" s="15" t="s">
        <v>917</v>
      </c>
      <c r="V7" s="15" t="s">
        <v>918</v>
      </c>
      <c r="W7" s="15" t="s">
        <v>1588</v>
      </c>
      <c r="X7" s="15" t="s">
        <v>1589</v>
      </c>
      <c r="Y7" s="15" t="s">
        <v>1596</v>
      </c>
    </row>
    <row r="8" spans="1:26">
      <c r="A8" s="4" t="s">
        <v>180</v>
      </c>
      <c r="B8" s="41">
        <f>'M-ATW'!$D$45</f>
        <v>16747081.403686084</v>
      </c>
      <c r="C8" s="41">
        <f>'M-ATW'!$D$46</f>
        <v>6624398.1817242503</v>
      </c>
      <c r="D8" s="41">
        <f>'M-ATW'!$D$47</f>
        <v>16369096.272972079</v>
      </c>
      <c r="E8" s="41">
        <f>'M-ATW'!$D$48</f>
        <v>10325681.533777047</v>
      </c>
      <c r="F8" s="41">
        <f>'M-ATW'!$D$49</f>
        <v>0</v>
      </c>
      <c r="G8" s="41">
        <f>'M-ATW'!$D$50</f>
        <v>13122252.674200347</v>
      </c>
      <c r="H8" s="41">
        <f>'M-ATW'!$D$51</f>
        <v>11913960.926237416</v>
      </c>
      <c r="I8" s="41">
        <f>'M-ATW'!$D$52</f>
        <v>289721.45399060729</v>
      </c>
      <c r="J8" s="41">
        <f>'M-ATW'!$D$53</f>
        <v>0</v>
      </c>
      <c r="K8" s="41">
        <f>'M-ATW'!$D$54</f>
        <v>0</v>
      </c>
      <c r="L8" s="41">
        <f>'M-ATW'!$D$55</f>
        <v>9900064.2189391255</v>
      </c>
      <c r="M8" s="41">
        <f>'M-ATW'!$D$56</f>
        <v>6596022.3248656392</v>
      </c>
      <c r="N8" s="41">
        <f>'M-ATW'!$D$57</f>
        <v>2609092.1302762153</v>
      </c>
      <c r="O8" s="41">
        <f>'M-ATW'!$D$58</f>
        <v>6447148.72112785</v>
      </c>
      <c r="P8" s="41">
        <f>'M-ATW'!$D$59</f>
        <v>4066883.3138444889</v>
      </c>
      <c r="Q8" s="41">
        <f>'M-ATW'!$D$60</f>
        <v>0</v>
      </c>
      <c r="R8" s="41">
        <f>'M-ATW'!$D$61</f>
        <v>7383348.0511929989</v>
      </c>
      <c r="S8" s="41">
        <f>'M-ATW'!$D$62</f>
        <v>6703492.3325072341</v>
      </c>
      <c r="T8" s="41">
        <f>'M-ATW'!$D$63</f>
        <v>3803666.1084399638</v>
      </c>
      <c r="U8" s="41">
        <f>'M-ATW'!$D$64</f>
        <v>22590670.160879351</v>
      </c>
      <c r="V8" s="41">
        <f>'M-ATW'!$D$65</f>
        <v>0</v>
      </c>
      <c r="W8" s="41">
        <f>'M-ATW'!$D$66</f>
        <v>37603927.095027983</v>
      </c>
      <c r="X8" s="41">
        <f>'M-ATW'!$D$67</f>
        <v>18830.066167706522</v>
      </c>
      <c r="Y8" s="39">
        <f t="shared" ref="Y8:Y40" si="0">SUM($B8:$X8)</f>
        <v>183115336.96985641</v>
      </c>
      <c r="Z8" s="17"/>
    </row>
    <row r="9" spans="1:26">
      <c r="A9" s="4" t="s">
        <v>181</v>
      </c>
      <c r="B9" s="41">
        <f>'M-ATW'!$F$77</f>
        <v>1613349.2636569957</v>
      </c>
      <c r="C9" s="41">
        <f>'M-ATW'!$F$78</f>
        <v>638168.98425675626</v>
      </c>
      <c r="D9" s="41">
        <f>'M-ATW'!$F$79</f>
        <v>1580143.7809465649</v>
      </c>
      <c r="E9" s="41">
        <f>'M-ATW'!$F$80</f>
        <v>996760.06466972455</v>
      </c>
      <c r="F9" s="41">
        <f>'M-ATW'!$F$81</f>
        <v>0</v>
      </c>
      <c r="G9" s="41">
        <f>'M-ATW'!$F$82</f>
        <v>1266719.0423569011</v>
      </c>
      <c r="H9" s="41">
        <f>'M-ATW'!$F$83</f>
        <v>1150080.0624600584</v>
      </c>
      <c r="I9" s="41">
        <f>'M-ATW'!$F$84</f>
        <v>25144.542256340999</v>
      </c>
      <c r="J9" s="41">
        <f>'M-ATW'!$F$85</f>
        <v>0</v>
      </c>
      <c r="K9" s="41">
        <f>'M-ATW'!$F$86</f>
        <v>0</v>
      </c>
      <c r="L9" s="41">
        <f>'M-ATW'!$F$87</f>
        <v>897452.96475173184</v>
      </c>
      <c r="M9" s="41">
        <f>'M-ATW'!$F$88</f>
        <v>635435.36359385075</v>
      </c>
      <c r="N9" s="41">
        <f>'M-ATW'!$F$89</f>
        <v>251349.87797144748</v>
      </c>
      <c r="O9" s="41">
        <f>'M-ATW'!$F$90</f>
        <v>622357.01877743797</v>
      </c>
      <c r="P9" s="41">
        <f>'M-ATW'!$F$91</f>
        <v>392584.92155229626</v>
      </c>
      <c r="Q9" s="41">
        <f>'M-ATW'!$F$92</f>
        <v>0</v>
      </c>
      <c r="R9" s="41">
        <f>'M-ATW'!$F$93</f>
        <v>712730.33716101875</v>
      </c>
      <c r="S9" s="41">
        <f>'M-ATW'!$F$94</f>
        <v>647102.41440293356</v>
      </c>
      <c r="T9" s="41">
        <f>'M-ATW'!$F$95</f>
        <v>330115.15673182235</v>
      </c>
      <c r="U9" s="41">
        <f>'M-ATW'!$F$96</f>
        <v>1960614.4199376684</v>
      </c>
      <c r="V9" s="41">
        <f>'M-ATW'!$F$97</f>
        <v>0</v>
      </c>
      <c r="W9" s="41">
        <f>'M-ATW'!$F$98</f>
        <v>5393869.9955856688</v>
      </c>
      <c r="X9" s="41">
        <f>'M-ATW'!$F$99</f>
        <v>-1250.3214866713811</v>
      </c>
      <c r="Y9" s="39">
        <f t="shared" si="0"/>
        <v>19112727.889582548</v>
      </c>
      <c r="Z9" s="17"/>
    </row>
    <row r="10" spans="1:26">
      <c r="A10" s="4" t="s">
        <v>226</v>
      </c>
      <c r="B10" s="41">
        <f>'M-ATW'!$C$109</f>
        <v>4731.0176009540901</v>
      </c>
      <c r="C10" s="41">
        <f>'M-ATW'!$C$110</f>
        <v>1871.3794743105291</v>
      </c>
      <c r="D10" s="41">
        <f>'M-ATW'!$C$111</f>
        <v>5315.7519735823316</v>
      </c>
      <c r="E10" s="41">
        <f>'M-ATW'!$C$112</f>
        <v>3353.1944022094767</v>
      </c>
      <c r="F10" s="41">
        <f>'M-ATW'!$C$113</f>
        <v>0</v>
      </c>
      <c r="G10" s="41">
        <f>'M-ATW'!$C$114</f>
        <v>4261.3617384548152</v>
      </c>
      <c r="H10" s="41">
        <f>'M-ATW'!$C$115</f>
        <v>3868.9772636623657</v>
      </c>
      <c r="I10" s="41">
        <f>'M-ATW'!$C$116</f>
        <v>0</v>
      </c>
      <c r="J10" s="10"/>
      <c r="K10" s="10"/>
      <c r="L10" s="41">
        <f>'M-ATW'!$C$117</f>
        <v>1293.6237433812344</v>
      </c>
      <c r="M10" s="41">
        <f>'M-ATW'!$C$118</f>
        <v>1863.3633504854729</v>
      </c>
      <c r="N10" s="41">
        <f>'M-ATW'!$C$119</f>
        <v>737.06340187315857</v>
      </c>
      <c r="O10" s="41">
        <f>'M-ATW'!$C$120</f>
        <v>2093.6674185795864</v>
      </c>
      <c r="P10" s="41">
        <f>'M-ATW'!$C$121</f>
        <v>1320.6925196960005</v>
      </c>
      <c r="Q10" s="41">
        <f>'M-ATW'!$C$122</f>
        <v>0</v>
      </c>
      <c r="R10" s="41">
        <f>'M-ATW'!$C$123</f>
        <v>2397.6917430425942</v>
      </c>
      <c r="S10" s="41">
        <f>'M-ATW'!$C$124</f>
        <v>2176.9132517875651</v>
      </c>
      <c r="T10" s="41">
        <f>'M-ATW'!$C$125</f>
        <v>0</v>
      </c>
      <c r="U10" s="10"/>
      <c r="V10" s="10"/>
      <c r="W10" s="41">
        <f>'M-ATW'!$C$126</f>
        <v>82037.496564426168</v>
      </c>
      <c r="X10" s="41">
        <f>'M-ATW'!$C$127</f>
        <v>55.31276934590381</v>
      </c>
      <c r="Y10" s="39">
        <f t="shared" si="0"/>
        <v>117377.50721579129</v>
      </c>
      <c r="Z10" s="17"/>
    </row>
    <row r="11" spans="1:26">
      <c r="A11" s="4" t="s">
        <v>182</v>
      </c>
      <c r="B11" s="41">
        <f>'M-ATW'!$D$137</f>
        <v>3464276.1528941598</v>
      </c>
      <c r="C11" s="41">
        <f>'M-ATW'!$D$138</f>
        <v>1370313.0769503315</v>
      </c>
      <c r="D11" s="41">
        <f>'M-ATW'!$D$139</f>
        <v>3543307.1868213657</v>
      </c>
      <c r="E11" s="41">
        <f>'M-ATW'!$D$140</f>
        <v>2235130.2098376565</v>
      </c>
      <c r="F11" s="41">
        <f>'M-ATW'!$D$141</f>
        <v>0</v>
      </c>
      <c r="G11" s="41">
        <f>'M-ATW'!$D$142</f>
        <v>2840484.9866117775</v>
      </c>
      <c r="H11" s="41">
        <f>'M-ATW'!$D$143</f>
        <v>2578934.2715974622</v>
      </c>
      <c r="I11" s="41">
        <f>'M-ATW'!$D$144</f>
        <v>17154.428828802789</v>
      </c>
      <c r="J11" s="41">
        <f>'M-ATW'!$D$145</f>
        <v>0</v>
      </c>
      <c r="K11" s="41">
        <f>'M-ATW'!$D$146</f>
        <v>0</v>
      </c>
      <c r="L11" s="41">
        <f>'M-ATW'!$D$147</f>
        <v>1929279.4332183301</v>
      </c>
      <c r="M11" s="41">
        <f>'M-ATW'!$D$148</f>
        <v>1364443.2897400307</v>
      </c>
      <c r="N11" s="41">
        <f>'M-ATW'!$D$149</f>
        <v>539712.88666634716</v>
      </c>
      <c r="O11" s="41">
        <f>'M-ATW'!$D$150</f>
        <v>1395570.5322472726</v>
      </c>
      <c r="P11" s="41">
        <f>'M-ATW'!$D$151</f>
        <v>880330.63240654161</v>
      </c>
      <c r="Q11" s="41">
        <f>'M-ATW'!$D$152</f>
        <v>0</v>
      </c>
      <c r="R11" s="41">
        <f>'M-ATW'!$D$153</f>
        <v>1598223.2480233093</v>
      </c>
      <c r="S11" s="41">
        <f>'M-ATW'!$D$154</f>
        <v>1451059.4942125133</v>
      </c>
      <c r="T11" s="41">
        <f>'M-ATW'!$D$155</f>
        <v>225215.35304692344</v>
      </c>
      <c r="U11" s="41">
        <f>'M-ATW'!$D$156</f>
        <v>1337595.2596259136</v>
      </c>
      <c r="V11" s="41">
        <f>'M-ATW'!$D$157</f>
        <v>0</v>
      </c>
      <c r="W11" s="41">
        <f>'M-ATW'!$D$158</f>
        <v>8626320.5753140543</v>
      </c>
      <c r="X11" s="41">
        <f>'M-ATW'!$D$159</f>
        <v>-3708.4346033476122</v>
      </c>
      <c r="Y11" s="39">
        <f t="shared" si="0"/>
        <v>35393642.583439432</v>
      </c>
      <c r="Z11" s="17"/>
    </row>
    <row r="12" spans="1:26">
      <c r="A12" s="4" t="s">
        <v>183</v>
      </c>
      <c r="B12" s="41">
        <f>'M-ATW'!$F$169</f>
        <v>1355813.360350529</v>
      </c>
      <c r="C12" s="41">
        <f>'M-ATW'!$F$170</f>
        <v>536299.27165020211</v>
      </c>
      <c r="D12" s="41">
        <f>'M-ATW'!$F$171</f>
        <v>1372628.1255146163</v>
      </c>
      <c r="E12" s="41">
        <f>'M-ATW'!$F$172</f>
        <v>865858.48430567526</v>
      </c>
      <c r="F12" s="41">
        <f>'M-ATW'!$F$173</f>
        <v>0</v>
      </c>
      <c r="G12" s="41">
        <f>'M-ATW'!$F$174</f>
        <v>1100364.5400056299</v>
      </c>
      <c r="H12" s="41">
        <f>'M-ATW'!$F$175</f>
        <v>999043.41577107809</v>
      </c>
      <c r="I12" s="41">
        <f>'M-ATW'!$F$176</f>
        <v>4797.2113499579254</v>
      </c>
      <c r="J12" s="41">
        <f>'M-ATW'!$F$177</f>
        <v>0</v>
      </c>
      <c r="K12" s="41">
        <f>'M-ATW'!$F$178</f>
        <v>0</v>
      </c>
      <c r="L12" s="41">
        <f>'M-ATW'!$F$179</f>
        <v>751401.30127090751</v>
      </c>
      <c r="M12" s="41">
        <f>'M-ATW'!$F$180</f>
        <v>534002.01370340365</v>
      </c>
      <c r="N12" s="41">
        <f>'M-ATW'!$F$181</f>
        <v>211227.37050978409</v>
      </c>
      <c r="O12" s="41">
        <f>'M-ATW'!$F$182</f>
        <v>540624.69402221299</v>
      </c>
      <c r="P12" s="41">
        <f>'M-ATW'!$F$183</f>
        <v>341027.89345715492</v>
      </c>
      <c r="Q12" s="41">
        <f>'M-ATW'!$F$184</f>
        <v>0</v>
      </c>
      <c r="R12" s="41">
        <f>'M-ATW'!$F$185</f>
        <v>619129.54915323143</v>
      </c>
      <c r="S12" s="41">
        <f>'M-ATW'!$F$186</f>
        <v>562120.34930504719</v>
      </c>
      <c r="T12" s="41">
        <f>'M-ATW'!$F$187</f>
        <v>62981.149568060791</v>
      </c>
      <c r="U12" s="41">
        <f>'M-ATW'!$F$188</f>
        <v>374056.59058455378</v>
      </c>
      <c r="V12" s="41">
        <f>'M-ATW'!$F$189</f>
        <v>0</v>
      </c>
      <c r="W12" s="41">
        <f>'M-ATW'!$F$190</f>
        <v>4180591.2022792459</v>
      </c>
      <c r="X12" s="41">
        <f>'M-ATW'!$F$191</f>
        <v>1108.8054923348661</v>
      </c>
      <c r="Y12" s="39">
        <f t="shared" si="0"/>
        <v>14413075.328293623</v>
      </c>
      <c r="Z12" s="17"/>
    </row>
    <row r="13" spans="1:26">
      <c r="A13" s="4" t="s">
        <v>227</v>
      </c>
      <c r="B13" s="41">
        <f>'M-ATW'!$C$201</f>
        <v>5080.1368819524305</v>
      </c>
      <c r="C13" s="41">
        <f>'M-ATW'!$C$202</f>
        <v>2009.4754848632247</v>
      </c>
      <c r="D13" s="41">
        <f>'M-ATW'!$C$203</f>
        <v>5635.1723725830889</v>
      </c>
      <c r="E13" s="41">
        <f>'M-ATW'!$C$204</f>
        <v>3554.6858749500775</v>
      </c>
      <c r="F13" s="41">
        <f>'M-ATW'!$C$205</f>
        <v>0</v>
      </c>
      <c r="G13" s="41">
        <f>'M-ATW'!$C$206</f>
        <v>4517.4244504753115</v>
      </c>
      <c r="H13" s="41">
        <f>'M-ATW'!$C$207</f>
        <v>4101.4618241583385</v>
      </c>
      <c r="I13" s="41">
        <f>'M-ATW'!$C$208</f>
        <v>0</v>
      </c>
      <c r="J13" s="10"/>
      <c r="K13" s="10"/>
      <c r="L13" s="41">
        <f>'M-ATW'!$C$209</f>
        <v>1006.2902732438801</v>
      </c>
      <c r="M13" s="41">
        <f>'M-ATW'!$C$210</f>
        <v>2000.8678216227088</v>
      </c>
      <c r="N13" s="41">
        <f>'M-ATW'!$C$211</f>
        <v>791.45403547812623</v>
      </c>
      <c r="O13" s="41">
        <f>'M-ATW'!$C$212</f>
        <v>2219.4746581838999</v>
      </c>
      <c r="P13" s="41">
        <f>'M-ATW'!$C$213</f>
        <v>1400.0521537976488</v>
      </c>
      <c r="Q13" s="41">
        <f>'M-ATW'!$C$214</f>
        <v>0</v>
      </c>
      <c r="R13" s="41">
        <f>'M-ATW'!$C$215</f>
        <v>2541.7676248838907</v>
      </c>
      <c r="S13" s="41">
        <f>'M-ATW'!$C$216</f>
        <v>2307.7226843818057</v>
      </c>
      <c r="T13" s="41">
        <f>'M-ATW'!$C$217</f>
        <v>0</v>
      </c>
      <c r="U13" s="10"/>
      <c r="V13" s="10"/>
      <c r="W13" s="41">
        <f>'M-ATW'!$C$218</f>
        <v>116296.39502358597</v>
      </c>
      <c r="X13" s="41">
        <f>'M-ATW'!$C$219</f>
        <v>-23.252488056964445</v>
      </c>
      <c r="Y13" s="39">
        <f t="shared" si="0"/>
        <v>153439.12867610343</v>
      </c>
      <c r="Z13" s="17"/>
    </row>
    <row r="14" spans="1:26">
      <c r="A14" s="4" t="s">
        <v>184</v>
      </c>
      <c r="B14" s="41">
        <f>'M-ATW'!$F$229</f>
        <v>155.40607537418779</v>
      </c>
      <c r="C14" s="41">
        <f>'M-ATW'!$F$230</f>
        <v>61.471709507011866</v>
      </c>
      <c r="D14" s="41">
        <f>'M-ATW'!$F$231</f>
        <v>156.64432204321724</v>
      </c>
      <c r="E14" s="41">
        <f>'M-ATW'!$F$232</f>
        <v>98.811770455730681</v>
      </c>
      <c r="F14" s="41">
        <f>'M-ATW'!$F$233</f>
        <v>0</v>
      </c>
      <c r="G14" s="41">
        <f>'M-ATW'!$F$234</f>
        <v>125.57360159362628</v>
      </c>
      <c r="H14" s="41">
        <f>'M-ATW'!$F$235</f>
        <v>114.01083486944343</v>
      </c>
      <c r="I14" s="41">
        <f>'M-ATW'!$F$236</f>
        <v>2.2282475648086906</v>
      </c>
      <c r="J14" s="41">
        <f>'M-ATW'!$F$237</f>
        <v>0</v>
      </c>
      <c r="K14" s="41">
        <f>'M-ATW'!$F$238</f>
        <v>0</v>
      </c>
      <c r="L14" s="41">
        <f>'M-ATW'!$F$239</f>
        <v>88.190288616444903</v>
      </c>
      <c r="M14" s="41">
        <f>'M-ATW'!$F$240</f>
        <v>61.208393144985592</v>
      </c>
      <c r="N14" s="41">
        <f>'M-ATW'!$F$241</f>
        <v>24.211309330989504</v>
      </c>
      <c r="O14" s="41">
        <f>'M-ATW'!$F$242</f>
        <v>61.696090223403758</v>
      </c>
      <c r="P14" s="41">
        <f>'M-ATW'!$F$243</f>
        <v>38.918103290645206</v>
      </c>
      <c r="Q14" s="41">
        <f>'M-ATW'!$F$244</f>
        <v>0</v>
      </c>
      <c r="R14" s="41">
        <f>'M-ATW'!$F$245</f>
        <v>70.655064311515872</v>
      </c>
      <c r="S14" s="41">
        <f>'M-ATW'!$F$246</f>
        <v>64.149174409910444</v>
      </c>
      <c r="T14" s="41">
        <f>'M-ATW'!$F$247</f>
        <v>29.2539942304427</v>
      </c>
      <c r="U14" s="41">
        <f>'M-ATW'!$F$248</f>
        <v>53.695748036318427</v>
      </c>
      <c r="V14" s="41">
        <f>'M-ATW'!$F$249</f>
        <v>0</v>
      </c>
      <c r="W14" s="41">
        <f>'M-ATW'!$F$250</f>
        <v>467.48520488187472</v>
      </c>
      <c r="X14" s="41">
        <f>'M-ATW'!$F$251</f>
        <v>3.3243804706390281E-2</v>
      </c>
      <c r="Y14" s="39">
        <f t="shared" si="0"/>
        <v>1673.6431756892637</v>
      </c>
      <c r="Z14" s="17"/>
    </row>
    <row r="15" spans="1:26">
      <c r="A15" s="4" t="s">
        <v>185</v>
      </c>
      <c r="B15" s="41">
        <f>'M-ATW'!$F$261</f>
        <v>0.90067446889388703</v>
      </c>
      <c r="C15" s="41">
        <f>'M-ATW'!$F$262</f>
        <v>0.35626663358505517</v>
      </c>
      <c r="D15" s="41">
        <f>'M-ATW'!$F$263</f>
        <v>0.91120223898820463</v>
      </c>
      <c r="E15" s="41">
        <f>'M-ATW'!$F$264</f>
        <v>0.57478946765021899</v>
      </c>
      <c r="F15" s="41">
        <f>'M-ATW'!$F$265</f>
        <v>0</v>
      </c>
      <c r="G15" s="41">
        <f>'M-ATW'!$F$266</f>
        <v>0.73046341825499672</v>
      </c>
      <c r="H15" s="41">
        <f>'M-ATW'!$F$267</f>
        <v>2.2456562453723225E-2</v>
      </c>
      <c r="I15" s="41">
        <f>'M-ATW'!$F$268</f>
        <v>0</v>
      </c>
      <c r="J15" s="41">
        <f>'M-ATW'!$F$269</f>
        <v>0</v>
      </c>
      <c r="K15" s="41">
        <f>'M-ATW'!$F$270</f>
        <v>0</v>
      </c>
      <c r="L15" s="41">
        <f>'M-ATW'!$F$271</f>
        <v>0.45205934294081007</v>
      </c>
      <c r="M15" s="41">
        <f>'M-ATW'!$F$272</f>
        <v>0.35474055216289685</v>
      </c>
      <c r="N15" s="41">
        <f>'M-ATW'!$F$273</f>
        <v>0.14031953461541793</v>
      </c>
      <c r="O15" s="41">
        <f>'M-ATW'!$F$274</f>
        <v>0.35888703028044422</v>
      </c>
      <c r="P15" s="41">
        <f>'M-ATW'!$F$275</f>
        <v>0.22638715781748087</v>
      </c>
      <c r="Q15" s="41">
        <f>'M-ATW'!$F$276</f>
        <v>0</v>
      </c>
      <c r="R15" s="41">
        <f>'M-ATW'!$F$277</f>
        <v>0.41100150938599916</v>
      </c>
      <c r="S15" s="41">
        <f>'M-ATW'!$F$278</f>
        <v>0.2948254757828932</v>
      </c>
      <c r="T15" s="41">
        <f>'M-ATW'!$F$279</f>
        <v>0</v>
      </c>
      <c r="U15" s="41">
        <f>'M-ATW'!$F$280</f>
        <v>0.16508947183018549</v>
      </c>
      <c r="V15" s="41">
        <f>'M-ATW'!$F$281</f>
        <v>0</v>
      </c>
      <c r="W15" s="41">
        <f>'M-ATW'!$F$282</f>
        <v>2.4359301630768764</v>
      </c>
      <c r="X15" s="41">
        <f>'M-ATW'!$F$283</f>
        <v>-1.2884890587563404E-3</v>
      </c>
      <c r="Y15" s="39">
        <f t="shared" si="0"/>
        <v>8.333804538660333</v>
      </c>
      <c r="Z15" s="17"/>
    </row>
    <row r="16" spans="1:26">
      <c r="A16" s="4" t="s">
        <v>205</v>
      </c>
      <c r="B16" s="41">
        <f>'M-ATW'!$F$293</f>
        <v>3.7213105072806267</v>
      </c>
      <c r="C16" s="41">
        <f>'M-ATW'!$F$294</f>
        <v>1.4719843991822525</v>
      </c>
      <c r="D16" s="41">
        <f>'M-ATW'!$F$295</f>
        <v>3.6627873117328149</v>
      </c>
      <c r="E16" s="41">
        <f>'M-ATW'!$F$296</f>
        <v>0.87236515570133466</v>
      </c>
      <c r="F16" s="41">
        <f>'M-ATW'!$F$297</f>
        <v>0</v>
      </c>
      <c r="G16" s="41">
        <f>'M-ATW'!$F$298</f>
        <v>0.26754216264896657</v>
      </c>
      <c r="H16" s="41">
        <f>'M-ATW'!$F$299</f>
        <v>0</v>
      </c>
      <c r="I16" s="41">
        <f>'M-ATW'!$F$300</f>
        <v>0</v>
      </c>
      <c r="J16" s="41">
        <f>'M-ATW'!$F$301</f>
        <v>0</v>
      </c>
      <c r="K16" s="41">
        <f>'M-ATW'!$F$302</f>
        <v>0</v>
      </c>
      <c r="L16" s="41">
        <f>'M-ATW'!$F$303</f>
        <v>1.8172163529218175</v>
      </c>
      <c r="M16" s="41">
        <f>'M-ATW'!$F$304</f>
        <v>1.465679099068419</v>
      </c>
      <c r="N16" s="41">
        <f>'M-ATW'!$F$305</f>
        <v>0.57975725589552818</v>
      </c>
      <c r="O16" s="41">
        <f>'M-ATW'!$F$306</f>
        <v>1.4426290944108384</v>
      </c>
      <c r="P16" s="41">
        <f>'M-ATW'!$F$307</f>
        <v>0.79904794790016109</v>
      </c>
      <c r="Q16" s="41">
        <f>'M-ATW'!$F$308</f>
        <v>0</v>
      </c>
      <c r="R16" s="41">
        <f>'M-ATW'!$F$309</f>
        <v>1.1708269473197737</v>
      </c>
      <c r="S16" s="41">
        <f>'M-ATW'!$F$310</f>
        <v>0</v>
      </c>
      <c r="T16" s="41">
        <f>'M-ATW'!$F$311</f>
        <v>0</v>
      </c>
      <c r="U16" s="41">
        <f>'M-ATW'!$F$312</f>
        <v>0</v>
      </c>
      <c r="V16" s="41">
        <f>'M-ATW'!$F$313</f>
        <v>0.36300973670768821</v>
      </c>
      <c r="W16" s="41">
        <f>'M-ATW'!$F$314</f>
        <v>9.2308935399966572</v>
      </c>
      <c r="X16" s="41">
        <f>'M-ATW'!$F$315</f>
        <v>-1.7192002278636933E-3</v>
      </c>
      <c r="Y16" s="39">
        <f t="shared" si="0"/>
        <v>26.863330310539016</v>
      </c>
      <c r="Z16" s="17"/>
    </row>
    <row r="17" spans="1:26">
      <c r="A17" s="4" t="s">
        <v>186</v>
      </c>
      <c r="B17" s="41">
        <f>'M-ATW'!$G$325</f>
        <v>1476.5793622646938</v>
      </c>
      <c r="C17" s="41">
        <f>'M-ATW'!$G$326</f>
        <v>584.06891366783861</v>
      </c>
      <c r="D17" s="41">
        <f>'M-ATW'!$G$327</f>
        <v>1462.9363065981886</v>
      </c>
      <c r="E17" s="41">
        <f>'M-ATW'!$G$328</f>
        <v>922.82519170438013</v>
      </c>
      <c r="F17" s="41">
        <f>'M-ATW'!$G$329</f>
        <v>0</v>
      </c>
      <c r="G17" s="41">
        <f>'M-ATW'!$G$330</f>
        <v>1172.7599093628719</v>
      </c>
      <c r="H17" s="41">
        <f>'M-ATW'!$G$331</f>
        <v>1064.7726486381225</v>
      </c>
      <c r="I17" s="41">
        <f>'M-ATW'!$G$332</f>
        <v>47.671635064760068</v>
      </c>
      <c r="J17" s="41">
        <f>'M-ATW'!$G$333</f>
        <v>0</v>
      </c>
      <c r="K17" s="41">
        <f>'M-ATW'!$G$334</f>
        <v>0</v>
      </c>
      <c r="L17" s="41">
        <f>'M-ATW'!$G$335</f>
        <v>847.54512080485733</v>
      </c>
      <c r="M17" s="41">
        <f>'M-ATW'!$G$336</f>
        <v>581.56703267651687</v>
      </c>
      <c r="N17" s="41">
        <f>'M-ATW'!$G$337</f>
        <v>230.0419697586907</v>
      </c>
      <c r="O17" s="41">
        <f>'M-ATW'!$G$338</f>
        <v>576.19356505033977</v>
      </c>
      <c r="P17" s="41">
        <f>'M-ATW'!$G$339</f>
        <v>363.46485812690588</v>
      </c>
      <c r="Q17" s="41">
        <f>'M-ATW'!$G$340</f>
        <v>0</v>
      </c>
      <c r="R17" s="41">
        <f>'M-ATW'!$G$341</f>
        <v>659.86342484746456</v>
      </c>
      <c r="S17" s="41">
        <f>'M-ATW'!$G$342</f>
        <v>599.10346611009504</v>
      </c>
      <c r="T17" s="41">
        <f>'M-ATW'!$G$343</f>
        <v>625.8666043959056</v>
      </c>
      <c r="U17" s="41">
        <f>'M-ATW'!$G$344</f>
        <v>3717.1364734788285</v>
      </c>
      <c r="V17" s="41">
        <f>'M-ATW'!$G$345</f>
        <v>0</v>
      </c>
      <c r="W17" s="41">
        <f>'M-ATW'!$G$346</f>
        <v>3771.8716060132947</v>
      </c>
      <c r="X17" s="41">
        <f>'M-ATW'!$G$347</f>
        <v>0.44762682234032769</v>
      </c>
      <c r="Y17" s="39">
        <f t="shared" si="0"/>
        <v>18704.715715386094</v>
      </c>
      <c r="Z17" s="17"/>
    </row>
    <row r="18" spans="1:26">
      <c r="A18" s="4" t="s">
        <v>187</v>
      </c>
      <c r="B18" s="41">
        <f>'M-ATW'!$G$357</f>
        <v>457758.2501918145</v>
      </c>
      <c r="C18" s="41">
        <f>'M-ATW'!$G$358</f>
        <v>181068.73951018695</v>
      </c>
      <c r="D18" s="41">
        <f>'M-ATW'!$G$359</f>
        <v>462111.93121636903</v>
      </c>
      <c r="E18" s="41">
        <f>'M-ATW'!$G$360</f>
        <v>291501.77597633161</v>
      </c>
      <c r="F18" s="41">
        <f>'M-ATW'!$G$361</f>
        <v>0</v>
      </c>
      <c r="G18" s="41">
        <f>'M-ATW'!$G$362</f>
        <v>370451.08807847928</v>
      </c>
      <c r="H18" s="41">
        <f>'M-ATW'!$G$363</f>
        <v>336340.10089796514</v>
      </c>
      <c r="I18" s="41">
        <f>'M-ATW'!$G$364</f>
        <v>501.40311882519302</v>
      </c>
      <c r="J18" s="41">
        <f>'M-ATW'!$G$365</f>
        <v>0</v>
      </c>
      <c r="K18" s="41">
        <f>'M-ATW'!$G$366</f>
        <v>0</v>
      </c>
      <c r="L18" s="41">
        <f>'M-ATW'!$G$367</f>
        <v>257547.39988056693</v>
      </c>
      <c r="M18" s="41">
        <f>'M-ATW'!$G$368</f>
        <v>180293.12480633578</v>
      </c>
      <c r="N18" s="41">
        <f>'M-ATW'!$G$369</f>
        <v>71315.91585155834</v>
      </c>
      <c r="O18" s="41">
        <f>'M-ATW'!$G$370</f>
        <v>182007.86999333795</v>
      </c>
      <c r="P18" s="41">
        <f>'M-ATW'!$G$371</f>
        <v>114811.1826610374</v>
      </c>
      <c r="Q18" s="41">
        <f>'M-ATW'!$G$372</f>
        <v>0</v>
      </c>
      <c r="R18" s="41">
        <f>'M-ATW'!$G$373</f>
        <v>208437.48304010188</v>
      </c>
      <c r="S18" s="41">
        <f>'M-ATW'!$G$374</f>
        <v>189244.64344338488</v>
      </c>
      <c r="T18" s="41">
        <f>'M-ATW'!$G$375</f>
        <v>6582.7712220556232</v>
      </c>
      <c r="U18" s="41">
        <f>'M-ATW'!$G$376</f>
        <v>39096.28479009134</v>
      </c>
      <c r="V18" s="41">
        <f>'M-ATW'!$G$377</f>
        <v>0</v>
      </c>
      <c r="W18" s="41">
        <f>'M-ATW'!$G$378</f>
        <v>1241308.8656869731</v>
      </c>
      <c r="X18" s="41">
        <f>'M-ATW'!$G$379</f>
        <v>-342.60521972392411</v>
      </c>
      <c r="Y18" s="39">
        <f t="shared" si="0"/>
        <v>4590036.2251456911</v>
      </c>
      <c r="Z18" s="17"/>
    </row>
    <row r="19" spans="1:26">
      <c r="A19" s="4" t="s">
        <v>188</v>
      </c>
      <c r="B19" s="41">
        <f>'M-ATW'!$J$389</f>
        <v>4899449.3962426074</v>
      </c>
      <c r="C19" s="41">
        <f>'M-ATW'!$J$390</f>
        <v>1931376.4976450652</v>
      </c>
      <c r="D19" s="41">
        <f>'M-ATW'!$J$391</f>
        <v>4925264.7383092893</v>
      </c>
      <c r="E19" s="41">
        <f>'M-ATW'!$J$392</f>
        <v>3108679.3152024327</v>
      </c>
      <c r="F19" s="41">
        <f>'M-ATW'!$J$393</f>
        <v>0</v>
      </c>
      <c r="G19" s="41">
        <f>'M-ATW'!$J$394</f>
        <v>4695559.7850424908</v>
      </c>
      <c r="H19" s="41">
        <f>'M-ATW'!$J$395</f>
        <v>6968567.5752928201</v>
      </c>
      <c r="I19" s="41">
        <f>'M-ATW'!$J$396</f>
        <v>198837.76697731574</v>
      </c>
      <c r="J19" s="41">
        <f>'M-ATW'!$J$397</f>
        <v>0</v>
      </c>
      <c r="K19" s="41">
        <f>'M-ATW'!$J$398</f>
        <v>0</v>
      </c>
      <c r="L19" s="41">
        <f>'M-ATW'!$J$399</f>
        <v>2768732.9177360092</v>
      </c>
      <c r="M19" s="41">
        <f>'M-ATW'!$J$400</f>
        <v>1929702.0667764037</v>
      </c>
      <c r="N19" s="41">
        <f>'M-ATW'!$J$401</f>
        <v>760693.8898251059</v>
      </c>
      <c r="O19" s="41">
        <f>'M-ATW'!$J$402</f>
        <v>1939869.7233663101</v>
      </c>
      <c r="P19" s="41">
        <f>'M-ATW'!$J$403</f>
        <v>1224387.5616087995</v>
      </c>
      <c r="Q19" s="41">
        <f>'M-ATW'!$J$404</f>
        <v>0</v>
      </c>
      <c r="R19" s="41">
        <f>'M-ATW'!$J$405</f>
        <v>2638347.4973675222</v>
      </c>
      <c r="S19" s="41">
        <f>'M-ATW'!$J$406</f>
        <v>3904357.0480419458</v>
      </c>
      <c r="T19" s="41">
        <f>'M-ATW'!$J$407</f>
        <v>1977439.6827397838</v>
      </c>
      <c r="U19" s="41">
        <f>'M-ATW'!$J$408</f>
        <v>678048.2148760882</v>
      </c>
      <c r="V19" s="41">
        <f>'M-ATW'!$J$409</f>
        <v>0</v>
      </c>
      <c r="W19" s="41">
        <f>'M-ATW'!$J$410</f>
        <v>14041729.470408158</v>
      </c>
      <c r="X19" s="41">
        <f>'M-ATW'!$J$411</f>
        <v>26370.026303438521</v>
      </c>
      <c r="Y19" s="39">
        <f t="shared" si="0"/>
        <v>58617413.173761584</v>
      </c>
      <c r="Z19" s="17"/>
    </row>
    <row r="20" spans="1:26">
      <c r="A20" s="4" t="s">
        <v>189</v>
      </c>
      <c r="B20" s="41">
        <f>'M-ATW'!$J$421</f>
        <v>2204194.6678831759</v>
      </c>
      <c r="C20" s="41">
        <f>'M-ATW'!$J$422</f>
        <v>869030.88128590002</v>
      </c>
      <c r="D20" s="41">
        <f>'M-ATW'!$J$423</f>
        <v>2222355.356453063</v>
      </c>
      <c r="E20" s="41">
        <f>'M-ATW'!$J$424</f>
        <v>1402645.8573027994</v>
      </c>
      <c r="F20" s="41">
        <f>'M-ATW'!$J$425</f>
        <v>0</v>
      </c>
      <c r="G20" s="41">
        <f>'M-ATW'!$J$426</f>
        <v>3742022.9774072254</v>
      </c>
      <c r="H20" s="41">
        <f>'M-ATW'!$J$427</f>
        <v>191406.1412300794</v>
      </c>
      <c r="I20" s="41">
        <f>'M-ATW'!$J$428</f>
        <v>0</v>
      </c>
      <c r="J20" s="41">
        <f>'M-ATW'!$J$429</f>
        <v>0</v>
      </c>
      <c r="K20" s="41">
        <f>'M-ATW'!$J$430</f>
        <v>0</v>
      </c>
      <c r="L20" s="41">
        <f>'M-ATW'!$J$431</f>
        <v>1237171.4971496679</v>
      </c>
      <c r="M20" s="41">
        <f>'M-ATW'!$J$432</f>
        <v>868146.32873923762</v>
      </c>
      <c r="N20" s="41">
        <f>'M-ATW'!$J$433</f>
        <v>342277.37692239293</v>
      </c>
      <c r="O20" s="41">
        <f>'M-ATW'!$J$434</f>
        <v>875299.11580430449</v>
      </c>
      <c r="P20" s="41">
        <f>'M-ATW'!$J$435</f>
        <v>552447.50805434084</v>
      </c>
      <c r="Q20" s="41">
        <f>'M-ATW'!$J$436</f>
        <v>0</v>
      </c>
      <c r="R20" s="41">
        <f>'M-ATW'!$J$437</f>
        <v>2096584.9334051826</v>
      </c>
      <c r="S20" s="41">
        <f>'M-ATW'!$J$438</f>
        <v>1903532.2360647644</v>
      </c>
      <c r="T20" s="41">
        <f>'M-ATW'!$J$439</f>
        <v>0</v>
      </c>
      <c r="U20" s="41">
        <f>'M-ATW'!$J$440</f>
        <v>358278.84353084769</v>
      </c>
      <c r="V20" s="41">
        <f>'M-ATW'!$J$441</f>
        <v>0</v>
      </c>
      <c r="W20" s="41">
        <f>'M-ATW'!$J$442</f>
        <v>7013330.616381567</v>
      </c>
      <c r="X20" s="41">
        <f>'M-ATW'!$J$443</f>
        <v>-11846.512281518115</v>
      </c>
      <c r="Y20" s="39">
        <f t="shared" si="0"/>
        <v>25866877.825333033</v>
      </c>
      <c r="Z20" s="17"/>
    </row>
    <row r="21" spans="1:26">
      <c r="A21" s="4" t="s">
        <v>206</v>
      </c>
      <c r="B21" s="41">
        <f>'M-ATW'!$J$453</f>
        <v>7066592.7388390861</v>
      </c>
      <c r="C21" s="41">
        <f>'M-ATW'!$J$454</f>
        <v>2786034.1515659699</v>
      </c>
      <c r="D21" s="41">
        <f>'M-ATW'!$J$455</f>
        <v>8837820.1333276667</v>
      </c>
      <c r="E21" s="41">
        <f>'M-ATW'!$J$456</f>
        <v>4367867.1135337157</v>
      </c>
      <c r="F21" s="41">
        <f>'M-ATW'!$J$457</f>
        <v>0</v>
      </c>
      <c r="G21" s="41">
        <f>'M-ATW'!$J$458</f>
        <v>1454576.6428763957</v>
      </c>
      <c r="H21" s="41">
        <f>'M-ATW'!$J$459</f>
        <v>0</v>
      </c>
      <c r="I21" s="41">
        <f>'M-ATW'!$J$460</f>
        <v>0</v>
      </c>
      <c r="J21" s="41">
        <f>'M-ATW'!$J$461</f>
        <v>0</v>
      </c>
      <c r="K21" s="41">
        <f>'M-ATW'!$J$462</f>
        <v>0</v>
      </c>
      <c r="L21" s="41">
        <f>'M-ATW'!$J$463</f>
        <v>3981394.2604597732</v>
      </c>
      <c r="M21" s="41">
        <f>'M-ATW'!$J$464</f>
        <v>2783255.3232742231</v>
      </c>
      <c r="N21" s="41">
        <f>'M-ATW'!$J$465</f>
        <v>1097310.212961792</v>
      </c>
      <c r="O21" s="41">
        <f>'M-ATW'!$J$466</f>
        <v>3480872.7262617545</v>
      </c>
      <c r="P21" s="41">
        <f>'M-ATW'!$J$467</f>
        <v>3948945.1354951374</v>
      </c>
      <c r="Q21" s="41">
        <f>'M-ATW'!$J$468</f>
        <v>0</v>
      </c>
      <c r="R21" s="41">
        <f>'M-ATW'!$J$469</f>
        <v>5786300.2968411865</v>
      </c>
      <c r="S21" s="41">
        <f>'M-ATW'!$J$470</f>
        <v>0</v>
      </c>
      <c r="T21" s="41">
        <f>'M-ATW'!$J$471</f>
        <v>0</v>
      </c>
      <c r="U21" s="41">
        <f>'M-ATW'!$J$472</f>
        <v>0</v>
      </c>
      <c r="V21" s="41">
        <f>'M-ATW'!$J$473</f>
        <v>814329.22853053256</v>
      </c>
      <c r="W21" s="41">
        <f>'M-ATW'!$J$474</f>
        <v>26549977.537362318</v>
      </c>
      <c r="X21" s="41">
        <f>'M-ATW'!$J$475</f>
        <v>23244.224397649625</v>
      </c>
      <c r="Y21" s="39">
        <f t="shared" si="0"/>
        <v>72978519.725727201</v>
      </c>
      <c r="Z21" s="17"/>
    </row>
    <row r="22" spans="1:26">
      <c r="A22" s="4" t="s">
        <v>228</v>
      </c>
      <c r="B22" s="41">
        <f>'M-ATW'!$C$485</f>
        <v>29157.910418742082</v>
      </c>
      <c r="C22" s="41">
        <f>'M-ATW'!$C$486</f>
        <v>11533.568393492131</v>
      </c>
      <c r="D22" s="41">
        <f>'M-ATW'!$C$487</f>
        <v>29141.589915211305</v>
      </c>
      <c r="E22" s="41">
        <f>'M-ATW'!$C$488</f>
        <v>18382.613910655818</v>
      </c>
      <c r="F22" s="41">
        <f>'M-ATW'!$C$489</f>
        <v>0</v>
      </c>
      <c r="G22" s="41">
        <f>'M-ATW'!$C$490</f>
        <v>23361.296177769978</v>
      </c>
      <c r="H22" s="41">
        <f>'M-ATW'!$C$491</f>
        <v>21210.197422537574</v>
      </c>
      <c r="I22" s="41">
        <f>'M-ATW'!$C$492</f>
        <v>503.91948392944181</v>
      </c>
      <c r="J22" s="41">
        <f>'M-ATW'!$C$493</f>
        <v>0</v>
      </c>
      <c r="K22" s="10"/>
      <c r="L22" s="41">
        <f>'M-ATW'!$C$494</f>
        <v>16338.749726961834</v>
      </c>
      <c r="M22" s="41">
        <f>'M-ATW'!$C$495</f>
        <v>11484.163922802911</v>
      </c>
      <c r="N22" s="41">
        <f>'M-ATW'!$C$496</f>
        <v>4542.6228472320163</v>
      </c>
      <c r="O22" s="41">
        <f>'M-ATW'!$C$497</f>
        <v>11477.735912868091</v>
      </c>
      <c r="P22" s="41">
        <f>'M-ATW'!$C$498</f>
        <v>7240.1948029812211</v>
      </c>
      <c r="Q22" s="41">
        <f>'M-ATW'!$C$499</f>
        <v>0</v>
      </c>
      <c r="R22" s="41">
        <f>'M-ATW'!$C$500</f>
        <v>13144.433725666806</v>
      </c>
      <c r="S22" s="41">
        <f>'M-ATW'!$C$501</f>
        <v>11934.09955540692</v>
      </c>
      <c r="T22" s="41">
        <f>'M-ATW'!$C$502</f>
        <v>6615.8078250812396</v>
      </c>
      <c r="U22" s="41">
        <f>'M-ATW'!$C$503</f>
        <v>301687.96535645972</v>
      </c>
      <c r="V22" s="10"/>
      <c r="W22" s="41">
        <f>'M-ATW'!$C$504</f>
        <v>100346.59927415772</v>
      </c>
      <c r="X22" s="41">
        <f>'M-ATW'!$C$505</f>
        <v>32.317111058601995</v>
      </c>
      <c r="Y22" s="39">
        <f t="shared" si="0"/>
        <v>618135.78578301542</v>
      </c>
      <c r="Z22" s="17"/>
    </row>
    <row r="23" spans="1:26">
      <c r="A23" s="4" t="s">
        <v>229</v>
      </c>
      <c r="B23" s="41">
        <f>'M-ATW'!$C$515</f>
        <v>19533.168708230165</v>
      </c>
      <c r="C23" s="41">
        <f>'M-ATW'!$C$516</f>
        <v>7726.4500097093096</v>
      </c>
      <c r="D23" s="41">
        <f>'M-ATW'!$C$517</f>
        <v>17138.849834309709</v>
      </c>
      <c r="E23" s="41">
        <f>'M-ATW'!$C$518</f>
        <v>10811.244695073059</v>
      </c>
      <c r="F23" s="41">
        <f>'M-ATW'!$C$519</f>
        <v>0</v>
      </c>
      <c r="G23" s="41">
        <f>'M-ATW'!$C$520</f>
        <v>13739.324048227034</v>
      </c>
      <c r="H23" s="41">
        <f>'M-ATW'!$C$521</f>
        <v>12474.21261635369</v>
      </c>
      <c r="I23" s="41">
        <f>'M-ATW'!$C$522</f>
        <v>296.36682105465428</v>
      </c>
      <c r="J23" s="41">
        <f>'M-ATW'!$C$523</f>
        <v>0</v>
      </c>
      <c r="K23" s="10"/>
      <c r="L23" s="41">
        <f>'M-ATW'!$C$524</f>
        <v>13055.839968965487</v>
      </c>
      <c r="M23" s="41">
        <f>'M-ATW'!$C$525</f>
        <v>7693.3534727128499</v>
      </c>
      <c r="N23" s="41">
        <f>'M-ATW'!$C$526</f>
        <v>3043.1473716240289</v>
      </c>
      <c r="O23" s="41">
        <f>'M-ATW'!$C$527</f>
        <v>6750.3246329682452</v>
      </c>
      <c r="P23" s="41">
        <f>'M-ATW'!$C$528</f>
        <v>4258.1277089028372</v>
      </c>
      <c r="Q23" s="41">
        <f>'M-ATW'!$C$529</f>
        <v>0</v>
      </c>
      <c r="R23" s="41">
        <f>'M-ATW'!$C$530</f>
        <v>7730.5485540323152</v>
      </c>
      <c r="S23" s="41">
        <f>'M-ATW'!$C$531</f>
        <v>7018.7227527025734</v>
      </c>
      <c r="T23" s="41">
        <f>'M-ATW'!$C$532</f>
        <v>3890.9111402851986</v>
      </c>
      <c r="U23" s="41">
        <f>'M-ATW'!$C$533</f>
        <v>161020.01216196612</v>
      </c>
      <c r="V23" s="10"/>
      <c r="W23" s="41">
        <f>'M-ATW'!$C$534</f>
        <v>53558.021833736522</v>
      </c>
      <c r="X23" s="41">
        <f>'M-ATW'!$C$535</f>
        <v>35.775922202217089</v>
      </c>
      <c r="Y23" s="39">
        <f t="shared" si="0"/>
        <v>349774.402253056</v>
      </c>
      <c r="Z23" s="17"/>
    </row>
    <row r="24" spans="1:26">
      <c r="A24" s="4" t="s">
        <v>230</v>
      </c>
      <c r="B24" s="41">
        <f>'M-ATW'!$C$545</f>
        <v>1577.0402766000625</v>
      </c>
      <c r="C24" s="41">
        <f>'M-ATW'!$C$546</f>
        <v>623.8067690120597</v>
      </c>
      <c r="D24" s="41">
        <f>'M-ATW'!$C$547</f>
        <v>1371.9193888453897</v>
      </c>
      <c r="E24" s="41">
        <f>'M-ATW'!$C$548</f>
        <v>865.41141080719308</v>
      </c>
      <c r="F24" s="41">
        <f>'M-ATW'!$C$549</f>
        <v>0</v>
      </c>
      <c r="G24" s="41">
        <f>'M-ATW'!$C$550</f>
        <v>1099.796382698838</v>
      </c>
      <c r="H24" s="41">
        <f>'M-ATW'!$C$551</f>
        <v>998.5275741605609</v>
      </c>
      <c r="I24" s="41">
        <f>'M-ATW'!$C$552</f>
        <v>23.723376536120302</v>
      </c>
      <c r="J24" s="41">
        <f>'M-ATW'!$C$553</f>
        <v>0</v>
      </c>
      <c r="K24" s="10"/>
      <c r="L24" s="41">
        <f>'M-ATW'!$C$554</f>
        <v>1099.4961445576653</v>
      </c>
      <c r="M24" s="41">
        <f>'M-ATW'!$C$555</f>
        <v>621.13466943420622</v>
      </c>
      <c r="N24" s="41">
        <f>'M-ATW'!$C$556</f>
        <v>245.69316143051674</v>
      </c>
      <c r="O24" s="41">
        <f>'M-ATW'!$C$557</f>
        <v>540.34555028486659</v>
      </c>
      <c r="P24" s="41">
        <f>'M-ATW'!$C$558</f>
        <v>340.85180863940315</v>
      </c>
      <c r="Q24" s="41">
        <f>'M-ATW'!$C$559</f>
        <v>0</v>
      </c>
      <c r="R24" s="41">
        <f>'M-ATW'!$C$560</f>
        <v>618.80987056998651</v>
      </c>
      <c r="S24" s="41">
        <f>'M-ATW'!$C$561</f>
        <v>561.83010659716035</v>
      </c>
      <c r="T24" s="41">
        <f>'M-ATW'!$C$562</f>
        <v>311.45709806884389</v>
      </c>
      <c r="U24" s="41">
        <f>'M-ATW'!$C$563</f>
        <v>7103.2537785742998</v>
      </c>
      <c r="V24" s="10"/>
      <c r="W24" s="41">
        <f>'M-ATW'!$C$564</f>
        <v>2362.664217046402</v>
      </c>
      <c r="X24" s="41">
        <f>'M-ATW'!$C$565</f>
        <v>-0.81359298692323379</v>
      </c>
      <c r="Y24" s="39">
        <f t="shared" si="0"/>
        <v>20364.947990876652</v>
      </c>
      <c r="Z24" s="17"/>
    </row>
    <row r="25" spans="1:26">
      <c r="A25" s="4" t="s">
        <v>231</v>
      </c>
      <c r="B25" s="41">
        <f>'M-ATW'!$C$575</f>
        <v>7.5228002168203412E-2</v>
      </c>
      <c r="C25" s="41">
        <f>'M-ATW'!$C$576</f>
        <v>2.9756841133411375E-2</v>
      </c>
      <c r="D25" s="41">
        <f>'M-ATW'!$C$577</f>
        <v>8.4757648046159373E-2</v>
      </c>
      <c r="E25" s="41">
        <f>'M-ATW'!$C$578</f>
        <v>5.3465412303894927E-2</v>
      </c>
      <c r="F25" s="41">
        <f>'M-ATW'!$C$579</f>
        <v>0</v>
      </c>
      <c r="G25" s="41">
        <f>'M-ATW'!$C$580</f>
        <v>6.7945795857348598E-2</v>
      </c>
      <c r="H25" s="41">
        <f>'M-ATW'!$C$581</f>
        <v>6.168937430523036E-2</v>
      </c>
      <c r="I25" s="41">
        <f>'M-ATW'!$C$582</f>
        <v>1.4656382986228083E-3</v>
      </c>
      <c r="J25" s="41">
        <f>'M-ATW'!$C$583</f>
        <v>0</v>
      </c>
      <c r="K25" s="10"/>
      <c r="L25" s="41">
        <f>'M-ATW'!$C$584</f>
        <v>3.4019486240758394E-2</v>
      </c>
      <c r="M25" s="41">
        <f>'M-ATW'!$C$585</f>
        <v>2.9629376593780343E-2</v>
      </c>
      <c r="N25" s="41">
        <f>'M-ATW'!$C$586</f>
        <v>1.1720059376451143E-2</v>
      </c>
      <c r="O25" s="41">
        <f>'M-ATW'!$C$587</f>
        <v>3.3382732503618208E-2</v>
      </c>
      <c r="P25" s="41">
        <f>'M-ATW'!$C$588</f>
        <v>2.1057941062316426E-2</v>
      </c>
      <c r="Q25" s="41">
        <f>'M-ATW'!$C$589</f>
        <v>0</v>
      </c>
      <c r="R25" s="41">
        <f>'M-ATW'!$C$590</f>
        <v>3.8230284988829716E-2</v>
      </c>
      <c r="S25" s="41">
        <f>'M-ATW'!$C$591</f>
        <v>3.4710055724757188E-2</v>
      </c>
      <c r="T25" s="41">
        <f>'M-ATW'!$C$592</f>
        <v>1.9241925811555254E-2</v>
      </c>
      <c r="U25" s="41">
        <f>'M-ATW'!$C$593</f>
        <v>0.88790672232178747</v>
      </c>
      <c r="V25" s="10"/>
      <c r="W25" s="41">
        <f>'M-ATW'!$C$594</f>
        <v>0.29533302713080023</v>
      </c>
      <c r="X25" s="41">
        <f>'M-ATW'!$C$595</f>
        <v>1.3076721726335144E-4</v>
      </c>
      <c r="Y25" s="39">
        <f t="shared" si="0"/>
        <v>1.7796710910847886</v>
      </c>
      <c r="Z25" s="17"/>
    </row>
    <row r="26" spans="1:26">
      <c r="A26" s="4" t="s">
        <v>232</v>
      </c>
      <c r="B26" s="41">
        <f>'M-ATW'!$F$605</f>
        <v>460120.4891525546</v>
      </c>
      <c r="C26" s="41">
        <f>'M-ATW'!$F$606</f>
        <v>182003.13584463598</v>
      </c>
      <c r="D26" s="41">
        <f>'M-ATW'!$F$607</f>
        <v>410439.99478202849</v>
      </c>
      <c r="E26" s="41">
        <f>'M-ATW'!$F$608</f>
        <v>258906.9429472448</v>
      </c>
      <c r="F26" s="41">
        <f>'M-ATW'!$F$609</f>
        <v>0</v>
      </c>
      <c r="G26" s="41">
        <f>'M-ATW'!$F$610</f>
        <v>329028.38552059862</v>
      </c>
      <c r="H26" s="41">
        <f>'M-ATW'!$F$611</f>
        <v>298731.58412980137</v>
      </c>
      <c r="I26" s="41">
        <f>'M-ATW'!$F$612</f>
        <v>7097.3722077738221</v>
      </c>
      <c r="J26" s="41">
        <f>'M-ATW'!$F$613</f>
        <v>0</v>
      </c>
      <c r="K26" s="10"/>
      <c r="L26" s="41">
        <f>'M-ATW'!$F$614</f>
        <v>302699.33936717536</v>
      </c>
      <c r="M26" s="41">
        <f>'M-ATW'!$F$615</f>
        <v>181223.51861921107</v>
      </c>
      <c r="N26" s="41">
        <f>'M-ATW'!$F$616</f>
        <v>71683.938131604213</v>
      </c>
      <c r="O26" s="41">
        <f>'M-ATW'!$F$617</f>
        <v>161656.30914077465</v>
      </c>
      <c r="P26" s="41">
        <f>'M-ATW'!$F$618</f>
        <v>101973.34894227357</v>
      </c>
      <c r="Q26" s="41">
        <f>'M-ATW'!$F$619</f>
        <v>0</v>
      </c>
      <c r="R26" s="41">
        <f>'M-ATW'!$F$620</f>
        <v>185130.64405450725</v>
      </c>
      <c r="S26" s="41">
        <f>'M-ATW'!$F$621</f>
        <v>168083.88881667191</v>
      </c>
      <c r="T26" s="41">
        <f>'M-ATW'!$F$622</f>
        <v>93179.271862166614</v>
      </c>
      <c r="U26" s="41">
        <f>'M-ATW'!$F$623</f>
        <v>3728355.9533418897</v>
      </c>
      <c r="V26" s="10"/>
      <c r="W26" s="41">
        <f>'M-ATW'!$F$624</f>
        <v>1240115.2308457771</v>
      </c>
      <c r="X26" s="41">
        <f>'M-ATW'!$F$625</f>
        <v>974.32683301449242</v>
      </c>
      <c r="Y26" s="39">
        <f t="shared" si="0"/>
        <v>8181403.6745397029</v>
      </c>
      <c r="Z26" s="17"/>
    </row>
    <row r="27" spans="1:26">
      <c r="A27" s="4" t="s">
        <v>190</v>
      </c>
      <c r="B27" s="41">
        <f>'M-ATW'!$D$635</f>
        <v>-4443.5817994594472</v>
      </c>
      <c r="C27" s="41">
        <f>'M-ATW'!$D$636</f>
        <v>-1757.6826960549181</v>
      </c>
      <c r="D27" s="41">
        <f>'M-ATW'!$D$637</f>
        <v>-4438.2676419703685</v>
      </c>
      <c r="E27" s="41">
        <f>'M-ATW'!$D$638</f>
        <v>-2799.6743050697928</v>
      </c>
      <c r="F27" s="41">
        <f>'M-ATW'!$D$639</f>
        <v>0</v>
      </c>
      <c r="G27" s="41">
        <f>'M-ATW'!$D$640</f>
        <v>-3557.9282119456984</v>
      </c>
      <c r="H27" s="41">
        <f>'M-ATW'!$D$641</f>
        <v>-3230.3156133260436</v>
      </c>
      <c r="I27" s="41">
        <f>'M-ATW'!$D$642</f>
        <v>0</v>
      </c>
      <c r="J27" s="41">
        <f>'M-ATW'!$D$643</f>
        <v>0</v>
      </c>
      <c r="K27" s="41">
        <f>'M-ATW'!$D$644</f>
        <v>0</v>
      </c>
      <c r="L27" s="41">
        <f>'M-ATW'!$D$645</f>
        <v>-2493.2416292671383</v>
      </c>
      <c r="M27" s="41">
        <f>'M-ATW'!$D$646</f>
        <v>-1750.1535966231072</v>
      </c>
      <c r="N27" s="41">
        <f>'M-ATW'!$D$647</f>
        <v>-692.28267444000471</v>
      </c>
      <c r="O27" s="41">
        <f>'M-ATW'!$D$648</f>
        <v>-1748.0605572097968</v>
      </c>
      <c r="P27" s="41">
        <f>'M-ATW'!$D$649</f>
        <v>-1102.6825375392555</v>
      </c>
      <c r="Q27" s="41">
        <f>'M-ATW'!$D$650</f>
        <v>0</v>
      </c>
      <c r="R27" s="41">
        <f>'M-ATW'!$D$651</f>
        <v>-2001.8988341538461</v>
      </c>
      <c r="S27" s="41">
        <f>'M-ATW'!$D$652</f>
        <v>-1817.5647947460807</v>
      </c>
      <c r="T27" s="41">
        <f>'M-ATW'!$D$653</f>
        <v>0</v>
      </c>
      <c r="U27" s="41">
        <f>'M-ATW'!$D$654</f>
        <v>0</v>
      </c>
      <c r="V27" s="41">
        <f>'M-ATW'!$D$655</f>
        <v>0</v>
      </c>
      <c r="W27" s="41">
        <f>'M-ATW'!$D$656</f>
        <v>0</v>
      </c>
      <c r="X27" s="41">
        <f>'M-ATW'!$D$657</f>
        <v>-15.588588082746238</v>
      </c>
      <c r="Y27" s="39">
        <f t="shared" si="0"/>
        <v>-31848.923479888235</v>
      </c>
      <c r="Z27" s="17"/>
    </row>
    <row r="28" spans="1:26">
      <c r="A28" s="4" t="s">
        <v>191</v>
      </c>
      <c r="B28" s="41">
        <f>'M-ATW'!$D$667</f>
        <v>-1.2441181739872962</v>
      </c>
      <c r="C28" s="41">
        <f>'M-ATW'!$D$668</f>
        <v>-0.49211763954270599</v>
      </c>
      <c r="D28" s="41">
        <f>'M-ATW'!$D$669</f>
        <v>-1.2426303112202832</v>
      </c>
      <c r="E28" s="41">
        <f>'M-ATW'!$D$670</f>
        <v>-0.78385542145444442</v>
      </c>
      <c r="F28" s="41">
        <f>'M-ATW'!$D$671</f>
        <v>0</v>
      </c>
      <c r="G28" s="41">
        <f>'M-ATW'!$D$672</f>
        <v>-0.99615205705501841</v>
      </c>
      <c r="H28" s="41">
        <f>'M-ATW'!$D$673</f>
        <v>0</v>
      </c>
      <c r="I28" s="41">
        <f>'M-ATW'!$D$674</f>
        <v>0</v>
      </c>
      <c r="J28" s="41">
        <f>'M-ATW'!$D$675</f>
        <v>0</v>
      </c>
      <c r="K28" s="41">
        <f>'M-ATW'!$D$676</f>
        <v>0</v>
      </c>
      <c r="L28" s="41">
        <f>'M-ATW'!$D$677</f>
        <v>-0.69806011526338563</v>
      </c>
      <c r="M28" s="41">
        <f>'M-ATW'!$D$678</f>
        <v>-0.49000963526606278</v>
      </c>
      <c r="N28" s="41">
        <f>'M-ATW'!$D$679</f>
        <v>-0.19382594845269052</v>
      </c>
      <c r="O28" s="41">
        <f>'M-ATW'!$D$680</f>
        <v>-0.48942362414024376</v>
      </c>
      <c r="P28" s="41">
        <f>'M-ATW'!$D$681</f>
        <v>-0.30873008464880791</v>
      </c>
      <c r="Q28" s="41">
        <f>'M-ATW'!$D$682</f>
        <v>0</v>
      </c>
      <c r="R28" s="41">
        <f>'M-ATW'!$D$683</f>
        <v>-0.56049350151667221</v>
      </c>
      <c r="S28" s="41">
        <f>'M-ATW'!$D$684</f>
        <v>0</v>
      </c>
      <c r="T28" s="41">
        <f>'M-ATW'!$D$685</f>
        <v>0</v>
      </c>
      <c r="U28" s="41">
        <f>'M-ATW'!$D$686</f>
        <v>0</v>
      </c>
      <c r="V28" s="41">
        <f>'M-ATW'!$D$687</f>
        <v>0</v>
      </c>
      <c r="W28" s="41">
        <f>'M-ATW'!$D$688</f>
        <v>0</v>
      </c>
      <c r="X28" s="41">
        <f>'M-ATW'!$D$689</f>
        <v>3.2670390124523423E-3</v>
      </c>
      <c r="Y28" s="39">
        <f t="shared" si="0"/>
        <v>-7.4961494735351586</v>
      </c>
      <c r="Z28" s="17"/>
    </row>
    <row r="29" spans="1:26">
      <c r="A29" s="4" t="s">
        <v>192</v>
      </c>
      <c r="B29" s="41">
        <f>'M-ATW'!$E$699</f>
        <v>-27818.600057083928</v>
      </c>
      <c r="C29" s="41">
        <f>'M-ATW'!$E$700</f>
        <v>-11044.204535860677</v>
      </c>
      <c r="D29" s="41">
        <f>'M-ATW'!$E$701</f>
        <v>-27887.363136037424</v>
      </c>
      <c r="E29" s="41">
        <f>'M-ATW'!$E$702</f>
        <v>-17580.434115690117</v>
      </c>
      <c r="F29" s="41">
        <f>'M-ATW'!$E$703</f>
        <v>0</v>
      </c>
      <c r="G29" s="41">
        <f>'M-ATW'!$E$704</f>
        <v>-22341.856838560798</v>
      </c>
      <c r="H29" s="41">
        <f>'M-ATW'!$E$705</f>
        <v>-20284.62764762486</v>
      </c>
      <c r="I29" s="41">
        <f>'M-ATW'!$E$706</f>
        <v>5.0270433066941846</v>
      </c>
      <c r="J29" s="41">
        <f>'M-ATW'!$E$707</f>
        <v>0</v>
      </c>
      <c r="K29" s="41">
        <f>'M-ATW'!$E$708</f>
        <v>0</v>
      </c>
      <c r="L29" s="41">
        <f>'M-ATW'!$E$709</f>
        <v>-15608.690209932032</v>
      </c>
      <c r="M29" s="41">
        <f>'M-ATW'!$E$710</f>
        <v>-10956.661796762215</v>
      </c>
      <c r="N29" s="41">
        <f>'M-ATW'!$E$711</f>
        <v>-4349.8815060924799</v>
      </c>
      <c r="O29" s="41">
        <f>'M-ATW'!$E$712</f>
        <v>-10983.744892196613</v>
      </c>
      <c r="P29" s="41">
        <f>'M-ATW'!$E$713</f>
        <v>-6924.2474621517149</v>
      </c>
      <c r="Q29" s="41">
        <f>'M-ATW'!$E$714</f>
        <v>0</v>
      </c>
      <c r="R29" s="41">
        <f>'M-ATW'!$E$715</f>
        <v>-12570.837435049862</v>
      </c>
      <c r="S29" s="41">
        <f>'M-ATW'!$E$716</f>
        <v>-11413.319780507374</v>
      </c>
      <c r="T29" s="41">
        <f>'M-ATW'!$E$717</f>
        <v>65.998544422438698</v>
      </c>
      <c r="U29" s="41">
        <f>'M-ATW'!$E$718</f>
        <v>0</v>
      </c>
      <c r="V29" s="41">
        <f>'M-ATW'!$E$719</f>
        <v>0</v>
      </c>
      <c r="W29" s="41">
        <f>'M-ATW'!$E$720</f>
        <v>0</v>
      </c>
      <c r="X29" s="41">
        <f>'M-ATW'!$E$721</f>
        <v>-102.527976263233</v>
      </c>
      <c r="Y29" s="39">
        <f t="shared" si="0"/>
        <v>-199795.97180208421</v>
      </c>
      <c r="Z29" s="17"/>
    </row>
    <row r="30" spans="1:26">
      <c r="A30" s="4" t="s">
        <v>193</v>
      </c>
      <c r="B30" s="41">
        <f>'M-ATW'!$D$731</f>
        <v>0</v>
      </c>
      <c r="C30" s="41">
        <f>'M-ATW'!$D$732</f>
        <v>0</v>
      </c>
      <c r="D30" s="41">
        <f>'M-ATW'!$D$733</f>
        <v>0</v>
      </c>
      <c r="E30" s="41">
        <f>'M-ATW'!$D$734</f>
        <v>0</v>
      </c>
      <c r="F30" s="41">
        <f>'M-ATW'!$D$735</f>
        <v>0</v>
      </c>
      <c r="G30" s="41">
        <f>'M-ATW'!$D$736</f>
        <v>0</v>
      </c>
      <c r="H30" s="41">
        <f>'M-ATW'!$D$737</f>
        <v>0</v>
      </c>
      <c r="I30" s="41">
        <f>'M-ATW'!$D$738</f>
        <v>0</v>
      </c>
      <c r="J30" s="41">
        <f>'M-ATW'!$D$739</f>
        <v>0</v>
      </c>
      <c r="K30" s="41">
        <f>'M-ATW'!$D$740</f>
        <v>0</v>
      </c>
      <c r="L30" s="41">
        <f>'M-ATW'!$D$741</f>
        <v>0</v>
      </c>
      <c r="M30" s="41">
        <f>'M-ATW'!$D$742</f>
        <v>0</v>
      </c>
      <c r="N30" s="41">
        <f>'M-ATW'!$D$743</f>
        <v>0</v>
      </c>
      <c r="O30" s="41">
        <f>'M-ATW'!$D$744</f>
        <v>0</v>
      </c>
      <c r="P30" s="41">
        <f>'M-ATW'!$D$745</f>
        <v>0</v>
      </c>
      <c r="Q30" s="41">
        <f>'M-ATW'!$D$746</f>
        <v>0</v>
      </c>
      <c r="R30" s="41">
        <f>'M-ATW'!$D$747</f>
        <v>0</v>
      </c>
      <c r="S30" s="41">
        <f>'M-ATW'!$D$748</f>
        <v>0</v>
      </c>
      <c r="T30" s="41">
        <f>'M-ATW'!$D$749</f>
        <v>0</v>
      </c>
      <c r="U30" s="41">
        <f>'M-ATW'!$D$750</f>
        <v>0</v>
      </c>
      <c r="V30" s="41">
        <f>'M-ATW'!$D$751</f>
        <v>0</v>
      </c>
      <c r="W30" s="41">
        <f>'M-ATW'!$D$752</f>
        <v>0</v>
      </c>
      <c r="X30" s="41">
        <f>'M-ATW'!$D$753</f>
        <v>0</v>
      </c>
      <c r="Y30" s="39">
        <f t="shared" si="0"/>
        <v>0</v>
      </c>
      <c r="Z30" s="17"/>
    </row>
    <row r="31" spans="1:26">
      <c r="A31" s="4" t="s">
        <v>194</v>
      </c>
      <c r="B31" s="41">
        <f>'M-ATW'!$H$763</f>
        <v>-7630.6428585981212</v>
      </c>
      <c r="C31" s="41">
        <f>'M-ATW'!$H$764</f>
        <v>-3037.137722457423</v>
      </c>
      <c r="D31" s="41">
        <f>'M-ATW'!$H$765</f>
        <v>-7712.3026643165103</v>
      </c>
      <c r="E31" s="41">
        <f>'M-ATW'!$H$766</f>
        <v>-4859.8256713524861</v>
      </c>
      <c r="F31" s="41">
        <f>'M-ATW'!$H$767</f>
        <v>0</v>
      </c>
      <c r="G31" s="41">
        <f>'M-ATW'!$H$768</f>
        <v>-6176.0437026305863</v>
      </c>
      <c r="H31" s="41">
        <f>'M-ATW'!$H$769</f>
        <v>-5607.3560827359552</v>
      </c>
      <c r="I31" s="41">
        <f>'M-ATW'!$H$770</f>
        <v>2.3383656866055134</v>
      </c>
      <c r="J31" s="41">
        <f>'M-ATW'!$H$771</f>
        <v>0</v>
      </c>
      <c r="K31" s="41">
        <f>'M-ATW'!$H$772</f>
        <v>0</v>
      </c>
      <c r="L31" s="41">
        <f>'M-ATW'!$H$773</f>
        <v>-4226.5891655188216</v>
      </c>
      <c r="M31" s="41">
        <f>'M-ATW'!$H$774</f>
        <v>-3005.4126707302903</v>
      </c>
      <c r="N31" s="41">
        <f>'M-ATW'!$H$775</f>
        <v>-1196.2101179380077</v>
      </c>
      <c r="O31" s="41">
        <f>'M-ATW'!$H$776</f>
        <v>-3037.575283939068</v>
      </c>
      <c r="P31" s="41">
        <f>'M-ATW'!$H$777</f>
        <v>-1914.095826640016</v>
      </c>
      <c r="Q31" s="41">
        <f>'M-ATW'!$H$778</f>
        <v>0</v>
      </c>
      <c r="R31" s="41">
        <f>'M-ATW'!$H$779</f>
        <v>-3475.0039774462075</v>
      </c>
      <c r="S31" s="41">
        <f>'M-ATW'!$H$780</f>
        <v>-3155.0270089839319</v>
      </c>
      <c r="T31" s="41">
        <f>'M-ATW'!$H$781</f>
        <v>30.69970203714594</v>
      </c>
      <c r="U31" s="41">
        <f>'M-ATW'!$H$782</f>
        <v>0</v>
      </c>
      <c r="V31" s="41">
        <f>'M-ATW'!$H$783</f>
        <v>0</v>
      </c>
      <c r="W31" s="41">
        <f>'M-ATW'!$H$784</f>
        <v>0</v>
      </c>
      <c r="X31" s="41">
        <f>'M-ATW'!$H$785</f>
        <v>3.8780356426128106</v>
      </c>
      <c r="Y31" s="39">
        <f t="shared" si="0"/>
        <v>-54996.306649921062</v>
      </c>
      <c r="Z31" s="17"/>
    </row>
    <row r="32" spans="1:26">
      <c r="A32" s="4" t="s">
        <v>195</v>
      </c>
      <c r="B32" s="41">
        <f>'M-ATW'!$G$795</f>
        <v>0</v>
      </c>
      <c r="C32" s="41">
        <f>'M-ATW'!$G$796</f>
        <v>0</v>
      </c>
      <c r="D32" s="41">
        <f>'M-ATW'!$G$797</f>
        <v>0</v>
      </c>
      <c r="E32" s="41">
        <f>'M-ATW'!$G$798</f>
        <v>0</v>
      </c>
      <c r="F32" s="41">
        <f>'M-ATW'!$G$799</f>
        <v>0</v>
      </c>
      <c r="G32" s="41">
        <f>'M-ATW'!$G$800</f>
        <v>0</v>
      </c>
      <c r="H32" s="41">
        <f>'M-ATW'!$G$801</f>
        <v>0</v>
      </c>
      <c r="I32" s="41">
        <f>'M-ATW'!$G$802</f>
        <v>0</v>
      </c>
      <c r="J32" s="41">
        <f>'M-ATW'!$G$803</f>
        <v>0</v>
      </c>
      <c r="K32" s="41">
        <f>'M-ATW'!$G$804</f>
        <v>0</v>
      </c>
      <c r="L32" s="41">
        <f>'M-ATW'!$G$805</f>
        <v>0</v>
      </c>
      <c r="M32" s="41">
        <f>'M-ATW'!$G$806</f>
        <v>0</v>
      </c>
      <c r="N32" s="41">
        <f>'M-ATW'!$G$807</f>
        <v>0</v>
      </c>
      <c r="O32" s="41">
        <f>'M-ATW'!$G$808</f>
        <v>0</v>
      </c>
      <c r="P32" s="41">
        <f>'M-ATW'!$G$809</f>
        <v>0</v>
      </c>
      <c r="Q32" s="41">
        <f>'M-ATW'!$G$810</f>
        <v>0</v>
      </c>
      <c r="R32" s="41">
        <f>'M-ATW'!$G$811</f>
        <v>0</v>
      </c>
      <c r="S32" s="41">
        <f>'M-ATW'!$G$812</f>
        <v>0</v>
      </c>
      <c r="T32" s="41">
        <f>'M-ATW'!$G$813</f>
        <v>0</v>
      </c>
      <c r="U32" s="41">
        <f>'M-ATW'!$G$814</f>
        <v>0</v>
      </c>
      <c r="V32" s="41">
        <f>'M-ATW'!$G$815</f>
        <v>0</v>
      </c>
      <c r="W32" s="41">
        <f>'M-ATW'!$G$816</f>
        <v>0</v>
      </c>
      <c r="X32" s="41">
        <f>'M-ATW'!$G$817</f>
        <v>0</v>
      </c>
      <c r="Y32" s="39">
        <f t="shared" si="0"/>
        <v>0</v>
      </c>
      <c r="Z32" s="17"/>
    </row>
    <row r="33" spans="1:26">
      <c r="A33" s="4" t="s">
        <v>196</v>
      </c>
      <c r="B33" s="41">
        <f>'M-ATW'!$E$827</f>
        <v>-5375.7501904440678</v>
      </c>
      <c r="C33" s="41">
        <f>'M-ATW'!$E$828</f>
        <v>-2131.3261859856757</v>
      </c>
      <c r="D33" s="41">
        <f>'M-ATW'!$E$829</f>
        <v>-5381.7427155514233</v>
      </c>
      <c r="E33" s="41">
        <f>'M-ATW'!$E$830</f>
        <v>-3393.4813030217583</v>
      </c>
      <c r="F33" s="41">
        <f>'M-ATW'!$E$831</f>
        <v>0</v>
      </c>
      <c r="G33" s="41">
        <f>'M-ATW'!$E$832</f>
        <v>-4312.5598012838773</v>
      </c>
      <c r="H33" s="41">
        <f>'M-ATW'!$E$833</f>
        <v>1.103969398200674</v>
      </c>
      <c r="I33" s="41">
        <f>'M-ATW'!$E$834</f>
        <v>0</v>
      </c>
      <c r="J33" s="41">
        <f>'M-ATW'!$E$835</f>
        <v>0</v>
      </c>
      <c r="K33" s="41">
        <f>'M-ATW'!$E$836</f>
        <v>0</v>
      </c>
      <c r="L33" s="41">
        <f>'M-ATW'!$E$837</f>
        <v>-3016.2703801213588</v>
      </c>
      <c r="M33" s="41">
        <f>'M-ATW'!$E$838</f>
        <v>-2117.2983766153575</v>
      </c>
      <c r="N33" s="41">
        <f>'M-ATW'!$E$839</f>
        <v>-839.44627517234039</v>
      </c>
      <c r="O33" s="41">
        <f>'M-ATW'!$E$840</f>
        <v>-2119.6585985810621</v>
      </c>
      <c r="P33" s="41">
        <f>'M-ATW'!$E$841</f>
        <v>-1336.5599589680742</v>
      </c>
      <c r="Q33" s="41">
        <f>'M-ATW'!$E$842</f>
        <v>0</v>
      </c>
      <c r="R33" s="41">
        <f>'M-ATW'!$E$843</f>
        <v>-2426.4987723537301</v>
      </c>
      <c r="S33" s="41">
        <f>'M-ATW'!$E$844</f>
        <v>14.49368324938373</v>
      </c>
      <c r="T33" s="41">
        <f>'M-ATW'!$E$845</f>
        <v>0</v>
      </c>
      <c r="U33" s="41">
        <f>'M-ATW'!$E$846</f>
        <v>0</v>
      </c>
      <c r="V33" s="41">
        <f>'M-ATW'!$E$847</f>
        <v>0</v>
      </c>
      <c r="W33" s="41">
        <f>'M-ATW'!$E$848</f>
        <v>0</v>
      </c>
      <c r="X33" s="41">
        <f>'M-ATW'!$E$849</f>
        <v>13.476030507344712</v>
      </c>
      <c r="Y33" s="39">
        <f t="shared" si="0"/>
        <v>-32421.518874943798</v>
      </c>
      <c r="Z33" s="17"/>
    </row>
    <row r="34" spans="1:26">
      <c r="A34" s="4" t="s">
        <v>197</v>
      </c>
      <c r="B34" s="41">
        <f>'M-ATW'!$D$859</f>
        <v>0</v>
      </c>
      <c r="C34" s="41">
        <f>'M-ATW'!$D$860</f>
        <v>0</v>
      </c>
      <c r="D34" s="41">
        <f>'M-ATW'!$D$861</f>
        <v>0</v>
      </c>
      <c r="E34" s="41">
        <f>'M-ATW'!$D$862</f>
        <v>0</v>
      </c>
      <c r="F34" s="41">
        <f>'M-ATW'!$D$863</f>
        <v>0</v>
      </c>
      <c r="G34" s="41">
        <f>'M-ATW'!$D$864</f>
        <v>0</v>
      </c>
      <c r="H34" s="41">
        <f>'M-ATW'!$D$865</f>
        <v>0</v>
      </c>
      <c r="I34" s="41">
        <f>'M-ATW'!$D$866</f>
        <v>0</v>
      </c>
      <c r="J34" s="41">
        <f>'M-ATW'!$D$867</f>
        <v>0</v>
      </c>
      <c r="K34" s="41">
        <f>'M-ATW'!$D$868</f>
        <v>0</v>
      </c>
      <c r="L34" s="41">
        <f>'M-ATW'!$D$869</f>
        <v>0</v>
      </c>
      <c r="M34" s="41">
        <f>'M-ATW'!$D$870</f>
        <v>0</v>
      </c>
      <c r="N34" s="41">
        <f>'M-ATW'!$D$871</f>
        <v>0</v>
      </c>
      <c r="O34" s="41">
        <f>'M-ATW'!$D$872</f>
        <v>0</v>
      </c>
      <c r="P34" s="41">
        <f>'M-ATW'!$D$873</f>
        <v>0</v>
      </c>
      <c r="Q34" s="41">
        <f>'M-ATW'!$D$874</f>
        <v>0</v>
      </c>
      <c r="R34" s="41">
        <f>'M-ATW'!$D$875</f>
        <v>0</v>
      </c>
      <c r="S34" s="41">
        <f>'M-ATW'!$D$876</f>
        <v>0</v>
      </c>
      <c r="T34" s="41">
        <f>'M-ATW'!$D$877</f>
        <v>0</v>
      </c>
      <c r="U34" s="41">
        <f>'M-ATW'!$D$878</f>
        <v>0</v>
      </c>
      <c r="V34" s="41">
        <f>'M-ATW'!$D$879</f>
        <v>0</v>
      </c>
      <c r="W34" s="41">
        <f>'M-ATW'!$D$880</f>
        <v>0</v>
      </c>
      <c r="X34" s="41">
        <f>'M-ATW'!$D$881</f>
        <v>0</v>
      </c>
      <c r="Y34" s="39">
        <f t="shared" si="0"/>
        <v>0</v>
      </c>
      <c r="Z34" s="17"/>
    </row>
    <row r="35" spans="1:26">
      <c r="A35" s="4" t="s">
        <v>198</v>
      </c>
      <c r="B35" s="41">
        <f>'M-ATW'!$H$891</f>
        <v>-2147.0693623264647</v>
      </c>
      <c r="C35" s="41">
        <f>'M-ATW'!$H$892</f>
        <v>-854.18290896273959</v>
      </c>
      <c r="D35" s="41">
        <f>'M-ATW'!$H$893</f>
        <v>-2118.5992824952887</v>
      </c>
      <c r="E35" s="41">
        <f>'M-ATW'!$H$894</f>
        <v>-1335.0851164859571</v>
      </c>
      <c r="F35" s="41">
        <f>'M-ATW'!$H$895</f>
        <v>0</v>
      </c>
      <c r="G35" s="41">
        <f>'M-ATW'!$H$896</f>
        <v>-1696.6748570333366</v>
      </c>
      <c r="H35" s="41">
        <f>'M-ATW'!$H$897</f>
        <v>1.099212025836924</v>
      </c>
      <c r="I35" s="41">
        <f>'M-ATW'!$H$898</f>
        <v>0</v>
      </c>
      <c r="J35" s="41">
        <f>'M-ATW'!$H$899</f>
        <v>0</v>
      </c>
      <c r="K35" s="41">
        <f>'M-ATW'!$H$900</f>
        <v>0</v>
      </c>
      <c r="L35" s="41">
        <f>'M-ATW'!$H$901</f>
        <v>-1239.9638707781269</v>
      </c>
      <c r="M35" s="41">
        <f>'M-ATW'!$H$902</f>
        <v>-845.64689843946599</v>
      </c>
      <c r="N35" s="41">
        <f>'M-ATW'!$H$903</f>
        <v>-336.42933960999306</v>
      </c>
      <c r="O35" s="41">
        <f>'M-ATW'!$H$904</f>
        <v>-834.43364416366023</v>
      </c>
      <c r="P35" s="41">
        <f>'M-ATW'!$H$905</f>
        <v>-525.83796672767926</v>
      </c>
      <c r="Q35" s="41">
        <f>'M-ATW'!$H$906</f>
        <v>0</v>
      </c>
      <c r="R35" s="41">
        <f>'M-ATW'!$H$907</f>
        <v>-954.64866514991388</v>
      </c>
      <c r="S35" s="41">
        <f>'M-ATW'!$H$908</f>
        <v>14.431225133921522</v>
      </c>
      <c r="T35" s="41">
        <f>'M-ATW'!$H$909</f>
        <v>0</v>
      </c>
      <c r="U35" s="41">
        <f>'M-ATW'!$H$910</f>
        <v>0</v>
      </c>
      <c r="V35" s="41">
        <f>'M-ATW'!$H$911</f>
        <v>0</v>
      </c>
      <c r="W35" s="41">
        <f>'M-ATW'!$H$912</f>
        <v>0</v>
      </c>
      <c r="X35" s="41">
        <f>'M-ATW'!$H$913</f>
        <v>-0.41134320791587581</v>
      </c>
      <c r="Y35" s="39">
        <f t="shared" si="0"/>
        <v>-12873.452818220783</v>
      </c>
      <c r="Z35" s="17"/>
    </row>
    <row r="36" spans="1:26">
      <c r="A36" s="4" t="s">
        <v>199</v>
      </c>
      <c r="B36" s="41">
        <f>'M-ATW'!$G$923</f>
        <v>0</v>
      </c>
      <c r="C36" s="41">
        <f>'M-ATW'!$G$924</f>
        <v>0</v>
      </c>
      <c r="D36" s="41">
        <f>'M-ATW'!$G$925</f>
        <v>0</v>
      </c>
      <c r="E36" s="41">
        <f>'M-ATW'!$G$926</f>
        <v>0</v>
      </c>
      <c r="F36" s="41">
        <f>'M-ATW'!$G$927</f>
        <v>0</v>
      </c>
      <c r="G36" s="41">
        <f>'M-ATW'!$G$928</f>
        <v>0</v>
      </c>
      <c r="H36" s="41">
        <f>'M-ATW'!$G$929</f>
        <v>0</v>
      </c>
      <c r="I36" s="41">
        <f>'M-ATW'!$G$930</f>
        <v>0</v>
      </c>
      <c r="J36" s="41">
        <f>'M-ATW'!$G$931</f>
        <v>0</v>
      </c>
      <c r="K36" s="41">
        <f>'M-ATW'!$G$932</f>
        <v>0</v>
      </c>
      <c r="L36" s="41">
        <f>'M-ATW'!$G$933</f>
        <v>0</v>
      </c>
      <c r="M36" s="41">
        <f>'M-ATW'!$G$934</f>
        <v>0</v>
      </c>
      <c r="N36" s="41">
        <f>'M-ATW'!$G$935</f>
        <v>0</v>
      </c>
      <c r="O36" s="41">
        <f>'M-ATW'!$G$936</f>
        <v>0</v>
      </c>
      <c r="P36" s="41">
        <f>'M-ATW'!$G$937</f>
        <v>0</v>
      </c>
      <c r="Q36" s="41">
        <f>'M-ATW'!$G$938</f>
        <v>0</v>
      </c>
      <c r="R36" s="41">
        <f>'M-ATW'!$G$939</f>
        <v>0</v>
      </c>
      <c r="S36" s="41">
        <f>'M-ATW'!$G$940</f>
        <v>0</v>
      </c>
      <c r="T36" s="41">
        <f>'M-ATW'!$G$941</f>
        <v>0</v>
      </c>
      <c r="U36" s="41">
        <f>'M-ATW'!$G$942</f>
        <v>0</v>
      </c>
      <c r="V36" s="41">
        <f>'M-ATW'!$G$943</f>
        <v>0</v>
      </c>
      <c r="W36" s="41">
        <f>'M-ATW'!$G$944</f>
        <v>0</v>
      </c>
      <c r="X36" s="41">
        <f>'M-ATW'!$G$945</f>
        <v>0</v>
      </c>
      <c r="Y36" s="39">
        <f t="shared" si="0"/>
        <v>0</v>
      </c>
      <c r="Z36" s="17"/>
    </row>
    <row r="37" spans="1:26">
      <c r="A37" s="4" t="s">
        <v>207</v>
      </c>
      <c r="B37" s="41">
        <f>'M-ATW'!$E$955</f>
        <v>-516984.04749736126</v>
      </c>
      <c r="C37" s="41">
        <f>'M-ATW'!$E$956</f>
        <v>-204701.53466798164</v>
      </c>
      <c r="D37" s="41">
        <f>'M-ATW'!$E$957</f>
        <v>-516885.21461679798</v>
      </c>
      <c r="E37" s="41">
        <f>'M-ATW'!$E$958</f>
        <v>-140178.66771688781</v>
      </c>
      <c r="F37" s="41">
        <f>'M-ATW'!$E$959</f>
        <v>0</v>
      </c>
      <c r="G37" s="41">
        <f>'M-ATW'!$E$960</f>
        <v>152.5423495474497</v>
      </c>
      <c r="H37" s="41">
        <f>'M-ATW'!$E$961</f>
        <v>0</v>
      </c>
      <c r="I37" s="41">
        <f>'M-ATW'!$E$962</f>
        <v>0</v>
      </c>
      <c r="J37" s="41">
        <f>'M-ATW'!$E$963</f>
        <v>0</v>
      </c>
      <c r="K37" s="41">
        <f>'M-ATW'!$E$964</f>
        <v>0</v>
      </c>
      <c r="L37" s="41">
        <f>'M-ATW'!$E$965</f>
        <v>-290073.6853869193</v>
      </c>
      <c r="M37" s="41">
        <f>'M-ATW'!$E$966</f>
        <v>-203619.85689885245</v>
      </c>
      <c r="N37" s="41">
        <f>'M-ATW'!$E$967</f>
        <v>-80623.952320855038</v>
      </c>
      <c r="O37" s="41">
        <f>'M-ATW'!$E$968</f>
        <v>-203580.93048111355</v>
      </c>
      <c r="P37" s="41">
        <f>'M-ATW'!$E$969</f>
        <v>-128397.46755876346</v>
      </c>
      <c r="Q37" s="41">
        <f>'M-ATW'!$E$970</f>
        <v>0</v>
      </c>
      <c r="R37" s="41">
        <f>'M-ATW'!$E$971</f>
        <v>667.56092456336557</v>
      </c>
      <c r="S37" s="41">
        <f>'M-ATW'!$E$972</f>
        <v>0</v>
      </c>
      <c r="T37" s="41">
        <f>'M-ATW'!$E$973</f>
        <v>0</v>
      </c>
      <c r="U37" s="41">
        <f>'M-ATW'!$E$974</f>
        <v>0</v>
      </c>
      <c r="V37" s="41">
        <f>'M-ATW'!$E$975</f>
        <v>4570.8733846686546</v>
      </c>
      <c r="W37" s="41">
        <f>'M-ATW'!$E$976</f>
        <v>0</v>
      </c>
      <c r="X37" s="41">
        <f>'M-ATW'!$E$977</f>
        <v>305.17383947969631</v>
      </c>
      <c r="Y37" s="39">
        <f t="shared" si="0"/>
        <v>-2279349.2066472736</v>
      </c>
      <c r="Z37" s="17"/>
    </row>
    <row r="38" spans="1:26">
      <c r="A38" s="4" t="s">
        <v>208</v>
      </c>
      <c r="B38" s="41">
        <f>'M-ATW'!$D$987</f>
        <v>0</v>
      </c>
      <c r="C38" s="41">
        <f>'M-ATW'!$D$988</f>
        <v>0</v>
      </c>
      <c r="D38" s="41">
        <f>'M-ATW'!$D$989</f>
        <v>0</v>
      </c>
      <c r="E38" s="41">
        <f>'M-ATW'!$D$990</f>
        <v>0</v>
      </c>
      <c r="F38" s="41">
        <f>'M-ATW'!$D$991</f>
        <v>0</v>
      </c>
      <c r="G38" s="41">
        <f>'M-ATW'!$D$992</f>
        <v>0</v>
      </c>
      <c r="H38" s="41">
        <f>'M-ATW'!$D$993</f>
        <v>0</v>
      </c>
      <c r="I38" s="41">
        <f>'M-ATW'!$D$994</f>
        <v>0</v>
      </c>
      <c r="J38" s="41">
        <f>'M-ATW'!$D$995</f>
        <v>0</v>
      </c>
      <c r="K38" s="41">
        <f>'M-ATW'!$D$996</f>
        <v>0</v>
      </c>
      <c r="L38" s="41">
        <f>'M-ATW'!$D$997</f>
        <v>0</v>
      </c>
      <c r="M38" s="41">
        <f>'M-ATW'!$D$998</f>
        <v>0</v>
      </c>
      <c r="N38" s="41">
        <f>'M-ATW'!$D$999</f>
        <v>0</v>
      </c>
      <c r="O38" s="41">
        <f>'M-ATW'!$D$1000</f>
        <v>0</v>
      </c>
      <c r="P38" s="41">
        <f>'M-ATW'!$D$1001</f>
        <v>0</v>
      </c>
      <c r="Q38" s="41">
        <f>'M-ATW'!$D$1002</f>
        <v>0</v>
      </c>
      <c r="R38" s="41">
        <f>'M-ATW'!$D$1003</f>
        <v>0</v>
      </c>
      <c r="S38" s="41">
        <f>'M-ATW'!$D$1004</f>
        <v>0</v>
      </c>
      <c r="T38" s="41">
        <f>'M-ATW'!$D$1005</f>
        <v>0</v>
      </c>
      <c r="U38" s="41">
        <f>'M-ATW'!$D$1006</f>
        <v>0</v>
      </c>
      <c r="V38" s="41">
        <f>'M-ATW'!$D$1007</f>
        <v>0</v>
      </c>
      <c r="W38" s="41">
        <f>'M-ATW'!$D$1008</f>
        <v>0</v>
      </c>
      <c r="X38" s="41">
        <f>'M-ATW'!$D$1009</f>
        <v>0</v>
      </c>
      <c r="Y38" s="39">
        <f t="shared" si="0"/>
        <v>0</v>
      </c>
      <c r="Z38" s="17"/>
    </row>
    <row r="39" spans="1:26">
      <c r="A39" s="4" t="s">
        <v>209</v>
      </c>
      <c r="B39" s="41">
        <f>'M-ATW'!$H$1019</f>
        <v>-702599.85044568439</v>
      </c>
      <c r="C39" s="41">
        <f>'M-ATW'!$H$1020</f>
        <v>-278347.21994321747</v>
      </c>
      <c r="D39" s="41">
        <f>'M-ATW'!$H$1021</f>
        <v>-687589.89214189607</v>
      </c>
      <c r="E39" s="41">
        <f>'M-ATW'!$H$1022</f>
        <v>-186455.25201197623</v>
      </c>
      <c r="F39" s="41">
        <f>'M-ATW'!$H$1023</f>
        <v>0</v>
      </c>
      <c r="G39" s="41">
        <f>'M-ATW'!$H$1024</f>
        <v>318.90920632034982</v>
      </c>
      <c r="H39" s="41">
        <f>'M-ATW'!$H$1025</f>
        <v>0</v>
      </c>
      <c r="I39" s="41">
        <f>'M-ATW'!$H$1026</f>
        <v>0</v>
      </c>
      <c r="J39" s="41">
        <f>'M-ATW'!$H$1027</f>
        <v>0</v>
      </c>
      <c r="K39" s="41">
        <f>'M-ATW'!$H$1028</f>
        <v>0</v>
      </c>
      <c r="L39" s="41">
        <f>'M-ATW'!$H$1029</f>
        <v>-411954.58881918137</v>
      </c>
      <c r="M39" s="41">
        <f>'M-ATW'!$H$1030</f>
        <v>-276726.68372931867</v>
      </c>
      <c r="N39" s="41">
        <f>'M-ATW'!$H$1031</f>
        <v>-109630.11599177176</v>
      </c>
      <c r="O39" s="41">
        <f>'M-ATW'!$H$1032</f>
        <v>-270814.84645567299</v>
      </c>
      <c r="P39" s="41">
        <f>'M-ATW'!$H$1033</f>
        <v>-170784.77461149823</v>
      </c>
      <c r="Q39" s="41">
        <f>'M-ATW'!$H$1034</f>
        <v>0</v>
      </c>
      <c r="R39" s="41">
        <f>'M-ATW'!$H$1035</f>
        <v>1395.621119345353</v>
      </c>
      <c r="S39" s="41">
        <f>'M-ATW'!$H$1036</f>
        <v>0</v>
      </c>
      <c r="T39" s="41">
        <f>'M-ATW'!$H$1037</f>
        <v>0</v>
      </c>
      <c r="U39" s="41">
        <f>'M-ATW'!$H$1038</f>
        <v>0</v>
      </c>
      <c r="V39" s="41">
        <f>'M-ATW'!$H$1039</f>
        <v>3409.8555161841437</v>
      </c>
      <c r="W39" s="41">
        <f>'M-ATW'!$H$1040</f>
        <v>0</v>
      </c>
      <c r="X39" s="41">
        <f>'M-ATW'!$H$1041</f>
        <v>-827.88766846740896</v>
      </c>
      <c r="Y39" s="39">
        <f t="shared" si="0"/>
        <v>-3090606.7259768345</v>
      </c>
      <c r="Z39" s="17"/>
    </row>
    <row r="40" spans="1:26">
      <c r="A40" s="4" t="s">
        <v>210</v>
      </c>
      <c r="B40" s="41">
        <f>'M-ATW'!$G$1051</f>
        <v>0</v>
      </c>
      <c r="C40" s="41">
        <f>'M-ATW'!$G$1052</f>
        <v>0</v>
      </c>
      <c r="D40" s="41">
        <f>'M-ATW'!$G$1053</f>
        <v>0</v>
      </c>
      <c r="E40" s="41">
        <f>'M-ATW'!$G$1054</f>
        <v>0</v>
      </c>
      <c r="F40" s="41">
        <f>'M-ATW'!$G$1055</f>
        <v>0</v>
      </c>
      <c r="G40" s="41">
        <f>'M-ATW'!$G$1056</f>
        <v>0</v>
      </c>
      <c r="H40" s="41">
        <f>'M-ATW'!$G$1057</f>
        <v>0</v>
      </c>
      <c r="I40" s="41">
        <f>'M-ATW'!$G$1058</f>
        <v>0</v>
      </c>
      <c r="J40" s="41">
        <f>'M-ATW'!$G$1059</f>
        <v>0</v>
      </c>
      <c r="K40" s="41">
        <f>'M-ATW'!$G$1060</f>
        <v>0</v>
      </c>
      <c r="L40" s="41">
        <f>'M-ATW'!$G$1061</f>
        <v>0</v>
      </c>
      <c r="M40" s="41">
        <f>'M-ATW'!$G$1062</f>
        <v>0</v>
      </c>
      <c r="N40" s="41">
        <f>'M-ATW'!$G$1063</f>
        <v>0</v>
      </c>
      <c r="O40" s="41">
        <f>'M-ATW'!$G$1064</f>
        <v>0</v>
      </c>
      <c r="P40" s="41">
        <f>'M-ATW'!$G$1065</f>
        <v>0</v>
      </c>
      <c r="Q40" s="41">
        <f>'M-ATW'!$G$1066</f>
        <v>0</v>
      </c>
      <c r="R40" s="41">
        <f>'M-ATW'!$G$1067</f>
        <v>0</v>
      </c>
      <c r="S40" s="41">
        <f>'M-ATW'!$G$1068</f>
        <v>0</v>
      </c>
      <c r="T40" s="41">
        <f>'M-ATW'!$G$1069</f>
        <v>0</v>
      </c>
      <c r="U40" s="41">
        <f>'M-ATW'!$G$1070</f>
        <v>0</v>
      </c>
      <c r="V40" s="41">
        <f>'M-ATW'!$G$1071</f>
        <v>0</v>
      </c>
      <c r="W40" s="41">
        <f>'M-ATW'!$G$1072</f>
        <v>0</v>
      </c>
      <c r="X40" s="41">
        <f>'M-ATW'!$G$1073</f>
        <v>0</v>
      </c>
      <c r="Y40" s="39">
        <f t="shared" si="0"/>
        <v>0</v>
      </c>
      <c r="Z40" s="17"/>
    </row>
    <row r="42" spans="1:26" ht="21" customHeight="1">
      <c r="A42" s="1" t="s">
        <v>1597</v>
      </c>
    </row>
    <row r="44" spans="1:26">
      <c r="B44" s="32" t="s">
        <v>1598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</row>
    <row r="45" spans="1:26" ht="30">
      <c r="B45" s="15" t="s">
        <v>333</v>
      </c>
      <c r="C45" s="15" t="s">
        <v>334</v>
      </c>
      <c r="D45" s="15" t="s">
        <v>335</v>
      </c>
      <c r="E45" s="15" t="s">
        <v>336</v>
      </c>
      <c r="F45" s="15" t="s">
        <v>337</v>
      </c>
      <c r="G45" s="15" t="s">
        <v>338</v>
      </c>
      <c r="H45" s="15" t="s">
        <v>339</v>
      </c>
      <c r="I45" s="15" t="s">
        <v>340</v>
      </c>
      <c r="J45" s="15" t="s">
        <v>491</v>
      </c>
      <c r="K45" s="15" t="s">
        <v>503</v>
      </c>
      <c r="L45" s="15" t="s">
        <v>321</v>
      </c>
      <c r="M45" s="15" t="s">
        <v>909</v>
      </c>
      <c r="N45" s="15" t="s">
        <v>910</v>
      </c>
      <c r="O45" s="15" t="s">
        <v>911</v>
      </c>
      <c r="P45" s="15" t="s">
        <v>912</v>
      </c>
      <c r="Q45" s="15" t="s">
        <v>913</v>
      </c>
      <c r="R45" s="15" t="s">
        <v>914</v>
      </c>
      <c r="S45" s="15" t="s">
        <v>915</v>
      </c>
      <c r="T45" s="15" t="s">
        <v>916</v>
      </c>
      <c r="U45" s="15" t="s">
        <v>917</v>
      </c>
      <c r="V45" s="15" t="s">
        <v>918</v>
      </c>
      <c r="W45" s="15" t="s">
        <v>1588</v>
      </c>
      <c r="X45" s="15" t="s">
        <v>1589</v>
      </c>
      <c r="Y45" s="15" t="s">
        <v>1599</v>
      </c>
    </row>
    <row r="46" spans="1:26">
      <c r="A46" s="4" t="s">
        <v>1600</v>
      </c>
      <c r="B46" s="39">
        <f t="shared" ref="B46:X46" si="1">SUM(B$8:B$40)</f>
        <v>37063350.893104978</v>
      </c>
      <c r="C46" s="39">
        <f t="shared" si="1"/>
        <v>14641231.21841757</v>
      </c>
      <c r="D46" s="39">
        <f t="shared" si="1"/>
        <v>38531380.418374039</v>
      </c>
      <c r="E46" s="39">
        <f t="shared" si="1"/>
        <v>23534418.381332621</v>
      </c>
      <c r="F46" s="39">
        <f t="shared" si="1"/>
        <v>0</v>
      </c>
      <c r="G46" s="39">
        <f t="shared" si="1"/>
        <v>28932124.116352156</v>
      </c>
      <c r="H46" s="39">
        <f t="shared" si="1"/>
        <v>24451776.225784734</v>
      </c>
      <c r="I46" s="39">
        <f t="shared" si="1"/>
        <v>544135.45516840508</v>
      </c>
      <c r="J46" s="39">
        <f t="shared" si="1"/>
        <v>0</v>
      </c>
      <c r="K46" s="39">
        <f t="shared" si="1"/>
        <v>0</v>
      </c>
      <c r="L46" s="39">
        <f t="shared" si="1"/>
        <v>21330861.643813167</v>
      </c>
      <c r="M46" s="39">
        <f t="shared" si="1"/>
        <v>14597808.658853268</v>
      </c>
      <c r="N46" s="39">
        <f t="shared" si="1"/>
        <v>5766610.0529579967</v>
      </c>
      <c r="O46" s="39">
        <f t="shared" si="1"/>
        <v>15176008.244131776</v>
      </c>
      <c r="P46" s="39">
        <f t="shared" si="1"/>
        <v>11327368.871818181</v>
      </c>
      <c r="Q46" s="39">
        <f t="shared" si="1"/>
        <v>0</v>
      </c>
      <c r="R46" s="39">
        <f t="shared" si="1"/>
        <v>21236031.164171409</v>
      </c>
      <c r="S46" s="39">
        <f t="shared" si="1"/>
        <v>15537298.290645566</v>
      </c>
      <c r="T46" s="39">
        <f t="shared" si="1"/>
        <v>6510749.5077612242</v>
      </c>
      <c r="U46" s="39">
        <f t="shared" si="1"/>
        <v>31540298.844081115</v>
      </c>
      <c r="V46" s="39">
        <f t="shared" si="1"/>
        <v>822310.32044112205</v>
      </c>
      <c r="W46" s="39">
        <f t="shared" si="1"/>
        <v>106250023.08477232</v>
      </c>
      <c r="X46" s="39">
        <f t="shared" si="1"/>
        <v>52855.508914798156</v>
      </c>
      <c r="Y46" s="39">
        <f>SUM($B$8:$X$40)</f>
        <v>417846640.90089607</v>
      </c>
      <c r="Z46" s="17"/>
    </row>
  </sheetData>
  <sheetProtection sheet="1" objects="1" scenarios="1"/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50.7109375" customWidth="1"/>
    <col min="2" max="251" width="20.7109375" customWidth="1"/>
  </cols>
  <sheetData>
    <row r="1" spans="1:1" ht="21" customHeight="1">
      <c r="A1" s="1" t="str">
        <f>"Additional calculations for tariff comparisons for "&amp;Input!B7&amp;" in "&amp;Input!C7&amp;" ("&amp;Input!D7&amp;")"</f>
        <v>Additional calculations for tariff comparisons for Electricity North West in 2019/20 (Version 1)</v>
      </c>
    </row>
    <row r="2" spans="1:1">
      <c r="A2" s="2" t="s">
        <v>1480</v>
      </c>
    </row>
    <row r="4" spans="1:1" ht="21" customHeight="1">
      <c r="A4" s="1" t="s">
        <v>1601</v>
      </c>
    </row>
    <row r="5" spans="1:1">
      <c r="A5" s="2" t="s">
        <v>379</v>
      </c>
    </row>
    <row r="6" spans="1:1">
      <c r="A6" s="29" t="s">
        <v>1602</v>
      </c>
    </row>
    <row r="7" spans="1:1">
      <c r="A7" s="29" t="s">
        <v>574</v>
      </c>
    </row>
    <row r="8" spans="1:1">
      <c r="A8" s="29" t="s">
        <v>1603</v>
      </c>
    </row>
    <row r="9" spans="1:1">
      <c r="A9" s="29" t="s">
        <v>1492</v>
      </c>
    </row>
    <row r="10" spans="1:1">
      <c r="A10" s="29" t="s">
        <v>1604</v>
      </c>
    </row>
    <row r="11" spans="1:1">
      <c r="A11" s="29" t="s">
        <v>1605</v>
      </c>
    </row>
    <row r="12" spans="1:1">
      <c r="A12" s="29" t="s">
        <v>1606</v>
      </c>
    </row>
    <row r="13" spans="1:1">
      <c r="A13" s="29" t="s">
        <v>1607</v>
      </c>
    </row>
    <row r="14" spans="1:1">
      <c r="A14" s="29" t="s">
        <v>1608</v>
      </c>
    </row>
    <row r="15" spans="1:1">
      <c r="A15" s="29" t="s">
        <v>1609</v>
      </c>
    </row>
    <row r="16" spans="1:1">
      <c r="A16" s="29" t="s">
        <v>1610</v>
      </c>
    </row>
    <row r="17" spans="1:3">
      <c r="A17" s="29" t="s">
        <v>1611</v>
      </c>
    </row>
    <row r="18" spans="1:3">
      <c r="A18" s="29" t="s">
        <v>1612</v>
      </c>
    </row>
    <row r="19" spans="1:3">
      <c r="A19" s="29" t="s">
        <v>1613</v>
      </c>
    </row>
    <row r="20" spans="1:3">
      <c r="A20" s="29" t="s">
        <v>1614</v>
      </c>
    </row>
    <row r="21" spans="1:3">
      <c r="A21" s="29" t="s">
        <v>1615</v>
      </c>
    </row>
    <row r="22" spans="1:3">
      <c r="A22" s="2" t="s">
        <v>1616</v>
      </c>
    </row>
    <row r="24" spans="1:3" ht="30">
      <c r="B24" s="15" t="s">
        <v>1617</v>
      </c>
    </row>
    <row r="25" spans="1:3">
      <c r="A25" s="4" t="s">
        <v>180</v>
      </c>
      <c r="B25" s="39">
        <f>IF(Input!B395,Input!B395,0.01*Input!F$60*(Input!F395*Input!E$195+Input!G395*Input!F$195+Input!H395*Input!G$195)+10*(Input!C395*Input!B$195+Input!D395*Input!C$195+Input!E395*Input!D$195+Input!I395*Input!H$195))</f>
        <v>165809908.23915288</v>
      </c>
      <c r="C25" s="17"/>
    </row>
    <row r="26" spans="1:3">
      <c r="A26" s="4" t="s">
        <v>181</v>
      </c>
      <c r="B26" s="39">
        <f>IF(Input!B396,Input!B396,0.01*Input!F$60*(Input!F396*Input!E$199+Input!G396*Input!F$199+Input!H396*Input!G$199)+10*(Input!C396*Input!B$199+Input!D396*Input!C$199+Input!E396*Input!D$199+Input!I396*Input!H$199))</f>
        <v>17185782.419322275</v>
      </c>
      <c r="C26" s="17"/>
    </row>
    <row r="27" spans="1:3">
      <c r="A27" s="4" t="s">
        <v>226</v>
      </c>
      <c r="B27" s="39">
        <f>IF(Input!B397,Input!B397,0.01*Input!F$60*(Input!F397*Input!E$203+Input!G397*Input!F$203+Input!H397*Input!G$203)+10*(Input!C397*Input!B$203+Input!D397*Input!C$203+Input!E397*Input!D$203+Input!I397*Input!H$203))</f>
        <v>103811.98022613171</v>
      </c>
      <c r="C27" s="17"/>
    </row>
    <row r="28" spans="1:3">
      <c r="A28" s="4" t="s">
        <v>182</v>
      </c>
      <c r="B28" s="39">
        <f>IF(Input!B398,Input!B398,0.01*Input!F$60*(Input!F398*Input!E$207+Input!G398*Input!F$207+Input!H398*Input!G$207)+10*(Input!C398*Input!B$207+Input!D398*Input!C$207+Input!E398*Input!D$207+Input!I398*Input!H$207))</f>
        <v>32122301.820254371</v>
      </c>
      <c r="C28" s="17"/>
    </row>
    <row r="29" spans="1:3">
      <c r="A29" s="4" t="s">
        <v>183</v>
      </c>
      <c r="B29" s="39">
        <f>IF(Input!B399,Input!B399,0.01*Input!F$60*(Input!F399*Input!E$211+Input!G399*Input!F$211+Input!H399*Input!G$211)+10*(Input!C399*Input!B$211+Input!D399*Input!C$211+Input!E399*Input!D$211+Input!I399*Input!H$211))</f>
        <v>12929534.443067448</v>
      </c>
      <c r="C29" s="17"/>
    </row>
    <row r="30" spans="1:3">
      <c r="A30" s="4" t="s">
        <v>227</v>
      </c>
      <c r="B30" s="39">
        <f>IF(Input!B400,Input!B400,0.01*Input!F$60*(Input!F400*Input!E$215+Input!G400*Input!F$215+Input!H400*Input!G$215)+10*(Input!C400*Input!B$215+Input!D400*Input!C$215+Input!E400*Input!D$215+Input!I400*Input!H$215))</f>
        <v>135423.18876558472</v>
      </c>
      <c r="C30" s="17"/>
    </row>
    <row r="31" spans="1:3">
      <c r="A31" s="4" t="s">
        <v>184</v>
      </c>
      <c r="B31" s="39">
        <f>IF(Input!B401,Input!B401,0.01*Input!F$60*(Input!F401*Input!E$219+Input!G401*Input!F$219+Input!H401*Input!G$219)+10*(Input!C401*Input!B$219+Input!D401*Input!C$219+Input!E401*Input!D$219+Input!I401*Input!H$219))</f>
        <v>20.004026675468868</v>
      </c>
      <c r="C31" s="17"/>
    </row>
    <row r="32" spans="1:3">
      <c r="A32" s="4" t="s">
        <v>185</v>
      </c>
      <c r="B32" s="39">
        <f>IF(Input!B402,Input!B402,0.01*Input!F$60*(Input!F402*Input!E$223+Input!G402*Input!F$223+Input!H402*Input!G$223)+10*(Input!C402*Input!B$223+Input!D402*Input!C$223+Input!E402*Input!D$223+Input!I402*Input!H$223))</f>
        <v>4.435389011382437</v>
      </c>
      <c r="C32" s="17"/>
    </row>
    <row r="33" spans="1:3">
      <c r="A33" s="4" t="s">
        <v>205</v>
      </c>
      <c r="B33" s="39">
        <f>IF(Input!B403,Input!B403,0.01*Input!F$60*(Input!F403*Input!E$225+Input!G403*Input!F$225+Input!H403*Input!G$225)+10*(Input!C403*Input!B$225+Input!D403*Input!C$225+Input!E403*Input!D$225+Input!I403*Input!H$225))</f>
        <v>12.891252497448457</v>
      </c>
      <c r="C33" s="17"/>
    </row>
    <row r="34" spans="1:3">
      <c r="A34" s="4" t="s">
        <v>186</v>
      </c>
      <c r="B34" s="39">
        <f>IF(Input!B404,Input!B404,0.01*Input!F$60*(Input!F404*Input!E$227+Input!G404*Input!F$227+Input!H404*Input!G$227)+10*(Input!C404*Input!B$227+Input!D404*Input!C$227+Input!E404*Input!D$227+Input!I404*Input!H$227))</f>
        <v>17145.826651228708</v>
      </c>
      <c r="C34" s="17"/>
    </row>
    <row r="35" spans="1:3">
      <c r="A35" s="4" t="s">
        <v>187</v>
      </c>
      <c r="B35" s="39">
        <f>IF(Input!B405,Input!B405,0.01*Input!F$60*(Input!F405*Input!E$231+Input!G405*Input!F$231+Input!H405*Input!G$231)+10*(Input!C405*Input!B$231+Input!D405*Input!C$231+Input!E405*Input!D$231+Input!I405*Input!H$231))</f>
        <v>4166166.190769881</v>
      </c>
      <c r="C35" s="17"/>
    </row>
    <row r="36" spans="1:3">
      <c r="A36" s="4" t="s">
        <v>188</v>
      </c>
      <c r="B36" s="39">
        <f>IF(Input!B406,Input!B406,0.01*Input!F$60*(Input!F406*Input!E$235+Input!G406*Input!F$235+Input!H406*Input!G$235)+10*(Input!C406*Input!B$235+Input!D406*Input!C$235+Input!E406*Input!D$235+Input!I406*Input!H$235))</f>
        <v>53562913.121889368</v>
      </c>
      <c r="C36" s="17"/>
    </row>
    <row r="37" spans="1:3">
      <c r="A37" s="4" t="s">
        <v>189</v>
      </c>
      <c r="B37" s="39">
        <f>IF(Input!B407,Input!B407,0.01*Input!F$60*(Input!F407*Input!E$239+Input!G407*Input!F$239+Input!H407*Input!G$239)+10*(Input!C407*Input!B$239+Input!D407*Input!C$239+Input!E407*Input!D$239+Input!I407*Input!H$239))</f>
        <v>24591408.960417897</v>
      </c>
      <c r="C37" s="17"/>
    </row>
    <row r="38" spans="1:3">
      <c r="A38" s="4" t="s">
        <v>206</v>
      </c>
      <c r="B38" s="39">
        <f>IF(Input!B408,Input!B408,0.01*Input!F$60*(Input!F408*Input!E$242+Input!G408*Input!F$242+Input!H408*Input!G$242)+10*(Input!C408*Input!B$242+Input!D408*Input!C$242+Input!E408*Input!D$242+Input!I408*Input!H$242))</f>
        <v>67209488.389358699</v>
      </c>
      <c r="C38" s="17"/>
    </row>
    <row r="39" spans="1:3">
      <c r="A39" s="4" t="s">
        <v>228</v>
      </c>
      <c r="B39" s="39">
        <f>IF(Input!B409,Input!B409,0.01*Input!F$60*(Input!F409*Input!E$245+Input!G409*Input!F$245+Input!H409*Input!G$245)+10*(Input!C409*Input!B$245+Input!D409*Input!C$245+Input!E409*Input!D$245+Input!I409*Input!H$245))</f>
        <v>565037.93925065128</v>
      </c>
      <c r="C39" s="17"/>
    </row>
    <row r="40" spans="1:3">
      <c r="A40" s="4" t="s">
        <v>229</v>
      </c>
      <c r="B40" s="39">
        <f>IF(Input!B410,Input!B410,0.01*Input!F$60*(Input!F410*Input!E$249+Input!G410*Input!F$249+Input!H410*Input!G$249)+10*(Input!C410*Input!B$249+Input!D410*Input!C$249+Input!E410*Input!D$249+Input!I410*Input!H$249))</f>
        <v>314438.7142998816</v>
      </c>
      <c r="C40" s="17"/>
    </row>
    <row r="41" spans="1:3">
      <c r="A41" s="4" t="s">
        <v>230</v>
      </c>
      <c r="B41" s="39">
        <f>IF(Input!B411,Input!B411,0.01*Input!F$60*(Input!F411*Input!E$253+Input!G411*Input!F$253+Input!H411*Input!G$253)+10*(Input!C411*Input!B$253+Input!D411*Input!C$253+Input!E411*Input!D$253+Input!I411*Input!H$253))</f>
        <v>18629.485944804372</v>
      </c>
      <c r="C41" s="17"/>
    </row>
    <row r="42" spans="1:3">
      <c r="A42" s="4" t="s">
        <v>231</v>
      </c>
      <c r="B42" s="39">
        <f>IF(Input!B412,Input!B412,0.01*Input!F$60*(Input!F412*Input!E$257+Input!G412*Input!F$257+Input!H412*Input!G$257)+10*(Input!C412*Input!B$257+Input!D412*Input!C$257+Input!E412*Input!D$257+Input!I412*Input!H$257))</f>
        <v>1.6259675508668936</v>
      </c>
      <c r="C42" s="17"/>
    </row>
    <row r="43" spans="1:3">
      <c r="A43" s="4" t="s">
        <v>232</v>
      </c>
      <c r="B43" s="39">
        <f>IF(Input!B413,Input!B413,0.01*Input!F$60*(Input!F413*Input!E$261+Input!G413*Input!F$261+Input!H413*Input!G$261)+10*(Input!C413*Input!B$261+Input!D413*Input!C$261+Input!E413*Input!D$261+Input!I413*Input!H$261))</f>
        <v>7471978.1690994855</v>
      </c>
      <c r="C43" s="17"/>
    </row>
    <row r="45" spans="1:3" ht="21" customHeight="1">
      <c r="A45" s="1" t="s">
        <v>1618</v>
      </c>
    </row>
    <row r="46" spans="1:3">
      <c r="A46" s="2" t="s">
        <v>379</v>
      </c>
    </row>
    <row r="47" spans="1:3">
      <c r="A47" s="29" t="s">
        <v>1489</v>
      </c>
    </row>
    <row r="48" spans="1:3">
      <c r="A48" s="29" t="s">
        <v>1490</v>
      </c>
    </row>
    <row r="49" spans="1:10">
      <c r="A49" s="29" t="s">
        <v>1491</v>
      </c>
    </row>
    <row r="50" spans="1:10">
      <c r="A50" s="29" t="s">
        <v>1492</v>
      </c>
    </row>
    <row r="51" spans="1:10">
      <c r="A51" s="29" t="s">
        <v>1619</v>
      </c>
    </row>
    <row r="52" spans="1:10">
      <c r="A52" s="29" t="s">
        <v>1620</v>
      </c>
    </row>
    <row r="53" spans="1:10">
      <c r="A53" s="29" t="s">
        <v>1621</v>
      </c>
    </row>
    <row r="54" spans="1:10">
      <c r="A54" s="29" t="s">
        <v>1622</v>
      </c>
    </row>
    <row r="55" spans="1:10">
      <c r="A55" s="30" t="s">
        <v>382</v>
      </c>
      <c r="B55" s="30" t="s">
        <v>441</v>
      </c>
      <c r="C55" s="30" t="s">
        <v>441</v>
      </c>
      <c r="D55" s="30" t="s">
        <v>441</v>
      </c>
      <c r="E55" s="30" t="s">
        <v>441</v>
      </c>
      <c r="F55" s="30" t="s">
        <v>441</v>
      </c>
      <c r="G55" s="30" t="s">
        <v>441</v>
      </c>
      <c r="H55" s="30" t="s">
        <v>441</v>
      </c>
      <c r="I55" s="30" t="s">
        <v>441</v>
      </c>
    </row>
    <row r="56" spans="1:10">
      <c r="A56" s="30" t="s">
        <v>385</v>
      </c>
      <c r="B56" s="30" t="s">
        <v>1471</v>
      </c>
      <c r="C56" s="30" t="s">
        <v>444</v>
      </c>
      <c r="D56" s="30" t="s">
        <v>1472</v>
      </c>
      <c r="E56" s="30" t="s">
        <v>1048</v>
      </c>
      <c r="F56" s="30" t="s">
        <v>939</v>
      </c>
      <c r="G56" s="30" t="s">
        <v>1473</v>
      </c>
      <c r="H56" s="30" t="s">
        <v>1474</v>
      </c>
      <c r="I56" s="30" t="s">
        <v>1623</v>
      </c>
    </row>
    <row r="58" spans="1:10" ht="30">
      <c r="B58" s="15" t="s">
        <v>237</v>
      </c>
      <c r="C58" s="15" t="s">
        <v>238</v>
      </c>
      <c r="D58" s="15" t="s">
        <v>239</v>
      </c>
      <c r="E58" s="15" t="s">
        <v>240</v>
      </c>
      <c r="F58" s="15" t="s">
        <v>241</v>
      </c>
      <c r="G58" s="15" t="s">
        <v>242</v>
      </c>
      <c r="H58" s="15" t="s">
        <v>243</v>
      </c>
      <c r="I58" s="15" t="s">
        <v>604</v>
      </c>
    </row>
    <row r="59" spans="1:10">
      <c r="A59" s="4" t="s">
        <v>180</v>
      </c>
      <c r="B59" s="35">
        <f>Input!B$195</f>
        <v>6432881.8466872061</v>
      </c>
      <c r="C59" s="35">
        <f>Input!C$195</f>
        <v>0</v>
      </c>
      <c r="D59" s="35">
        <f>Input!D$195</f>
        <v>0</v>
      </c>
      <c r="E59" s="41">
        <f>Input!E$195</f>
        <v>2027175.5163934426</v>
      </c>
      <c r="F59" s="41">
        <f>Input!F$195</f>
        <v>0</v>
      </c>
      <c r="G59" s="41">
        <f>Input!G$195</f>
        <v>0</v>
      </c>
      <c r="H59" s="35">
        <f>Input!H$195</f>
        <v>0</v>
      </c>
      <c r="I59" s="41">
        <f>Summary!B$49</f>
        <v>6432881.8466872061</v>
      </c>
      <c r="J59" s="17"/>
    </row>
    <row r="60" spans="1:10">
      <c r="A60" s="4" t="s">
        <v>181</v>
      </c>
      <c r="B60" s="35">
        <f>Input!B$199</f>
        <v>468570.07787356892</v>
      </c>
      <c r="C60" s="35">
        <f>Input!C$199</f>
        <v>465777.12782049074</v>
      </c>
      <c r="D60" s="35">
        <f>Input!D$199</f>
        <v>0</v>
      </c>
      <c r="E60" s="41">
        <f>Input!E$199</f>
        <v>178282</v>
      </c>
      <c r="F60" s="41">
        <f>Input!F$199</f>
        <v>0</v>
      </c>
      <c r="G60" s="41">
        <f>Input!G$199</f>
        <v>0</v>
      </c>
      <c r="H60" s="35">
        <f>Input!H$199</f>
        <v>0</v>
      </c>
      <c r="I60" s="41">
        <f>Summary!B$53</f>
        <v>934347.20569405961</v>
      </c>
      <c r="J60" s="17"/>
    </row>
    <row r="61" spans="1:10">
      <c r="A61" s="4" t="s">
        <v>226</v>
      </c>
      <c r="B61" s="35">
        <f>Input!B$203</f>
        <v>14279.502094378502</v>
      </c>
      <c r="C61" s="35">
        <f>Input!C$203</f>
        <v>0</v>
      </c>
      <c r="D61" s="35">
        <f>Input!D$203</f>
        <v>0</v>
      </c>
      <c r="E61" s="41">
        <f>Input!E$203</f>
        <v>4270</v>
      </c>
      <c r="F61" s="41">
        <f>Input!F$203</f>
        <v>0</v>
      </c>
      <c r="G61" s="41">
        <f>Input!G$203</f>
        <v>0</v>
      </c>
      <c r="H61" s="35">
        <f>Input!H$203</f>
        <v>0</v>
      </c>
      <c r="I61" s="41">
        <f>Summary!B$57</f>
        <v>14279.502094378502</v>
      </c>
      <c r="J61" s="17"/>
    </row>
    <row r="62" spans="1:10">
      <c r="A62" s="4" t="s">
        <v>182</v>
      </c>
      <c r="B62" s="35">
        <f>Input!B$207</f>
        <v>1494625.6412496041</v>
      </c>
      <c r="C62" s="35">
        <f>Input!C$207</f>
        <v>0</v>
      </c>
      <c r="D62" s="35">
        <f>Input!D$207</f>
        <v>0</v>
      </c>
      <c r="E62" s="41">
        <f>Input!E$207</f>
        <v>121609.01092896175</v>
      </c>
      <c r="F62" s="41">
        <f>Input!F$207</f>
        <v>0</v>
      </c>
      <c r="G62" s="41">
        <f>Input!G$207</f>
        <v>0</v>
      </c>
      <c r="H62" s="35">
        <f>Input!H$207</f>
        <v>0</v>
      </c>
      <c r="I62" s="41">
        <f>Summary!B$61</f>
        <v>1494625.6412496041</v>
      </c>
      <c r="J62" s="17"/>
    </row>
    <row r="63" spans="1:10">
      <c r="A63" s="4" t="s">
        <v>183</v>
      </c>
      <c r="B63" s="35">
        <f>Input!B$211</f>
        <v>531718.61429864506</v>
      </c>
      <c r="C63" s="35">
        <f>Input!C$211</f>
        <v>195607.56390048694</v>
      </c>
      <c r="D63" s="35">
        <f>Input!D$211</f>
        <v>0</v>
      </c>
      <c r="E63" s="41">
        <f>Input!E$211</f>
        <v>34183.400956284153</v>
      </c>
      <c r="F63" s="41">
        <f>Input!F$211</f>
        <v>0</v>
      </c>
      <c r="G63" s="41">
        <f>Input!G$211</f>
        <v>0</v>
      </c>
      <c r="H63" s="35">
        <f>Input!H$211</f>
        <v>0</v>
      </c>
      <c r="I63" s="41">
        <f>Summary!B$65</f>
        <v>727326.17819913197</v>
      </c>
      <c r="J63" s="17"/>
    </row>
    <row r="64" spans="1:10">
      <c r="A64" s="4" t="s">
        <v>227</v>
      </c>
      <c r="B64" s="35">
        <f>Input!B$215</f>
        <v>20242.629112942406</v>
      </c>
      <c r="C64" s="35">
        <f>Input!C$215</f>
        <v>0</v>
      </c>
      <c r="D64" s="35">
        <f>Input!D$215</f>
        <v>0</v>
      </c>
      <c r="E64" s="41">
        <f>Input!E$215</f>
        <v>3655</v>
      </c>
      <c r="F64" s="41">
        <f>Input!F$215</f>
        <v>0</v>
      </c>
      <c r="G64" s="41">
        <f>Input!G$215</f>
        <v>0</v>
      </c>
      <c r="H64" s="35">
        <f>Input!H$215</f>
        <v>0</v>
      </c>
      <c r="I64" s="41">
        <f>Summary!B$69</f>
        <v>20242.629112942406</v>
      </c>
      <c r="J64" s="17"/>
    </row>
    <row r="65" spans="1:10">
      <c r="A65" s="4" t="s">
        <v>184</v>
      </c>
      <c r="B65" s="35">
        <f>Input!B$219</f>
        <v>0.9060389580579935</v>
      </c>
      <c r="C65" s="35">
        <f>Input!C$219</f>
        <v>9.2104888817825303E-2</v>
      </c>
      <c r="D65" s="35">
        <f>Input!D$219</f>
        <v>0</v>
      </c>
      <c r="E65" s="41">
        <f>Input!E$219</f>
        <v>1E-3</v>
      </c>
      <c r="F65" s="41">
        <f>Input!F$219</f>
        <v>0</v>
      </c>
      <c r="G65" s="41">
        <f>Input!G$219</f>
        <v>0</v>
      </c>
      <c r="H65" s="35">
        <f>Input!H$219</f>
        <v>0</v>
      </c>
      <c r="I65" s="41">
        <f>Summary!B$73</f>
        <v>0.99814384687581881</v>
      </c>
      <c r="J65" s="17"/>
    </row>
    <row r="66" spans="1:10">
      <c r="A66" s="4" t="s">
        <v>185</v>
      </c>
      <c r="B66" s="35">
        <f>Input!B$223</f>
        <v>0.13596319903118673</v>
      </c>
      <c r="C66" s="35">
        <f>Input!C$223</f>
        <v>0.2880364513981673</v>
      </c>
      <c r="D66" s="35">
        <f>Input!D$223</f>
        <v>0</v>
      </c>
      <c r="E66" s="41">
        <f>Input!E$223</f>
        <v>1E-3</v>
      </c>
      <c r="F66" s="41">
        <f>Input!F$223</f>
        <v>0</v>
      </c>
      <c r="G66" s="41">
        <f>Input!G$223</f>
        <v>0</v>
      </c>
      <c r="H66" s="35">
        <f>Input!H$223</f>
        <v>0</v>
      </c>
      <c r="I66" s="41">
        <f>Summary!B$77</f>
        <v>0.42399965042935406</v>
      </c>
      <c r="J66" s="17"/>
    </row>
    <row r="67" spans="1:10">
      <c r="A67" s="4" t="s">
        <v>205</v>
      </c>
      <c r="B67" s="35">
        <f>Input!B$225</f>
        <v>0.45301947902899675</v>
      </c>
      <c r="C67" s="35">
        <f>Input!C$225</f>
        <v>1.1537160889420643</v>
      </c>
      <c r="D67" s="35">
        <f>Input!D$225</f>
        <v>0</v>
      </c>
      <c r="E67" s="41">
        <f>Input!E$225</f>
        <v>1E-3</v>
      </c>
      <c r="F67" s="41">
        <f>Input!F$225</f>
        <v>0</v>
      </c>
      <c r="G67" s="41">
        <f>Input!G$225</f>
        <v>0</v>
      </c>
      <c r="H67" s="35">
        <f>Input!H$225</f>
        <v>0</v>
      </c>
      <c r="I67" s="41">
        <f>Summary!B$79</f>
        <v>1.6067355679710611</v>
      </c>
      <c r="J67" s="17"/>
    </row>
    <row r="68" spans="1:10">
      <c r="A68" s="4" t="s">
        <v>186</v>
      </c>
      <c r="B68" s="35">
        <f>Input!B$227</f>
        <v>68.864270450400312</v>
      </c>
      <c r="C68" s="35">
        <f>Input!C$227</f>
        <v>206.59970904609159</v>
      </c>
      <c r="D68" s="35">
        <f>Input!D$227</f>
        <v>381.07054134295925</v>
      </c>
      <c r="E68" s="41">
        <f>Input!E$227</f>
        <v>339.80327868852459</v>
      </c>
      <c r="F68" s="41">
        <f>Input!F$227</f>
        <v>0</v>
      </c>
      <c r="G68" s="41">
        <f>Input!G$227</f>
        <v>0</v>
      </c>
      <c r="H68" s="35">
        <f>Input!H$227</f>
        <v>0</v>
      </c>
      <c r="I68" s="41">
        <f>Summary!B$81</f>
        <v>656.53452083945115</v>
      </c>
      <c r="J68" s="17"/>
    </row>
    <row r="69" spans="1:10">
      <c r="A69" s="4" t="s">
        <v>187</v>
      </c>
      <c r="B69" s="35">
        <f>Input!B$231</f>
        <v>22435.964946164946</v>
      </c>
      <c r="C69" s="35">
        <f>Input!C$231</f>
        <v>80597.104471233906</v>
      </c>
      <c r="D69" s="35">
        <f>Input!D$231</f>
        <v>113029.99064230964</v>
      </c>
      <c r="E69" s="41">
        <f>Input!E$231</f>
        <v>3574</v>
      </c>
      <c r="F69" s="41">
        <f>Input!F$231</f>
        <v>0</v>
      </c>
      <c r="G69" s="41">
        <f>Input!G$231</f>
        <v>0</v>
      </c>
      <c r="H69" s="35">
        <f>Input!H$231</f>
        <v>0</v>
      </c>
      <c r="I69" s="41">
        <f>Summary!B$85</f>
        <v>216063.06005970848</v>
      </c>
      <c r="J69" s="17"/>
    </row>
    <row r="70" spans="1:10">
      <c r="A70" s="4" t="s">
        <v>188</v>
      </c>
      <c r="B70" s="35">
        <f>Input!B$235</f>
        <v>259213.74498984459</v>
      </c>
      <c r="C70" s="35">
        <f>Input!C$235</f>
        <v>926903.1649810042</v>
      </c>
      <c r="D70" s="35">
        <f>Input!D$235</f>
        <v>1194700.3140897641</v>
      </c>
      <c r="E70" s="41">
        <f>Input!E$235</f>
        <v>12971.084699453551</v>
      </c>
      <c r="F70" s="41">
        <f>Input!F$235</f>
        <v>1247153.1998059845</v>
      </c>
      <c r="G70" s="41">
        <f>Input!G$235</f>
        <v>12471.531998059845</v>
      </c>
      <c r="H70" s="35">
        <f>Input!H$235</f>
        <v>199567.57750000001</v>
      </c>
      <c r="I70" s="41">
        <f>Summary!B$89</f>
        <v>2380817.2240606127</v>
      </c>
      <c r="J70" s="17"/>
    </row>
    <row r="71" spans="1:10">
      <c r="A71" s="4" t="s">
        <v>189</v>
      </c>
      <c r="B71" s="35">
        <f>Input!B$239</f>
        <v>126109.07491128343</v>
      </c>
      <c r="C71" s="35">
        <f>Input!C$239</f>
        <v>462200.71542345866</v>
      </c>
      <c r="D71" s="35">
        <f>Input!D$239</f>
        <v>623163.71466057538</v>
      </c>
      <c r="E71" s="41">
        <f>Input!E$239</f>
        <v>2163.4890710382515</v>
      </c>
      <c r="F71" s="41">
        <f>Input!F$239</f>
        <v>650266.42703272018</v>
      </c>
      <c r="G71" s="41">
        <f>Input!G$239</f>
        <v>6502.6642703272018</v>
      </c>
      <c r="H71" s="35">
        <f>Input!H$239</f>
        <v>97083.844699999987</v>
      </c>
      <c r="I71" s="41">
        <f>Summary!B$93</f>
        <v>1211473.5049953174</v>
      </c>
      <c r="J71" s="17"/>
    </row>
    <row r="72" spans="1:10">
      <c r="A72" s="4" t="s">
        <v>206</v>
      </c>
      <c r="B72" s="35">
        <f>Input!B$242</f>
        <v>457655.83787156374</v>
      </c>
      <c r="C72" s="35">
        <f>Input!C$242</f>
        <v>1565462.316532407</v>
      </c>
      <c r="D72" s="35">
        <f>Input!D$242</f>
        <v>2576162.9164043469</v>
      </c>
      <c r="E72" s="41">
        <f>Input!E$242</f>
        <v>2232.9262295081967</v>
      </c>
      <c r="F72" s="41">
        <f>Input!F$242</f>
        <v>1816038.3075647117</v>
      </c>
      <c r="G72" s="41">
        <f>Input!G$242</f>
        <v>18160.383075647118</v>
      </c>
      <c r="H72" s="35">
        <f>Input!H$242</f>
        <v>366046.35769999999</v>
      </c>
      <c r="I72" s="41">
        <f>Summary!B$96</f>
        <v>4599281.0708083175</v>
      </c>
      <c r="J72" s="17"/>
    </row>
    <row r="73" spans="1:10">
      <c r="A73" s="4" t="s">
        <v>228</v>
      </c>
      <c r="B73" s="35">
        <f>Input!B$245</f>
        <v>17466.3968856461</v>
      </c>
      <c r="C73" s="35">
        <f>Input!C$245</f>
        <v>0</v>
      </c>
      <c r="D73" s="35">
        <f>Input!D$245</f>
        <v>0</v>
      </c>
      <c r="E73" s="41">
        <f>Input!E$245</f>
        <v>203.50273224043715</v>
      </c>
      <c r="F73" s="41">
        <f>Input!F$245</f>
        <v>0</v>
      </c>
      <c r="G73" s="41">
        <f>Input!G$245</f>
        <v>0</v>
      </c>
      <c r="H73" s="35">
        <f>Input!H$245</f>
        <v>0</v>
      </c>
      <c r="I73" s="41">
        <f>Summary!B$99</f>
        <v>17466.3968856461</v>
      </c>
      <c r="J73" s="17"/>
    </row>
    <row r="74" spans="1:10">
      <c r="A74" s="4" t="s">
        <v>229</v>
      </c>
      <c r="B74" s="35">
        <f>Input!B$249</f>
        <v>9156.6311677309714</v>
      </c>
      <c r="C74" s="35">
        <f>Input!C$249</f>
        <v>0</v>
      </c>
      <c r="D74" s="35">
        <f>Input!D$249</f>
        <v>0</v>
      </c>
      <c r="E74" s="41">
        <f>Input!E$249</f>
        <v>326</v>
      </c>
      <c r="F74" s="41">
        <f>Input!F$249</f>
        <v>0</v>
      </c>
      <c r="G74" s="41">
        <f>Input!G$249</f>
        <v>0</v>
      </c>
      <c r="H74" s="35">
        <f>Input!H$249</f>
        <v>0</v>
      </c>
      <c r="I74" s="41">
        <f>Summary!B$103</f>
        <v>9156.6311677309714</v>
      </c>
      <c r="J74" s="17"/>
    </row>
    <row r="75" spans="1:10">
      <c r="A75" s="4" t="s">
        <v>230</v>
      </c>
      <c r="B75" s="35">
        <f>Input!B$253</f>
        <v>411.24693034888236</v>
      </c>
      <c r="C75" s="35">
        <f>Input!C$253</f>
        <v>0</v>
      </c>
      <c r="D75" s="35">
        <f>Input!D$253</f>
        <v>0</v>
      </c>
      <c r="E75" s="41">
        <f>Input!E$253</f>
        <v>8</v>
      </c>
      <c r="F75" s="41">
        <f>Input!F$253</f>
        <v>0</v>
      </c>
      <c r="G75" s="41">
        <f>Input!G$253</f>
        <v>0</v>
      </c>
      <c r="H75" s="35">
        <f>Input!H$253</f>
        <v>0</v>
      </c>
      <c r="I75" s="41">
        <f>Summary!B$107</f>
        <v>411.24693034888236</v>
      </c>
      <c r="J75" s="17"/>
    </row>
    <row r="76" spans="1:10">
      <c r="A76" s="4" t="s">
        <v>231</v>
      </c>
      <c r="B76" s="35">
        <f>Input!B$257</f>
        <v>5.1405866293610297E-2</v>
      </c>
      <c r="C76" s="35">
        <f>Input!C$257</f>
        <v>0</v>
      </c>
      <c r="D76" s="35">
        <f>Input!D$257</f>
        <v>0</v>
      </c>
      <c r="E76" s="41">
        <f>Input!E$257</f>
        <v>1E-3</v>
      </c>
      <c r="F76" s="41">
        <f>Input!F$257</f>
        <v>0</v>
      </c>
      <c r="G76" s="41">
        <f>Input!G$257</f>
        <v>0</v>
      </c>
      <c r="H76" s="35">
        <f>Input!H$257</f>
        <v>0</v>
      </c>
      <c r="I76" s="41">
        <f>Summary!B$111</f>
        <v>5.1405866293610297E-2</v>
      </c>
      <c r="J76" s="17"/>
    </row>
    <row r="77" spans="1:10">
      <c r="A77" s="4" t="s">
        <v>232</v>
      </c>
      <c r="B77" s="35">
        <f>Input!B$261</f>
        <v>10560.706473771854</v>
      </c>
      <c r="C77" s="35">
        <f>Input!C$261</f>
        <v>28387.518136671788</v>
      </c>
      <c r="D77" s="35">
        <f>Input!D$261</f>
        <v>176907.07056212696</v>
      </c>
      <c r="E77" s="41">
        <f>Input!E$261</f>
        <v>25</v>
      </c>
      <c r="F77" s="41">
        <f>Input!F$261</f>
        <v>0</v>
      </c>
      <c r="G77" s="41">
        <f>Input!G$261</f>
        <v>0</v>
      </c>
      <c r="H77" s="35">
        <f>Input!H$261</f>
        <v>0</v>
      </c>
      <c r="I77" s="41">
        <f>Summary!B$115</f>
        <v>215855.29517257059</v>
      </c>
      <c r="J77" s="17"/>
    </row>
    <row r="78" spans="1:10">
      <c r="A78" s="4" t="s">
        <v>190</v>
      </c>
      <c r="B78" s="35">
        <f>Input!B$265</f>
        <v>3259.869342874948</v>
      </c>
      <c r="C78" s="35">
        <f>Input!C$265</f>
        <v>0</v>
      </c>
      <c r="D78" s="35">
        <f>Input!D$265</f>
        <v>0</v>
      </c>
      <c r="E78" s="41">
        <f>Input!E$265</f>
        <v>270.06557377049182</v>
      </c>
      <c r="F78" s="41">
        <f>Input!F$265</f>
        <v>0</v>
      </c>
      <c r="G78" s="41">
        <f>Input!G$265</f>
        <v>0</v>
      </c>
      <c r="H78" s="35">
        <f>Input!H$265</f>
        <v>0</v>
      </c>
      <c r="I78" s="41">
        <f>Summary!B$119</f>
        <v>3259.869342874948</v>
      </c>
      <c r="J78" s="17"/>
    </row>
    <row r="79" spans="1:10">
      <c r="A79" s="4" t="s">
        <v>191</v>
      </c>
      <c r="B79" s="35">
        <f>Input!B$269</f>
        <v>0.95981427317991785</v>
      </c>
      <c r="C79" s="35">
        <f>Input!C$269</f>
        <v>0</v>
      </c>
      <c r="D79" s="35">
        <f>Input!D$269</f>
        <v>0</v>
      </c>
      <c r="E79" s="41">
        <f>Input!E$269</f>
        <v>0.01</v>
      </c>
      <c r="F79" s="41">
        <f>Input!F$269</f>
        <v>0</v>
      </c>
      <c r="G79" s="41">
        <f>Input!G$269</f>
        <v>0</v>
      </c>
      <c r="H79" s="35">
        <f>Input!H$269</f>
        <v>0</v>
      </c>
      <c r="I79" s="41">
        <f>Summary!B$123</f>
        <v>0.95981427317991785</v>
      </c>
      <c r="J79" s="17"/>
    </row>
    <row r="80" spans="1:10">
      <c r="A80" s="4" t="s">
        <v>192</v>
      </c>
      <c r="B80" s="35">
        <f>Input!B$272</f>
        <v>20683.735342690296</v>
      </c>
      <c r="C80" s="35">
        <f>Input!C$272</f>
        <v>0</v>
      </c>
      <c r="D80" s="35">
        <f>Input!D$272</f>
        <v>0</v>
      </c>
      <c r="E80" s="41">
        <f>Input!E$272</f>
        <v>215.49726775956285</v>
      </c>
      <c r="F80" s="41">
        <f>Input!F$272</f>
        <v>0</v>
      </c>
      <c r="G80" s="41">
        <f>Input!G$272</f>
        <v>0</v>
      </c>
      <c r="H80" s="35">
        <f>Input!H$272</f>
        <v>1784.4707000000001</v>
      </c>
      <c r="I80" s="41">
        <f>Summary!B$126</f>
        <v>20683.735342690296</v>
      </c>
      <c r="J80" s="17"/>
    </row>
    <row r="81" spans="1:10">
      <c r="A81" s="4" t="s">
        <v>193</v>
      </c>
      <c r="B81" s="35">
        <f>Input!B$276</f>
        <v>0</v>
      </c>
      <c r="C81" s="35">
        <f>Input!C$276</f>
        <v>0</v>
      </c>
      <c r="D81" s="35">
        <f>Input!D$276</f>
        <v>0</v>
      </c>
      <c r="E81" s="41">
        <f>Input!E$276</f>
        <v>0</v>
      </c>
      <c r="F81" s="41">
        <f>Input!F$276</f>
        <v>0</v>
      </c>
      <c r="G81" s="41">
        <f>Input!G$276</f>
        <v>0</v>
      </c>
      <c r="H81" s="35">
        <f>Input!H$276</f>
        <v>0</v>
      </c>
      <c r="I81" s="41">
        <f>Summary!B$130</f>
        <v>0</v>
      </c>
      <c r="J81" s="17"/>
    </row>
    <row r="82" spans="1:10">
      <c r="A82" s="4" t="s">
        <v>194</v>
      </c>
      <c r="B82" s="35">
        <f>Input!B$278</f>
        <v>502.12550455304932</v>
      </c>
      <c r="C82" s="35">
        <f>Input!C$278</f>
        <v>1708.4349222639935</v>
      </c>
      <c r="D82" s="35">
        <f>Input!D$278</f>
        <v>3787.8781708437768</v>
      </c>
      <c r="E82" s="41">
        <f>Input!E$278</f>
        <v>20</v>
      </c>
      <c r="F82" s="41">
        <f>Input!F$278</f>
        <v>0</v>
      </c>
      <c r="G82" s="41">
        <f>Input!G$278</f>
        <v>0</v>
      </c>
      <c r="H82" s="35">
        <f>Input!H$278</f>
        <v>829.10050000000001</v>
      </c>
      <c r="I82" s="41">
        <f>Summary!B$132</f>
        <v>5998.4385976608191</v>
      </c>
      <c r="J82" s="17"/>
    </row>
    <row r="83" spans="1:10">
      <c r="A83" s="4" t="s">
        <v>195</v>
      </c>
      <c r="B83" s="35">
        <f>Input!B$282</f>
        <v>0</v>
      </c>
      <c r="C83" s="35">
        <f>Input!C$282</f>
        <v>0</v>
      </c>
      <c r="D83" s="35">
        <f>Input!D$282</f>
        <v>0</v>
      </c>
      <c r="E83" s="41">
        <f>Input!E$282</f>
        <v>0</v>
      </c>
      <c r="F83" s="41">
        <f>Input!F$282</f>
        <v>0</v>
      </c>
      <c r="G83" s="41">
        <f>Input!G$282</f>
        <v>0</v>
      </c>
      <c r="H83" s="35">
        <f>Input!H$282</f>
        <v>0</v>
      </c>
      <c r="I83" s="41">
        <f>Summary!B$136</f>
        <v>0</v>
      </c>
      <c r="J83" s="17"/>
    </row>
    <row r="84" spans="1:10">
      <c r="A84" s="4" t="s">
        <v>196</v>
      </c>
      <c r="B84" s="35">
        <f>Input!B$284</f>
        <v>4182.5823952552873</v>
      </c>
      <c r="C84" s="35">
        <f>Input!C$284</f>
        <v>0</v>
      </c>
      <c r="D84" s="35">
        <f>Input!D$284</f>
        <v>0</v>
      </c>
      <c r="E84" s="41">
        <f>Input!E$284</f>
        <v>50.497267759562838</v>
      </c>
      <c r="F84" s="41">
        <f>Input!F$284</f>
        <v>0</v>
      </c>
      <c r="G84" s="41">
        <f>Input!G$284</f>
        <v>0</v>
      </c>
      <c r="H84" s="35">
        <f>Input!H$284</f>
        <v>228.45760000000004</v>
      </c>
      <c r="I84" s="41">
        <f>Summary!B$138</f>
        <v>4182.5823952552873</v>
      </c>
      <c r="J84" s="17"/>
    </row>
    <row r="85" spans="1:10">
      <c r="A85" s="4" t="s">
        <v>197</v>
      </c>
      <c r="B85" s="35">
        <f>Input!B$287</f>
        <v>0</v>
      </c>
      <c r="C85" s="35">
        <f>Input!C$287</f>
        <v>0</v>
      </c>
      <c r="D85" s="35">
        <f>Input!D$287</f>
        <v>0</v>
      </c>
      <c r="E85" s="41">
        <f>Input!E$287</f>
        <v>0</v>
      </c>
      <c r="F85" s="41">
        <f>Input!F$287</f>
        <v>0</v>
      </c>
      <c r="G85" s="41">
        <f>Input!G$287</f>
        <v>0</v>
      </c>
      <c r="H85" s="35">
        <f>Input!H$287</f>
        <v>0</v>
      </c>
      <c r="I85" s="41">
        <f>Summary!B$141</f>
        <v>0</v>
      </c>
      <c r="J85" s="17"/>
    </row>
    <row r="86" spans="1:10">
      <c r="A86" s="4" t="s">
        <v>198</v>
      </c>
      <c r="B86" s="35">
        <f>Input!B$289</f>
        <v>158.87000909090909</v>
      </c>
      <c r="C86" s="35">
        <f>Input!C$289</f>
        <v>430.70374155844155</v>
      </c>
      <c r="D86" s="35">
        <f>Input!D$289</f>
        <v>1007.8770038961039</v>
      </c>
      <c r="E86" s="41">
        <f>Input!E$289</f>
        <v>12</v>
      </c>
      <c r="F86" s="41">
        <f>Input!F$289</f>
        <v>0</v>
      </c>
      <c r="G86" s="41">
        <f>Input!G$289</f>
        <v>0</v>
      </c>
      <c r="H86" s="35">
        <f>Input!H$289</f>
        <v>227.47309999999999</v>
      </c>
      <c r="I86" s="41">
        <f>Summary!B$143</f>
        <v>1597.4507545454544</v>
      </c>
      <c r="J86" s="17"/>
    </row>
    <row r="87" spans="1:10">
      <c r="A87" s="4" t="s">
        <v>199</v>
      </c>
      <c r="B87" s="35">
        <f>Input!B$292</f>
        <v>0</v>
      </c>
      <c r="C87" s="35">
        <f>Input!C$292</f>
        <v>0</v>
      </c>
      <c r="D87" s="35">
        <f>Input!D$292</f>
        <v>0</v>
      </c>
      <c r="E87" s="41">
        <f>Input!E$292</f>
        <v>0</v>
      </c>
      <c r="F87" s="41">
        <f>Input!F$292</f>
        <v>0</v>
      </c>
      <c r="G87" s="41">
        <f>Input!G$292</f>
        <v>0</v>
      </c>
      <c r="H87" s="35">
        <f>Input!H$292</f>
        <v>0</v>
      </c>
      <c r="I87" s="41">
        <f>Summary!B$146</f>
        <v>0</v>
      </c>
      <c r="J87" s="17"/>
    </row>
    <row r="88" spans="1:10">
      <c r="A88" s="4" t="s">
        <v>207</v>
      </c>
      <c r="B88" s="35">
        <f>Input!B$294</f>
        <v>405655.95821367676</v>
      </c>
      <c r="C88" s="35">
        <f>Input!C$294</f>
        <v>0</v>
      </c>
      <c r="D88" s="35">
        <f>Input!D$294</f>
        <v>0</v>
      </c>
      <c r="E88" s="41">
        <f>Input!E$294</f>
        <v>186.99453551912569</v>
      </c>
      <c r="F88" s="41">
        <f>Input!F$294</f>
        <v>0</v>
      </c>
      <c r="G88" s="41">
        <f>Input!G$294</f>
        <v>0</v>
      </c>
      <c r="H88" s="35">
        <f>Input!H$294</f>
        <v>9680.9220000000005</v>
      </c>
      <c r="I88" s="41">
        <f>Summary!B$148</f>
        <v>405655.95821367676</v>
      </c>
      <c r="J88" s="17"/>
    </row>
    <row r="89" spans="1:10">
      <c r="A89" s="4" t="s">
        <v>208</v>
      </c>
      <c r="B89" s="35">
        <f>Input!B$297</f>
        <v>0</v>
      </c>
      <c r="C89" s="35">
        <f>Input!C$297</f>
        <v>0</v>
      </c>
      <c r="D89" s="35">
        <f>Input!D$297</f>
        <v>0</v>
      </c>
      <c r="E89" s="41">
        <f>Input!E$297</f>
        <v>0</v>
      </c>
      <c r="F89" s="41">
        <f>Input!F$297</f>
        <v>0</v>
      </c>
      <c r="G89" s="41">
        <f>Input!G$297</f>
        <v>0</v>
      </c>
      <c r="H89" s="35">
        <f>Input!H$297</f>
        <v>0</v>
      </c>
      <c r="I89" s="41">
        <f>Summary!B$151</f>
        <v>0</v>
      </c>
      <c r="J89" s="17"/>
    </row>
    <row r="90" spans="1:10">
      <c r="A90" s="4" t="s">
        <v>209</v>
      </c>
      <c r="B90" s="35">
        <f>Input!B$299</f>
        <v>53031.032570626296</v>
      </c>
      <c r="C90" s="35">
        <f>Input!C$299</f>
        <v>138554.41737676441</v>
      </c>
      <c r="D90" s="35">
        <f>Input!D$299</f>
        <v>277588.80488136888</v>
      </c>
      <c r="E90" s="41">
        <f>Input!E$299</f>
        <v>139.49726775956285</v>
      </c>
      <c r="F90" s="41">
        <f>Input!F$299</f>
        <v>0</v>
      </c>
      <c r="G90" s="41">
        <f>Input!G$299</f>
        <v>0</v>
      </c>
      <c r="H90" s="35">
        <f>Input!H$299</f>
        <v>20239.200199999999</v>
      </c>
      <c r="I90" s="41">
        <f>Summary!B$153</f>
        <v>469174.25482875959</v>
      </c>
      <c r="J90" s="17"/>
    </row>
    <row r="91" spans="1:10">
      <c r="A91" s="4" t="s">
        <v>210</v>
      </c>
      <c r="B91" s="35">
        <f>Input!B$302</f>
        <v>0</v>
      </c>
      <c r="C91" s="35">
        <f>Input!C$302</f>
        <v>0</v>
      </c>
      <c r="D91" s="35">
        <f>Input!D$302</f>
        <v>0</v>
      </c>
      <c r="E91" s="41">
        <f>Input!E$302</f>
        <v>0</v>
      </c>
      <c r="F91" s="41">
        <f>Input!F$302</f>
        <v>0</v>
      </c>
      <c r="G91" s="41">
        <f>Input!G$302</f>
        <v>0</v>
      </c>
      <c r="H91" s="35">
        <f>Input!H$302</f>
        <v>0</v>
      </c>
      <c r="I91" s="41">
        <f>Summary!B$156</f>
        <v>0</v>
      </c>
      <c r="J91" s="17"/>
    </row>
    <row r="93" spans="1:10" ht="21" customHeight="1">
      <c r="A93" s="1" t="s">
        <v>1624</v>
      </c>
    </row>
    <row r="95" spans="1:10">
      <c r="B95" s="15" t="s">
        <v>1625</v>
      </c>
    </row>
    <row r="96" spans="1:10">
      <c r="A96" s="4" t="s">
        <v>180</v>
      </c>
      <c r="B96" s="26" t="s">
        <v>1626</v>
      </c>
      <c r="C96" s="17"/>
    </row>
    <row r="97" spans="1:3">
      <c r="A97" s="4" t="s">
        <v>181</v>
      </c>
      <c r="B97" s="26" t="s">
        <v>1626</v>
      </c>
      <c r="C97" s="17"/>
    </row>
    <row r="98" spans="1:3">
      <c r="A98" s="4" t="s">
        <v>226</v>
      </c>
      <c r="B98" s="26" t="s">
        <v>1626</v>
      </c>
      <c r="C98" s="17"/>
    </row>
    <row r="99" spans="1:3">
      <c r="A99" s="4" t="s">
        <v>182</v>
      </c>
      <c r="B99" s="26" t="s">
        <v>1626</v>
      </c>
      <c r="C99" s="17"/>
    </row>
    <row r="100" spans="1:3">
      <c r="A100" s="4" t="s">
        <v>183</v>
      </c>
      <c r="B100" s="26" t="s">
        <v>1626</v>
      </c>
      <c r="C100" s="17"/>
    </row>
    <row r="101" spans="1:3">
      <c r="A101" s="4" t="s">
        <v>227</v>
      </c>
      <c r="B101" s="26" t="s">
        <v>1626</v>
      </c>
      <c r="C101" s="17"/>
    </row>
    <row r="102" spans="1:3">
      <c r="A102" s="4" t="s">
        <v>184</v>
      </c>
      <c r="B102" s="26" t="s">
        <v>1626</v>
      </c>
      <c r="C102" s="17"/>
    </row>
    <row r="103" spans="1:3">
      <c r="A103" s="4" t="s">
        <v>185</v>
      </c>
      <c r="B103" s="26" t="s">
        <v>1626</v>
      </c>
      <c r="C103" s="17"/>
    </row>
    <row r="104" spans="1:3">
      <c r="A104" s="4" t="s">
        <v>205</v>
      </c>
      <c r="B104" s="26" t="s">
        <v>1626</v>
      </c>
      <c r="C104" s="17"/>
    </row>
    <row r="105" spans="1:3">
      <c r="A105" s="4" t="s">
        <v>186</v>
      </c>
      <c r="B105" s="26" t="s">
        <v>1626</v>
      </c>
      <c r="C105" s="17"/>
    </row>
    <row r="106" spans="1:3">
      <c r="A106" s="4" t="s">
        <v>187</v>
      </c>
      <c r="B106" s="26" t="s">
        <v>1626</v>
      </c>
      <c r="C106" s="17"/>
    </row>
    <row r="107" spans="1:3">
      <c r="A107" s="4" t="s">
        <v>188</v>
      </c>
      <c r="B107" s="26" t="s">
        <v>1627</v>
      </c>
      <c r="C107" s="17"/>
    </row>
    <row r="108" spans="1:3">
      <c r="A108" s="4" t="s">
        <v>189</v>
      </c>
      <c r="B108" s="26" t="s">
        <v>1627</v>
      </c>
      <c r="C108" s="17"/>
    </row>
    <row r="109" spans="1:3">
      <c r="A109" s="4" t="s">
        <v>206</v>
      </c>
      <c r="B109" s="26" t="s">
        <v>1627</v>
      </c>
      <c r="C109" s="17"/>
    </row>
    <row r="110" spans="1:3">
      <c r="A110" s="4" t="s">
        <v>228</v>
      </c>
      <c r="B110" s="26" t="s">
        <v>1628</v>
      </c>
      <c r="C110" s="17"/>
    </row>
    <row r="111" spans="1:3">
      <c r="A111" s="4" t="s">
        <v>229</v>
      </c>
      <c r="B111" s="26" t="s">
        <v>1628</v>
      </c>
      <c r="C111" s="17"/>
    </row>
    <row r="112" spans="1:3">
      <c r="A112" s="4" t="s">
        <v>230</v>
      </c>
      <c r="B112" s="26" t="s">
        <v>1628</v>
      </c>
      <c r="C112" s="17"/>
    </row>
    <row r="113" spans="1:3">
      <c r="A113" s="4" t="s">
        <v>231</v>
      </c>
      <c r="B113" s="26" t="s">
        <v>1628</v>
      </c>
      <c r="C113" s="17"/>
    </row>
    <row r="114" spans="1:3">
      <c r="A114" s="4" t="s">
        <v>232</v>
      </c>
      <c r="B114" s="26" t="s">
        <v>1628</v>
      </c>
      <c r="C114" s="17"/>
    </row>
    <row r="115" spans="1:3">
      <c r="A115" s="4" t="s">
        <v>190</v>
      </c>
      <c r="B115" s="26" t="s">
        <v>1628</v>
      </c>
      <c r="C115" s="17"/>
    </row>
    <row r="116" spans="1:3">
      <c r="A116" s="4" t="s">
        <v>191</v>
      </c>
      <c r="B116" s="26" t="s">
        <v>1628</v>
      </c>
      <c r="C116" s="17"/>
    </row>
    <row r="117" spans="1:3">
      <c r="A117" s="4" t="s">
        <v>192</v>
      </c>
      <c r="B117" s="26" t="s">
        <v>1628</v>
      </c>
      <c r="C117" s="17"/>
    </row>
    <row r="118" spans="1:3">
      <c r="A118" s="4" t="s">
        <v>193</v>
      </c>
      <c r="B118" s="26" t="s">
        <v>1628</v>
      </c>
      <c r="C118" s="17"/>
    </row>
    <row r="119" spans="1:3">
      <c r="A119" s="4" t="s">
        <v>194</v>
      </c>
      <c r="B119" s="26" t="s">
        <v>1628</v>
      </c>
      <c r="C119" s="17"/>
    </row>
    <row r="120" spans="1:3">
      <c r="A120" s="4" t="s">
        <v>195</v>
      </c>
      <c r="B120" s="26" t="s">
        <v>1628</v>
      </c>
      <c r="C120" s="17"/>
    </row>
    <row r="121" spans="1:3">
      <c r="A121" s="4" t="s">
        <v>196</v>
      </c>
      <c r="B121" s="26" t="s">
        <v>1628</v>
      </c>
      <c r="C121" s="17"/>
    </row>
    <row r="122" spans="1:3">
      <c r="A122" s="4" t="s">
        <v>197</v>
      </c>
      <c r="B122" s="26" t="s">
        <v>1628</v>
      </c>
      <c r="C122" s="17"/>
    </row>
    <row r="123" spans="1:3">
      <c r="A123" s="4" t="s">
        <v>198</v>
      </c>
      <c r="B123" s="26" t="s">
        <v>1628</v>
      </c>
      <c r="C123" s="17"/>
    </row>
    <row r="124" spans="1:3">
      <c r="A124" s="4" t="s">
        <v>199</v>
      </c>
      <c r="B124" s="26" t="s">
        <v>1628</v>
      </c>
      <c r="C124" s="17"/>
    </row>
    <row r="125" spans="1:3">
      <c r="A125" s="4" t="s">
        <v>207</v>
      </c>
      <c r="B125" s="26" t="s">
        <v>1628</v>
      </c>
      <c r="C125" s="17"/>
    </row>
    <row r="126" spans="1:3">
      <c r="A126" s="4" t="s">
        <v>208</v>
      </c>
      <c r="B126" s="26" t="s">
        <v>1628</v>
      </c>
      <c r="C126" s="17"/>
    </row>
    <row r="127" spans="1:3">
      <c r="A127" s="4" t="s">
        <v>209</v>
      </c>
      <c r="B127" s="26" t="s">
        <v>1628</v>
      </c>
      <c r="C127" s="17"/>
    </row>
    <row r="128" spans="1:3">
      <c r="A128" s="4" t="s">
        <v>210</v>
      </c>
      <c r="B128" s="26" t="s">
        <v>1628</v>
      </c>
      <c r="C128" s="17"/>
    </row>
    <row r="130" spans="1:1" ht="21" customHeight="1">
      <c r="A130" s="1" t="s">
        <v>1629</v>
      </c>
    </row>
    <row r="131" spans="1:1">
      <c r="A131" s="2" t="s">
        <v>379</v>
      </c>
    </row>
    <row r="132" spans="1:1">
      <c r="A132" s="29" t="s">
        <v>1630</v>
      </c>
    </row>
    <row r="133" spans="1:1">
      <c r="A133" s="29" t="s">
        <v>1631</v>
      </c>
    </row>
    <row r="134" spans="1:1">
      <c r="A134" s="29" t="s">
        <v>1632</v>
      </c>
    </row>
    <row r="135" spans="1:1">
      <c r="A135" s="29" t="s">
        <v>1633</v>
      </c>
    </row>
    <row r="136" spans="1:1">
      <c r="A136" s="29" t="s">
        <v>1634</v>
      </c>
    </row>
    <row r="137" spans="1:1">
      <c r="A137" s="29" t="s">
        <v>1635</v>
      </c>
    </row>
    <row r="138" spans="1:1">
      <c r="A138" s="29" t="s">
        <v>1636</v>
      </c>
    </row>
    <row r="139" spans="1:1">
      <c r="A139" s="29" t="s">
        <v>1637</v>
      </c>
    </row>
    <row r="140" spans="1:1">
      <c r="A140" s="29" t="s">
        <v>1638</v>
      </c>
    </row>
    <row r="141" spans="1:1">
      <c r="A141" s="29" t="s">
        <v>631</v>
      </c>
    </row>
    <row r="142" spans="1:1">
      <c r="A142" s="29" t="s">
        <v>1639</v>
      </c>
    </row>
    <row r="143" spans="1:1">
      <c r="A143" s="29" t="s">
        <v>1640</v>
      </c>
    </row>
    <row r="144" spans="1:1">
      <c r="A144" s="29" t="s">
        <v>1641</v>
      </c>
    </row>
    <row r="145" spans="1:10">
      <c r="A145" s="29" t="s">
        <v>1642</v>
      </c>
    </row>
    <row r="146" spans="1:10">
      <c r="A146" s="29" t="s">
        <v>1643</v>
      </c>
    </row>
    <row r="147" spans="1:10">
      <c r="A147" s="29" t="s">
        <v>1644</v>
      </c>
    </row>
    <row r="148" spans="1:10">
      <c r="A148" s="29" t="s">
        <v>1645</v>
      </c>
    </row>
    <row r="149" spans="1:10">
      <c r="A149" s="29" t="s">
        <v>1646</v>
      </c>
    </row>
    <row r="150" spans="1:10">
      <c r="A150" s="29" t="s">
        <v>1647</v>
      </c>
    </row>
    <row r="151" spans="1:10">
      <c r="A151" s="29" t="s">
        <v>1648</v>
      </c>
    </row>
    <row r="152" spans="1:10">
      <c r="A152" s="29" t="s">
        <v>1649</v>
      </c>
    </row>
    <row r="153" spans="1:10">
      <c r="A153" s="29" t="s">
        <v>1650</v>
      </c>
    </row>
    <row r="154" spans="1:10">
      <c r="A154" s="29" t="s">
        <v>1651</v>
      </c>
    </row>
    <row r="155" spans="1:10">
      <c r="A155" s="29" t="s">
        <v>1652</v>
      </c>
    </row>
    <row r="156" spans="1:10">
      <c r="A156" s="30" t="s">
        <v>382</v>
      </c>
      <c r="B156" s="30" t="s">
        <v>512</v>
      </c>
      <c r="C156" s="30" t="s">
        <v>512</v>
      </c>
      <c r="D156" s="30" t="s">
        <v>512</v>
      </c>
      <c r="E156" s="30" t="s">
        <v>512</v>
      </c>
      <c r="F156" s="30" t="s">
        <v>512</v>
      </c>
      <c r="G156" s="30" t="s">
        <v>512</v>
      </c>
      <c r="H156" s="30" t="s">
        <v>512</v>
      </c>
      <c r="I156" s="30" t="s">
        <v>512</v>
      </c>
    </row>
    <row r="157" spans="1:10" ht="60">
      <c r="A157" s="30" t="s">
        <v>385</v>
      </c>
      <c r="B157" s="30" t="s">
        <v>1653</v>
      </c>
      <c r="C157" s="30" t="s">
        <v>1654</v>
      </c>
      <c r="D157" s="30" t="s">
        <v>1655</v>
      </c>
      <c r="E157" s="30" t="s">
        <v>1656</v>
      </c>
      <c r="F157" s="30" t="s">
        <v>1657</v>
      </c>
      <c r="G157" s="30" t="s">
        <v>1658</v>
      </c>
      <c r="H157" s="30" t="s">
        <v>1659</v>
      </c>
      <c r="I157" s="30" t="s">
        <v>1660</v>
      </c>
    </row>
    <row r="159" spans="1:10" ht="30">
      <c r="B159" s="15" t="s">
        <v>1661</v>
      </c>
      <c r="C159" s="15" t="s">
        <v>1662</v>
      </c>
      <c r="D159" s="15" t="s">
        <v>1663</v>
      </c>
      <c r="E159" s="15" t="s">
        <v>1664</v>
      </c>
      <c r="F159" s="15" t="s">
        <v>1665</v>
      </c>
      <c r="G159" s="15" t="s">
        <v>1666</v>
      </c>
      <c r="H159" s="15" t="s">
        <v>1667</v>
      </c>
      <c r="I159" s="15" t="s">
        <v>1668</v>
      </c>
    </row>
    <row r="160" spans="1:10">
      <c r="A160" s="27" t="s">
        <v>180</v>
      </c>
      <c r="J160" s="17"/>
    </row>
    <row r="161" spans="1:10">
      <c r="A161" s="4" t="s">
        <v>180</v>
      </c>
      <c r="B161" s="34">
        <f>B$59/IF(B$96="kVA",IF(F$59,F$59,1),IF(B$96="MPAN",IF(E$59,E$59,1),IF(I$59,I$59,1)))</f>
        <v>3.1733225834001666</v>
      </c>
      <c r="C161" s="34">
        <f>C$59/IF(B$96="kVA",IF(F$59,F$59,1),IF(B$96="MPAN",IF(E$59,E$59,1),IF(I$59,I$59,1)))</f>
        <v>0</v>
      </c>
      <c r="D161" s="34">
        <f>D$59/IF(B$96="kVA",IF(F$59,F$59,1),IF(B$96="MPAN",IF(E$59,E$59,1),IF(I$59,I$59,1)))</f>
        <v>0</v>
      </c>
      <c r="E161" s="34">
        <f>E$59/IF(B$96="kVA",IF(F$59,F$59,1),IF(B$96="MPAN",IF(E$59,E$59,1),IF(I$59,I$59,1)))</f>
        <v>1</v>
      </c>
      <c r="F161" s="34">
        <f>F$59/IF(B$96="kVA",IF(F$59,F$59,1),IF(B$96="MPAN",IF(E$59,E$59,1),IF(I$59,I$59,1)))</f>
        <v>0</v>
      </c>
      <c r="G161" s="34">
        <f>G$59/IF(B$96="kVA",IF(F$59,F$59,1),IF(B$96="MPAN",IF(E$59,E$59,1),IF(I$59,I$59,1)))</f>
        <v>0</v>
      </c>
      <c r="H161" s="34">
        <f>H$59/IF(B$96="kVA",IF(F$59,F$59,1),IF(B$96="MPAN",IF(E$59,E$59,1),IF(I$59,I$59,1)))</f>
        <v>0</v>
      </c>
      <c r="I161" s="43">
        <f>0.01*Input!F$60*(Adjust!$E$252*E161+Adjust!$F$252*F161+Adjust!$G$252*G161)+10*(Adjust!$B$252*B161+Adjust!$C$252*C161+Adjust!$D$252*D161+Adjust!$H$252*H161)</f>
        <v>88.76220974326398</v>
      </c>
      <c r="J161" s="17"/>
    </row>
    <row r="162" spans="1:10">
      <c r="A162" s="4" t="s">
        <v>245</v>
      </c>
      <c r="B162" s="34">
        <f>B$59/IF(B$96="kVA",IF(F$59,F$59,1),IF(B$96="MPAN",IF(E$59,E$59,1),IF(I$59,I$59,1)))</f>
        <v>3.1733225834001666</v>
      </c>
      <c r="C162" s="34">
        <f>C$59/IF(B$96="kVA",IF(F$59,F$59,1),IF(B$96="MPAN",IF(E$59,E$59,1),IF(I$59,I$59,1)))</f>
        <v>0</v>
      </c>
      <c r="D162" s="34">
        <f>D$59/IF(B$96="kVA",IF(F$59,F$59,1),IF(B$96="MPAN",IF(E$59,E$59,1),IF(I$59,I$59,1)))</f>
        <v>0</v>
      </c>
      <c r="E162" s="34">
        <f>E$59/IF(B$96="kVA",IF(F$59,F$59,1),IF(B$96="MPAN",IF(E$59,E$59,1),IF(I$59,I$59,1)))</f>
        <v>1</v>
      </c>
      <c r="F162" s="34">
        <f>F$59/IF(B$96="kVA",IF(F$59,F$59,1),IF(B$96="MPAN",IF(E$59,E$59,1),IF(I$59,I$59,1)))</f>
        <v>0</v>
      </c>
      <c r="G162" s="34">
        <f>G$59/IF(B$96="kVA",IF(F$59,F$59,1),IF(B$96="MPAN",IF(E$59,E$59,1),IF(I$59,I$59,1)))</f>
        <v>0</v>
      </c>
      <c r="H162" s="34">
        <f>H$59/IF(B$96="kVA",IF(F$59,F$59,1),IF(B$96="MPAN",IF(E$59,E$59,1),IF(I$59,I$59,1)))</f>
        <v>0</v>
      </c>
      <c r="I162" s="43">
        <f>0.01*Input!F$60*(Adjust!$E$253*E162+Adjust!$F$253*F162+Adjust!$G$253*G162)+10*(Adjust!$B$253*B162+Adjust!$C$253*C162+Adjust!$D$253*D162+Adjust!$H$253*H162)</f>
        <v>57.050434881026561</v>
      </c>
      <c r="J162" s="17"/>
    </row>
    <row r="163" spans="1:10">
      <c r="A163" s="4" t="s">
        <v>246</v>
      </c>
      <c r="B163" s="34">
        <f>B$59/IF(B$96="kVA",IF(F$59,F$59,1),IF(B$96="MPAN",IF(E$59,E$59,1),IF(I$59,I$59,1)))</f>
        <v>3.1733225834001666</v>
      </c>
      <c r="C163" s="34">
        <f>C$59/IF(B$96="kVA",IF(F$59,F$59,1),IF(B$96="MPAN",IF(E$59,E$59,1),IF(I$59,I$59,1)))</f>
        <v>0</v>
      </c>
      <c r="D163" s="34">
        <f>D$59/IF(B$96="kVA",IF(F$59,F$59,1),IF(B$96="MPAN",IF(E$59,E$59,1),IF(I$59,I$59,1)))</f>
        <v>0</v>
      </c>
      <c r="E163" s="34">
        <f>E$59/IF(B$96="kVA",IF(F$59,F$59,1),IF(B$96="MPAN",IF(E$59,E$59,1),IF(I$59,I$59,1)))</f>
        <v>1</v>
      </c>
      <c r="F163" s="34">
        <f>F$59/IF(B$96="kVA",IF(F$59,F$59,1),IF(B$96="MPAN",IF(E$59,E$59,1),IF(I$59,I$59,1)))</f>
        <v>0</v>
      </c>
      <c r="G163" s="34">
        <f>G$59/IF(B$96="kVA",IF(F$59,F$59,1),IF(B$96="MPAN",IF(E$59,E$59,1),IF(I$59,I$59,1)))</f>
        <v>0</v>
      </c>
      <c r="H163" s="34">
        <f>H$59/IF(B$96="kVA",IF(F$59,F$59,1),IF(B$96="MPAN",IF(E$59,E$59,1),IF(I$59,I$59,1)))</f>
        <v>0</v>
      </c>
      <c r="I163" s="43">
        <f>0.01*Input!F$60*(Adjust!$E$254*E163+Adjust!$F$254*F163+Adjust!$G$254*G163)+10*(Adjust!$B$254*B163+Adjust!$C$254*C163+Adjust!$D$254*D163+Adjust!$H$254*H163)</f>
        <v>37.8944903506817</v>
      </c>
      <c r="J163" s="17"/>
    </row>
    <row r="164" spans="1:10">
      <c r="A164" s="27" t="s">
        <v>181</v>
      </c>
      <c r="J164" s="17"/>
    </row>
    <row r="165" spans="1:10">
      <c r="A165" s="4" t="s">
        <v>181</v>
      </c>
      <c r="B165" s="34">
        <f>B$60/IF(B$97="kVA",IF(F$60,F$60,1),IF(B$97="MPAN",IF(E$60,E$60,1),IF(I$60,I$60,1)))</f>
        <v>2.6282523074318718</v>
      </c>
      <c r="C165" s="34">
        <f>C$60/IF(B$97="kVA",IF(F$60,F$60,1),IF(B$97="MPAN",IF(E$60,E$60,1),IF(I$60,I$60,1)))</f>
        <v>2.6125863958251014</v>
      </c>
      <c r="D165" s="34">
        <f>D$60/IF(B$97="kVA",IF(F$60,F$60,1),IF(B$97="MPAN",IF(E$60,E$60,1),IF(I$60,I$60,1)))</f>
        <v>0</v>
      </c>
      <c r="E165" s="34">
        <f>E$60/IF(B$97="kVA",IF(F$60,F$60,1),IF(B$97="MPAN",IF(E$60,E$60,1),IF(I$60,I$60,1)))</f>
        <v>1</v>
      </c>
      <c r="F165" s="34">
        <f>F$60/IF(B$97="kVA",IF(F$60,F$60,1),IF(B$97="MPAN",IF(E$60,E$60,1),IF(I$60,I$60,1)))</f>
        <v>0</v>
      </c>
      <c r="G165" s="34">
        <f>G$60/IF(B$97="kVA",IF(F$60,F$60,1),IF(B$97="MPAN",IF(E$60,E$60,1),IF(I$60,I$60,1)))</f>
        <v>0</v>
      </c>
      <c r="H165" s="34">
        <f>H$60/IF(B$97="kVA",IF(F$60,F$60,1),IF(B$97="MPAN",IF(E$60,E$60,1),IF(I$60,I$60,1)))</f>
        <v>0</v>
      </c>
      <c r="I165" s="43">
        <f>0.01*Input!F$60*(Adjust!$E$256*E165+Adjust!$F$256*F165+Adjust!$G$256*G165)+10*(Adjust!$B$256*B165+Adjust!$C$256*C165+Adjust!$D$256*D165+Adjust!$H$256*H165)</f>
        <v>106.60071403729103</v>
      </c>
      <c r="J165" s="17"/>
    </row>
    <row r="166" spans="1:10">
      <c r="A166" s="4" t="s">
        <v>248</v>
      </c>
      <c r="B166" s="34">
        <f>B$60/IF(B$97="kVA",IF(F$60,F$60,1),IF(B$97="MPAN",IF(E$60,E$60,1),IF(I$60,I$60,1)))</f>
        <v>2.6282523074318718</v>
      </c>
      <c r="C166" s="34">
        <f>C$60/IF(B$97="kVA",IF(F$60,F$60,1),IF(B$97="MPAN",IF(E$60,E$60,1),IF(I$60,I$60,1)))</f>
        <v>2.6125863958251014</v>
      </c>
      <c r="D166" s="34">
        <f>D$60/IF(B$97="kVA",IF(F$60,F$60,1),IF(B$97="MPAN",IF(E$60,E$60,1),IF(I$60,I$60,1)))</f>
        <v>0</v>
      </c>
      <c r="E166" s="34">
        <f>E$60/IF(B$97="kVA",IF(F$60,F$60,1),IF(B$97="MPAN",IF(E$60,E$60,1),IF(I$60,I$60,1)))</f>
        <v>1</v>
      </c>
      <c r="F166" s="34">
        <f>F$60/IF(B$97="kVA",IF(F$60,F$60,1),IF(B$97="MPAN",IF(E$60,E$60,1),IF(I$60,I$60,1)))</f>
        <v>0</v>
      </c>
      <c r="G166" s="34">
        <f>G$60/IF(B$97="kVA",IF(F$60,F$60,1),IF(B$97="MPAN",IF(E$60,E$60,1),IF(I$60,I$60,1)))</f>
        <v>0</v>
      </c>
      <c r="H166" s="34">
        <f>H$60/IF(B$97="kVA",IF(F$60,F$60,1),IF(B$97="MPAN",IF(E$60,E$60,1),IF(I$60,I$60,1)))</f>
        <v>0</v>
      </c>
      <c r="I166" s="43">
        <f>0.01*Input!F$60*(Adjust!$E$257*E166+Adjust!$F$257*F166+Adjust!$G$257*G166)+10*(Adjust!$B$257*B166+Adjust!$C$257*C166+Adjust!$D$257*D166+Adjust!$H$257*H166)</f>
        <v>68.522291692685428</v>
      </c>
      <c r="J166" s="17"/>
    </row>
    <row r="167" spans="1:10">
      <c r="A167" s="4" t="s">
        <v>249</v>
      </c>
      <c r="B167" s="34">
        <f>B$60/IF(B$97="kVA",IF(F$60,F$60,1),IF(B$97="MPAN",IF(E$60,E$60,1),IF(I$60,I$60,1)))</f>
        <v>2.6282523074318718</v>
      </c>
      <c r="C167" s="34">
        <f>C$60/IF(B$97="kVA",IF(F$60,F$60,1),IF(B$97="MPAN",IF(E$60,E$60,1),IF(I$60,I$60,1)))</f>
        <v>2.6125863958251014</v>
      </c>
      <c r="D167" s="34">
        <f>D$60/IF(B$97="kVA",IF(F$60,F$60,1),IF(B$97="MPAN",IF(E$60,E$60,1),IF(I$60,I$60,1)))</f>
        <v>0</v>
      </c>
      <c r="E167" s="34">
        <f>E$60/IF(B$97="kVA",IF(F$60,F$60,1),IF(B$97="MPAN",IF(E$60,E$60,1),IF(I$60,I$60,1)))</f>
        <v>1</v>
      </c>
      <c r="F167" s="34">
        <f>F$60/IF(B$97="kVA",IF(F$60,F$60,1),IF(B$97="MPAN",IF(E$60,E$60,1),IF(I$60,I$60,1)))</f>
        <v>0</v>
      </c>
      <c r="G167" s="34">
        <f>G$60/IF(B$97="kVA",IF(F$60,F$60,1),IF(B$97="MPAN",IF(E$60,E$60,1),IF(I$60,I$60,1)))</f>
        <v>0</v>
      </c>
      <c r="H167" s="34">
        <f>H$60/IF(B$97="kVA",IF(F$60,F$60,1),IF(B$97="MPAN",IF(E$60,E$60,1),IF(I$60,I$60,1)))</f>
        <v>0</v>
      </c>
      <c r="I167" s="43">
        <f>0.01*Input!F$60*(Adjust!$E$258*E167+Adjust!$F$258*F167+Adjust!$G$258*G167)+10*(Adjust!$B$258*B167+Adjust!$C$258*C167+Adjust!$D$258*D167+Adjust!$H$258*H167)</f>
        <v>45.503028474768996</v>
      </c>
      <c r="J167" s="17"/>
    </row>
    <row r="168" spans="1:10">
      <c r="A168" s="27" t="s">
        <v>226</v>
      </c>
      <c r="J168" s="17"/>
    </row>
    <row r="169" spans="1:10">
      <c r="A169" s="4" t="s">
        <v>226</v>
      </c>
      <c r="B169" s="34">
        <f>B$61/IF(B$98="kVA",IF(F$61,F$61,1),IF(B$98="MPAN",IF(E$61,E$61,1),IF(I$61,I$61,1)))</f>
        <v>3.3441456895500004</v>
      </c>
      <c r="C169" s="34">
        <f>C$61/IF(B$98="kVA",IF(F$61,F$61,1),IF(B$98="MPAN",IF(E$61,E$61,1),IF(I$61,I$61,1)))</f>
        <v>0</v>
      </c>
      <c r="D169" s="34">
        <f>D$61/IF(B$98="kVA",IF(F$61,F$61,1),IF(B$98="MPAN",IF(E$61,E$61,1),IF(I$61,I$61,1)))</f>
        <v>0</v>
      </c>
      <c r="E169" s="34">
        <f>E$61/IF(B$98="kVA",IF(F$61,F$61,1),IF(B$98="MPAN",IF(E$61,E$61,1),IF(I$61,I$61,1)))</f>
        <v>1</v>
      </c>
      <c r="F169" s="34">
        <f>F$61/IF(B$98="kVA",IF(F$61,F$61,1),IF(B$98="MPAN",IF(E$61,E$61,1),IF(I$61,I$61,1)))</f>
        <v>0</v>
      </c>
      <c r="G169" s="34">
        <f>G$61/IF(B$98="kVA",IF(F$61,F$61,1),IF(B$98="MPAN",IF(E$61,E$61,1),IF(I$61,I$61,1)))</f>
        <v>0</v>
      </c>
      <c r="H169" s="34">
        <f>H$61/IF(B$98="kVA",IF(F$61,F$61,1),IF(B$98="MPAN",IF(E$61,E$61,1),IF(I$61,I$61,1)))</f>
        <v>0</v>
      </c>
      <c r="I169" s="43">
        <f>0.01*Input!F$60*(Adjust!$E$260*E169+Adjust!$F$260*F169+Adjust!$G$260*G169)+10*(Adjust!$B$260*B169+Adjust!$C$260*C169+Adjust!$D$260*D169+Adjust!$H$260*H169)</f>
        <v>27.488877568101003</v>
      </c>
      <c r="J169" s="17"/>
    </row>
    <row r="170" spans="1:10">
      <c r="A170" s="4" t="s">
        <v>251</v>
      </c>
      <c r="B170" s="34">
        <f>B$61/IF(B$98="kVA",IF(F$61,F$61,1),IF(B$98="MPAN",IF(E$61,E$61,1),IF(I$61,I$61,1)))</f>
        <v>3.3441456895500004</v>
      </c>
      <c r="C170" s="34">
        <f>C$61/IF(B$98="kVA",IF(F$61,F$61,1),IF(B$98="MPAN",IF(E$61,E$61,1),IF(I$61,I$61,1)))</f>
        <v>0</v>
      </c>
      <c r="D170" s="34">
        <f>D$61/IF(B$98="kVA",IF(F$61,F$61,1),IF(B$98="MPAN",IF(E$61,E$61,1),IF(I$61,I$61,1)))</f>
        <v>0</v>
      </c>
      <c r="E170" s="34">
        <f>E$61/IF(B$98="kVA",IF(F$61,F$61,1),IF(B$98="MPAN",IF(E$61,E$61,1),IF(I$61,I$61,1)))</f>
        <v>1</v>
      </c>
      <c r="F170" s="34">
        <f>F$61/IF(B$98="kVA",IF(F$61,F$61,1),IF(B$98="MPAN",IF(E$61,E$61,1),IF(I$61,I$61,1)))</f>
        <v>0</v>
      </c>
      <c r="G170" s="34">
        <f>G$61/IF(B$98="kVA",IF(F$61,F$61,1),IF(B$98="MPAN",IF(E$61,E$61,1),IF(I$61,I$61,1)))</f>
        <v>0</v>
      </c>
      <c r="H170" s="34">
        <f>H$61/IF(B$98="kVA",IF(F$61,F$61,1),IF(B$98="MPAN",IF(E$61,E$61,1),IF(I$61,I$61,1)))</f>
        <v>0</v>
      </c>
      <c r="I170" s="43">
        <f>0.01*Input!F$60*(Adjust!$E$261*E170+Adjust!$F$261*F170+Adjust!$G$261*G170)+10*(Adjust!$B$261*B170+Adjust!$C$261*C170+Adjust!$D$261*D170+Adjust!$H$261*H170)</f>
        <v>17.657089240824003</v>
      </c>
      <c r="J170" s="17"/>
    </row>
    <row r="171" spans="1:10">
      <c r="A171" s="4" t="s">
        <v>252</v>
      </c>
      <c r="B171" s="34">
        <f>B$61/IF(B$98="kVA",IF(F$61,F$61,1),IF(B$98="MPAN",IF(E$61,E$61,1),IF(I$61,I$61,1)))</f>
        <v>3.3441456895500004</v>
      </c>
      <c r="C171" s="34">
        <f>C$61/IF(B$98="kVA",IF(F$61,F$61,1),IF(B$98="MPAN",IF(E$61,E$61,1),IF(I$61,I$61,1)))</f>
        <v>0</v>
      </c>
      <c r="D171" s="34">
        <f>D$61/IF(B$98="kVA",IF(F$61,F$61,1),IF(B$98="MPAN",IF(E$61,E$61,1),IF(I$61,I$61,1)))</f>
        <v>0</v>
      </c>
      <c r="E171" s="34">
        <f>E$61/IF(B$98="kVA",IF(F$61,F$61,1),IF(B$98="MPAN",IF(E$61,E$61,1),IF(I$61,I$61,1)))</f>
        <v>1</v>
      </c>
      <c r="F171" s="34">
        <f>F$61/IF(B$98="kVA",IF(F$61,F$61,1),IF(B$98="MPAN",IF(E$61,E$61,1),IF(I$61,I$61,1)))</f>
        <v>0</v>
      </c>
      <c r="G171" s="34">
        <f>G$61/IF(B$98="kVA",IF(F$61,F$61,1),IF(B$98="MPAN",IF(E$61,E$61,1),IF(I$61,I$61,1)))</f>
        <v>0</v>
      </c>
      <c r="H171" s="34">
        <f>H$61/IF(B$98="kVA",IF(F$61,F$61,1),IF(B$98="MPAN",IF(E$61,E$61,1),IF(I$61,I$61,1)))</f>
        <v>0</v>
      </c>
      <c r="I171" s="43">
        <f>0.01*Input!F$60*(Adjust!$E$262*E171+Adjust!$F$262*F171+Adjust!$G$262*G171)+10*(Adjust!$B$262*B171+Adjust!$C$262*C171+Adjust!$D$262*D171+Adjust!$H$262*H171)</f>
        <v>11.7379513703205</v>
      </c>
      <c r="J171" s="17"/>
    </row>
    <row r="172" spans="1:10">
      <c r="A172" s="27" t="s">
        <v>182</v>
      </c>
      <c r="J172" s="17"/>
    </row>
    <row r="173" spans="1:10">
      <c r="A173" s="4" t="s">
        <v>182</v>
      </c>
      <c r="B173" s="34">
        <f>B$62/IF(B$99="kVA",IF(F$62,F$62,1),IF(B$99="MPAN",IF(E$62,E$62,1),IF(I$62,I$62,1)))</f>
        <v>12.290418529287225</v>
      </c>
      <c r="C173" s="34">
        <f>C$62/IF(B$99="kVA",IF(F$62,F$62,1),IF(B$99="MPAN",IF(E$62,E$62,1),IF(I$62,I$62,1)))</f>
        <v>0</v>
      </c>
      <c r="D173" s="34">
        <f>D$62/IF(B$99="kVA",IF(F$62,F$62,1),IF(B$99="MPAN",IF(E$62,E$62,1),IF(I$62,I$62,1)))</f>
        <v>0</v>
      </c>
      <c r="E173" s="34">
        <f>E$62/IF(B$99="kVA",IF(F$62,F$62,1),IF(B$99="MPAN",IF(E$62,E$62,1),IF(I$62,I$62,1)))</f>
        <v>1</v>
      </c>
      <c r="F173" s="34">
        <f>F$62/IF(B$99="kVA",IF(F$62,F$62,1),IF(B$99="MPAN",IF(E$62,E$62,1),IF(I$62,I$62,1)))</f>
        <v>0</v>
      </c>
      <c r="G173" s="34">
        <f>G$62/IF(B$99="kVA",IF(F$62,F$62,1),IF(B$99="MPAN",IF(E$62,E$62,1),IF(I$62,I$62,1)))</f>
        <v>0</v>
      </c>
      <c r="H173" s="34">
        <f>H$62/IF(B$99="kVA",IF(F$62,F$62,1),IF(B$99="MPAN",IF(E$62,E$62,1),IF(I$62,I$62,1)))</f>
        <v>0</v>
      </c>
      <c r="I173" s="43">
        <f>0.01*Input!F$60*(Adjust!$E$264*E173+Adjust!$F$264*F173+Adjust!$G$264*G173)+10*(Adjust!$B$264*B173+Adjust!$C$264*C173+Adjust!$D$264*D173+Adjust!$H$264*H173)</f>
        <v>289.7000252795483</v>
      </c>
      <c r="J173" s="17"/>
    </row>
    <row r="174" spans="1:10">
      <c r="A174" s="4" t="s">
        <v>254</v>
      </c>
      <c r="B174" s="34">
        <f>B$62/IF(B$99="kVA",IF(F$62,F$62,1),IF(B$99="MPAN",IF(E$62,E$62,1),IF(I$62,I$62,1)))</f>
        <v>12.290418529287225</v>
      </c>
      <c r="C174" s="34">
        <f>C$62/IF(B$99="kVA",IF(F$62,F$62,1),IF(B$99="MPAN",IF(E$62,E$62,1),IF(I$62,I$62,1)))</f>
        <v>0</v>
      </c>
      <c r="D174" s="34">
        <f>D$62/IF(B$99="kVA",IF(F$62,F$62,1),IF(B$99="MPAN",IF(E$62,E$62,1),IF(I$62,I$62,1)))</f>
        <v>0</v>
      </c>
      <c r="E174" s="34">
        <f>E$62/IF(B$99="kVA",IF(F$62,F$62,1),IF(B$99="MPAN",IF(E$62,E$62,1),IF(I$62,I$62,1)))</f>
        <v>1</v>
      </c>
      <c r="F174" s="34">
        <f>F$62/IF(B$99="kVA",IF(F$62,F$62,1),IF(B$99="MPAN",IF(E$62,E$62,1),IF(I$62,I$62,1)))</f>
        <v>0</v>
      </c>
      <c r="G174" s="34">
        <f>G$62/IF(B$99="kVA",IF(F$62,F$62,1),IF(B$99="MPAN",IF(E$62,E$62,1),IF(I$62,I$62,1)))</f>
        <v>0</v>
      </c>
      <c r="H174" s="34">
        <f>H$62/IF(B$99="kVA",IF(F$62,F$62,1),IF(B$99="MPAN",IF(E$62,E$62,1),IF(I$62,I$62,1)))</f>
        <v>0</v>
      </c>
      <c r="I174" s="43">
        <f>0.01*Input!F$60*(Adjust!$E$265*E174+Adjust!$F$265*F174+Adjust!$G$265*G174)+10*(Adjust!$B$265*B174+Adjust!$C$265*C174+Adjust!$D$265*D174+Adjust!$H$265*H174)</f>
        <v>186.15055611878614</v>
      </c>
      <c r="J174" s="17"/>
    </row>
    <row r="175" spans="1:10">
      <c r="A175" s="4" t="s">
        <v>255</v>
      </c>
      <c r="B175" s="34">
        <f>B$62/IF(B$99="kVA",IF(F$62,F$62,1),IF(B$99="MPAN",IF(E$62,E$62,1),IF(I$62,I$62,1)))</f>
        <v>12.290418529287225</v>
      </c>
      <c r="C175" s="34">
        <f>C$62/IF(B$99="kVA",IF(F$62,F$62,1),IF(B$99="MPAN",IF(E$62,E$62,1),IF(I$62,I$62,1)))</f>
        <v>0</v>
      </c>
      <c r="D175" s="34">
        <f>D$62/IF(B$99="kVA",IF(F$62,F$62,1),IF(B$99="MPAN",IF(E$62,E$62,1),IF(I$62,I$62,1)))</f>
        <v>0</v>
      </c>
      <c r="E175" s="34">
        <f>E$62/IF(B$99="kVA",IF(F$62,F$62,1),IF(B$99="MPAN",IF(E$62,E$62,1),IF(I$62,I$62,1)))</f>
        <v>1</v>
      </c>
      <c r="F175" s="34">
        <f>F$62/IF(B$99="kVA",IF(F$62,F$62,1),IF(B$99="MPAN",IF(E$62,E$62,1),IF(I$62,I$62,1)))</f>
        <v>0</v>
      </c>
      <c r="G175" s="34">
        <f>G$62/IF(B$99="kVA",IF(F$62,F$62,1),IF(B$99="MPAN",IF(E$62,E$62,1),IF(I$62,I$62,1)))</f>
        <v>0</v>
      </c>
      <c r="H175" s="34">
        <f>H$62/IF(B$99="kVA",IF(F$62,F$62,1),IF(B$99="MPAN",IF(E$62,E$62,1),IF(I$62,I$62,1)))</f>
        <v>0</v>
      </c>
      <c r="I175" s="43">
        <f>0.01*Input!F$60*(Adjust!$E$266*E175+Adjust!$F$266*F175+Adjust!$G$266*G175)+10*(Adjust!$B$266*B175+Adjust!$C$266*C175+Adjust!$D$266*D175+Adjust!$H$266*H175)</f>
        <v>123.63752206645023</v>
      </c>
      <c r="J175" s="17"/>
    </row>
    <row r="176" spans="1:10">
      <c r="A176" s="27" t="s">
        <v>183</v>
      </c>
      <c r="J176" s="17"/>
    </row>
    <row r="177" spans="1:10">
      <c r="A177" s="4" t="s">
        <v>183</v>
      </c>
      <c r="B177" s="34">
        <f>B$63/IF(B$100="kVA",IF(F$63,F$63,1),IF(B$100="MPAN",IF(E$63,E$63,1),IF(I$63,I$63,1)))</f>
        <v>15.554877496789734</v>
      </c>
      <c r="C177" s="34">
        <f>C$63/IF(B$100="kVA",IF(F$63,F$63,1),IF(B$100="MPAN",IF(E$63,E$63,1),IF(I$63,I$63,1)))</f>
        <v>5.7222967413523893</v>
      </c>
      <c r="D177" s="34">
        <f>D$63/IF(B$100="kVA",IF(F$63,F$63,1),IF(B$100="MPAN",IF(E$63,E$63,1),IF(I$63,I$63,1)))</f>
        <v>0</v>
      </c>
      <c r="E177" s="34">
        <f>E$63/IF(B$100="kVA",IF(F$63,F$63,1),IF(B$100="MPAN",IF(E$63,E$63,1),IF(I$63,I$63,1)))</f>
        <v>1</v>
      </c>
      <c r="F177" s="34">
        <f>F$63/IF(B$100="kVA",IF(F$63,F$63,1),IF(B$100="MPAN",IF(E$63,E$63,1),IF(I$63,I$63,1)))</f>
        <v>0</v>
      </c>
      <c r="G177" s="34">
        <f>G$63/IF(B$100="kVA",IF(F$63,F$63,1),IF(B$100="MPAN",IF(E$63,E$63,1),IF(I$63,I$63,1)))</f>
        <v>0</v>
      </c>
      <c r="H177" s="34">
        <f>H$63/IF(B$100="kVA",IF(F$63,F$63,1),IF(B$100="MPAN",IF(E$63,E$63,1),IF(I$63,I$63,1)))</f>
        <v>0</v>
      </c>
      <c r="I177" s="43">
        <f>0.01*Input!F$60*(Adjust!$E$268*E177+Adjust!$F$268*F177+Adjust!$G$268*G177)+10*(Adjust!$B$268*B177+Adjust!$C$268*C177+Adjust!$D$268*D177+Adjust!$H$268*H177)</f>
        <v>421.45159487330625</v>
      </c>
      <c r="J177" s="17"/>
    </row>
    <row r="178" spans="1:10">
      <c r="A178" s="4" t="s">
        <v>257</v>
      </c>
      <c r="B178" s="34">
        <f>B$63/IF(B$100="kVA",IF(F$63,F$63,1),IF(B$100="MPAN",IF(E$63,E$63,1),IF(I$63,I$63,1)))</f>
        <v>15.554877496789734</v>
      </c>
      <c r="C178" s="34">
        <f>C$63/IF(B$100="kVA",IF(F$63,F$63,1),IF(B$100="MPAN",IF(E$63,E$63,1),IF(I$63,I$63,1)))</f>
        <v>5.7222967413523893</v>
      </c>
      <c r="D178" s="34">
        <f>D$63/IF(B$100="kVA",IF(F$63,F$63,1),IF(B$100="MPAN",IF(E$63,E$63,1),IF(I$63,I$63,1)))</f>
        <v>0</v>
      </c>
      <c r="E178" s="34">
        <f>E$63/IF(B$100="kVA",IF(F$63,F$63,1),IF(B$100="MPAN",IF(E$63,E$63,1),IF(I$63,I$63,1)))</f>
        <v>1</v>
      </c>
      <c r="F178" s="34">
        <f>F$63/IF(B$100="kVA",IF(F$63,F$63,1),IF(B$100="MPAN",IF(E$63,E$63,1),IF(I$63,I$63,1)))</f>
        <v>0</v>
      </c>
      <c r="G178" s="34">
        <f>G$63/IF(B$100="kVA",IF(F$63,F$63,1),IF(B$100="MPAN",IF(E$63,E$63,1),IF(I$63,I$63,1)))</f>
        <v>0</v>
      </c>
      <c r="H178" s="34">
        <f>H$63/IF(B$100="kVA",IF(F$63,F$63,1),IF(B$100="MPAN",IF(E$63,E$63,1),IF(I$63,I$63,1)))</f>
        <v>0</v>
      </c>
      <c r="I178" s="43">
        <f>0.01*Input!F$60*(Adjust!$E$269*E178+Adjust!$F$269*F178+Adjust!$G$269*G178)+10*(Adjust!$B$269*B178+Adjust!$C$269*C178+Adjust!$D$269*D178+Adjust!$H$269*H178)</f>
        <v>270.81828592057985</v>
      </c>
      <c r="J178" s="17"/>
    </row>
    <row r="179" spans="1:10">
      <c r="A179" s="4" t="s">
        <v>258</v>
      </c>
      <c r="B179" s="34">
        <f>B$63/IF(B$100="kVA",IF(F$63,F$63,1),IF(B$100="MPAN",IF(E$63,E$63,1),IF(I$63,I$63,1)))</f>
        <v>15.554877496789734</v>
      </c>
      <c r="C179" s="34">
        <f>C$63/IF(B$100="kVA",IF(F$63,F$63,1),IF(B$100="MPAN",IF(E$63,E$63,1),IF(I$63,I$63,1)))</f>
        <v>5.7222967413523893</v>
      </c>
      <c r="D179" s="34">
        <f>D$63/IF(B$100="kVA",IF(F$63,F$63,1),IF(B$100="MPAN",IF(E$63,E$63,1),IF(I$63,I$63,1)))</f>
        <v>0</v>
      </c>
      <c r="E179" s="34">
        <f>E$63/IF(B$100="kVA",IF(F$63,F$63,1),IF(B$100="MPAN",IF(E$63,E$63,1),IF(I$63,I$63,1)))</f>
        <v>1</v>
      </c>
      <c r="F179" s="34">
        <f>F$63/IF(B$100="kVA",IF(F$63,F$63,1),IF(B$100="MPAN",IF(E$63,E$63,1),IF(I$63,I$63,1)))</f>
        <v>0</v>
      </c>
      <c r="G179" s="34">
        <f>G$63/IF(B$100="kVA",IF(F$63,F$63,1),IF(B$100="MPAN",IF(E$63,E$63,1),IF(I$63,I$63,1)))</f>
        <v>0</v>
      </c>
      <c r="H179" s="34">
        <f>H$63/IF(B$100="kVA",IF(F$63,F$63,1),IF(B$100="MPAN",IF(E$63,E$63,1),IF(I$63,I$63,1)))</f>
        <v>0</v>
      </c>
      <c r="I179" s="43">
        <f>0.01*Input!F$60*(Adjust!$E$270*E179+Adjust!$F$270*F179+Adjust!$G$270*G179)+10*(Adjust!$B$270*B179+Adjust!$C$270*C179+Adjust!$D$270*D179+Adjust!$H$270*H179)</f>
        <v>179.82113061058331</v>
      </c>
      <c r="J179" s="17"/>
    </row>
    <row r="180" spans="1:10">
      <c r="A180" s="27" t="s">
        <v>227</v>
      </c>
      <c r="J180" s="17"/>
    </row>
    <row r="181" spans="1:10">
      <c r="A181" s="4" t="s">
        <v>227</v>
      </c>
      <c r="B181" s="34">
        <f>B$64/IF(B$101="kVA",IF(F$64,F$64,1),IF(B$101="MPAN",IF(E$64,E$64,1),IF(I$64,I$64,1)))</f>
        <v>5.5383390185888937</v>
      </c>
      <c r="C181" s="34">
        <f>C$64/IF(B$101="kVA",IF(F$64,F$64,1),IF(B$101="MPAN",IF(E$64,E$64,1),IF(I$64,I$64,1)))</f>
        <v>0</v>
      </c>
      <c r="D181" s="34">
        <f>D$64/IF(B$101="kVA",IF(F$64,F$64,1),IF(B$101="MPAN",IF(E$64,E$64,1),IF(I$64,I$64,1)))</f>
        <v>0</v>
      </c>
      <c r="E181" s="34">
        <f>E$64/IF(B$101="kVA",IF(F$64,F$64,1),IF(B$101="MPAN",IF(E$64,E$64,1),IF(I$64,I$64,1)))</f>
        <v>1</v>
      </c>
      <c r="F181" s="34">
        <f>F$64/IF(B$101="kVA",IF(F$64,F$64,1),IF(B$101="MPAN",IF(E$64,E$64,1),IF(I$64,I$64,1)))</f>
        <v>0</v>
      </c>
      <c r="G181" s="34">
        <f>G$64/IF(B$101="kVA",IF(F$64,F$64,1),IF(B$101="MPAN",IF(E$64,E$64,1),IF(I$64,I$64,1)))</f>
        <v>0</v>
      </c>
      <c r="H181" s="34">
        <f>H$64/IF(B$101="kVA",IF(F$64,F$64,1),IF(B$101="MPAN",IF(E$64,E$64,1),IF(I$64,I$64,1)))</f>
        <v>0</v>
      </c>
      <c r="I181" s="43">
        <f>0.01*Input!F$60*(Adjust!$E$272*E181+Adjust!$F$272*F181+Adjust!$G$272*G181)+10*(Adjust!$B$272*B181+Adjust!$C$272*C181+Adjust!$D$272*D181+Adjust!$H$272*H181)</f>
        <v>41.980609760903818</v>
      </c>
      <c r="J181" s="17"/>
    </row>
    <row r="182" spans="1:10" ht="30">
      <c r="A182" s="4" t="s">
        <v>260</v>
      </c>
      <c r="B182" s="34">
        <f>B$64/IF(B$101="kVA",IF(F$64,F$64,1),IF(B$101="MPAN",IF(E$64,E$64,1),IF(I$64,I$64,1)))</f>
        <v>5.5383390185888937</v>
      </c>
      <c r="C182" s="34">
        <f>C$64/IF(B$101="kVA",IF(F$64,F$64,1),IF(B$101="MPAN",IF(E$64,E$64,1),IF(I$64,I$64,1)))</f>
        <v>0</v>
      </c>
      <c r="D182" s="34">
        <f>D$64/IF(B$101="kVA",IF(F$64,F$64,1),IF(B$101="MPAN",IF(E$64,E$64,1),IF(I$64,I$64,1)))</f>
        <v>0</v>
      </c>
      <c r="E182" s="34">
        <f>E$64/IF(B$101="kVA",IF(F$64,F$64,1),IF(B$101="MPAN",IF(E$64,E$64,1),IF(I$64,I$64,1)))</f>
        <v>1</v>
      </c>
      <c r="F182" s="34">
        <f>F$64/IF(B$101="kVA",IF(F$64,F$64,1),IF(B$101="MPAN",IF(E$64,E$64,1),IF(I$64,I$64,1)))</f>
        <v>0</v>
      </c>
      <c r="G182" s="34">
        <f>G$64/IF(B$101="kVA",IF(F$64,F$64,1),IF(B$101="MPAN",IF(E$64,E$64,1),IF(I$64,I$64,1)))</f>
        <v>0</v>
      </c>
      <c r="H182" s="34">
        <f>H$64/IF(B$101="kVA",IF(F$64,F$64,1),IF(B$101="MPAN",IF(E$64,E$64,1),IF(I$64,I$64,1)))</f>
        <v>0</v>
      </c>
      <c r="I182" s="43">
        <f>0.01*Input!F$60*(Adjust!$E$273*E182+Adjust!$F$273*F182+Adjust!$G$273*G182)+10*(Adjust!$B$273*B182+Adjust!$C$273*C182+Adjust!$D$273*D182+Adjust!$H$273*H182)</f>
        <v>26.971711020527913</v>
      </c>
      <c r="J182" s="17"/>
    </row>
    <row r="183" spans="1:10" ht="30">
      <c r="A183" s="4" t="s">
        <v>261</v>
      </c>
      <c r="B183" s="34">
        <f>B$64/IF(B$101="kVA",IF(F$64,F$64,1),IF(B$101="MPAN",IF(E$64,E$64,1),IF(I$64,I$64,1)))</f>
        <v>5.5383390185888937</v>
      </c>
      <c r="C183" s="34">
        <f>C$64/IF(B$101="kVA",IF(F$64,F$64,1),IF(B$101="MPAN",IF(E$64,E$64,1),IF(I$64,I$64,1)))</f>
        <v>0</v>
      </c>
      <c r="D183" s="34">
        <f>D$64/IF(B$101="kVA",IF(F$64,F$64,1),IF(B$101="MPAN",IF(E$64,E$64,1),IF(I$64,I$64,1)))</f>
        <v>0</v>
      </c>
      <c r="E183" s="34">
        <f>E$64/IF(B$101="kVA",IF(F$64,F$64,1),IF(B$101="MPAN",IF(E$64,E$64,1),IF(I$64,I$64,1)))</f>
        <v>1</v>
      </c>
      <c r="F183" s="34">
        <f>F$64/IF(B$101="kVA",IF(F$64,F$64,1),IF(B$101="MPAN",IF(E$64,E$64,1),IF(I$64,I$64,1)))</f>
        <v>0</v>
      </c>
      <c r="G183" s="34">
        <f>G$64/IF(B$101="kVA",IF(F$64,F$64,1),IF(B$101="MPAN",IF(E$64,E$64,1),IF(I$64,I$64,1)))</f>
        <v>0</v>
      </c>
      <c r="H183" s="34">
        <f>H$64/IF(B$101="kVA",IF(F$64,F$64,1),IF(B$101="MPAN",IF(E$64,E$64,1),IF(I$64,I$64,1)))</f>
        <v>0</v>
      </c>
      <c r="I183" s="43">
        <f>0.01*Input!F$60*(Adjust!$E$274*E183+Adjust!$F$274*F183+Adjust!$G$274*G183)+10*(Adjust!$B$274*B183+Adjust!$C$274*C183+Adjust!$D$274*D183+Adjust!$H$274*H183)</f>
        <v>17.888835030042127</v>
      </c>
      <c r="J183" s="17"/>
    </row>
    <row r="184" spans="1:10">
      <c r="A184" s="27" t="s">
        <v>184</v>
      </c>
      <c r="J184" s="17"/>
    </row>
    <row r="185" spans="1:10">
      <c r="A185" s="4" t="s">
        <v>184</v>
      </c>
      <c r="B185" s="34">
        <f>B$65/IF(B$102="kVA",IF(F$65,F$65,1),IF(B$102="MPAN",IF(E$65,E$65,1),IF(I$65,I$65,1)))</f>
        <v>906.03895805799345</v>
      </c>
      <c r="C185" s="34">
        <f>C$65/IF(B$102="kVA",IF(F$65,F$65,1),IF(B$102="MPAN",IF(E$65,E$65,1),IF(I$65,I$65,1)))</f>
        <v>92.104888817825298</v>
      </c>
      <c r="D185" s="34">
        <f>D$65/IF(B$102="kVA",IF(F$65,F$65,1),IF(B$102="MPAN",IF(E$65,E$65,1),IF(I$65,I$65,1)))</f>
        <v>0</v>
      </c>
      <c r="E185" s="34">
        <f>E$65/IF(B$102="kVA",IF(F$65,F$65,1),IF(B$102="MPAN",IF(E$65,E$65,1),IF(I$65,I$65,1)))</f>
        <v>1</v>
      </c>
      <c r="F185" s="34">
        <f>F$65/IF(B$102="kVA",IF(F$65,F$65,1),IF(B$102="MPAN",IF(E$65,E$65,1),IF(I$65,I$65,1)))</f>
        <v>0</v>
      </c>
      <c r="G185" s="34">
        <f>G$65/IF(B$102="kVA",IF(F$65,F$65,1),IF(B$102="MPAN",IF(E$65,E$65,1),IF(I$65,I$65,1)))</f>
        <v>0</v>
      </c>
      <c r="H185" s="34">
        <f>H$65/IF(B$102="kVA",IF(F$65,F$65,1),IF(B$102="MPAN",IF(E$65,E$65,1),IF(I$65,I$65,1)))</f>
        <v>0</v>
      </c>
      <c r="I185" s="43">
        <f>0.01*Input!F$60*(Adjust!$E$276*E185+Adjust!$F$276*F185+Adjust!$G$276*G185)+10*(Adjust!$B$276*B185+Adjust!$C$276*C185+Adjust!$D$276*D185+Adjust!$H$276*H185)</f>
        <v>20627.672116917034</v>
      </c>
      <c r="J185" s="17"/>
    </row>
    <row r="186" spans="1:10">
      <c r="A186" s="4" t="s">
        <v>263</v>
      </c>
      <c r="B186" s="34">
        <f>B$65/IF(B$102="kVA",IF(F$65,F$65,1),IF(B$102="MPAN",IF(E$65,E$65,1),IF(I$65,I$65,1)))</f>
        <v>906.03895805799345</v>
      </c>
      <c r="C186" s="34">
        <f>C$65/IF(B$102="kVA",IF(F$65,F$65,1),IF(B$102="MPAN",IF(E$65,E$65,1),IF(I$65,I$65,1)))</f>
        <v>92.104888817825298</v>
      </c>
      <c r="D186" s="34">
        <f>D$65/IF(B$102="kVA",IF(F$65,F$65,1),IF(B$102="MPAN",IF(E$65,E$65,1),IF(I$65,I$65,1)))</f>
        <v>0</v>
      </c>
      <c r="E186" s="34">
        <f>E$65/IF(B$102="kVA",IF(F$65,F$65,1),IF(B$102="MPAN",IF(E$65,E$65,1),IF(I$65,I$65,1)))</f>
        <v>1</v>
      </c>
      <c r="F186" s="34">
        <f>F$65/IF(B$102="kVA",IF(F$65,F$65,1),IF(B$102="MPAN",IF(E$65,E$65,1),IF(I$65,I$65,1)))</f>
        <v>0</v>
      </c>
      <c r="G186" s="34">
        <f>G$65/IF(B$102="kVA",IF(F$65,F$65,1),IF(B$102="MPAN",IF(E$65,E$65,1),IF(I$65,I$65,1)))</f>
        <v>0</v>
      </c>
      <c r="H186" s="34">
        <f>H$65/IF(B$102="kVA",IF(F$65,F$65,1),IF(B$102="MPAN",IF(E$65,E$65,1),IF(I$65,I$65,1)))</f>
        <v>0</v>
      </c>
      <c r="I186" s="43">
        <f>0.01*Input!F$60*(Adjust!$E$277*E186+Adjust!$F$277*F186+Adjust!$G$277*G186)+10*(Adjust!$B$277*B186+Adjust!$C$277*C186+Adjust!$D$277*D186+Adjust!$H$277*H186)</f>
        <v>13257.676278564508</v>
      </c>
      <c r="J186" s="17"/>
    </row>
    <row r="187" spans="1:10">
      <c r="A187" s="4" t="s">
        <v>264</v>
      </c>
      <c r="B187" s="34">
        <f>B$65/IF(B$102="kVA",IF(F$65,F$65,1),IF(B$102="MPAN",IF(E$65,E$65,1),IF(I$65,I$65,1)))</f>
        <v>906.03895805799345</v>
      </c>
      <c r="C187" s="34">
        <f>C$65/IF(B$102="kVA",IF(F$65,F$65,1),IF(B$102="MPAN",IF(E$65,E$65,1),IF(I$65,I$65,1)))</f>
        <v>92.104888817825298</v>
      </c>
      <c r="D187" s="34">
        <f>D$65/IF(B$102="kVA",IF(F$65,F$65,1),IF(B$102="MPAN",IF(E$65,E$65,1),IF(I$65,I$65,1)))</f>
        <v>0</v>
      </c>
      <c r="E187" s="34">
        <f>E$65/IF(B$102="kVA",IF(F$65,F$65,1),IF(B$102="MPAN",IF(E$65,E$65,1),IF(I$65,I$65,1)))</f>
        <v>1</v>
      </c>
      <c r="F187" s="34">
        <f>F$65/IF(B$102="kVA",IF(F$65,F$65,1),IF(B$102="MPAN",IF(E$65,E$65,1),IF(I$65,I$65,1)))</f>
        <v>0</v>
      </c>
      <c r="G187" s="34">
        <f>G$65/IF(B$102="kVA",IF(F$65,F$65,1),IF(B$102="MPAN",IF(E$65,E$65,1),IF(I$65,I$65,1)))</f>
        <v>0</v>
      </c>
      <c r="H187" s="34">
        <f>H$65/IF(B$102="kVA",IF(F$65,F$65,1),IF(B$102="MPAN",IF(E$65,E$65,1),IF(I$65,I$65,1)))</f>
        <v>0</v>
      </c>
      <c r="I187" s="43">
        <f>0.01*Input!F$60*(Adjust!$E$278*E187+Adjust!$F$278*F187+Adjust!$G$278*G187)+10*(Adjust!$B$278*B187+Adjust!$C$278*C187+Adjust!$D$278*D187+Adjust!$H$278*H187)</f>
        <v>8797.8390990095868</v>
      </c>
      <c r="J187" s="17"/>
    </row>
    <row r="188" spans="1:10">
      <c r="A188" s="27" t="s">
        <v>185</v>
      </c>
      <c r="J188" s="17"/>
    </row>
    <row r="189" spans="1:10">
      <c r="A189" s="4" t="s">
        <v>185</v>
      </c>
      <c r="B189" s="34">
        <f>B$66/IF(B$103="kVA",IF(F$66,F$66,1),IF(B$103="MPAN",IF(E$66,E$66,1),IF(I$66,I$66,1)))</f>
        <v>135.96319903118672</v>
      </c>
      <c r="C189" s="34">
        <f>C$66/IF(B$103="kVA",IF(F$66,F$66,1),IF(B$103="MPAN",IF(E$66,E$66,1),IF(I$66,I$66,1)))</f>
        <v>288.03645139816729</v>
      </c>
      <c r="D189" s="34">
        <f>D$66/IF(B$103="kVA",IF(F$66,F$66,1),IF(B$103="MPAN",IF(E$66,E$66,1),IF(I$66,I$66,1)))</f>
        <v>0</v>
      </c>
      <c r="E189" s="34">
        <f>E$66/IF(B$103="kVA",IF(F$66,F$66,1),IF(B$103="MPAN",IF(E$66,E$66,1),IF(I$66,I$66,1)))</f>
        <v>1</v>
      </c>
      <c r="F189" s="34">
        <f>F$66/IF(B$103="kVA",IF(F$66,F$66,1),IF(B$103="MPAN",IF(E$66,E$66,1),IF(I$66,I$66,1)))</f>
        <v>0</v>
      </c>
      <c r="G189" s="34">
        <f>G$66/IF(B$103="kVA",IF(F$66,F$66,1),IF(B$103="MPAN",IF(E$66,E$66,1),IF(I$66,I$66,1)))</f>
        <v>0</v>
      </c>
      <c r="H189" s="34">
        <f>H$66/IF(B$103="kVA",IF(F$66,F$66,1),IF(B$103="MPAN",IF(E$66,E$66,1),IF(I$66,I$66,1)))</f>
        <v>0</v>
      </c>
      <c r="I189" s="43">
        <f>0.01*Input!F$60*(Adjust!$E$280*E189+Adjust!$F$280*F189+Adjust!$G$280*G189)+10*(Adjust!$B$280*B189+Adjust!$C$280*C189+Adjust!$D$280*D189+Adjust!$H$280*H189)</f>
        <v>8333.8045386603335</v>
      </c>
      <c r="J189" s="17"/>
    </row>
    <row r="190" spans="1:10">
      <c r="A190" s="27" t="s">
        <v>205</v>
      </c>
      <c r="J190" s="17"/>
    </row>
    <row r="191" spans="1:10">
      <c r="A191" s="4" t="s">
        <v>205</v>
      </c>
      <c r="B191" s="34">
        <f>B$67/IF(B$104="kVA",IF(F$67,F$67,1),IF(B$104="MPAN",IF(E$67,E$67,1),IF(I$67,I$67,1)))</f>
        <v>453.01947902899673</v>
      </c>
      <c r="C191" s="34">
        <f>C$67/IF(B$104="kVA",IF(F$67,F$67,1),IF(B$104="MPAN",IF(E$67,E$67,1),IF(I$67,I$67,1)))</f>
        <v>1153.7160889420643</v>
      </c>
      <c r="D191" s="34">
        <f>D$67/IF(B$104="kVA",IF(F$67,F$67,1),IF(B$104="MPAN",IF(E$67,E$67,1),IF(I$67,I$67,1)))</f>
        <v>0</v>
      </c>
      <c r="E191" s="34">
        <f>E$67/IF(B$104="kVA",IF(F$67,F$67,1),IF(B$104="MPAN",IF(E$67,E$67,1),IF(I$67,I$67,1)))</f>
        <v>1</v>
      </c>
      <c r="F191" s="34">
        <f>F$67/IF(B$104="kVA",IF(F$67,F$67,1),IF(B$104="MPAN",IF(E$67,E$67,1),IF(I$67,I$67,1)))</f>
        <v>0</v>
      </c>
      <c r="G191" s="34">
        <f>G$67/IF(B$104="kVA",IF(F$67,F$67,1),IF(B$104="MPAN",IF(E$67,E$67,1),IF(I$67,I$67,1)))</f>
        <v>0</v>
      </c>
      <c r="H191" s="34">
        <f>H$67/IF(B$104="kVA",IF(F$67,F$67,1),IF(B$104="MPAN",IF(E$67,E$67,1),IF(I$67,I$67,1)))</f>
        <v>0</v>
      </c>
      <c r="I191" s="43">
        <f>0.01*Input!F$60*(Adjust!$E$282*E191+Adjust!$F$282*F191+Adjust!$G$282*G191)+10*(Adjust!$B$282*B191+Adjust!$C$282*C191+Adjust!$D$282*D191+Adjust!$H$282*H191)</f>
        <v>26863.330310539015</v>
      </c>
      <c r="J191" s="17"/>
    </row>
    <row r="192" spans="1:10">
      <c r="A192" s="27" t="s">
        <v>186</v>
      </c>
      <c r="J192" s="17"/>
    </row>
    <row r="193" spans="1:10">
      <c r="A193" s="4" t="s">
        <v>186</v>
      </c>
      <c r="B193" s="34">
        <f>B$68/IF(B$105="kVA",IF(F$68,F$68,1),IF(B$105="MPAN",IF(E$68,E$68,1),IF(I$68,I$68,1)))</f>
        <v>0.20265922894029426</v>
      </c>
      <c r="C193" s="34">
        <f>C$68/IF(B$105="kVA",IF(F$68,F$68,1),IF(B$105="MPAN",IF(E$68,E$68,1),IF(I$68,I$68,1)))</f>
        <v>0.60799798590368526</v>
      </c>
      <c r="D193" s="34">
        <f>D$68/IF(B$105="kVA",IF(F$68,F$68,1),IF(B$105="MPAN",IF(E$68,E$68,1),IF(I$68,I$68,1)))</f>
        <v>1.1214445687919969</v>
      </c>
      <c r="E193" s="34">
        <f>E$68/IF(B$105="kVA",IF(F$68,F$68,1),IF(B$105="MPAN",IF(E$68,E$68,1),IF(I$68,I$68,1)))</f>
        <v>1</v>
      </c>
      <c r="F193" s="34">
        <f>F$68/IF(B$105="kVA",IF(F$68,F$68,1),IF(B$105="MPAN",IF(E$68,E$68,1),IF(I$68,I$68,1)))</f>
        <v>0</v>
      </c>
      <c r="G193" s="34">
        <f>G$68/IF(B$105="kVA",IF(F$68,F$68,1),IF(B$105="MPAN",IF(E$68,E$68,1),IF(I$68,I$68,1)))</f>
        <v>0</v>
      </c>
      <c r="H193" s="34">
        <f>H$68/IF(B$105="kVA",IF(F$68,F$68,1),IF(B$105="MPAN",IF(E$68,E$68,1),IF(I$68,I$68,1)))</f>
        <v>0</v>
      </c>
      <c r="I193" s="43">
        <f>0.01*Input!F$60*(Adjust!$E$284*E193+Adjust!$F$284*F193+Adjust!$G$284*G193)+10*(Adjust!$B$284*B193+Adjust!$C$284*C193+Adjust!$D$284*D193+Adjust!$H$284*H193)</f>
        <v>55.045718768745267</v>
      </c>
      <c r="J193" s="17"/>
    </row>
    <row r="194" spans="1:10">
      <c r="A194" s="4" t="s">
        <v>268</v>
      </c>
      <c r="B194" s="34">
        <f>B$68/IF(B$105="kVA",IF(F$68,F$68,1),IF(B$105="MPAN",IF(E$68,E$68,1),IF(I$68,I$68,1)))</f>
        <v>0.20265922894029426</v>
      </c>
      <c r="C194" s="34">
        <f>C$68/IF(B$105="kVA",IF(F$68,F$68,1),IF(B$105="MPAN",IF(E$68,E$68,1),IF(I$68,I$68,1)))</f>
        <v>0.60799798590368526</v>
      </c>
      <c r="D194" s="34">
        <f>D$68/IF(B$105="kVA",IF(F$68,F$68,1),IF(B$105="MPAN",IF(E$68,E$68,1),IF(I$68,I$68,1)))</f>
        <v>1.1214445687919969</v>
      </c>
      <c r="E194" s="34">
        <f>E$68/IF(B$105="kVA",IF(F$68,F$68,1),IF(B$105="MPAN",IF(E$68,E$68,1),IF(I$68,I$68,1)))</f>
        <v>1</v>
      </c>
      <c r="F194" s="34">
        <f>F$68/IF(B$105="kVA",IF(F$68,F$68,1),IF(B$105="MPAN",IF(E$68,E$68,1),IF(I$68,I$68,1)))</f>
        <v>0</v>
      </c>
      <c r="G194" s="34">
        <f>G$68/IF(B$105="kVA",IF(F$68,F$68,1),IF(B$105="MPAN",IF(E$68,E$68,1),IF(I$68,I$68,1)))</f>
        <v>0</v>
      </c>
      <c r="H194" s="34">
        <f>H$68/IF(B$105="kVA",IF(F$68,F$68,1),IF(B$105="MPAN",IF(E$68,E$68,1),IF(I$68,I$68,1)))</f>
        <v>0</v>
      </c>
      <c r="I194" s="43">
        <f>0.01*Input!F$60*(Adjust!$E$285*E194+Adjust!$F$285*F194+Adjust!$G$285*G194)+10*(Adjust!$B$285*B194+Adjust!$C$285*C194+Adjust!$D$285*D194+Adjust!$H$285*H194)</f>
        <v>35.383376839044068</v>
      </c>
      <c r="J194" s="17"/>
    </row>
    <row r="195" spans="1:10">
      <c r="A195" s="4" t="s">
        <v>269</v>
      </c>
      <c r="B195" s="34">
        <f>B$68/IF(B$105="kVA",IF(F$68,F$68,1),IF(B$105="MPAN",IF(E$68,E$68,1),IF(I$68,I$68,1)))</f>
        <v>0.20265922894029426</v>
      </c>
      <c r="C195" s="34">
        <f>C$68/IF(B$105="kVA",IF(F$68,F$68,1),IF(B$105="MPAN",IF(E$68,E$68,1),IF(I$68,I$68,1)))</f>
        <v>0.60799798590368526</v>
      </c>
      <c r="D195" s="34">
        <f>D$68/IF(B$105="kVA",IF(F$68,F$68,1),IF(B$105="MPAN",IF(E$68,E$68,1),IF(I$68,I$68,1)))</f>
        <v>1.1214445687919969</v>
      </c>
      <c r="E195" s="34">
        <f>E$68/IF(B$105="kVA",IF(F$68,F$68,1),IF(B$105="MPAN",IF(E$68,E$68,1),IF(I$68,I$68,1)))</f>
        <v>1</v>
      </c>
      <c r="F195" s="34">
        <f>F$68/IF(B$105="kVA",IF(F$68,F$68,1),IF(B$105="MPAN",IF(E$68,E$68,1),IF(I$68,I$68,1)))</f>
        <v>0</v>
      </c>
      <c r="G195" s="34">
        <f>G$68/IF(B$105="kVA",IF(F$68,F$68,1),IF(B$105="MPAN",IF(E$68,E$68,1),IF(I$68,I$68,1)))</f>
        <v>0</v>
      </c>
      <c r="H195" s="34">
        <f>H$68/IF(B$105="kVA",IF(F$68,F$68,1),IF(B$105="MPAN",IF(E$68,E$68,1),IF(I$68,I$68,1)))</f>
        <v>0</v>
      </c>
      <c r="I195" s="43">
        <f>0.01*Input!F$60*(Adjust!$E$286*E195+Adjust!$F$286*F195+Adjust!$G$286*G195)+10*(Adjust!$B$286*B195+Adjust!$C$286*C195+Adjust!$D$286*D195+Adjust!$H$286*H195)</f>
        <v>23.502317914653574</v>
      </c>
      <c r="J195" s="17"/>
    </row>
    <row r="196" spans="1:10">
      <c r="A196" s="27" t="s">
        <v>187</v>
      </c>
      <c r="J196" s="17"/>
    </row>
    <row r="197" spans="1:10">
      <c r="A197" s="4" t="s">
        <v>187</v>
      </c>
      <c r="B197" s="34">
        <f>B$69/IF(B$106="kVA",IF(F$69,F$69,1),IF(B$106="MPAN",IF(E$69,E$69,1),IF(I$69,I$69,1)))</f>
        <v>6.2775503486751392</v>
      </c>
      <c r="C197" s="34">
        <f>C$69/IF(B$106="kVA",IF(F$69,F$69,1),IF(B$106="MPAN",IF(E$69,E$69,1),IF(I$69,I$69,1)))</f>
        <v>22.550952566097902</v>
      </c>
      <c r="D197" s="34">
        <f>D$69/IF(B$106="kVA",IF(F$69,F$69,1),IF(B$106="MPAN",IF(E$69,E$69,1),IF(I$69,I$69,1)))</f>
        <v>31.62562692845821</v>
      </c>
      <c r="E197" s="34">
        <f>E$69/IF(B$106="kVA",IF(F$69,F$69,1),IF(B$106="MPAN",IF(E$69,E$69,1),IF(I$69,I$69,1)))</f>
        <v>1</v>
      </c>
      <c r="F197" s="34">
        <f>F$69/IF(B$106="kVA",IF(F$69,F$69,1),IF(B$106="MPAN",IF(E$69,E$69,1),IF(I$69,I$69,1)))</f>
        <v>0</v>
      </c>
      <c r="G197" s="34">
        <f>G$69/IF(B$106="kVA",IF(F$69,F$69,1),IF(B$106="MPAN",IF(E$69,E$69,1),IF(I$69,I$69,1)))</f>
        <v>0</v>
      </c>
      <c r="H197" s="34">
        <f>H$69/IF(B$106="kVA",IF(F$69,F$69,1),IF(B$106="MPAN",IF(E$69,E$69,1),IF(I$69,I$69,1)))</f>
        <v>0</v>
      </c>
      <c r="I197" s="43">
        <f>0.01*Input!F$60*(Adjust!$E$288*E197+Adjust!$F$288*F197+Adjust!$G$288*G197)+10*(Adjust!$B$288*B197+Adjust!$C$288*C197+Adjust!$D$288*D197+Adjust!$H$288*H197)</f>
        <v>1284.2854575113854</v>
      </c>
      <c r="J197" s="17"/>
    </row>
    <row r="198" spans="1:10">
      <c r="A198" s="4" t="s">
        <v>271</v>
      </c>
      <c r="B198" s="34">
        <f>B$69/IF(B$106="kVA",IF(F$69,F$69,1),IF(B$106="MPAN",IF(E$69,E$69,1),IF(I$69,I$69,1)))</f>
        <v>6.2775503486751392</v>
      </c>
      <c r="C198" s="34">
        <f>C$69/IF(B$106="kVA",IF(F$69,F$69,1),IF(B$106="MPAN",IF(E$69,E$69,1),IF(I$69,I$69,1)))</f>
        <v>22.550952566097902</v>
      </c>
      <c r="D198" s="34">
        <f>D$69/IF(B$106="kVA",IF(F$69,F$69,1),IF(B$106="MPAN",IF(E$69,E$69,1),IF(I$69,I$69,1)))</f>
        <v>31.62562692845821</v>
      </c>
      <c r="E198" s="34">
        <f>E$69/IF(B$106="kVA",IF(F$69,F$69,1),IF(B$106="MPAN",IF(E$69,E$69,1),IF(I$69,I$69,1)))</f>
        <v>1</v>
      </c>
      <c r="F198" s="34">
        <f>F$69/IF(B$106="kVA",IF(F$69,F$69,1),IF(B$106="MPAN",IF(E$69,E$69,1),IF(I$69,I$69,1)))</f>
        <v>0</v>
      </c>
      <c r="G198" s="34">
        <f>G$69/IF(B$106="kVA",IF(F$69,F$69,1),IF(B$106="MPAN",IF(E$69,E$69,1),IF(I$69,I$69,1)))</f>
        <v>0</v>
      </c>
      <c r="H198" s="34">
        <f>H$69/IF(B$106="kVA",IF(F$69,F$69,1),IF(B$106="MPAN",IF(E$69,E$69,1),IF(I$69,I$69,1)))</f>
        <v>0</v>
      </c>
      <c r="I198" s="43">
        <f>0.01*Input!F$60*(Adjust!$E$289*E198+Adjust!$F$289*F198+Adjust!$G$289*G198)+10*(Adjust!$B$289*B198+Adjust!$C$289*C198+Adjust!$D$289*D198+Adjust!$H$289*H198)</f>
        <v>825.31424916565163</v>
      </c>
      <c r="J198" s="17"/>
    </row>
    <row r="199" spans="1:10">
      <c r="A199" s="4" t="s">
        <v>272</v>
      </c>
      <c r="B199" s="34">
        <f>B$69/IF(B$106="kVA",IF(F$69,F$69,1),IF(B$106="MPAN",IF(E$69,E$69,1),IF(I$69,I$69,1)))</f>
        <v>6.2775503486751392</v>
      </c>
      <c r="C199" s="34">
        <f>C$69/IF(B$106="kVA",IF(F$69,F$69,1),IF(B$106="MPAN",IF(E$69,E$69,1),IF(I$69,I$69,1)))</f>
        <v>22.550952566097902</v>
      </c>
      <c r="D199" s="34">
        <f>D$69/IF(B$106="kVA",IF(F$69,F$69,1),IF(B$106="MPAN",IF(E$69,E$69,1),IF(I$69,I$69,1)))</f>
        <v>31.62562692845821</v>
      </c>
      <c r="E199" s="34">
        <f>E$69/IF(B$106="kVA",IF(F$69,F$69,1),IF(B$106="MPAN",IF(E$69,E$69,1),IF(I$69,I$69,1)))</f>
        <v>1</v>
      </c>
      <c r="F199" s="34">
        <f>F$69/IF(B$106="kVA",IF(F$69,F$69,1),IF(B$106="MPAN",IF(E$69,E$69,1),IF(I$69,I$69,1)))</f>
        <v>0</v>
      </c>
      <c r="G199" s="34">
        <f>G$69/IF(B$106="kVA",IF(F$69,F$69,1),IF(B$106="MPAN",IF(E$69,E$69,1),IF(I$69,I$69,1)))</f>
        <v>0</v>
      </c>
      <c r="H199" s="34">
        <f>H$69/IF(B$106="kVA",IF(F$69,F$69,1),IF(B$106="MPAN",IF(E$69,E$69,1),IF(I$69,I$69,1)))</f>
        <v>0</v>
      </c>
      <c r="I199" s="43">
        <f>0.01*Input!F$60*(Adjust!$E$290*E199+Adjust!$F$290*F199+Adjust!$G$290*G199)+10*(Adjust!$B$290*B199+Adjust!$C$290*C199+Adjust!$D$290*D199+Adjust!$H$290*H199)</f>
        <v>547.89089634473555</v>
      </c>
      <c r="J199" s="17"/>
    </row>
    <row r="200" spans="1:10">
      <c r="A200" s="27" t="s">
        <v>188</v>
      </c>
      <c r="J200" s="17"/>
    </row>
    <row r="201" spans="1:10">
      <c r="A201" s="4" t="s">
        <v>188</v>
      </c>
      <c r="B201" s="34">
        <f>B$70/IF(B$107="kVA",IF(F$70,F$70,1),IF(B$107="MPAN",IF(E$70,E$70,1),IF(I$70,I$70,1)))</f>
        <v>0.20784434905845539</v>
      </c>
      <c r="C201" s="34">
        <f>C$70/IF(B$107="kVA",IF(F$70,F$70,1),IF(B$107="MPAN",IF(E$70,E$70,1),IF(I$70,I$70,1)))</f>
        <v>0.74321516003422794</v>
      </c>
      <c r="D201" s="34">
        <f>D$70/IF(B$107="kVA",IF(F$70,F$70,1),IF(B$107="MPAN",IF(E$70,E$70,1),IF(I$70,I$70,1)))</f>
        <v>0.9579419066363456</v>
      </c>
      <c r="E201" s="34">
        <f>E$70/IF(B$107="kVA",IF(F$70,F$70,1),IF(B$107="MPAN",IF(E$70,E$70,1),IF(I$70,I$70,1)))</f>
        <v>1.0400554399789392E-2</v>
      </c>
      <c r="F201" s="34">
        <f>F$70/IF(B$107="kVA",IF(F$70,F$70,1),IF(B$107="MPAN",IF(E$70,E$70,1),IF(I$70,I$70,1)))</f>
        <v>1</v>
      </c>
      <c r="G201" s="34">
        <f>G$70/IF(B$107="kVA",IF(F$70,F$70,1),IF(B$107="MPAN",IF(E$70,E$70,1),IF(I$70,I$70,1)))</f>
        <v>0.01</v>
      </c>
      <c r="H201" s="34">
        <f>H$70/IF(B$107="kVA",IF(F$70,F$70,1),IF(B$107="MPAN",IF(E$70,E$70,1),IF(I$70,I$70,1)))</f>
        <v>0.16001849454505354</v>
      </c>
      <c r="I201" s="43">
        <f>0.01*Input!F$60*(Adjust!$E$292*E201+Adjust!$F$292*F201+Adjust!$G$292*G201)+10*(Adjust!$B$292*B201+Adjust!$C$292*C201+Adjust!$D$292*D201+Adjust!$H$292*H201)</f>
        <v>45.836131359987519</v>
      </c>
      <c r="J201" s="17"/>
    </row>
    <row r="202" spans="1:10">
      <c r="A202" s="4" t="s">
        <v>274</v>
      </c>
      <c r="B202" s="34">
        <f>B$70/IF(B$107="kVA",IF(F$70,F$70,1),IF(B$107="MPAN",IF(E$70,E$70,1),IF(I$70,I$70,1)))</f>
        <v>0.20784434905845539</v>
      </c>
      <c r="C202" s="34">
        <f>C$70/IF(B$107="kVA",IF(F$70,F$70,1),IF(B$107="MPAN",IF(E$70,E$70,1),IF(I$70,I$70,1)))</f>
        <v>0.74321516003422794</v>
      </c>
      <c r="D202" s="34">
        <f>D$70/IF(B$107="kVA",IF(F$70,F$70,1),IF(B$107="MPAN",IF(E$70,E$70,1),IF(I$70,I$70,1)))</f>
        <v>0.9579419066363456</v>
      </c>
      <c r="E202" s="34">
        <f>E$70/IF(B$107="kVA",IF(F$70,F$70,1),IF(B$107="MPAN",IF(E$70,E$70,1),IF(I$70,I$70,1)))</f>
        <v>1.0400554399789392E-2</v>
      </c>
      <c r="F202" s="34">
        <f>F$70/IF(B$107="kVA",IF(F$70,F$70,1),IF(B$107="MPAN",IF(E$70,E$70,1),IF(I$70,I$70,1)))</f>
        <v>1</v>
      </c>
      <c r="G202" s="34">
        <f>G$70/IF(B$107="kVA",IF(F$70,F$70,1),IF(B$107="MPAN",IF(E$70,E$70,1),IF(I$70,I$70,1)))</f>
        <v>0.01</v>
      </c>
      <c r="H202" s="34">
        <f>H$70/IF(B$107="kVA",IF(F$70,F$70,1),IF(B$107="MPAN",IF(E$70,E$70,1),IF(I$70,I$70,1)))</f>
        <v>0.16001849454505354</v>
      </c>
      <c r="I202" s="43">
        <f>0.01*Input!F$60*(Adjust!$E$293*E202+Adjust!$F$293*F202+Adjust!$G$293*G202)+10*(Adjust!$B$293*B202+Adjust!$C$293*C202+Adjust!$D$293*D202+Adjust!$H$293*H202)</f>
        <v>29.474084065070539</v>
      </c>
      <c r="J202" s="17"/>
    </row>
    <row r="203" spans="1:10">
      <c r="A203" s="4" t="s">
        <v>275</v>
      </c>
      <c r="B203" s="34">
        <f>B$70/IF(B$107="kVA",IF(F$70,F$70,1),IF(B$107="MPAN",IF(E$70,E$70,1),IF(I$70,I$70,1)))</f>
        <v>0.20784434905845539</v>
      </c>
      <c r="C203" s="34">
        <f>C$70/IF(B$107="kVA",IF(F$70,F$70,1),IF(B$107="MPAN",IF(E$70,E$70,1),IF(I$70,I$70,1)))</f>
        <v>0.74321516003422794</v>
      </c>
      <c r="D203" s="34">
        <f>D$70/IF(B$107="kVA",IF(F$70,F$70,1),IF(B$107="MPAN",IF(E$70,E$70,1),IF(I$70,I$70,1)))</f>
        <v>0.9579419066363456</v>
      </c>
      <c r="E203" s="34">
        <f>E$70/IF(B$107="kVA",IF(F$70,F$70,1),IF(B$107="MPAN",IF(E$70,E$70,1),IF(I$70,I$70,1)))</f>
        <v>1.0400554399789392E-2</v>
      </c>
      <c r="F203" s="34">
        <f>F$70/IF(B$107="kVA",IF(F$70,F$70,1),IF(B$107="MPAN",IF(E$70,E$70,1),IF(I$70,I$70,1)))</f>
        <v>1</v>
      </c>
      <c r="G203" s="34">
        <f>G$70/IF(B$107="kVA",IF(F$70,F$70,1),IF(B$107="MPAN",IF(E$70,E$70,1),IF(I$70,I$70,1)))</f>
        <v>0.01</v>
      </c>
      <c r="H203" s="34">
        <f>H$70/IF(B$107="kVA",IF(F$70,F$70,1),IF(B$107="MPAN",IF(E$70,E$70,1),IF(I$70,I$70,1)))</f>
        <v>0.16001849454505354</v>
      </c>
      <c r="I203" s="43">
        <f>0.01*Input!F$60*(Adjust!$E$294*E203+Adjust!$F$294*F203+Adjust!$G$294*G203)+10*(Adjust!$B$294*B203+Adjust!$C$294*C203+Adjust!$D$294*D203+Adjust!$H$294*H203)</f>
        <v>19.55018979224387</v>
      </c>
      <c r="J203" s="17"/>
    </row>
    <row r="204" spans="1:10">
      <c r="A204" s="27" t="s">
        <v>189</v>
      </c>
      <c r="J204" s="17"/>
    </row>
    <row r="205" spans="1:10">
      <c r="A205" s="4" t="s">
        <v>189</v>
      </c>
      <c r="B205" s="34">
        <f>B$71/IF(B$108="kVA",IF(F$71,F$71,1),IF(B$108="MPAN",IF(E$71,E$71,1),IF(I$71,I$71,1)))</f>
        <v>0.19393447003982855</v>
      </c>
      <c r="C205" s="34">
        <f>C$71/IF(B$108="kVA",IF(F$71,F$71,1),IF(B$108="MPAN",IF(E$71,E$71,1),IF(I$71,I$71,1)))</f>
        <v>0.71078668098022779</v>
      </c>
      <c r="D205" s="34">
        <f>D$71/IF(B$108="kVA",IF(F$71,F$71,1),IF(B$108="MPAN",IF(E$71,E$71,1),IF(I$71,I$71,1)))</f>
        <v>0.9583206033012972</v>
      </c>
      <c r="E205" s="34">
        <f>E$71/IF(B$108="kVA",IF(F$71,F$71,1),IF(B$108="MPAN",IF(E$71,E$71,1),IF(I$71,I$71,1)))</f>
        <v>3.3270809949556088E-3</v>
      </c>
      <c r="F205" s="34">
        <f>F$71/IF(B$108="kVA",IF(F$71,F$71,1),IF(B$108="MPAN",IF(E$71,E$71,1),IF(I$71,I$71,1)))</f>
        <v>1</v>
      </c>
      <c r="G205" s="34">
        <f>G$71/IF(B$108="kVA",IF(F$71,F$71,1),IF(B$108="MPAN",IF(E$71,E$71,1),IF(I$71,I$71,1)))</f>
        <v>0.01</v>
      </c>
      <c r="H205" s="34">
        <f>H$71/IF(B$108="kVA",IF(F$71,F$71,1),IF(B$108="MPAN",IF(E$71,E$71,1),IF(I$71,I$71,1)))</f>
        <v>0.14929856542496067</v>
      </c>
      <c r="I205" s="43">
        <f>0.01*Input!F$60*(Adjust!$E$296*E205+Adjust!$F$296*F205+Adjust!$G$296*G205)+10*(Adjust!$B$296*B205+Adjust!$C$296*C205+Adjust!$D$296*D205+Adjust!$H$296*H205)</f>
        <v>39.504136876242271</v>
      </c>
      <c r="J205" s="17"/>
    </row>
    <row r="206" spans="1:10">
      <c r="A206" s="4" t="s">
        <v>277</v>
      </c>
      <c r="B206" s="34">
        <f>B$71/IF(B$108="kVA",IF(F$71,F$71,1),IF(B$108="MPAN",IF(E$71,E$71,1),IF(I$71,I$71,1)))</f>
        <v>0.19393447003982855</v>
      </c>
      <c r="C206" s="34">
        <f>C$71/IF(B$108="kVA",IF(F$71,F$71,1),IF(B$108="MPAN",IF(E$71,E$71,1),IF(I$71,I$71,1)))</f>
        <v>0.71078668098022779</v>
      </c>
      <c r="D206" s="34">
        <f>D$71/IF(B$108="kVA",IF(F$71,F$71,1),IF(B$108="MPAN",IF(E$71,E$71,1),IF(I$71,I$71,1)))</f>
        <v>0.9583206033012972</v>
      </c>
      <c r="E206" s="34">
        <f>E$71/IF(B$108="kVA",IF(F$71,F$71,1),IF(B$108="MPAN",IF(E$71,E$71,1),IF(I$71,I$71,1)))</f>
        <v>3.3270809949556088E-3</v>
      </c>
      <c r="F206" s="34">
        <f>F$71/IF(B$108="kVA",IF(F$71,F$71,1),IF(B$108="MPAN",IF(E$71,E$71,1),IF(I$71,I$71,1)))</f>
        <v>1</v>
      </c>
      <c r="G206" s="34">
        <f>G$71/IF(B$108="kVA",IF(F$71,F$71,1),IF(B$108="MPAN",IF(E$71,E$71,1),IF(I$71,I$71,1)))</f>
        <v>0.01</v>
      </c>
      <c r="H206" s="34">
        <f>H$71/IF(B$108="kVA",IF(F$71,F$71,1),IF(B$108="MPAN",IF(E$71,E$71,1),IF(I$71,I$71,1)))</f>
        <v>0.14929856542496067</v>
      </c>
      <c r="I206" s="43">
        <f>0.01*Input!F$60*(Adjust!$E$297*E206+Adjust!$F$297*F206+Adjust!$G$297*G206)+10*(Adjust!$B$297*B206+Adjust!$C$297*C206+Adjust!$D$297*D206+Adjust!$H$297*H206)</f>
        <v>26.536791997173616</v>
      </c>
      <c r="J206" s="17"/>
    </row>
    <row r="207" spans="1:10">
      <c r="A207" s="27" t="s">
        <v>206</v>
      </c>
      <c r="J207" s="17"/>
    </row>
    <row r="208" spans="1:10">
      <c r="A208" s="4" t="s">
        <v>206</v>
      </c>
      <c r="B208" s="34">
        <f>B$72/IF(B$109="kVA",IF(F$72,F$72,1),IF(B$109="MPAN",IF(E$72,E$72,1),IF(I$72,I$72,1)))</f>
        <v>0.25200781060905891</v>
      </c>
      <c r="C208" s="34">
        <f>C$72/IF(B$109="kVA",IF(F$72,F$72,1),IF(B$109="MPAN",IF(E$72,E$72,1),IF(I$72,I$72,1)))</f>
        <v>0.86202053668772849</v>
      </c>
      <c r="D208" s="34">
        <f>D$72/IF(B$109="kVA",IF(F$72,F$72,1),IF(B$109="MPAN",IF(E$72,E$72,1),IF(I$72,I$72,1)))</f>
        <v>1.4185619905006048</v>
      </c>
      <c r="E208" s="34">
        <f>E$72/IF(B$109="kVA",IF(F$72,F$72,1),IF(B$109="MPAN",IF(E$72,E$72,1),IF(I$72,I$72,1)))</f>
        <v>1.2295589912431567E-3</v>
      </c>
      <c r="F208" s="34">
        <f>F$72/IF(B$109="kVA",IF(F$72,F$72,1),IF(B$109="MPAN",IF(E$72,E$72,1),IF(I$72,I$72,1)))</f>
        <v>1</v>
      </c>
      <c r="G208" s="34">
        <f>G$72/IF(B$109="kVA",IF(F$72,F$72,1),IF(B$109="MPAN",IF(E$72,E$72,1),IF(I$72,I$72,1)))</f>
        <v>0.01</v>
      </c>
      <c r="H208" s="34">
        <f>H$72/IF(B$109="kVA",IF(F$72,F$72,1),IF(B$109="MPAN",IF(E$72,E$72,1),IF(I$72,I$72,1)))</f>
        <v>0.2015631257199989</v>
      </c>
      <c r="I208" s="43">
        <f>0.01*Input!F$60*(Adjust!$E$299*E208+Adjust!$F$299*F208+Adjust!$G$299*G208)+10*(Adjust!$B$299*B208+Adjust!$C$299*C208+Adjust!$D$299*D208+Adjust!$H$299*H208)</f>
        <v>39.965627477076637</v>
      </c>
      <c r="J208" s="17"/>
    </row>
    <row r="209" spans="1:10">
      <c r="A209" s="4" t="s">
        <v>279</v>
      </c>
      <c r="B209" s="34">
        <f>B$72/IF(B$109="kVA",IF(F$72,F$72,1),IF(B$109="MPAN",IF(E$72,E$72,1),IF(I$72,I$72,1)))</f>
        <v>0.25200781060905891</v>
      </c>
      <c r="C209" s="34">
        <f>C$72/IF(B$109="kVA",IF(F$72,F$72,1),IF(B$109="MPAN",IF(E$72,E$72,1),IF(I$72,I$72,1)))</f>
        <v>0.86202053668772849</v>
      </c>
      <c r="D209" s="34">
        <f>D$72/IF(B$109="kVA",IF(F$72,F$72,1),IF(B$109="MPAN",IF(E$72,E$72,1),IF(I$72,I$72,1)))</f>
        <v>1.4185619905006048</v>
      </c>
      <c r="E209" s="34">
        <f>E$72/IF(B$109="kVA",IF(F$72,F$72,1),IF(B$109="MPAN",IF(E$72,E$72,1),IF(I$72,I$72,1)))</f>
        <v>1.2295589912431567E-3</v>
      </c>
      <c r="F209" s="34">
        <f>F$72/IF(B$109="kVA",IF(F$72,F$72,1),IF(B$109="MPAN",IF(E$72,E$72,1),IF(I$72,I$72,1)))</f>
        <v>1</v>
      </c>
      <c r="G209" s="34">
        <f>G$72/IF(B$109="kVA",IF(F$72,F$72,1),IF(B$109="MPAN",IF(E$72,E$72,1),IF(I$72,I$72,1)))</f>
        <v>0.01</v>
      </c>
      <c r="H209" s="34">
        <f>H$72/IF(B$109="kVA",IF(F$72,F$72,1),IF(B$109="MPAN",IF(E$72,E$72,1),IF(I$72,I$72,1)))</f>
        <v>0.2015631257199989</v>
      </c>
      <c r="I209" s="43">
        <f>0.01*Input!F$60*(Adjust!$E$300*E209+Adjust!$F$300*F209+Adjust!$G$300*G209)+10*(Adjust!$B$300*B209+Adjust!$C$300*C209+Adjust!$D$300*D209+Adjust!$H$300*H209)</f>
        <v>31.797541839686772</v>
      </c>
      <c r="J209" s="17"/>
    </row>
    <row r="210" spans="1:10">
      <c r="A210" s="27" t="s">
        <v>228</v>
      </c>
      <c r="J210" s="17"/>
    </row>
    <row r="211" spans="1:10">
      <c r="A211" s="4" t="s">
        <v>228</v>
      </c>
      <c r="B211" s="34">
        <f>B$73/IF(B$110="kVA",IF(F$73,F$73,1),IF(B$110="MPAN",IF(E$73,E$73,1),IF(I$73,I$73,1)))</f>
        <v>1</v>
      </c>
      <c r="C211" s="34">
        <f>C$73/IF(B$110="kVA",IF(F$73,F$73,1),IF(B$110="MPAN",IF(E$73,E$73,1),IF(I$73,I$73,1)))</f>
        <v>0</v>
      </c>
      <c r="D211" s="34">
        <f>D$73/IF(B$110="kVA",IF(F$73,F$73,1),IF(B$110="MPAN",IF(E$73,E$73,1),IF(I$73,I$73,1)))</f>
        <v>0</v>
      </c>
      <c r="E211" s="34">
        <f>E$73/IF(B$110="kVA",IF(F$73,F$73,1),IF(B$110="MPAN",IF(E$73,E$73,1),IF(I$73,I$73,1)))</f>
        <v>1.165109974156581E-2</v>
      </c>
      <c r="F211" s="34">
        <f>F$73/IF(B$110="kVA",IF(F$73,F$73,1),IF(B$110="MPAN",IF(E$73,E$73,1),IF(I$73,I$73,1)))</f>
        <v>0</v>
      </c>
      <c r="G211" s="34">
        <f>G$73/IF(B$110="kVA",IF(F$73,F$73,1),IF(B$110="MPAN",IF(E$73,E$73,1),IF(I$73,I$73,1)))</f>
        <v>0</v>
      </c>
      <c r="H211" s="34">
        <f>H$73/IF(B$110="kVA",IF(F$73,F$73,1),IF(B$110="MPAN",IF(E$73,E$73,1),IF(I$73,I$73,1)))</f>
        <v>0</v>
      </c>
      <c r="I211" s="43">
        <f>0.01*Input!F$60*(Adjust!$E$302*E211+Adjust!$F$302*F211+Adjust!$G$302*G211)+10*(Adjust!$B$302*B211+Adjust!$C$302*C211+Adjust!$D$302*D211+Adjust!$H$302*H211)</f>
        <v>35.39</v>
      </c>
      <c r="J211" s="17"/>
    </row>
    <row r="212" spans="1:10">
      <c r="A212" s="4" t="s">
        <v>281</v>
      </c>
      <c r="B212" s="34">
        <f>B$73/IF(B$110="kVA",IF(F$73,F$73,1),IF(B$110="MPAN",IF(E$73,E$73,1),IF(I$73,I$73,1)))</f>
        <v>1</v>
      </c>
      <c r="C212" s="34">
        <f>C$73/IF(B$110="kVA",IF(F$73,F$73,1),IF(B$110="MPAN",IF(E$73,E$73,1),IF(I$73,I$73,1)))</f>
        <v>0</v>
      </c>
      <c r="D212" s="34">
        <f>D$73/IF(B$110="kVA",IF(F$73,F$73,1),IF(B$110="MPAN",IF(E$73,E$73,1),IF(I$73,I$73,1)))</f>
        <v>0</v>
      </c>
      <c r="E212" s="34">
        <f>E$73/IF(B$110="kVA",IF(F$73,F$73,1),IF(B$110="MPAN",IF(E$73,E$73,1),IF(I$73,I$73,1)))</f>
        <v>1.165109974156581E-2</v>
      </c>
      <c r="F212" s="34">
        <f>F$73/IF(B$110="kVA",IF(F$73,F$73,1),IF(B$110="MPAN",IF(E$73,E$73,1),IF(I$73,I$73,1)))</f>
        <v>0</v>
      </c>
      <c r="G212" s="34">
        <f>G$73/IF(B$110="kVA",IF(F$73,F$73,1),IF(B$110="MPAN",IF(E$73,E$73,1),IF(I$73,I$73,1)))</f>
        <v>0</v>
      </c>
      <c r="H212" s="34">
        <f>H$73/IF(B$110="kVA",IF(F$73,F$73,1),IF(B$110="MPAN",IF(E$73,E$73,1),IF(I$73,I$73,1)))</f>
        <v>0</v>
      </c>
      <c r="I212" s="43">
        <f>0.01*Input!F$60*(Adjust!$E$303*E212+Adjust!$F$303*F212+Adjust!$G$303*G212)+10*(Adjust!$B$303*B212+Adjust!$C$303*C212+Adjust!$D$303*D212+Adjust!$H$303*H212)</f>
        <v>22.740000000000002</v>
      </c>
      <c r="J212" s="17"/>
    </row>
    <row r="213" spans="1:10">
      <c r="A213" s="4" t="s">
        <v>282</v>
      </c>
      <c r="B213" s="34">
        <f>B$73/IF(B$110="kVA",IF(F$73,F$73,1),IF(B$110="MPAN",IF(E$73,E$73,1),IF(I$73,I$73,1)))</f>
        <v>1</v>
      </c>
      <c r="C213" s="34">
        <f>C$73/IF(B$110="kVA",IF(F$73,F$73,1),IF(B$110="MPAN",IF(E$73,E$73,1),IF(I$73,I$73,1)))</f>
        <v>0</v>
      </c>
      <c r="D213" s="34">
        <f>D$73/IF(B$110="kVA",IF(F$73,F$73,1),IF(B$110="MPAN",IF(E$73,E$73,1),IF(I$73,I$73,1)))</f>
        <v>0</v>
      </c>
      <c r="E213" s="34">
        <f>E$73/IF(B$110="kVA",IF(F$73,F$73,1),IF(B$110="MPAN",IF(E$73,E$73,1),IF(I$73,I$73,1)))</f>
        <v>1.165109974156581E-2</v>
      </c>
      <c r="F213" s="34">
        <f>F$73/IF(B$110="kVA",IF(F$73,F$73,1),IF(B$110="MPAN",IF(E$73,E$73,1),IF(I$73,I$73,1)))</f>
        <v>0</v>
      </c>
      <c r="G213" s="34">
        <f>G$73/IF(B$110="kVA",IF(F$73,F$73,1),IF(B$110="MPAN",IF(E$73,E$73,1),IF(I$73,I$73,1)))</f>
        <v>0</v>
      </c>
      <c r="H213" s="34">
        <f>H$73/IF(B$110="kVA",IF(F$73,F$73,1),IF(B$110="MPAN",IF(E$73,E$73,1),IF(I$73,I$73,1)))</f>
        <v>0</v>
      </c>
      <c r="I213" s="43">
        <f>0.01*Input!F$60*(Adjust!$E$304*E213+Adjust!$F$304*F213+Adjust!$G$304*G213)+10*(Adjust!$B$304*B213+Adjust!$C$304*C213+Adjust!$D$304*D213+Adjust!$H$304*H213)</f>
        <v>15.1</v>
      </c>
      <c r="J213" s="17"/>
    </row>
    <row r="214" spans="1:10">
      <c r="A214" s="27" t="s">
        <v>229</v>
      </c>
      <c r="J214" s="17"/>
    </row>
    <row r="215" spans="1:10">
      <c r="A215" s="4" t="s">
        <v>229</v>
      </c>
      <c r="B215" s="34">
        <f>B$74/IF(B$111="kVA",IF(F$74,F$74,1),IF(B$111="MPAN",IF(E$74,E$74,1),IF(I$74,I$74,1)))</f>
        <v>1</v>
      </c>
      <c r="C215" s="34">
        <f>C$74/IF(B$111="kVA",IF(F$74,F$74,1),IF(B$111="MPAN",IF(E$74,E$74,1),IF(I$74,I$74,1)))</f>
        <v>0</v>
      </c>
      <c r="D215" s="34">
        <f>D$74/IF(B$111="kVA",IF(F$74,F$74,1),IF(B$111="MPAN",IF(E$74,E$74,1),IF(I$74,I$74,1)))</f>
        <v>0</v>
      </c>
      <c r="E215" s="34">
        <f>E$74/IF(B$111="kVA",IF(F$74,F$74,1),IF(B$111="MPAN",IF(E$74,E$74,1),IF(I$74,I$74,1)))</f>
        <v>3.5602613453391219E-2</v>
      </c>
      <c r="F215" s="34">
        <f>F$74/IF(B$111="kVA",IF(F$74,F$74,1),IF(B$111="MPAN",IF(E$74,E$74,1),IF(I$74,I$74,1)))</f>
        <v>0</v>
      </c>
      <c r="G215" s="34">
        <f>G$74/IF(B$111="kVA",IF(F$74,F$74,1),IF(B$111="MPAN",IF(E$74,E$74,1),IF(I$74,I$74,1)))</f>
        <v>0</v>
      </c>
      <c r="H215" s="34">
        <f>H$74/IF(B$111="kVA",IF(F$74,F$74,1),IF(B$111="MPAN",IF(E$74,E$74,1),IF(I$74,I$74,1)))</f>
        <v>0</v>
      </c>
      <c r="I215" s="43">
        <f>0.01*Input!F$60*(Adjust!$E$306*E215+Adjust!$F$306*F215+Adjust!$G$306*G215)+10*(Adjust!$B$306*B215+Adjust!$C$306*C215+Adjust!$D$306*D215+Adjust!$H$306*H215)</f>
        <v>37.519999999999996</v>
      </c>
      <c r="J215" s="17"/>
    </row>
    <row r="216" spans="1:10">
      <c r="A216" s="4" t="s">
        <v>284</v>
      </c>
      <c r="B216" s="34">
        <f>B$74/IF(B$111="kVA",IF(F$74,F$74,1),IF(B$111="MPAN",IF(E$74,E$74,1),IF(I$74,I$74,1)))</f>
        <v>1</v>
      </c>
      <c r="C216" s="34">
        <f>C$74/IF(B$111="kVA",IF(F$74,F$74,1),IF(B$111="MPAN",IF(E$74,E$74,1),IF(I$74,I$74,1)))</f>
        <v>0</v>
      </c>
      <c r="D216" s="34">
        <f>D$74/IF(B$111="kVA",IF(F$74,F$74,1),IF(B$111="MPAN",IF(E$74,E$74,1),IF(I$74,I$74,1)))</f>
        <v>0</v>
      </c>
      <c r="E216" s="34">
        <f>E$74/IF(B$111="kVA",IF(F$74,F$74,1),IF(B$111="MPAN",IF(E$74,E$74,1),IF(I$74,I$74,1)))</f>
        <v>3.5602613453391219E-2</v>
      </c>
      <c r="F216" s="34">
        <f>F$74/IF(B$111="kVA",IF(F$74,F$74,1),IF(B$111="MPAN",IF(E$74,E$74,1),IF(I$74,I$74,1)))</f>
        <v>0</v>
      </c>
      <c r="G216" s="34">
        <f>G$74/IF(B$111="kVA",IF(F$74,F$74,1),IF(B$111="MPAN",IF(E$74,E$74,1),IF(I$74,I$74,1)))</f>
        <v>0</v>
      </c>
      <c r="H216" s="34">
        <f>H$74/IF(B$111="kVA",IF(F$74,F$74,1),IF(B$111="MPAN",IF(E$74,E$74,1),IF(I$74,I$74,1)))</f>
        <v>0</v>
      </c>
      <c r="I216" s="43">
        <f>0.01*Input!F$60*(Adjust!$E$307*E216+Adjust!$F$307*F216+Adjust!$G$307*G216)+10*(Adjust!$B$307*B216+Adjust!$C$307*C216+Adjust!$D$307*D216+Adjust!$H$307*H216)</f>
        <v>24.11</v>
      </c>
      <c r="J216" s="17"/>
    </row>
    <row r="217" spans="1:10">
      <c r="A217" s="4" t="s">
        <v>285</v>
      </c>
      <c r="B217" s="34">
        <f>B$74/IF(B$111="kVA",IF(F$74,F$74,1),IF(B$111="MPAN",IF(E$74,E$74,1),IF(I$74,I$74,1)))</f>
        <v>1</v>
      </c>
      <c r="C217" s="34">
        <f>C$74/IF(B$111="kVA",IF(F$74,F$74,1),IF(B$111="MPAN",IF(E$74,E$74,1),IF(I$74,I$74,1)))</f>
        <v>0</v>
      </c>
      <c r="D217" s="34">
        <f>D$74/IF(B$111="kVA",IF(F$74,F$74,1),IF(B$111="MPAN",IF(E$74,E$74,1),IF(I$74,I$74,1)))</f>
        <v>0</v>
      </c>
      <c r="E217" s="34">
        <f>E$74/IF(B$111="kVA",IF(F$74,F$74,1),IF(B$111="MPAN",IF(E$74,E$74,1),IF(I$74,I$74,1)))</f>
        <v>3.5602613453391219E-2</v>
      </c>
      <c r="F217" s="34">
        <f>F$74/IF(B$111="kVA",IF(F$74,F$74,1),IF(B$111="MPAN",IF(E$74,E$74,1),IF(I$74,I$74,1)))</f>
        <v>0</v>
      </c>
      <c r="G217" s="34">
        <f>G$74/IF(B$111="kVA",IF(F$74,F$74,1),IF(B$111="MPAN",IF(E$74,E$74,1),IF(I$74,I$74,1)))</f>
        <v>0</v>
      </c>
      <c r="H217" s="34">
        <f>H$74/IF(B$111="kVA",IF(F$74,F$74,1),IF(B$111="MPAN",IF(E$74,E$74,1),IF(I$74,I$74,1)))</f>
        <v>0</v>
      </c>
      <c r="I217" s="43">
        <f>0.01*Input!F$60*(Adjust!$E$308*E217+Adjust!$F$308*F217+Adjust!$G$308*G217)+10*(Adjust!$B$308*B217+Adjust!$C$308*C217+Adjust!$D$308*D217+Adjust!$H$308*H217)</f>
        <v>16.009999999999998</v>
      </c>
      <c r="J217" s="17"/>
    </row>
    <row r="218" spans="1:10">
      <c r="A218" s="27" t="s">
        <v>230</v>
      </c>
      <c r="J218" s="17"/>
    </row>
    <row r="219" spans="1:10">
      <c r="A219" s="4" t="s">
        <v>230</v>
      </c>
      <c r="B219" s="34">
        <f>B$75/IF(B$112="kVA",IF(F$75,F$75,1),IF(B$112="MPAN",IF(E$75,E$75,1),IF(I$75,I$75,1)))</f>
        <v>1</v>
      </c>
      <c r="C219" s="34">
        <f>C$75/IF(B$112="kVA",IF(F$75,F$75,1),IF(B$112="MPAN",IF(E$75,E$75,1),IF(I$75,I$75,1)))</f>
        <v>0</v>
      </c>
      <c r="D219" s="34">
        <f>D$75/IF(B$112="kVA",IF(F$75,F$75,1),IF(B$112="MPAN",IF(E$75,E$75,1),IF(I$75,I$75,1)))</f>
        <v>0</v>
      </c>
      <c r="E219" s="34">
        <f>E$75/IF(B$112="kVA",IF(F$75,F$75,1),IF(B$112="MPAN",IF(E$75,E$75,1),IF(I$75,I$75,1)))</f>
        <v>1.945303273926733E-2</v>
      </c>
      <c r="F219" s="34">
        <f>F$75/IF(B$112="kVA",IF(F$75,F$75,1),IF(B$112="MPAN",IF(E$75,E$75,1),IF(I$75,I$75,1)))</f>
        <v>0</v>
      </c>
      <c r="G219" s="34">
        <f>G$75/IF(B$112="kVA",IF(F$75,F$75,1),IF(B$112="MPAN",IF(E$75,E$75,1),IF(I$75,I$75,1)))</f>
        <v>0</v>
      </c>
      <c r="H219" s="34">
        <f>H$75/IF(B$112="kVA",IF(F$75,F$75,1),IF(B$112="MPAN",IF(E$75,E$75,1),IF(I$75,I$75,1)))</f>
        <v>0</v>
      </c>
      <c r="I219" s="43">
        <f>0.01*Input!F$60*(Adjust!$E$310*E219+Adjust!$F$310*F219+Adjust!$G$310*G219)+10*(Adjust!$B$310*B219+Adjust!$C$310*C219+Adjust!$D$310*D219+Adjust!$H$310*H219)</f>
        <v>49.519999999999996</v>
      </c>
      <c r="J219" s="17"/>
    </row>
    <row r="220" spans="1:10">
      <c r="A220" s="4" t="s">
        <v>287</v>
      </c>
      <c r="B220" s="34">
        <f>B$75/IF(B$112="kVA",IF(F$75,F$75,1),IF(B$112="MPAN",IF(E$75,E$75,1),IF(I$75,I$75,1)))</f>
        <v>1</v>
      </c>
      <c r="C220" s="34">
        <f>C$75/IF(B$112="kVA",IF(F$75,F$75,1),IF(B$112="MPAN",IF(E$75,E$75,1),IF(I$75,I$75,1)))</f>
        <v>0</v>
      </c>
      <c r="D220" s="34">
        <f>D$75/IF(B$112="kVA",IF(F$75,F$75,1),IF(B$112="MPAN",IF(E$75,E$75,1),IF(I$75,I$75,1)))</f>
        <v>0</v>
      </c>
      <c r="E220" s="34">
        <f>E$75/IF(B$112="kVA",IF(F$75,F$75,1),IF(B$112="MPAN",IF(E$75,E$75,1),IF(I$75,I$75,1)))</f>
        <v>1.945303273926733E-2</v>
      </c>
      <c r="F220" s="34">
        <f>F$75/IF(B$112="kVA",IF(F$75,F$75,1),IF(B$112="MPAN",IF(E$75,E$75,1),IF(I$75,I$75,1)))</f>
        <v>0</v>
      </c>
      <c r="G220" s="34">
        <f>G$75/IF(B$112="kVA",IF(F$75,F$75,1),IF(B$112="MPAN",IF(E$75,E$75,1),IF(I$75,I$75,1)))</f>
        <v>0</v>
      </c>
      <c r="H220" s="34">
        <f>H$75/IF(B$112="kVA",IF(F$75,F$75,1),IF(B$112="MPAN",IF(E$75,E$75,1),IF(I$75,I$75,1)))</f>
        <v>0</v>
      </c>
      <c r="I220" s="43">
        <f>0.01*Input!F$60*(Adjust!$E$311*E220+Adjust!$F$311*F220+Adjust!$G$311*G220)+10*(Adjust!$B$311*B220+Adjust!$C$311*C220+Adjust!$D$311*D220+Adjust!$H$311*H220)</f>
        <v>31.82</v>
      </c>
      <c r="J220" s="17"/>
    </row>
    <row r="221" spans="1:10">
      <c r="A221" s="4" t="s">
        <v>288</v>
      </c>
      <c r="B221" s="34">
        <f>B$75/IF(B$112="kVA",IF(F$75,F$75,1),IF(B$112="MPAN",IF(E$75,E$75,1),IF(I$75,I$75,1)))</f>
        <v>1</v>
      </c>
      <c r="C221" s="34">
        <f>C$75/IF(B$112="kVA",IF(F$75,F$75,1),IF(B$112="MPAN",IF(E$75,E$75,1),IF(I$75,I$75,1)))</f>
        <v>0</v>
      </c>
      <c r="D221" s="34">
        <f>D$75/IF(B$112="kVA",IF(F$75,F$75,1),IF(B$112="MPAN",IF(E$75,E$75,1),IF(I$75,I$75,1)))</f>
        <v>0</v>
      </c>
      <c r="E221" s="34">
        <f>E$75/IF(B$112="kVA",IF(F$75,F$75,1),IF(B$112="MPAN",IF(E$75,E$75,1),IF(I$75,I$75,1)))</f>
        <v>1.945303273926733E-2</v>
      </c>
      <c r="F221" s="34">
        <f>F$75/IF(B$112="kVA",IF(F$75,F$75,1),IF(B$112="MPAN",IF(E$75,E$75,1),IF(I$75,I$75,1)))</f>
        <v>0</v>
      </c>
      <c r="G221" s="34">
        <f>G$75/IF(B$112="kVA",IF(F$75,F$75,1),IF(B$112="MPAN",IF(E$75,E$75,1),IF(I$75,I$75,1)))</f>
        <v>0</v>
      </c>
      <c r="H221" s="34">
        <f>H$75/IF(B$112="kVA",IF(F$75,F$75,1),IF(B$112="MPAN",IF(E$75,E$75,1),IF(I$75,I$75,1)))</f>
        <v>0</v>
      </c>
      <c r="I221" s="43">
        <f>0.01*Input!F$60*(Adjust!$E$312*E221+Adjust!$F$312*F221+Adjust!$G$312*G221)+10*(Adjust!$B$312*B221+Adjust!$C$312*C221+Adjust!$D$312*D221+Adjust!$H$312*H221)</f>
        <v>21.12</v>
      </c>
      <c r="J221" s="17"/>
    </row>
    <row r="222" spans="1:10">
      <c r="A222" s="27" t="s">
        <v>231</v>
      </c>
      <c r="J222" s="17"/>
    </row>
    <row r="223" spans="1:10">
      <c r="A223" s="4" t="s">
        <v>231</v>
      </c>
      <c r="B223" s="34">
        <f>B$76/IF(B$113="kVA",IF(F$76,F$76,1),IF(B$113="MPAN",IF(E$76,E$76,1),IF(I$76,I$76,1)))</f>
        <v>1</v>
      </c>
      <c r="C223" s="34">
        <f>C$76/IF(B$113="kVA",IF(F$76,F$76,1),IF(B$113="MPAN",IF(E$76,E$76,1),IF(I$76,I$76,1)))</f>
        <v>0</v>
      </c>
      <c r="D223" s="34">
        <f>D$76/IF(B$113="kVA",IF(F$76,F$76,1),IF(B$113="MPAN",IF(E$76,E$76,1),IF(I$76,I$76,1)))</f>
        <v>0</v>
      </c>
      <c r="E223" s="34">
        <f>E$76/IF(B$113="kVA",IF(F$76,F$76,1),IF(B$113="MPAN",IF(E$76,E$76,1),IF(I$76,I$76,1)))</f>
        <v>1.945303273926733E-2</v>
      </c>
      <c r="F223" s="34">
        <f>F$76/IF(B$113="kVA",IF(F$76,F$76,1),IF(B$113="MPAN",IF(E$76,E$76,1),IF(I$76,I$76,1)))</f>
        <v>0</v>
      </c>
      <c r="G223" s="34">
        <f>G$76/IF(B$113="kVA",IF(F$76,F$76,1),IF(B$113="MPAN",IF(E$76,E$76,1),IF(I$76,I$76,1)))</f>
        <v>0</v>
      </c>
      <c r="H223" s="34">
        <f>H$76/IF(B$113="kVA",IF(F$76,F$76,1),IF(B$113="MPAN",IF(E$76,E$76,1),IF(I$76,I$76,1)))</f>
        <v>0</v>
      </c>
      <c r="I223" s="43">
        <f>0.01*Input!F$60*(Adjust!$E$314*E223+Adjust!$F$314*F223+Adjust!$G$314*G223)+10*(Adjust!$B$314*B223+Adjust!$C$314*C223+Adjust!$D$314*D223+Adjust!$H$314*H223)</f>
        <v>34.620000000000005</v>
      </c>
      <c r="J223" s="17"/>
    </row>
    <row r="224" spans="1:10">
      <c r="A224" s="4" t="s">
        <v>290</v>
      </c>
      <c r="B224" s="34">
        <f>B$76/IF(B$113="kVA",IF(F$76,F$76,1),IF(B$113="MPAN",IF(E$76,E$76,1),IF(I$76,I$76,1)))</f>
        <v>1</v>
      </c>
      <c r="C224" s="34">
        <f>C$76/IF(B$113="kVA",IF(F$76,F$76,1),IF(B$113="MPAN",IF(E$76,E$76,1),IF(I$76,I$76,1)))</f>
        <v>0</v>
      </c>
      <c r="D224" s="34">
        <f>D$76/IF(B$113="kVA",IF(F$76,F$76,1),IF(B$113="MPAN",IF(E$76,E$76,1),IF(I$76,I$76,1)))</f>
        <v>0</v>
      </c>
      <c r="E224" s="34">
        <f>E$76/IF(B$113="kVA",IF(F$76,F$76,1),IF(B$113="MPAN",IF(E$76,E$76,1),IF(I$76,I$76,1)))</f>
        <v>1.945303273926733E-2</v>
      </c>
      <c r="F224" s="34">
        <f>F$76/IF(B$113="kVA",IF(F$76,F$76,1),IF(B$113="MPAN",IF(E$76,E$76,1),IF(I$76,I$76,1)))</f>
        <v>0</v>
      </c>
      <c r="G224" s="34">
        <f>G$76/IF(B$113="kVA",IF(F$76,F$76,1),IF(B$113="MPAN",IF(E$76,E$76,1),IF(I$76,I$76,1)))</f>
        <v>0</v>
      </c>
      <c r="H224" s="34">
        <f>H$76/IF(B$113="kVA",IF(F$76,F$76,1),IF(B$113="MPAN",IF(E$76,E$76,1),IF(I$76,I$76,1)))</f>
        <v>0</v>
      </c>
      <c r="I224" s="43">
        <f>0.01*Input!F$60*(Adjust!$E$315*E224+Adjust!$F$315*F224+Adjust!$G$315*G224)+10*(Adjust!$B$315*B224+Adjust!$C$315*C224+Adjust!$D$315*D224+Adjust!$H$315*H224)</f>
        <v>22.25</v>
      </c>
      <c r="J224" s="17"/>
    </row>
    <row r="225" spans="1:10">
      <c r="A225" s="4" t="s">
        <v>291</v>
      </c>
      <c r="B225" s="34">
        <f>B$76/IF(B$113="kVA",IF(F$76,F$76,1),IF(B$113="MPAN",IF(E$76,E$76,1),IF(I$76,I$76,1)))</f>
        <v>1</v>
      </c>
      <c r="C225" s="34">
        <f>C$76/IF(B$113="kVA",IF(F$76,F$76,1),IF(B$113="MPAN",IF(E$76,E$76,1),IF(I$76,I$76,1)))</f>
        <v>0</v>
      </c>
      <c r="D225" s="34">
        <f>D$76/IF(B$113="kVA",IF(F$76,F$76,1),IF(B$113="MPAN",IF(E$76,E$76,1),IF(I$76,I$76,1)))</f>
        <v>0</v>
      </c>
      <c r="E225" s="34">
        <f>E$76/IF(B$113="kVA",IF(F$76,F$76,1),IF(B$113="MPAN",IF(E$76,E$76,1),IF(I$76,I$76,1)))</f>
        <v>1.945303273926733E-2</v>
      </c>
      <c r="F225" s="34">
        <f>F$76/IF(B$113="kVA",IF(F$76,F$76,1),IF(B$113="MPAN",IF(E$76,E$76,1),IF(I$76,I$76,1)))</f>
        <v>0</v>
      </c>
      <c r="G225" s="34">
        <f>G$76/IF(B$113="kVA",IF(F$76,F$76,1),IF(B$113="MPAN",IF(E$76,E$76,1),IF(I$76,I$76,1)))</f>
        <v>0</v>
      </c>
      <c r="H225" s="34">
        <f>H$76/IF(B$113="kVA",IF(F$76,F$76,1),IF(B$113="MPAN",IF(E$76,E$76,1),IF(I$76,I$76,1)))</f>
        <v>0</v>
      </c>
      <c r="I225" s="43">
        <f>0.01*Input!F$60*(Adjust!$E$316*E225+Adjust!$F$316*F225+Adjust!$G$316*G225)+10*(Adjust!$B$316*B225+Adjust!$C$316*C225+Adjust!$D$316*D225+Adjust!$H$316*H225)</f>
        <v>14.770000000000001</v>
      </c>
      <c r="J225" s="17"/>
    </row>
    <row r="226" spans="1:10">
      <c r="A226" s="27" t="s">
        <v>232</v>
      </c>
      <c r="J226" s="17"/>
    </row>
    <row r="227" spans="1:10">
      <c r="A227" s="4" t="s">
        <v>232</v>
      </c>
      <c r="B227" s="34">
        <f>B$77/IF(B$114="kVA",IF(F$77,F$77,1),IF(B$114="MPAN",IF(E$77,E$77,1),IF(I$77,I$77,1)))</f>
        <v>4.8924935871176328E-2</v>
      </c>
      <c r="C227" s="34">
        <f>C$77/IF(B$114="kVA",IF(F$77,F$77,1),IF(B$114="MPAN",IF(E$77,E$77,1),IF(I$77,I$77,1)))</f>
        <v>0.13151179874450947</v>
      </c>
      <c r="D227" s="34">
        <f>D$77/IF(B$114="kVA",IF(F$77,F$77,1),IF(B$114="MPAN",IF(E$77,E$77,1),IF(I$77,I$77,1)))</f>
        <v>0.81956326538431423</v>
      </c>
      <c r="E227" s="34">
        <f>E$77/IF(B$114="kVA",IF(F$77,F$77,1),IF(B$114="MPAN",IF(E$77,E$77,1),IF(I$77,I$77,1)))</f>
        <v>1.158183308869637E-4</v>
      </c>
      <c r="F227" s="34">
        <f>F$77/IF(B$114="kVA",IF(F$77,F$77,1),IF(B$114="MPAN",IF(E$77,E$77,1),IF(I$77,I$77,1)))</f>
        <v>0</v>
      </c>
      <c r="G227" s="34">
        <f>G$77/IF(B$114="kVA",IF(F$77,F$77,1),IF(B$114="MPAN",IF(E$77,E$77,1),IF(I$77,I$77,1)))</f>
        <v>0</v>
      </c>
      <c r="H227" s="34">
        <f>H$77/IF(B$114="kVA",IF(F$77,F$77,1),IF(B$114="MPAN",IF(E$77,E$77,1),IF(I$77,I$77,1)))</f>
        <v>0</v>
      </c>
      <c r="I227" s="43">
        <f>0.01*Input!F$60*(Adjust!$E$318*E227+Adjust!$F$318*F227+Adjust!$G$318*G227)+10*(Adjust!$B$318*B227+Adjust!$C$318*C227+Adjust!$D$318*D227+Adjust!$H$318*H227)</f>
        <v>37.902260715906408</v>
      </c>
      <c r="J227" s="17"/>
    </row>
    <row r="228" spans="1:10">
      <c r="A228" s="4" t="s">
        <v>293</v>
      </c>
      <c r="B228" s="34">
        <f>B$77/IF(B$114="kVA",IF(F$77,F$77,1),IF(B$114="MPAN",IF(E$77,E$77,1),IF(I$77,I$77,1)))</f>
        <v>4.8924935871176328E-2</v>
      </c>
      <c r="C228" s="34">
        <f>C$77/IF(B$114="kVA",IF(F$77,F$77,1),IF(B$114="MPAN",IF(E$77,E$77,1),IF(I$77,I$77,1)))</f>
        <v>0.13151179874450947</v>
      </c>
      <c r="D228" s="34">
        <f>D$77/IF(B$114="kVA",IF(F$77,F$77,1),IF(B$114="MPAN",IF(E$77,E$77,1),IF(I$77,I$77,1)))</f>
        <v>0.81956326538431423</v>
      </c>
      <c r="E228" s="34">
        <f>E$77/IF(B$114="kVA",IF(F$77,F$77,1),IF(B$114="MPAN",IF(E$77,E$77,1),IF(I$77,I$77,1)))</f>
        <v>1.158183308869637E-4</v>
      </c>
      <c r="F228" s="34">
        <f>F$77/IF(B$114="kVA",IF(F$77,F$77,1),IF(B$114="MPAN",IF(E$77,E$77,1),IF(I$77,I$77,1)))</f>
        <v>0</v>
      </c>
      <c r="G228" s="34">
        <f>G$77/IF(B$114="kVA",IF(F$77,F$77,1),IF(B$114="MPAN",IF(E$77,E$77,1),IF(I$77,I$77,1)))</f>
        <v>0</v>
      </c>
      <c r="H228" s="34">
        <f>H$77/IF(B$114="kVA",IF(F$77,F$77,1),IF(B$114="MPAN",IF(E$77,E$77,1),IF(I$77,I$77,1)))</f>
        <v>0</v>
      </c>
      <c r="I228" s="43">
        <f>0.01*Input!F$60*(Adjust!$E$319*E228+Adjust!$F$319*F228+Adjust!$G$319*G228)+10*(Adjust!$B$319*B228+Adjust!$C$319*C228+Adjust!$D$319*D228+Adjust!$H$319*H228)</f>
        <v>24.35558856961886</v>
      </c>
      <c r="J228" s="17"/>
    </row>
    <row r="229" spans="1:10">
      <c r="A229" s="4" t="s">
        <v>294</v>
      </c>
      <c r="B229" s="34">
        <f>B$77/IF(B$114="kVA",IF(F$77,F$77,1),IF(B$114="MPAN",IF(E$77,E$77,1),IF(I$77,I$77,1)))</f>
        <v>4.8924935871176328E-2</v>
      </c>
      <c r="C229" s="34">
        <f>C$77/IF(B$114="kVA",IF(F$77,F$77,1),IF(B$114="MPAN",IF(E$77,E$77,1),IF(I$77,I$77,1)))</f>
        <v>0.13151179874450947</v>
      </c>
      <c r="D229" s="34">
        <f>D$77/IF(B$114="kVA",IF(F$77,F$77,1),IF(B$114="MPAN",IF(E$77,E$77,1),IF(I$77,I$77,1)))</f>
        <v>0.81956326538431423</v>
      </c>
      <c r="E229" s="34">
        <f>E$77/IF(B$114="kVA",IF(F$77,F$77,1),IF(B$114="MPAN",IF(E$77,E$77,1),IF(I$77,I$77,1)))</f>
        <v>1.158183308869637E-4</v>
      </c>
      <c r="F229" s="34">
        <f>F$77/IF(B$114="kVA",IF(F$77,F$77,1),IF(B$114="MPAN",IF(E$77,E$77,1),IF(I$77,I$77,1)))</f>
        <v>0</v>
      </c>
      <c r="G229" s="34">
        <f>G$77/IF(B$114="kVA",IF(F$77,F$77,1),IF(B$114="MPAN",IF(E$77,E$77,1),IF(I$77,I$77,1)))</f>
        <v>0</v>
      </c>
      <c r="H229" s="34">
        <f>H$77/IF(B$114="kVA",IF(F$77,F$77,1),IF(B$114="MPAN",IF(E$77,E$77,1),IF(I$77,I$77,1)))</f>
        <v>0</v>
      </c>
      <c r="I229" s="43">
        <f>0.01*Input!F$60*(Adjust!$E$320*E229+Adjust!$F$320*F229+Adjust!$G$320*G229)+10*(Adjust!$B$320*B229+Adjust!$C$320*C229+Adjust!$D$320*D229+Adjust!$H$320*H229)</f>
        <v>16.168039427517783</v>
      </c>
      <c r="J229" s="17"/>
    </row>
    <row r="230" spans="1:10">
      <c r="A230" s="27" t="s">
        <v>190</v>
      </c>
      <c r="J230" s="17"/>
    </row>
    <row r="231" spans="1:10">
      <c r="A231" s="4" t="s">
        <v>190</v>
      </c>
      <c r="B231" s="34">
        <f>B$78/IF(B$115="kVA",IF(F$78,F$78,1),IF(B$115="MPAN",IF(E$78,E$78,1),IF(I$78,I$78,1)))</f>
        <v>1</v>
      </c>
      <c r="C231" s="34">
        <f>C$78/IF(B$115="kVA",IF(F$78,F$78,1),IF(B$115="MPAN",IF(E$78,E$78,1),IF(I$78,I$78,1)))</f>
        <v>0</v>
      </c>
      <c r="D231" s="34">
        <f>D$78/IF(B$115="kVA",IF(F$78,F$78,1),IF(B$115="MPAN",IF(E$78,E$78,1),IF(I$78,I$78,1)))</f>
        <v>0</v>
      </c>
      <c r="E231" s="34">
        <f>E$78/IF(B$115="kVA",IF(F$78,F$78,1),IF(B$115="MPAN",IF(E$78,E$78,1),IF(I$78,I$78,1)))</f>
        <v>8.284552089818277E-2</v>
      </c>
      <c r="F231" s="34">
        <f>F$78/IF(B$115="kVA",IF(F$78,F$78,1),IF(B$115="MPAN",IF(E$78,E$78,1),IF(I$78,I$78,1)))</f>
        <v>0</v>
      </c>
      <c r="G231" s="34">
        <f>G$78/IF(B$115="kVA",IF(F$78,F$78,1),IF(B$115="MPAN",IF(E$78,E$78,1),IF(I$78,I$78,1)))</f>
        <v>0</v>
      </c>
      <c r="H231" s="34">
        <f>H$78/IF(B$115="kVA",IF(F$78,F$78,1),IF(B$115="MPAN",IF(E$78,E$78,1),IF(I$78,I$78,1)))</f>
        <v>0</v>
      </c>
      <c r="I231" s="43">
        <f>0.01*Input!F$60*(Adjust!$E$322*E231+Adjust!$F$322*F231+Adjust!$G$322*G231)+10*(Adjust!$B$322*B231+Adjust!$C$322*C231+Adjust!$D$322*D231+Adjust!$H$322*H231)</f>
        <v>-9.77</v>
      </c>
      <c r="J231" s="17"/>
    </row>
    <row r="232" spans="1:10">
      <c r="A232" s="4" t="s">
        <v>296</v>
      </c>
      <c r="B232" s="34">
        <f>B$78/IF(B$115="kVA",IF(F$78,F$78,1),IF(B$115="MPAN",IF(E$78,E$78,1),IF(I$78,I$78,1)))</f>
        <v>1</v>
      </c>
      <c r="C232" s="34">
        <f>C$78/IF(B$115="kVA",IF(F$78,F$78,1),IF(B$115="MPAN",IF(E$78,E$78,1),IF(I$78,I$78,1)))</f>
        <v>0</v>
      </c>
      <c r="D232" s="34">
        <f>D$78/IF(B$115="kVA",IF(F$78,F$78,1),IF(B$115="MPAN",IF(E$78,E$78,1),IF(I$78,I$78,1)))</f>
        <v>0</v>
      </c>
      <c r="E232" s="34">
        <f>E$78/IF(B$115="kVA",IF(F$78,F$78,1),IF(B$115="MPAN",IF(E$78,E$78,1),IF(I$78,I$78,1)))</f>
        <v>8.284552089818277E-2</v>
      </c>
      <c r="F232" s="34">
        <f>F$78/IF(B$115="kVA",IF(F$78,F$78,1),IF(B$115="MPAN",IF(E$78,E$78,1),IF(I$78,I$78,1)))</f>
        <v>0</v>
      </c>
      <c r="G232" s="34">
        <f>G$78/IF(B$115="kVA",IF(F$78,F$78,1),IF(B$115="MPAN",IF(E$78,E$78,1),IF(I$78,I$78,1)))</f>
        <v>0</v>
      </c>
      <c r="H232" s="34">
        <f>H$78/IF(B$115="kVA",IF(F$78,F$78,1),IF(B$115="MPAN",IF(E$78,E$78,1),IF(I$78,I$78,1)))</f>
        <v>0</v>
      </c>
      <c r="I232" s="43">
        <f>0.01*Input!F$60*(Adjust!$E$323*E232+Adjust!$F$323*F232+Adjust!$G$323*G232)+10*(Adjust!$B$323*B232+Adjust!$C$323*C232+Adjust!$D$323*D232+Adjust!$H$323*H232)</f>
        <v>-9.77</v>
      </c>
      <c r="J232" s="17"/>
    </row>
    <row r="233" spans="1:10">
      <c r="A233" s="4" t="s">
        <v>297</v>
      </c>
      <c r="B233" s="34">
        <f>B$78/IF(B$115="kVA",IF(F$78,F$78,1),IF(B$115="MPAN",IF(E$78,E$78,1),IF(I$78,I$78,1)))</f>
        <v>1</v>
      </c>
      <c r="C233" s="34">
        <f>C$78/IF(B$115="kVA",IF(F$78,F$78,1),IF(B$115="MPAN",IF(E$78,E$78,1),IF(I$78,I$78,1)))</f>
        <v>0</v>
      </c>
      <c r="D233" s="34">
        <f>D$78/IF(B$115="kVA",IF(F$78,F$78,1),IF(B$115="MPAN",IF(E$78,E$78,1),IF(I$78,I$78,1)))</f>
        <v>0</v>
      </c>
      <c r="E233" s="34">
        <f>E$78/IF(B$115="kVA",IF(F$78,F$78,1),IF(B$115="MPAN",IF(E$78,E$78,1),IF(I$78,I$78,1)))</f>
        <v>8.284552089818277E-2</v>
      </c>
      <c r="F233" s="34">
        <f>F$78/IF(B$115="kVA",IF(F$78,F$78,1),IF(B$115="MPAN",IF(E$78,E$78,1),IF(I$78,I$78,1)))</f>
        <v>0</v>
      </c>
      <c r="G233" s="34">
        <f>G$78/IF(B$115="kVA",IF(F$78,F$78,1),IF(B$115="MPAN",IF(E$78,E$78,1),IF(I$78,I$78,1)))</f>
        <v>0</v>
      </c>
      <c r="H233" s="34">
        <f>H$78/IF(B$115="kVA",IF(F$78,F$78,1),IF(B$115="MPAN",IF(E$78,E$78,1),IF(I$78,I$78,1)))</f>
        <v>0</v>
      </c>
      <c r="I233" s="43">
        <f>0.01*Input!F$60*(Adjust!$E$324*E233+Adjust!$F$324*F233+Adjust!$G$324*G233)+10*(Adjust!$B$324*B233+Adjust!$C$324*C233+Adjust!$D$324*D233+Adjust!$H$324*H233)</f>
        <v>-9.77</v>
      </c>
      <c r="J233" s="17"/>
    </row>
    <row r="234" spans="1:10">
      <c r="A234" s="27" t="s">
        <v>191</v>
      </c>
      <c r="J234" s="17"/>
    </row>
    <row r="235" spans="1:10">
      <c r="A235" s="4" t="s">
        <v>191</v>
      </c>
      <c r="B235" s="34">
        <f>B$79/IF(B$116="kVA",IF(F$79,F$79,1),IF(B$116="MPAN",IF(E$79,E$79,1),IF(I$79,I$79,1)))</f>
        <v>1</v>
      </c>
      <c r="C235" s="34">
        <f>C$79/IF(B$116="kVA",IF(F$79,F$79,1),IF(B$116="MPAN",IF(E$79,E$79,1),IF(I$79,I$79,1)))</f>
        <v>0</v>
      </c>
      <c r="D235" s="34">
        <f>D$79/IF(B$116="kVA",IF(F$79,F$79,1),IF(B$116="MPAN",IF(E$79,E$79,1),IF(I$79,I$79,1)))</f>
        <v>0</v>
      </c>
      <c r="E235" s="34">
        <f>E$79/IF(B$116="kVA",IF(F$79,F$79,1),IF(B$116="MPAN",IF(E$79,E$79,1),IF(I$79,I$79,1)))</f>
        <v>1.0418682321601081E-2</v>
      </c>
      <c r="F235" s="34">
        <f>F$79/IF(B$116="kVA",IF(F$79,F$79,1),IF(B$116="MPAN",IF(E$79,E$79,1),IF(I$79,I$79,1)))</f>
        <v>0</v>
      </c>
      <c r="G235" s="34">
        <f>G$79/IF(B$116="kVA",IF(F$79,F$79,1),IF(B$116="MPAN",IF(E$79,E$79,1),IF(I$79,I$79,1)))</f>
        <v>0</v>
      </c>
      <c r="H235" s="34">
        <f>H$79/IF(B$116="kVA",IF(F$79,F$79,1),IF(B$116="MPAN",IF(E$79,E$79,1),IF(I$79,I$79,1)))</f>
        <v>0</v>
      </c>
      <c r="I235" s="43">
        <f>0.01*Input!F$60*(Adjust!$E$326*E235+Adjust!$F$326*F235+Adjust!$G$326*G235)+10*(Adjust!$B$326*B235+Adjust!$C$326*C235+Adjust!$D$326*D235+Adjust!$H$326*H235)</f>
        <v>-7.8100000000000005</v>
      </c>
      <c r="J235" s="17"/>
    </row>
    <row r="236" spans="1:10">
      <c r="A236" s="4" t="s">
        <v>299</v>
      </c>
      <c r="B236" s="34">
        <f>B$79/IF(B$116="kVA",IF(F$79,F$79,1),IF(B$116="MPAN",IF(E$79,E$79,1),IF(I$79,I$79,1)))</f>
        <v>1</v>
      </c>
      <c r="C236" s="34">
        <f>C$79/IF(B$116="kVA",IF(F$79,F$79,1),IF(B$116="MPAN",IF(E$79,E$79,1),IF(I$79,I$79,1)))</f>
        <v>0</v>
      </c>
      <c r="D236" s="34">
        <f>D$79/IF(B$116="kVA",IF(F$79,F$79,1),IF(B$116="MPAN",IF(E$79,E$79,1),IF(I$79,I$79,1)))</f>
        <v>0</v>
      </c>
      <c r="E236" s="34">
        <f>E$79/IF(B$116="kVA",IF(F$79,F$79,1),IF(B$116="MPAN",IF(E$79,E$79,1),IF(I$79,I$79,1)))</f>
        <v>1.0418682321601081E-2</v>
      </c>
      <c r="F236" s="34">
        <f>F$79/IF(B$116="kVA",IF(F$79,F$79,1),IF(B$116="MPAN",IF(E$79,E$79,1),IF(I$79,I$79,1)))</f>
        <v>0</v>
      </c>
      <c r="G236" s="34">
        <f>G$79/IF(B$116="kVA",IF(F$79,F$79,1),IF(B$116="MPAN",IF(E$79,E$79,1),IF(I$79,I$79,1)))</f>
        <v>0</v>
      </c>
      <c r="H236" s="34">
        <f>H$79/IF(B$116="kVA",IF(F$79,F$79,1),IF(B$116="MPAN",IF(E$79,E$79,1),IF(I$79,I$79,1)))</f>
        <v>0</v>
      </c>
      <c r="I236" s="43">
        <f>0.01*Input!F$60*(Adjust!$E$327*E236+Adjust!$F$327*F236+Adjust!$G$327*G236)+10*(Adjust!$B$327*B236+Adjust!$C$327*C236+Adjust!$D$327*D236+Adjust!$H$327*H236)</f>
        <v>-7.8100000000000005</v>
      </c>
      <c r="J236" s="17"/>
    </row>
    <row r="237" spans="1:10">
      <c r="A237" s="27" t="s">
        <v>192</v>
      </c>
      <c r="J237" s="17"/>
    </row>
    <row r="238" spans="1:10">
      <c r="A238" s="4" t="s">
        <v>192</v>
      </c>
      <c r="B238" s="34">
        <f>B$80/IF(B$117="kVA",IF(F$80,F$80,1),IF(B$117="MPAN",IF(E$80,E$80,1),IF(I$80,I$80,1)))</f>
        <v>1</v>
      </c>
      <c r="C238" s="34">
        <f>C$80/IF(B$117="kVA",IF(F$80,F$80,1),IF(B$117="MPAN",IF(E$80,E$80,1),IF(I$80,I$80,1)))</f>
        <v>0</v>
      </c>
      <c r="D238" s="34">
        <f>D$80/IF(B$117="kVA",IF(F$80,F$80,1),IF(B$117="MPAN",IF(E$80,E$80,1),IF(I$80,I$80,1)))</f>
        <v>0</v>
      </c>
      <c r="E238" s="34">
        <f>E$80/IF(B$117="kVA",IF(F$80,F$80,1),IF(B$117="MPAN",IF(E$80,E$80,1),IF(I$80,I$80,1)))</f>
        <v>1.0418682321601081E-2</v>
      </c>
      <c r="F238" s="34">
        <f>F$80/IF(B$117="kVA",IF(F$80,F$80,1),IF(B$117="MPAN",IF(E$80,E$80,1),IF(I$80,I$80,1)))</f>
        <v>0</v>
      </c>
      <c r="G238" s="34">
        <f>G$80/IF(B$117="kVA",IF(F$80,F$80,1),IF(B$117="MPAN",IF(E$80,E$80,1),IF(I$80,I$80,1)))</f>
        <v>0</v>
      </c>
      <c r="H238" s="34">
        <f>H$80/IF(B$117="kVA",IF(F$80,F$80,1),IF(B$117="MPAN",IF(E$80,E$80,1),IF(I$80,I$80,1)))</f>
        <v>8.6274102353114779E-2</v>
      </c>
      <c r="I238" s="43">
        <f>0.01*Input!F$60*(Adjust!$E$329*E238+Adjust!$F$329*F238+Adjust!$G$329*G238)+10*(Adjust!$B$329*B238+Adjust!$C$329*C238+Adjust!$D$329*D238+Adjust!$H$329*H238)</f>
        <v>-9.6595691489880124</v>
      </c>
      <c r="J238" s="17"/>
    </row>
    <row r="239" spans="1:10">
      <c r="A239" s="4" t="s">
        <v>301</v>
      </c>
      <c r="B239" s="34">
        <f>B$80/IF(B$117="kVA",IF(F$80,F$80,1),IF(B$117="MPAN",IF(E$80,E$80,1),IF(I$80,I$80,1)))</f>
        <v>1</v>
      </c>
      <c r="C239" s="34">
        <f>C$80/IF(B$117="kVA",IF(F$80,F$80,1),IF(B$117="MPAN",IF(E$80,E$80,1),IF(I$80,I$80,1)))</f>
        <v>0</v>
      </c>
      <c r="D239" s="34">
        <f>D$80/IF(B$117="kVA",IF(F$80,F$80,1),IF(B$117="MPAN",IF(E$80,E$80,1),IF(I$80,I$80,1)))</f>
        <v>0</v>
      </c>
      <c r="E239" s="34">
        <f>E$80/IF(B$117="kVA",IF(F$80,F$80,1),IF(B$117="MPAN",IF(E$80,E$80,1),IF(I$80,I$80,1)))</f>
        <v>1.0418682321601081E-2</v>
      </c>
      <c r="F239" s="34">
        <f>F$80/IF(B$117="kVA",IF(F$80,F$80,1),IF(B$117="MPAN",IF(E$80,E$80,1),IF(I$80,I$80,1)))</f>
        <v>0</v>
      </c>
      <c r="G239" s="34">
        <f>G$80/IF(B$117="kVA",IF(F$80,F$80,1),IF(B$117="MPAN",IF(E$80,E$80,1),IF(I$80,I$80,1)))</f>
        <v>0</v>
      </c>
      <c r="H239" s="34">
        <f>H$80/IF(B$117="kVA",IF(F$80,F$80,1),IF(B$117="MPAN",IF(E$80,E$80,1),IF(I$80,I$80,1)))</f>
        <v>8.6274102353114779E-2</v>
      </c>
      <c r="I239" s="43">
        <f>0.01*Input!F$60*(Adjust!$E$330*E239+Adjust!$F$330*F239+Adjust!$G$330*G239)+10*(Adjust!$B$330*B239+Adjust!$C$330*C239+Adjust!$D$330*D239+Adjust!$H$330*H239)</f>
        <v>-9.6595691489880124</v>
      </c>
      <c r="J239" s="17"/>
    </row>
    <row r="240" spans="1:10">
      <c r="A240" s="4" t="s">
        <v>302</v>
      </c>
      <c r="B240" s="34">
        <f>B$80/IF(B$117="kVA",IF(F$80,F$80,1),IF(B$117="MPAN",IF(E$80,E$80,1),IF(I$80,I$80,1)))</f>
        <v>1</v>
      </c>
      <c r="C240" s="34">
        <f>C$80/IF(B$117="kVA",IF(F$80,F$80,1),IF(B$117="MPAN",IF(E$80,E$80,1),IF(I$80,I$80,1)))</f>
        <v>0</v>
      </c>
      <c r="D240" s="34">
        <f>D$80/IF(B$117="kVA",IF(F$80,F$80,1),IF(B$117="MPAN",IF(E$80,E$80,1),IF(I$80,I$80,1)))</f>
        <v>0</v>
      </c>
      <c r="E240" s="34">
        <f>E$80/IF(B$117="kVA",IF(F$80,F$80,1),IF(B$117="MPAN",IF(E$80,E$80,1),IF(I$80,I$80,1)))</f>
        <v>1.0418682321601081E-2</v>
      </c>
      <c r="F240" s="34">
        <f>F$80/IF(B$117="kVA",IF(F$80,F$80,1),IF(B$117="MPAN",IF(E$80,E$80,1),IF(I$80,I$80,1)))</f>
        <v>0</v>
      </c>
      <c r="G240" s="34">
        <f>G$80/IF(B$117="kVA",IF(F$80,F$80,1),IF(B$117="MPAN",IF(E$80,E$80,1),IF(I$80,I$80,1)))</f>
        <v>0</v>
      </c>
      <c r="H240" s="34">
        <f>H$80/IF(B$117="kVA",IF(F$80,F$80,1),IF(B$117="MPAN",IF(E$80,E$80,1),IF(I$80,I$80,1)))</f>
        <v>8.6274102353114779E-2</v>
      </c>
      <c r="I240" s="43">
        <f>0.01*Input!F$60*(Adjust!$E$331*E240+Adjust!$F$331*F240+Adjust!$G$331*G240)+10*(Adjust!$B$331*B240+Adjust!$C$331*C240+Adjust!$D$331*D240+Adjust!$H$331*H240)</f>
        <v>-9.6595691489880124</v>
      </c>
      <c r="J240" s="17"/>
    </row>
    <row r="241" spans="1:10">
      <c r="A241" s="27" t="s">
        <v>193</v>
      </c>
      <c r="J241" s="17"/>
    </row>
    <row r="242" spans="1:10">
      <c r="A242" s="4" t="s">
        <v>193</v>
      </c>
      <c r="B242" s="34">
        <f>B$81/IF(B$118="kVA",IF(F$81,F$81,1),IF(B$118="MPAN",IF(E$81,E$81,1),IF(I$81,I$81,1)))</f>
        <v>0</v>
      </c>
      <c r="C242" s="34">
        <f>C$81/IF(B$118="kVA",IF(F$81,F$81,1),IF(B$118="MPAN",IF(E$81,E$81,1),IF(I$81,I$81,1)))</f>
        <v>0</v>
      </c>
      <c r="D242" s="34">
        <f>D$81/IF(B$118="kVA",IF(F$81,F$81,1),IF(B$118="MPAN",IF(E$81,E$81,1),IF(I$81,I$81,1)))</f>
        <v>0</v>
      </c>
      <c r="E242" s="34">
        <f>E$81/IF(B$118="kVA",IF(F$81,F$81,1),IF(B$118="MPAN",IF(E$81,E$81,1),IF(I$81,I$81,1)))</f>
        <v>0</v>
      </c>
      <c r="F242" s="34">
        <f>F$81/IF(B$118="kVA",IF(F$81,F$81,1),IF(B$118="MPAN",IF(E$81,E$81,1),IF(I$81,I$81,1)))</f>
        <v>0</v>
      </c>
      <c r="G242" s="34">
        <f>G$81/IF(B$118="kVA",IF(F$81,F$81,1),IF(B$118="MPAN",IF(E$81,E$81,1),IF(I$81,I$81,1)))</f>
        <v>0</v>
      </c>
      <c r="H242" s="34">
        <f>H$81/IF(B$118="kVA",IF(F$81,F$81,1),IF(B$118="MPAN",IF(E$81,E$81,1),IF(I$81,I$81,1)))</f>
        <v>0</v>
      </c>
      <c r="I242" s="43">
        <f>0.01*Input!F$60*(Adjust!$E$333*E242+Adjust!$F$333*F242+Adjust!$G$333*G242)+10*(Adjust!$B$333*B242+Adjust!$C$333*C242+Adjust!$D$333*D242+Adjust!$H$333*H242)</f>
        <v>0</v>
      </c>
      <c r="J242" s="17"/>
    </row>
    <row r="243" spans="1:10">
      <c r="A243" s="27" t="s">
        <v>194</v>
      </c>
      <c r="J243" s="17"/>
    </row>
    <row r="244" spans="1:10">
      <c r="A244" s="4" t="s">
        <v>194</v>
      </c>
      <c r="B244" s="34">
        <f>B$82/IF(B$119="kVA",IF(F$82,F$82,1),IF(B$119="MPAN",IF(E$82,E$82,1),IF(I$82,I$82,1)))</f>
        <v>8.3709368092700104E-2</v>
      </c>
      <c r="C244" s="34">
        <f>C$82/IF(B$119="kVA",IF(F$82,F$82,1),IF(B$119="MPAN",IF(E$82,E$82,1),IF(I$82,I$82,1)))</f>
        <v>0.2848132717287834</v>
      </c>
      <c r="D244" s="34">
        <f>D$82/IF(B$119="kVA",IF(F$82,F$82,1),IF(B$119="MPAN",IF(E$82,E$82,1),IF(I$82,I$82,1)))</f>
        <v>0.63147736017851652</v>
      </c>
      <c r="E244" s="34">
        <f>E$82/IF(B$119="kVA",IF(F$82,F$82,1),IF(B$119="MPAN",IF(E$82,E$82,1),IF(I$82,I$82,1)))</f>
        <v>3.3342010048747184E-3</v>
      </c>
      <c r="F244" s="34">
        <f>F$82/IF(B$119="kVA",IF(F$82,F$82,1),IF(B$119="MPAN",IF(E$82,E$82,1),IF(I$82,I$82,1)))</f>
        <v>0</v>
      </c>
      <c r="G244" s="34">
        <f>G$82/IF(B$119="kVA",IF(F$82,F$82,1),IF(B$119="MPAN",IF(E$82,E$82,1),IF(I$82,I$82,1)))</f>
        <v>0</v>
      </c>
      <c r="H244" s="34">
        <f>H$82/IF(B$119="kVA",IF(F$82,F$82,1),IF(B$119="MPAN",IF(E$82,E$82,1),IF(I$82,I$82,1)))</f>
        <v>0.13821938601210657</v>
      </c>
      <c r="I244" s="43">
        <f>0.01*Input!F$60*(Adjust!$E$335*E244+Adjust!$F$335*F244+Adjust!$G$335*G244)+10*(Adjust!$B$335*B244+Adjust!$C$335*C244+Adjust!$D$335*D244+Adjust!$H$335*H244)</f>
        <v>-9.1680240653927854</v>
      </c>
      <c r="J244" s="17"/>
    </row>
    <row r="245" spans="1:10">
      <c r="A245" s="4" t="s">
        <v>305</v>
      </c>
      <c r="B245" s="34">
        <f>B$82/IF(B$119="kVA",IF(F$82,F$82,1),IF(B$119="MPAN",IF(E$82,E$82,1),IF(I$82,I$82,1)))</f>
        <v>8.3709368092700104E-2</v>
      </c>
      <c r="C245" s="34">
        <f>C$82/IF(B$119="kVA",IF(F$82,F$82,1),IF(B$119="MPAN",IF(E$82,E$82,1),IF(I$82,I$82,1)))</f>
        <v>0.2848132717287834</v>
      </c>
      <c r="D245" s="34">
        <f>D$82/IF(B$119="kVA",IF(F$82,F$82,1),IF(B$119="MPAN",IF(E$82,E$82,1),IF(I$82,I$82,1)))</f>
        <v>0.63147736017851652</v>
      </c>
      <c r="E245" s="34">
        <f>E$82/IF(B$119="kVA",IF(F$82,F$82,1),IF(B$119="MPAN",IF(E$82,E$82,1),IF(I$82,I$82,1)))</f>
        <v>3.3342010048747184E-3</v>
      </c>
      <c r="F245" s="34">
        <f>F$82/IF(B$119="kVA",IF(F$82,F$82,1),IF(B$119="MPAN",IF(E$82,E$82,1),IF(I$82,I$82,1)))</f>
        <v>0</v>
      </c>
      <c r="G245" s="34">
        <f>G$82/IF(B$119="kVA",IF(F$82,F$82,1),IF(B$119="MPAN",IF(E$82,E$82,1),IF(I$82,I$82,1)))</f>
        <v>0</v>
      </c>
      <c r="H245" s="34">
        <f>H$82/IF(B$119="kVA",IF(F$82,F$82,1),IF(B$119="MPAN",IF(E$82,E$82,1),IF(I$82,I$82,1)))</f>
        <v>0.13821938601210657</v>
      </c>
      <c r="I245" s="43">
        <f>0.01*Input!F$60*(Adjust!$E$336*E245+Adjust!$F$336*F245+Adjust!$G$336*G245)+10*(Adjust!$B$336*B245+Adjust!$C$336*C245+Adjust!$D$336*D245+Adjust!$H$336*H245)</f>
        <v>-9.1680240653927854</v>
      </c>
      <c r="J245" s="17"/>
    </row>
    <row r="246" spans="1:10">
      <c r="A246" s="4" t="s">
        <v>306</v>
      </c>
      <c r="B246" s="34">
        <f>B$82/IF(B$119="kVA",IF(F$82,F$82,1),IF(B$119="MPAN",IF(E$82,E$82,1),IF(I$82,I$82,1)))</f>
        <v>8.3709368092700104E-2</v>
      </c>
      <c r="C246" s="34">
        <f>C$82/IF(B$119="kVA",IF(F$82,F$82,1),IF(B$119="MPAN",IF(E$82,E$82,1),IF(I$82,I$82,1)))</f>
        <v>0.2848132717287834</v>
      </c>
      <c r="D246" s="34">
        <f>D$82/IF(B$119="kVA",IF(F$82,F$82,1),IF(B$119="MPAN",IF(E$82,E$82,1),IF(I$82,I$82,1)))</f>
        <v>0.63147736017851652</v>
      </c>
      <c r="E246" s="34">
        <f>E$82/IF(B$119="kVA",IF(F$82,F$82,1),IF(B$119="MPAN",IF(E$82,E$82,1),IF(I$82,I$82,1)))</f>
        <v>3.3342010048747184E-3</v>
      </c>
      <c r="F246" s="34">
        <f>F$82/IF(B$119="kVA",IF(F$82,F$82,1),IF(B$119="MPAN",IF(E$82,E$82,1),IF(I$82,I$82,1)))</f>
        <v>0</v>
      </c>
      <c r="G246" s="34">
        <f>G$82/IF(B$119="kVA",IF(F$82,F$82,1),IF(B$119="MPAN",IF(E$82,E$82,1),IF(I$82,I$82,1)))</f>
        <v>0</v>
      </c>
      <c r="H246" s="34">
        <f>H$82/IF(B$119="kVA",IF(F$82,F$82,1),IF(B$119="MPAN",IF(E$82,E$82,1),IF(I$82,I$82,1)))</f>
        <v>0.13821938601210657</v>
      </c>
      <c r="I246" s="43">
        <f>0.01*Input!F$60*(Adjust!$E$337*E246+Adjust!$F$337*F246+Adjust!$G$337*G246)+10*(Adjust!$B$337*B246+Adjust!$C$337*C246+Adjust!$D$337*D246+Adjust!$H$337*H246)</f>
        <v>-9.1680240653927854</v>
      </c>
      <c r="J246" s="17"/>
    </row>
    <row r="247" spans="1:10">
      <c r="A247" s="27" t="s">
        <v>195</v>
      </c>
      <c r="J247" s="17"/>
    </row>
    <row r="248" spans="1:10">
      <c r="A248" s="4" t="s">
        <v>195</v>
      </c>
      <c r="B248" s="34">
        <f>B$83/IF(B$120="kVA",IF(F$83,F$83,1),IF(B$120="MPAN",IF(E$83,E$83,1),IF(I$83,I$83,1)))</f>
        <v>0</v>
      </c>
      <c r="C248" s="34">
        <f>C$83/IF(B$120="kVA",IF(F$83,F$83,1),IF(B$120="MPAN",IF(E$83,E$83,1),IF(I$83,I$83,1)))</f>
        <v>0</v>
      </c>
      <c r="D248" s="34">
        <f>D$83/IF(B$120="kVA",IF(F$83,F$83,1),IF(B$120="MPAN",IF(E$83,E$83,1),IF(I$83,I$83,1)))</f>
        <v>0</v>
      </c>
      <c r="E248" s="34">
        <f>E$83/IF(B$120="kVA",IF(F$83,F$83,1),IF(B$120="MPAN",IF(E$83,E$83,1),IF(I$83,I$83,1)))</f>
        <v>0</v>
      </c>
      <c r="F248" s="34">
        <f>F$83/IF(B$120="kVA",IF(F$83,F$83,1),IF(B$120="MPAN",IF(E$83,E$83,1),IF(I$83,I$83,1)))</f>
        <v>0</v>
      </c>
      <c r="G248" s="34">
        <f>G$83/IF(B$120="kVA",IF(F$83,F$83,1),IF(B$120="MPAN",IF(E$83,E$83,1),IF(I$83,I$83,1)))</f>
        <v>0</v>
      </c>
      <c r="H248" s="34">
        <f>H$83/IF(B$120="kVA",IF(F$83,F$83,1),IF(B$120="MPAN",IF(E$83,E$83,1),IF(I$83,I$83,1)))</f>
        <v>0</v>
      </c>
      <c r="I248" s="43">
        <f>0.01*Input!F$60*(Adjust!$E$339*E248+Adjust!$F$339*F248+Adjust!$G$339*G248)+10*(Adjust!$B$339*B248+Adjust!$C$339*C248+Adjust!$D$339*D248+Adjust!$H$339*H248)</f>
        <v>0</v>
      </c>
      <c r="J248" s="17"/>
    </row>
    <row r="249" spans="1:10">
      <c r="A249" s="27" t="s">
        <v>196</v>
      </c>
      <c r="J249" s="17"/>
    </row>
    <row r="250" spans="1:10">
      <c r="A250" s="4" t="s">
        <v>196</v>
      </c>
      <c r="B250" s="34">
        <f>B$84/IF(B$121="kVA",IF(F$84,F$84,1),IF(B$121="MPAN",IF(E$84,E$84,1),IF(I$84,I$84,1)))</f>
        <v>1</v>
      </c>
      <c r="C250" s="34">
        <f>C$84/IF(B$121="kVA",IF(F$84,F$84,1),IF(B$121="MPAN",IF(E$84,E$84,1),IF(I$84,I$84,1)))</f>
        <v>0</v>
      </c>
      <c r="D250" s="34">
        <f>D$84/IF(B$121="kVA",IF(F$84,F$84,1),IF(B$121="MPAN",IF(E$84,E$84,1),IF(I$84,I$84,1)))</f>
        <v>0</v>
      </c>
      <c r="E250" s="34">
        <f>E$84/IF(B$121="kVA",IF(F$84,F$84,1),IF(B$121="MPAN",IF(E$84,E$84,1),IF(I$84,I$84,1)))</f>
        <v>1.2073227252342196E-2</v>
      </c>
      <c r="F250" s="34">
        <f>F$84/IF(B$121="kVA",IF(F$84,F$84,1),IF(B$121="MPAN",IF(E$84,E$84,1),IF(I$84,I$84,1)))</f>
        <v>0</v>
      </c>
      <c r="G250" s="34">
        <f>G$84/IF(B$121="kVA",IF(F$84,F$84,1),IF(B$121="MPAN",IF(E$84,E$84,1),IF(I$84,I$84,1)))</f>
        <v>0</v>
      </c>
      <c r="H250" s="34">
        <f>H$84/IF(B$121="kVA",IF(F$84,F$84,1),IF(B$121="MPAN",IF(E$84,E$84,1),IF(I$84,I$84,1)))</f>
        <v>5.4621183376844379E-2</v>
      </c>
      <c r="I250" s="43">
        <f>0.01*Input!F$60*(Adjust!$E$341*E250+Adjust!$F$341*F250+Adjust!$G$341*G250)+10*(Adjust!$B$341*B250+Adjust!$C$341*C250+Adjust!$D$341*D250+Adjust!$H$341*H250)</f>
        <v>-7.7515553337867775</v>
      </c>
      <c r="J250" s="17"/>
    </row>
    <row r="251" spans="1:10">
      <c r="A251" s="4" t="s">
        <v>309</v>
      </c>
      <c r="B251" s="34">
        <f>B$84/IF(B$121="kVA",IF(F$84,F$84,1),IF(B$121="MPAN",IF(E$84,E$84,1),IF(I$84,I$84,1)))</f>
        <v>1</v>
      </c>
      <c r="C251" s="34">
        <f>C$84/IF(B$121="kVA",IF(F$84,F$84,1),IF(B$121="MPAN",IF(E$84,E$84,1),IF(I$84,I$84,1)))</f>
        <v>0</v>
      </c>
      <c r="D251" s="34">
        <f>D$84/IF(B$121="kVA",IF(F$84,F$84,1),IF(B$121="MPAN",IF(E$84,E$84,1),IF(I$84,I$84,1)))</f>
        <v>0</v>
      </c>
      <c r="E251" s="34">
        <f>E$84/IF(B$121="kVA",IF(F$84,F$84,1),IF(B$121="MPAN",IF(E$84,E$84,1),IF(I$84,I$84,1)))</f>
        <v>1.2073227252342196E-2</v>
      </c>
      <c r="F251" s="34">
        <f>F$84/IF(B$121="kVA",IF(F$84,F$84,1),IF(B$121="MPAN",IF(E$84,E$84,1),IF(I$84,I$84,1)))</f>
        <v>0</v>
      </c>
      <c r="G251" s="34">
        <f>G$84/IF(B$121="kVA",IF(F$84,F$84,1),IF(B$121="MPAN",IF(E$84,E$84,1),IF(I$84,I$84,1)))</f>
        <v>0</v>
      </c>
      <c r="H251" s="34">
        <f>H$84/IF(B$121="kVA",IF(F$84,F$84,1),IF(B$121="MPAN",IF(E$84,E$84,1),IF(I$84,I$84,1)))</f>
        <v>5.4621183376844379E-2</v>
      </c>
      <c r="I251" s="43">
        <f>0.01*Input!F$60*(Adjust!$E$342*E251+Adjust!$F$342*F251+Adjust!$G$342*G251)+10*(Adjust!$B$342*B251+Adjust!$C$342*C251+Adjust!$D$342*D251+Adjust!$H$342*H251)</f>
        <v>-7.7515553337867775</v>
      </c>
      <c r="J251" s="17"/>
    </row>
    <row r="252" spans="1:10">
      <c r="A252" s="27" t="s">
        <v>197</v>
      </c>
      <c r="J252" s="17"/>
    </row>
    <row r="253" spans="1:10">
      <c r="A253" s="4" t="s">
        <v>197</v>
      </c>
      <c r="B253" s="34">
        <f>B$85/IF(B$122="kVA",IF(F$85,F$85,1),IF(B$122="MPAN",IF(E$85,E$85,1),IF(I$85,I$85,1)))</f>
        <v>0</v>
      </c>
      <c r="C253" s="34">
        <f>C$85/IF(B$122="kVA",IF(F$85,F$85,1),IF(B$122="MPAN",IF(E$85,E$85,1),IF(I$85,I$85,1)))</f>
        <v>0</v>
      </c>
      <c r="D253" s="34">
        <f>D$85/IF(B$122="kVA",IF(F$85,F$85,1),IF(B$122="MPAN",IF(E$85,E$85,1),IF(I$85,I$85,1)))</f>
        <v>0</v>
      </c>
      <c r="E253" s="34">
        <f>E$85/IF(B$122="kVA",IF(F$85,F$85,1),IF(B$122="MPAN",IF(E$85,E$85,1),IF(I$85,I$85,1)))</f>
        <v>0</v>
      </c>
      <c r="F253" s="34">
        <f>F$85/IF(B$122="kVA",IF(F$85,F$85,1),IF(B$122="MPAN",IF(E$85,E$85,1),IF(I$85,I$85,1)))</f>
        <v>0</v>
      </c>
      <c r="G253" s="34">
        <f>G$85/IF(B$122="kVA",IF(F$85,F$85,1),IF(B$122="MPAN",IF(E$85,E$85,1),IF(I$85,I$85,1)))</f>
        <v>0</v>
      </c>
      <c r="H253" s="34">
        <f>H$85/IF(B$122="kVA",IF(F$85,F$85,1),IF(B$122="MPAN",IF(E$85,E$85,1),IF(I$85,I$85,1)))</f>
        <v>0</v>
      </c>
      <c r="I253" s="43">
        <f>0.01*Input!F$60*(Adjust!$E$344*E253+Adjust!$F$344*F253+Adjust!$G$344*G253)+10*(Adjust!$B$344*B253+Adjust!$C$344*C253+Adjust!$D$344*D253+Adjust!$H$344*H253)</f>
        <v>0</v>
      </c>
      <c r="J253" s="17"/>
    </row>
    <row r="254" spans="1:10">
      <c r="A254" s="27" t="s">
        <v>198</v>
      </c>
      <c r="J254" s="17"/>
    </row>
    <row r="255" spans="1:10">
      <c r="A255" s="4" t="s">
        <v>198</v>
      </c>
      <c r="B255" s="34">
        <f>B$86/IF(B$123="kVA",IF(F$86,F$86,1),IF(B$123="MPAN",IF(E$86,E$86,1),IF(I$86,I$86,1)))</f>
        <v>9.945221074192967E-2</v>
      </c>
      <c r="C255" s="34">
        <f>C$86/IF(B$123="kVA",IF(F$86,F$86,1),IF(B$123="MPAN",IF(E$86,E$86,1),IF(I$86,I$86,1)))</f>
        <v>0.26961941727023431</v>
      </c>
      <c r="D255" s="34">
        <f>D$86/IF(B$123="kVA",IF(F$86,F$86,1),IF(B$123="MPAN",IF(E$86,E$86,1),IF(I$86,I$86,1)))</f>
        <v>0.63092837198783613</v>
      </c>
      <c r="E255" s="34">
        <f>E$86/IF(B$123="kVA",IF(F$86,F$86,1),IF(B$123="MPAN",IF(E$86,E$86,1),IF(I$86,I$86,1)))</f>
        <v>7.5119686574717176E-3</v>
      </c>
      <c r="F255" s="34">
        <f>F$86/IF(B$123="kVA",IF(F$86,F$86,1),IF(B$123="MPAN",IF(E$86,E$86,1),IF(I$86,I$86,1)))</f>
        <v>0</v>
      </c>
      <c r="G255" s="34">
        <f>G$86/IF(B$123="kVA",IF(F$86,F$86,1),IF(B$123="MPAN",IF(E$86,E$86,1),IF(I$86,I$86,1)))</f>
        <v>0</v>
      </c>
      <c r="H255" s="34">
        <f>H$86/IF(B$123="kVA",IF(F$86,F$86,1),IF(B$123="MPAN",IF(E$86,E$86,1),IF(I$86,I$86,1)))</f>
        <v>0.14239756646816082</v>
      </c>
      <c r="I255" s="43">
        <f>0.01*Input!F$60*(Adjust!$E$346*E255+Adjust!$F$346*F255+Adjust!$G$346*G255)+10*(Adjust!$B$346*B255+Adjust!$C$346*C255+Adjust!$D$346*D255+Adjust!$H$346*H255)</f>
        <v>-8.0587478403262871</v>
      </c>
      <c r="J255" s="17"/>
    </row>
    <row r="256" spans="1:10">
      <c r="A256" s="4" t="s">
        <v>312</v>
      </c>
      <c r="B256" s="34">
        <f>B$86/IF(B$123="kVA",IF(F$86,F$86,1),IF(B$123="MPAN",IF(E$86,E$86,1),IF(I$86,I$86,1)))</f>
        <v>9.945221074192967E-2</v>
      </c>
      <c r="C256" s="34">
        <f>C$86/IF(B$123="kVA",IF(F$86,F$86,1),IF(B$123="MPAN",IF(E$86,E$86,1),IF(I$86,I$86,1)))</f>
        <v>0.26961941727023431</v>
      </c>
      <c r="D256" s="34">
        <f>D$86/IF(B$123="kVA",IF(F$86,F$86,1),IF(B$123="MPAN",IF(E$86,E$86,1),IF(I$86,I$86,1)))</f>
        <v>0.63092837198783613</v>
      </c>
      <c r="E256" s="34">
        <f>E$86/IF(B$123="kVA",IF(F$86,F$86,1),IF(B$123="MPAN",IF(E$86,E$86,1),IF(I$86,I$86,1)))</f>
        <v>7.5119686574717176E-3</v>
      </c>
      <c r="F256" s="34">
        <f>F$86/IF(B$123="kVA",IF(F$86,F$86,1),IF(B$123="MPAN",IF(E$86,E$86,1),IF(I$86,I$86,1)))</f>
        <v>0</v>
      </c>
      <c r="G256" s="34">
        <f>G$86/IF(B$123="kVA",IF(F$86,F$86,1),IF(B$123="MPAN",IF(E$86,E$86,1),IF(I$86,I$86,1)))</f>
        <v>0</v>
      </c>
      <c r="H256" s="34">
        <f>H$86/IF(B$123="kVA",IF(F$86,F$86,1),IF(B$123="MPAN",IF(E$86,E$86,1),IF(I$86,I$86,1)))</f>
        <v>0.14239756646816082</v>
      </c>
      <c r="I256" s="43">
        <f>0.01*Input!F$60*(Adjust!$E$347*E256+Adjust!$F$347*F256+Adjust!$G$347*G256)+10*(Adjust!$B$347*B256+Adjust!$C$347*C256+Adjust!$D$347*D256+Adjust!$H$347*H256)</f>
        <v>-8.0587478403262871</v>
      </c>
      <c r="J256" s="17"/>
    </row>
    <row r="257" spans="1:10">
      <c r="A257" s="27" t="s">
        <v>199</v>
      </c>
      <c r="J257" s="17"/>
    </row>
    <row r="258" spans="1:10">
      <c r="A258" s="4" t="s">
        <v>199</v>
      </c>
      <c r="B258" s="34">
        <f>B$87/IF(B$124="kVA",IF(F$87,F$87,1),IF(B$124="MPAN",IF(E$87,E$87,1),IF(I$87,I$87,1)))</f>
        <v>0</v>
      </c>
      <c r="C258" s="34">
        <f>C$87/IF(B$124="kVA",IF(F$87,F$87,1),IF(B$124="MPAN",IF(E$87,E$87,1),IF(I$87,I$87,1)))</f>
        <v>0</v>
      </c>
      <c r="D258" s="34">
        <f>D$87/IF(B$124="kVA",IF(F$87,F$87,1),IF(B$124="MPAN",IF(E$87,E$87,1),IF(I$87,I$87,1)))</f>
        <v>0</v>
      </c>
      <c r="E258" s="34">
        <f>E$87/IF(B$124="kVA",IF(F$87,F$87,1),IF(B$124="MPAN",IF(E$87,E$87,1),IF(I$87,I$87,1)))</f>
        <v>0</v>
      </c>
      <c r="F258" s="34">
        <f>F$87/IF(B$124="kVA",IF(F$87,F$87,1),IF(B$124="MPAN",IF(E$87,E$87,1),IF(I$87,I$87,1)))</f>
        <v>0</v>
      </c>
      <c r="G258" s="34">
        <f>G$87/IF(B$124="kVA",IF(F$87,F$87,1),IF(B$124="MPAN",IF(E$87,E$87,1),IF(I$87,I$87,1)))</f>
        <v>0</v>
      </c>
      <c r="H258" s="34">
        <f>H$87/IF(B$124="kVA",IF(F$87,F$87,1),IF(B$124="MPAN",IF(E$87,E$87,1),IF(I$87,I$87,1)))</f>
        <v>0</v>
      </c>
      <c r="I258" s="43">
        <f>0.01*Input!F$60*(Adjust!$E$349*E258+Adjust!$F$349*F258+Adjust!$G$349*G258)+10*(Adjust!$B$349*B258+Adjust!$C$349*C258+Adjust!$D$349*D258+Adjust!$H$349*H258)</f>
        <v>0</v>
      </c>
      <c r="J258" s="17"/>
    </row>
    <row r="259" spans="1:10">
      <c r="A259" s="27" t="s">
        <v>207</v>
      </c>
      <c r="J259" s="17"/>
    </row>
    <row r="260" spans="1:10">
      <c r="A260" s="4" t="s">
        <v>207</v>
      </c>
      <c r="B260" s="34">
        <f>B$88/IF(B$125="kVA",IF(F$88,F$88,1),IF(B$125="MPAN",IF(E$88,E$88,1),IF(I$88,I$88,1)))</f>
        <v>1</v>
      </c>
      <c r="C260" s="34">
        <f>C$88/IF(B$125="kVA",IF(F$88,F$88,1),IF(B$125="MPAN",IF(E$88,E$88,1),IF(I$88,I$88,1)))</f>
        <v>0</v>
      </c>
      <c r="D260" s="34">
        <f>D$88/IF(B$125="kVA",IF(F$88,F$88,1),IF(B$125="MPAN",IF(E$88,E$88,1),IF(I$88,I$88,1)))</f>
        <v>0</v>
      </c>
      <c r="E260" s="34">
        <f>E$88/IF(B$125="kVA",IF(F$88,F$88,1),IF(B$125="MPAN",IF(E$88,E$88,1),IF(I$88,I$88,1)))</f>
        <v>4.6096829525828751E-4</v>
      </c>
      <c r="F260" s="34">
        <f>F$88/IF(B$125="kVA",IF(F$88,F$88,1),IF(B$125="MPAN",IF(E$88,E$88,1),IF(I$88,I$88,1)))</f>
        <v>0</v>
      </c>
      <c r="G260" s="34">
        <f>G$88/IF(B$125="kVA",IF(F$88,F$88,1),IF(B$125="MPAN",IF(E$88,E$88,1),IF(I$88,I$88,1)))</f>
        <v>0</v>
      </c>
      <c r="H260" s="34">
        <f>H$88/IF(B$125="kVA",IF(F$88,F$88,1),IF(B$125="MPAN",IF(E$88,E$88,1),IF(I$88,I$88,1)))</f>
        <v>2.3864858395351449E-2</v>
      </c>
      <c r="I260" s="43">
        <f>0.01*Input!F$60*(Adjust!$E$351*E260+Adjust!$F$351*F260+Adjust!$G$351*G260)+10*(Adjust!$B$351*B260+Adjust!$C$351*C260+Adjust!$D$351*D260+Adjust!$H$351*H260)</f>
        <v>-5.6189220458747471</v>
      </c>
      <c r="J260" s="17"/>
    </row>
    <row r="261" spans="1:10">
      <c r="A261" s="4" t="s">
        <v>315</v>
      </c>
      <c r="B261" s="34">
        <f>B$88/IF(B$125="kVA",IF(F$88,F$88,1),IF(B$125="MPAN",IF(E$88,E$88,1),IF(I$88,I$88,1)))</f>
        <v>1</v>
      </c>
      <c r="C261" s="34">
        <f>C$88/IF(B$125="kVA",IF(F$88,F$88,1),IF(B$125="MPAN",IF(E$88,E$88,1),IF(I$88,I$88,1)))</f>
        <v>0</v>
      </c>
      <c r="D261" s="34">
        <f>D$88/IF(B$125="kVA",IF(F$88,F$88,1),IF(B$125="MPAN",IF(E$88,E$88,1),IF(I$88,I$88,1)))</f>
        <v>0</v>
      </c>
      <c r="E261" s="34">
        <f>E$88/IF(B$125="kVA",IF(F$88,F$88,1),IF(B$125="MPAN",IF(E$88,E$88,1),IF(I$88,I$88,1)))</f>
        <v>4.6096829525828751E-4</v>
      </c>
      <c r="F261" s="34">
        <f>F$88/IF(B$125="kVA",IF(F$88,F$88,1),IF(B$125="MPAN",IF(E$88,E$88,1),IF(I$88,I$88,1)))</f>
        <v>0</v>
      </c>
      <c r="G261" s="34">
        <f>G$88/IF(B$125="kVA",IF(F$88,F$88,1),IF(B$125="MPAN",IF(E$88,E$88,1),IF(I$88,I$88,1)))</f>
        <v>0</v>
      </c>
      <c r="H261" s="34">
        <f>H$88/IF(B$125="kVA",IF(F$88,F$88,1),IF(B$125="MPAN",IF(E$88,E$88,1),IF(I$88,I$88,1)))</f>
        <v>2.3864858395351449E-2</v>
      </c>
      <c r="I261" s="43">
        <f>0.01*Input!F$60*(Adjust!$E$352*E261+Adjust!$F$352*F261+Adjust!$G$352*G261)+10*(Adjust!$B$352*B261+Adjust!$C$352*C261+Adjust!$D$352*D261+Adjust!$H$352*H261)</f>
        <v>-5.6301921675318578</v>
      </c>
      <c r="J261" s="17"/>
    </row>
    <row r="262" spans="1:10">
      <c r="A262" s="27" t="s">
        <v>208</v>
      </c>
      <c r="J262" s="17"/>
    </row>
    <row r="263" spans="1:10">
      <c r="A263" s="4" t="s">
        <v>208</v>
      </c>
      <c r="B263" s="34">
        <f>B$89/IF(B$126="kVA",IF(F$89,F$89,1),IF(B$126="MPAN",IF(E$89,E$89,1),IF(I$89,I$89,1)))</f>
        <v>0</v>
      </c>
      <c r="C263" s="34">
        <f>C$89/IF(B$126="kVA",IF(F$89,F$89,1),IF(B$126="MPAN",IF(E$89,E$89,1),IF(I$89,I$89,1)))</f>
        <v>0</v>
      </c>
      <c r="D263" s="34">
        <f>D$89/IF(B$126="kVA",IF(F$89,F$89,1),IF(B$126="MPAN",IF(E$89,E$89,1),IF(I$89,I$89,1)))</f>
        <v>0</v>
      </c>
      <c r="E263" s="34">
        <f>E$89/IF(B$126="kVA",IF(F$89,F$89,1),IF(B$126="MPAN",IF(E$89,E$89,1),IF(I$89,I$89,1)))</f>
        <v>0</v>
      </c>
      <c r="F263" s="34">
        <f>F$89/IF(B$126="kVA",IF(F$89,F$89,1),IF(B$126="MPAN",IF(E$89,E$89,1),IF(I$89,I$89,1)))</f>
        <v>0</v>
      </c>
      <c r="G263" s="34">
        <f>G$89/IF(B$126="kVA",IF(F$89,F$89,1),IF(B$126="MPAN",IF(E$89,E$89,1),IF(I$89,I$89,1)))</f>
        <v>0</v>
      </c>
      <c r="H263" s="34">
        <f>H$89/IF(B$126="kVA",IF(F$89,F$89,1),IF(B$126="MPAN",IF(E$89,E$89,1),IF(I$89,I$89,1)))</f>
        <v>0</v>
      </c>
      <c r="I263" s="43">
        <f>0.01*Input!F$60*(Adjust!$E$354*E263+Adjust!$F$354*F263+Adjust!$G$354*G263)+10*(Adjust!$B$354*B263+Adjust!$C$354*C263+Adjust!$D$354*D263+Adjust!$H$354*H263)</f>
        <v>0</v>
      </c>
      <c r="J263" s="17"/>
    </row>
    <row r="264" spans="1:10">
      <c r="A264" s="27" t="s">
        <v>209</v>
      </c>
      <c r="J264" s="17"/>
    </row>
    <row r="265" spans="1:10">
      <c r="A265" s="4" t="s">
        <v>209</v>
      </c>
      <c r="B265" s="34">
        <f>B$90/IF(B$127="kVA",IF(F$90,F$90,1),IF(B$127="MPAN",IF(E$90,E$90,1),IF(I$90,I$90,1)))</f>
        <v>0.11303056812011499</v>
      </c>
      <c r="C265" s="34">
        <f>C$90/IF(B$127="kVA",IF(F$90,F$90,1),IF(B$127="MPAN",IF(E$90,E$90,1),IF(I$90,I$90,1)))</f>
        <v>0.29531547383676104</v>
      </c>
      <c r="D265" s="34">
        <f>D$90/IF(B$127="kVA",IF(F$90,F$90,1),IF(B$127="MPAN",IF(E$90,E$90,1),IF(I$90,I$90,1)))</f>
        <v>0.59165395804312393</v>
      </c>
      <c r="E265" s="34">
        <f>E$90/IF(B$127="kVA",IF(F$90,F$90,1),IF(B$127="MPAN",IF(E$90,E$90,1),IF(I$90,I$90,1)))</f>
        <v>2.9732506914829953E-4</v>
      </c>
      <c r="F265" s="34">
        <f>F$90/IF(B$127="kVA",IF(F$90,F$90,1),IF(B$127="MPAN",IF(E$90,E$90,1),IF(I$90,I$90,1)))</f>
        <v>0</v>
      </c>
      <c r="G265" s="34">
        <f>G$90/IF(B$127="kVA",IF(F$90,F$90,1),IF(B$127="MPAN",IF(E$90,E$90,1),IF(I$90,I$90,1)))</f>
        <v>0</v>
      </c>
      <c r="H265" s="34">
        <f>H$90/IF(B$127="kVA",IF(F$90,F$90,1),IF(B$127="MPAN",IF(E$90,E$90,1),IF(I$90,I$90,1)))</f>
        <v>4.3137917291277958E-2</v>
      </c>
      <c r="I265" s="43">
        <f>0.01*Input!F$60*(Adjust!$E$356*E265+Adjust!$F$356*F265+Adjust!$G$356*G265)+10*(Adjust!$B$356*B265+Adjust!$C$356*C265+Adjust!$D$356*D265+Adjust!$H$356*H265)</f>
        <v>-6.5873323059997242</v>
      </c>
      <c r="J265" s="17"/>
    </row>
    <row r="266" spans="1:10">
      <c r="A266" s="4" t="s">
        <v>318</v>
      </c>
      <c r="B266" s="34">
        <f>B$90/IF(B$127="kVA",IF(F$90,F$90,1),IF(B$127="MPAN",IF(E$90,E$90,1),IF(I$90,I$90,1)))</f>
        <v>0.11303056812011499</v>
      </c>
      <c r="C266" s="34">
        <f>C$90/IF(B$127="kVA",IF(F$90,F$90,1),IF(B$127="MPAN",IF(E$90,E$90,1),IF(I$90,I$90,1)))</f>
        <v>0.29531547383676104</v>
      </c>
      <c r="D266" s="34">
        <f>D$90/IF(B$127="kVA",IF(F$90,F$90,1),IF(B$127="MPAN",IF(E$90,E$90,1),IF(I$90,I$90,1)))</f>
        <v>0.59165395804312393</v>
      </c>
      <c r="E266" s="34">
        <f>E$90/IF(B$127="kVA",IF(F$90,F$90,1),IF(B$127="MPAN",IF(E$90,E$90,1),IF(I$90,I$90,1)))</f>
        <v>2.9732506914829953E-4</v>
      </c>
      <c r="F266" s="34">
        <f>F$90/IF(B$127="kVA",IF(F$90,F$90,1),IF(B$127="MPAN",IF(E$90,E$90,1),IF(I$90,I$90,1)))</f>
        <v>0</v>
      </c>
      <c r="G266" s="34">
        <f>G$90/IF(B$127="kVA",IF(F$90,F$90,1),IF(B$127="MPAN",IF(E$90,E$90,1),IF(I$90,I$90,1)))</f>
        <v>0</v>
      </c>
      <c r="H266" s="34">
        <f>H$90/IF(B$127="kVA",IF(F$90,F$90,1),IF(B$127="MPAN",IF(E$90,E$90,1),IF(I$90,I$90,1)))</f>
        <v>4.3137917291277958E-2</v>
      </c>
      <c r="I266" s="43">
        <f>0.01*Input!F$60*(Adjust!$E$357*E266+Adjust!$F$357*F266+Adjust!$G$357*G266)+10*(Adjust!$B$357*B266+Adjust!$C$357*C266+Adjust!$D$357*D266+Adjust!$H$357*H266)</f>
        <v>-6.594601547150317</v>
      </c>
      <c r="J266" s="17"/>
    </row>
    <row r="267" spans="1:10">
      <c r="A267" s="27" t="s">
        <v>210</v>
      </c>
      <c r="J267" s="17"/>
    </row>
    <row r="268" spans="1:10">
      <c r="A268" s="4" t="s">
        <v>210</v>
      </c>
      <c r="B268" s="34">
        <f>B$91/IF(B$128="kVA",IF(F$91,F$91,1),IF(B$128="MPAN",IF(E$91,E$91,1),IF(I$91,I$91,1)))</f>
        <v>0</v>
      </c>
      <c r="C268" s="34">
        <f>C$91/IF(B$128="kVA",IF(F$91,F$91,1),IF(B$128="MPAN",IF(E$91,E$91,1),IF(I$91,I$91,1)))</f>
        <v>0</v>
      </c>
      <c r="D268" s="34">
        <f>D$91/IF(B$128="kVA",IF(F$91,F$91,1),IF(B$128="MPAN",IF(E$91,E$91,1),IF(I$91,I$91,1)))</f>
        <v>0</v>
      </c>
      <c r="E268" s="34">
        <f>E$91/IF(B$128="kVA",IF(F$91,F$91,1),IF(B$128="MPAN",IF(E$91,E$91,1),IF(I$91,I$91,1)))</f>
        <v>0</v>
      </c>
      <c r="F268" s="34">
        <f>F$91/IF(B$128="kVA",IF(F$91,F$91,1),IF(B$128="MPAN",IF(E$91,E$91,1),IF(I$91,I$91,1)))</f>
        <v>0</v>
      </c>
      <c r="G268" s="34">
        <f>G$91/IF(B$128="kVA",IF(F$91,F$91,1),IF(B$128="MPAN",IF(E$91,E$91,1),IF(I$91,I$91,1)))</f>
        <v>0</v>
      </c>
      <c r="H268" s="34">
        <f>H$91/IF(B$128="kVA",IF(F$91,F$91,1),IF(B$128="MPAN",IF(E$91,E$91,1),IF(I$91,I$91,1)))</f>
        <v>0</v>
      </c>
      <c r="I268" s="43">
        <f>0.01*Input!F$60*(Adjust!$E$359*E268+Adjust!$F$359*F268+Adjust!$G$359*G268)+10*(Adjust!$B$359*B268+Adjust!$C$359*C268+Adjust!$D$359*D268+Adjust!$H$359*H268)</f>
        <v>0</v>
      </c>
      <c r="J268" s="17"/>
    </row>
    <row r="270" spans="1:10" ht="21" customHeight="1">
      <c r="A270" s="1" t="s">
        <v>1669</v>
      </c>
    </row>
    <row r="271" spans="1:10">
      <c r="A271" s="2" t="s">
        <v>379</v>
      </c>
    </row>
    <row r="272" spans="1:10">
      <c r="A272" s="29" t="s">
        <v>1670</v>
      </c>
    </row>
    <row r="273" spans="1:3">
      <c r="A273" s="2" t="s">
        <v>665</v>
      </c>
    </row>
    <row r="275" spans="1:3" ht="30">
      <c r="B275" s="15" t="s">
        <v>1671</v>
      </c>
    </row>
    <row r="276" spans="1:3">
      <c r="A276" s="4" t="s">
        <v>245</v>
      </c>
      <c r="B276" s="45">
        <f>I$162</f>
        <v>57.050434881026561</v>
      </c>
      <c r="C276" s="17"/>
    </row>
    <row r="277" spans="1:3">
      <c r="A277" s="4" t="s">
        <v>248</v>
      </c>
      <c r="B277" s="45">
        <f>I$166</f>
        <v>68.522291692685428</v>
      </c>
      <c r="C277" s="17"/>
    </row>
    <row r="278" spans="1:3">
      <c r="A278" s="4" t="s">
        <v>251</v>
      </c>
      <c r="B278" s="45">
        <f>I$170</f>
        <v>17.657089240824003</v>
      </c>
      <c r="C278" s="17"/>
    </row>
    <row r="279" spans="1:3">
      <c r="A279" s="4" t="s">
        <v>254</v>
      </c>
      <c r="B279" s="45">
        <f>I$174</f>
        <v>186.15055611878614</v>
      </c>
      <c r="C279" s="17"/>
    </row>
    <row r="280" spans="1:3">
      <c r="A280" s="4" t="s">
        <v>257</v>
      </c>
      <c r="B280" s="45">
        <f>I$178</f>
        <v>270.81828592057985</v>
      </c>
      <c r="C280" s="17"/>
    </row>
    <row r="281" spans="1:3" ht="30">
      <c r="A281" s="4" t="s">
        <v>260</v>
      </c>
      <c r="B281" s="45">
        <f>I$182</f>
        <v>26.971711020527913</v>
      </c>
      <c r="C281" s="17"/>
    </row>
    <row r="282" spans="1:3">
      <c r="A282" s="4" t="s">
        <v>263</v>
      </c>
      <c r="B282" s="45">
        <f>I$186</f>
        <v>13257.676278564508</v>
      </c>
      <c r="C282" s="17"/>
    </row>
    <row r="283" spans="1:3">
      <c r="A283" s="4" t="s">
        <v>268</v>
      </c>
      <c r="B283" s="45">
        <f>I$194</f>
        <v>35.383376839044068</v>
      </c>
      <c r="C283" s="17"/>
    </row>
    <row r="284" spans="1:3">
      <c r="A284" s="4" t="s">
        <v>271</v>
      </c>
      <c r="B284" s="45">
        <f>I$198</f>
        <v>825.31424916565163</v>
      </c>
      <c r="C284" s="17"/>
    </row>
    <row r="285" spans="1:3">
      <c r="A285" s="4" t="s">
        <v>274</v>
      </c>
      <c r="B285" s="45">
        <f>I$202</f>
        <v>29.474084065070539</v>
      </c>
      <c r="C285" s="17"/>
    </row>
    <row r="286" spans="1:3">
      <c r="A286" s="4" t="s">
        <v>1672</v>
      </c>
      <c r="B286" s="10"/>
      <c r="C286" s="17"/>
    </row>
    <row r="287" spans="1:3">
      <c r="A287" s="4" t="s">
        <v>1672</v>
      </c>
      <c r="B287" s="10"/>
      <c r="C287" s="17"/>
    </row>
    <row r="288" spans="1:3">
      <c r="A288" s="4" t="s">
        <v>281</v>
      </c>
      <c r="B288" s="45">
        <f>I$212</f>
        <v>22.740000000000002</v>
      </c>
      <c r="C288" s="17"/>
    </row>
    <row r="289" spans="1:3">
      <c r="A289" s="4" t="s">
        <v>284</v>
      </c>
      <c r="B289" s="45">
        <f>I$216</f>
        <v>24.11</v>
      </c>
      <c r="C289" s="17"/>
    </row>
    <row r="290" spans="1:3">
      <c r="A290" s="4" t="s">
        <v>287</v>
      </c>
      <c r="B290" s="45">
        <f>I$220</f>
        <v>31.82</v>
      </c>
      <c r="C290" s="17"/>
    </row>
    <row r="291" spans="1:3">
      <c r="A291" s="4" t="s">
        <v>290</v>
      </c>
      <c r="B291" s="45">
        <f>I$224</f>
        <v>22.25</v>
      </c>
      <c r="C291" s="17"/>
    </row>
    <row r="292" spans="1:3">
      <c r="A292" s="4" t="s">
        <v>293</v>
      </c>
      <c r="B292" s="45">
        <f>I$228</f>
        <v>24.35558856961886</v>
      </c>
      <c r="C292" s="17"/>
    </row>
    <row r="293" spans="1:3">
      <c r="A293" s="4" t="s">
        <v>296</v>
      </c>
      <c r="B293" s="45">
        <f>I$232</f>
        <v>-9.77</v>
      </c>
      <c r="C293" s="17"/>
    </row>
    <row r="294" spans="1:3">
      <c r="A294" s="4" t="s">
        <v>1672</v>
      </c>
      <c r="B294" s="10"/>
      <c r="C294" s="17"/>
    </row>
    <row r="295" spans="1:3">
      <c r="A295" s="4" t="s">
        <v>301</v>
      </c>
      <c r="B295" s="45">
        <f>I$239</f>
        <v>-9.6595691489880124</v>
      </c>
      <c r="C295" s="17"/>
    </row>
    <row r="296" spans="1:3">
      <c r="A296" s="4" t="s">
        <v>305</v>
      </c>
      <c r="B296" s="45">
        <f>I$245</f>
        <v>-9.1680240653927854</v>
      </c>
      <c r="C296" s="17"/>
    </row>
    <row r="297" spans="1:3">
      <c r="A297" s="4" t="s">
        <v>1672</v>
      </c>
      <c r="B297" s="10"/>
      <c r="C297" s="17"/>
    </row>
    <row r="298" spans="1:3">
      <c r="A298" s="4" t="s">
        <v>1672</v>
      </c>
      <c r="B298" s="10"/>
      <c r="C298" s="17"/>
    </row>
    <row r="299" spans="1:3">
      <c r="A299" s="4" t="s">
        <v>1672</v>
      </c>
      <c r="B299" s="10"/>
      <c r="C299" s="17"/>
    </row>
    <row r="300" spans="1:3">
      <c r="A300" s="4" t="s">
        <v>1672</v>
      </c>
      <c r="B300" s="10"/>
      <c r="C300" s="17"/>
    </row>
    <row r="302" spans="1:3" ht="21" customHeight="1">
      <c r="A302" s="1" t="s">
        <v>1673</v>
      </c>
    </row>
    <row r="303" spans="1:3">
      <c r="A303" s="2" t="s">
        <v>379</v>
      </c>
    </row>
    <row r="304" spans="1:3">
      <c r="A304" s="29" t="s">
        <v>1670</v>
      </c>
    </row>
    <row r="305" spans="1:3">
      <c r="A305" s="2" t="s">
        <v>665</v>
      </c>
    </row>
    <row r="307" spans="1:3" ht="30">
      <c r="B307" s="15" t="s">
        <v>1674</v>
      </c>
    </row>
    <row r="308" spans="1:3">
      <c r="A308" s="4" t="s">
        <v>246</v>
      </c>
      <c r="B308" s="45">
        <f>I$163</f>
        <v>37.8944903506817</v>
      </c>
      <c r="C308" s="17"/>
    </row>
    <row r="309" spans="1:3">
      <c r="A309" s="4" t="s">
        <v>249</v>
      </c>
      <c r="B309" s="45">
        <f>I$167</f>
        <v>45.503028474768996</v>
      </c>
      <c r="C309" s="17"/>
    </row>
    <row r="310" spans="1:3">
      <c r="A310" s="4" t="s">
        <v>252</v>
      </c>
      <c r="B310" s="45">
        <f>I$171</f>
        <v>11.7379513703205</v>
      </c>
      <c r="C310" s="17"/>
    </row>
    <row r="311" spans="1:3">
      <c r="A311" s="4" t="s">
        <v>255</v>
      </c>
      <c r="B311" s="45">
        <f>I$175</f>
        <v>123.63752206645023</v>
      </c>
      <c r="C311" s="17"/>
    </row>
    <row r="312" spans="1:3">
      <c r="A312" s="4" t="s">
        <v>258</v>
      </c>
      <c r="B312" s="45">
        <f>I$179</f>
        <v>179.82113061058331</v>
      </c>
      <c r="C312" s="17"/>
    </row>
    <row r="313" spans="1:3" ht="30">
      <c r="A313" s="4" t="s">
        <v>261</v>
      </c>
      <c r="B313" s="45">
        <f>I$183</f>
        <v>17.888835030042127</v>
      </c>
      <c r="C313" s="17"/>
    </row>
    <row r="314" spans="1:3">
      <c r="A314" s="4" t="s">
        <v>264</v>
      </c>
      <c r="B314" s="45">
        <f>I$187</f>
        <v>8797.8390990095868</v>
      </c>
      <c r="C314" s="17"/>
    </row>
    <row r="315" spans="1:3">
      <c r="A315" s="4" t="s">
        <v>269</v>
      </c>
      <c r="B315" s="45">
        <f>I$195</f>
        <v>23.502317914653574</v>
      </c>
      <c r="C315" s="17"/>
    </row>
    <row r="316" spans="1:3">
      <c r="A316" s="4" t="s">
        <v>272</v>
      </c>
      <c r="B316" s="45">
        <f>I$199</f>
        <v>547.89089634473555</v>
      </c>
      <c r="C316" s="17"/>
    </row>
    <row r="317" spans="1:3">
      <c r="A317" s="4" t="s">
        <v>275</v>
      </c>
      <c r="B317" s="45">
        <f>I$203</f>
        <v>19.55018979224387</v>
      </c>
      <c r="C317" s="17"/>
    </row>
    <row r="318" spans="1:3">
      <c r="A318" s="4" t="s">
        <v>277</v>
      </c>
      <c r="B318" s="45">
        <f>I$206</f>
        <v>26.536791997173616</v>
      </c>
      <c r="C318" s="17"/>
    </row>
    <row r="319" spans="1:3">
      <c r="A319" s="4" t="s">
        <v>279</v>
      </c>
      <c r="B319" s="45">
        <f>I$209</f>
        <v>31.797541839686772</v>
      </c>
      <c r="C319" s="17"/>
    </row>
    <row r="320" spans="1:3">
      <c r="A320" s="4" t="s">
        <v>282</v>
      </c>
      <c r="B320" s="45">
        <f>I$213</f>
        <v>15.1</v>
      </c>
      <c r="C320" s="17"/>
    </row>
    <row r="321" spans="1:3">
      <c r="A321" s="4" t="s">
        <v>285</v>
      </c>
      <c r="B321" s="45">
        <f>I$217</f>
        <v>16.009999999999998</v>
      </c>
      <c r="C321" s="17"/>
    </row>
    <row r="322" spans="1:3">
      <c r="A322" s="4" t="s">
        <v>288</v>
      </c>
      <c r="B322" s="45">
        <f>I$221</f>
        <v>21.12</v>
      </c>
      <c r="C322" s="17"/>
    </row>
    <row r="323" spans="1:3">
      <c r="A323" s="4" t="s">
        <v>291</v>
      </c>
      <c r="B323" s="45">
        <f>I$225</f>
        <v>14.770000000000001</v>
      </c>
      <c r="C323" s="17"/>
    </row>
    <row r="324" spans="1:3">
      <c r="A324" s="4" t="s">
        <v>294</v>
      </c>
      <c r="B324" s="45">
        <f>I$229</f>
        <v>16.168039427517783</v>
      </c>
      <c r="C324" s="17"/>
    </row>
    <row r="325" spans="1:3">
      <c r="A325" s="4" t="s">
        <v>297</v>
      </c>
      <c r="B325" s="45">
        <f>I$233</f>
        <v>-9.77</v>
      </c>
      <c r="C325" s="17"/>
    </row>
    <row r="326" spans="1:3">
      <c r="A326" s="4" t="s">
        <v>299</v>
      </c>
      <c r="B326" s="45">
        <f>I$236</f>
        <v>-7.8100000000000005</v>
      </c>
      <c r="C326" s="17"/>
    </row>
    <row r="327" spans="1:3">
      <c r="A327" s="4" t="s">
        <v>302</v>
      </c>
      <c r="B327" s="45">
        <f>I$240</f>
        <v>-9.6595691489880124</v>
      </c>
      <c r="C327" s="17"/>
    </row>
    <row r="328" spans="1:3">
      <c r="A328" s="4" t="s">
        <v>306</v>
      </c>
      <c r="B328" s="45">
        <f>I$246</f>
        <v>-9.1680240653927854</v>
      </c>
      <c r="C328" s="17"/>
    </row>
    <row r="329" spans="1:3">
      <c r="A329" s="4" t="s">
        <v>309</v>
      </c>
      <c r="B329" s="45">
        <f>I$251</f>
        <v>-7.7515553337867775</v>
      </c>
      <c r="C329" s="17"/>
    </row>
    <row r="330" spans="1:3">
      <c r="A330" s="4" t="s">
        <v>312</v>
      </c>
      <c r="B330" s="45">
        <f>I$256</f>
        <v>-8.0587478403262871</v>
      </c>
      <c r="C330" s="17"/>
    </row>
    <row r="331" spans="1:3">
      <c r="A331" s="4" t="s">
        <v>315</v>
      </c>
      <c r="B331" s="45">
        <f>I$261</f>
        <v>-5.6301921675318578</v>
      </c>
      <c r="C331" s="17"/>
    </row>
    <row r="332" spans="1:3">
      <c r="A332" s="4" t="s">
        <v>318</v>
      </c>
      <c r="B332" s="45">
        <f>I$266</f>
        <v>-6.594601547150317</v>
      </c>
      <c r="C332" s="17"/>
    </row>
  </sheetData>
  <sheetProtection sheet="1" objects="1" scenarios="1"/>
  <hyperlinks>
    <hyperlink ref="A6" location="'Input'!B394" display="x1 = 1201. Current revenues if known (£) (in Current tariff information)"/>
    <hyperlink ref="A7" location="'Input'!F59" display="x2 = 1010. Days in the charging year (in Financial and general assumptions)"/>
    <hyperlink ref="A8" location="'Input'!F394" display="x3 = 1201. Current Fixed charge p/MPAN/day (in Current tariff information)"/>
    <hyperlink ref="A9" location="'Input'!E193" display="x4 = 1053. MPANs by tariff (in Volume forecasts for the charging year)"/>
    <hyperlink ref="A10" location="'Input'!G394" display="x5 = 1201. Current Capacity charge p/kVA/day (in Current tariff information)"/>
    <hyperlink ref="A11" location="'Input'!F193" display="x6 = 1053. Import capacity (kVA) by tariff (in Volume forecasts for the charging year)"/>
    <hyperlink ref="A12" location="'Input'!H394" display="x7 = 1201. Current Exceeded capacity charge p/kVA/day (in Current tariff information)"/>
    <hyperlink ref="A13" location="'Input'!G193" display="x8 = 1053. Exceeded capacity (kVA) by tariff (in Volume forecasts for the charging year)"/>
    <hyperlink ref="A14" location="'Input'!C394" display="x9 = 1201. Current Unit rate 1 p/kWh (in Current tariff information)"/>
    <hyperlink ref="A15" location="'Input'!B193" display="x10 = 1053. Rate 1 units (MWh) by tariff (in Volume forecasts for the charging year)"/>
    <hyperlink ref="A16" location="'Input'!D394" display="x11 = 1201. Current Unit rate 2 p/kWh (in Current tariff information)"/>
    <hyperlink ref="A17" location="'Input'!C193" display="x12 = 1053. Rate 2 units (MWh) by tariff (in Volume forecasts for the charging year)"/>
    <hyperlink ref="A18" location="'Input'!E394" display="x13 = 1201. Current Unit rate 3 p/kWh (in Current tariff information)"/>
    <hyperlink ref="A19" location="'Input'!D193" display="x14 = 1053. Rate 3 units (MWh) by tariff (in Volume forecasts for the charging year)"/>
    <hyperlink ref="A20" location="'Input'!I394" display="x15 = 1201. Current Reactive power charge p/kVArh (in Current tariff information)"/>
    <hyperlink ref="A21" location="'Input'!H193" display="x16 = 1053. Reactive power units (MVArh) by tariff (in Volume forecasts for the charging year)"/>
    <hyperlink ref="A47" location="'Input'!B193" display="x1 = 1053. Rate 1 units (MWh) by tariff (in Volume forecasts for the charging year)"/>
    <hyperlink ref="A48" location="'Input'!C193" display="x2 = 1053. Rate 2 units (MWh) by tariff (in Volume forecasts for the charging year)"/>
    <hyperlink ref="A49" location="'Input'!D193" display="x3 = 1053. Rate 3 units (MWh) by tariff (in Volume forecasts for the charging year)"/>
    <hyperlink ref="A50" location="'Input'!E193" display="x4 = 1053. MPANs by tariff (in Volume forecasts for the charging year)"/>
    <hyperlink ref="A51" location="'Input'!F193" display="x5 = 1053. Import capacity (kVA) by tariff (in Volume forecasts for the charging year)"/>
    <hyperlink ref="A52" location="'Input'!G193" display="x6 = 1053. Exceeded capacity (kVA) by tariff (in Volume forecasts for the charging year)"/>
    <hyperlink ref="A53" location="'Input'!H193" display="x7 = 1053. Reactive power units (MVArh) by tariff (in Volume forecasts for the charging year)"/>
    <hyperlink ref="A54" location="'Summary'!B47" display="x8 = 3802. All units (MWh) (in Revenue summary)"/>
    <hyperlink ref="A132" location="'CData'!B58" display="x1 = 4002. Rate 1 units (MWh) by tariff (in Volume forecasts for the charging year) (in All-the-way volumes)"/>
    <hyperlink ref="A133" location="'CData'!B95" display="x2 = 4003. Normalised to"/>
    <hyperlink ref="A134" location="'CData'!F58" display="x3 = 4002. Import capacity (kVA) by tariff (in Volume forecasts for the charging year) (in All-the-way volumes)"/>
    <hyperlink ref="A135" location="'CData'!E58" display="x4 = 4002. MPANs by tariff (in Volume forecasts for the charging year) (in All-the-way volumes)"/>
    <hyperlink ref="A136" location="'CData'!I58" display="x5 = 4002. All units (MWh) (in Revenue summary) (in All-the-way volumes)"/>
    <hyperlink ref="A137" location="'CData'!C58" display="x6 = 4002. Rate 2 units (MWh) by tariff (in Volume forecasts for the charging year) (in All-the-way volumes)"/>
    <hyperlink ref="A138" location="'CData'!D58" display="x7 = 4002. Rate 3 units (MWh) by tariff (in Volume forecasts for the charging year) (in All-the-way volumes)"/>
    <hyperlink ref="A139" location="'CData'!G58" display="x8 = 4002. Exceeded capacity (kVA) by tariff (in Volume forecasts for the charging year) (in All-the-way volumes)"/>
    <hyperlink ref="A140" location="'CData'!H58" display="x9 = 4002. Reactive power units (MVArh) by tariff (in Volume forecasts for the charging year) (in All-the-way volumes)"/>
    <hyperlink ref="A141" location="'Input'!F59" display="x10 = 1010. Days in the charging year (in Financial and general assumptions)"/>
    <hyperlink ref="A142" location="'Adjust'!E250" display="x11 = 3607. Fixed charge p/MPAN/day (in Tariffs)"/>
    <hyperlink ref="A143" location="'CData'!E159" display="x12 = Normalised MPANs (in Normalised volumes for comparisons)"/>
    <hyperlink ref="A144" location="'Adjust'!F250" display="x13 = 3607. Capacity charge p/kVA/day (in Tariffs)"/>
    <hyperlink ref="A145" location="'CData'!F159" display="x14 = Normalised Import capacity (kVA) (in Normalised volumes for comparisons)"/>
    <hyperlink ref="A146" location="'Adjust'!G250" display="x15 = 3607. Exceeded capacity charge p/kVA/day (in Tariffs)"/>
    <hyperlink ref="A147" location="'CData'!G159" display="x16 = Normalised Exceeded capacity (kVA) (in Normalised volumes for comparisons)"/>
    <hyperlink ref="A148" location="'Adjust'!B250" display="x17 = 3607. Unit rate 1 p/kWh (in Tariffs)"/>
    <hyperlink ref="A149" location="'CData'!B159" display="x18 = Normalised Rate 1 units (MWh) (in Normalised volumes for comparisons)"/>
    <hyperlink ref="A150" location="'Adjust'!C250" display="x19 = 3607. Unit rate 2 p/kWh (in Tariffs)"/>
    <hyperlink ref="A151" location="'CData'!C159" display="x20 = Normalised Rate 2 units (MWh) (in Normalised volumes for comparisons)"/>
    <hyperlink ref="A152" location="'Adjust'!D250" display="x21 = 3607. Unit rate 3 p/kWh (in Tariffs)"/>
    <hyperlink ref="A153" location="'CData'!D159" display="x22 = Normalised Rate 3 units (MWh) (in Normalised volumes for comparisons)"/>
    <hyperlink ref="A154" location="'Adjust'!H250" display="x23 = 3607. Reactive power charge p/kVArh (in Tariffs)"/>
    <hyperlink ref="A155" location="'CData'!H159" display="x24 = Normalised Reactive power units (MVArh) (in Normalised volumes for comparisons)"/>
    <hyperlink ref="A272" location="'CData'!I159" display="x1 = 4004. Normalised revenues (£) (in Normalised volumes for comparisons)"/>
    <hyperlink ref="A304" location="'CData'!I159" display="x1 = 4004. Normalised revenues (£) (in Normalised volumes for comparison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50.7109375" customWidth="1"/>
    <col min="2" max="251" width="16.7109375" customWidth="1"/>
  </cols>
  <sheetData>
    <row r="1" spans="1:5" ht="21" customHeight="1">
      <c r="A1" s="1" t="str">
        <f>"Tariff comparisons for "&amp;Input!B7&amp;" in "&amp;Input!C7&amp;" ("&amp;Input!D7&amp;")"</f>
        <v>Tariff comparisons for Electricity North West in 2019/20 (Version 1)</v>
      </c>
    </row>
    <row r="2" spans="1:5">
      <c r="A2" s="2" t="s">
        <v>1480</v>
      </c>
    </row>
    <row r="4" spans="1:5" ht="21" customHeight="1">
      <c r="A4" s="1" t="s">
        <v>1675</v>
      </c>
    </row>
    <row r="5" spans="1:5">
      <c r="A5" s="2" t="s">
        <v>379</v>
      </c>
    </row>
    <row r="6" spans="1:5">
      <c r="A6" s="29" t="s">
        <v>1676</v>
      </c>
    </row>
    <row r="7" spans="1:5">
      <c r="A7" s="29" t="s">
        <v>1677</v>
      </c>
    </row>
    <row r="8" spans="1:5">
      <c r="A8" s="29" t="s">
        <v>1678</v>
      </c>
    </row>
    <row r="9" spans="1:5">
      <c r="A9" s="29" t="s">
        <v>1492</v>
      </c>
    </row>
    <row r="10" spans="1:5">
      <c r="A10" s="30" t="s">
        <v>382</v>
      </c>
      <c r="B10" s="30" t="s">
        <v>512</v>
      </c>
      <c r="C10" s="30" t="s">
        <v>512</v>
      </c>
      <c r="D10" s="30" t="s">
        <v>441</v>
      </c>
    </row>
    <row r="11" spans="1:5" ht="30">
      <c r="A11" s="30" t="s">
        <v>385</v>
      </c>
      <c r="B11" s="30" t="s">
        <v>1679</v>
      </c>
      <c r="C11" s="30" t="s">
        <v>1680</v>
      </c>
      <c r="D11" s="30" t="s">
        <v>1048</v>
      </c>
    </row>
    <row r="13" spans="1:5" ht="30">
      <c r="B13" s="15" t="s">
        <v>1681</v>
      </c>
      <c r="C13" s="15" t="s">
        <v>1682</v>
      </c>
      <c r="D13" s="15" t="s">
        <v>240</v>
      </c>
    </row>
    <row r="14" spans="1:5">
      <c r="A14" s="4" t="s">
        <v>180</v>
      </c>
      <c r="B14" s="46">
        <f>IF(CData!B25,Summary!D$49/CData!B25-1,"")</f>
        <v>8.5197985351973093E-2</v>
      </c>
      <c r="C14" s="47">
        <f>(Summary!D$49-CData!B25)/IF(Summary!B$49,Summary!B$49,1)/10</f>
        <v>0.21960095754978431</v>
      </c>
      <c r="D14" s="41">
        <f>Input!E$195</f>
        <v>2027175.5163934426</v>
      </c>
      <c r="E14" s="17"/>
    </row>
    <row r="15" spans="1:5">
      <c r="A15" s="4" t="s">
        <v>181</v>
      </c>
      <c r="B15" s="46">
        <f>IF(CData!B26,Summary!D$53/CData!B26-1,"")</f>
        <v>0.1058552957489256</v>
      </c>
      <c r="C15" s="47">
        <f>(Summary!D$53-CData!B26)/IF(Summary!B$53,Summary!B$53,1)/10</f>
        <v>0.1947034324700192</v>
      </c>
      <c r="D15" s="41">
        <f>Input!E$199</f>
        <v>178282</v>
      </c>
      <c r="E15" s="17"/>
    </row>
    <row r="16" spans="1:5">
      <c r="A16" s="4" t="s">
        <v>226</v>
      </c>
      <c r="B16" s="46">
        <f>IF(CData!B27,Summary!D$57/CData!B27-1,"")</f>
        <v>0.13067400275103158</v>
      </c>
      <c r="C16" s="47">
        <f>(Summary!D$57-CData!B27)/IF(Summary!B$57,Summary!B$57,1)/10</f>
        <v>9.4999999999999959E-2</v>
      </c>
      <c r="D16" s="41">
        <f>Input!E$203</f>
        <v>4270</v>
      </c>
      <c r="E16" s="17"/>
    </row>
    <row r="17" spans="1:5">
      <c r="A17" s="4" t="s">
        <v>182</v>
      </c>
      <c r="B17" s="46">
        <f>IF(CData!B28,Summary!D$61/CData!B28-1,"")</f>
        <v>9.6749969459757112E-2</v>
      </c>
      <c r="C17" s="47">
        <f>(Summary!D$61-CData!B28)/IF(Summary!B$61,Summary!B$61,1)/10</f>
        <v>0.20793378852301503</v>
      </c>
      <c r="D17" s="41">
        <f>Input!E$207</f>
        <v>121609.01092896175</v>
      </c>
      <c r="E17" s="17"/>
    </row>
    <row r="18" spans="1:5">
      <c r="A18" s="4" t="s">
        <v>183</v>
      </c>
      <c r="B18" s="46">
        <f>IF(CData!B29,Summary!D$65/CData!B29-1,"")</f>
        <v>0.11424343348605293</v>
      </c>
      <c r="C18" s="47">
        <f>(Summary!D$65-CData!B29)/IF(Summary!B$65,Summary!B$65,1)/10</f>
        <v>0.20308830514110737</v>
      </c>
      <c r="D18" s="41">
        <f>Input!E$211</f>
        <v>34183.400956284153</v>
      </c>
      <c r="E18" s="17"/>
    </row>
    <row r="19" spans="1:5">
      <c r="A19" s="4" t="s">
        <v>227</v>
      </c>
      <c r="B19" s="46">
        <f>IF(CData!B30,Summary!D$69/CData!B30-1,"")</f>
        <v>0.13303437967115084</v>
      </c>
      <c r="C19" s="47">
        <f>(Summary!D$69-CData!B30)/IF(Summary!B$69,Summary!B$69,1)/10</f>
        <v>8.8999999999999954E-2</v>
      </c>
      <c r="D19" s="41">
        <f>Input!E$215</f>
        <v>3655</v>
      </c>
      <c r="E19" s="17"/>
    </row>
    <row r="20" spans="1:5">
      <c r="A20" s="4" t="s">
        <v>184</v>
      </c>
      <c r="B20" s="46">
        <f>IF(CData!B31,Summary!D$73/CData!B31-1,"")</f>
        <v>3.1175995291635505E-2</v>
      </c>
      <c r="C20" s="47">
        <f>(Summary!D$73-CData!B31)/IF(Summary!B$73,Summary!B$73,1)/10</f>
        <v>6.2480517552672699E-2</v>
      </c>
      <c r="D20" s="41">
        <f>Input!E$219</f>
        <v>1E-3</v>
      </c>
      <c r="E20" s="17"/>
    </row>
    <row r="21" spans="1:5">
      <c r="A21" s="4" t="s">
        <v>185</v>
      </c>
      <c r="B21" s="46">
        <f>IF(CData!B32,Summary!D$77/CData!B32-1,"")</f>
        <v>0.87893429804544398</v>
      </c>
      <c r="C21" s="47">
        <f>(Summary!D$77-CData!B32)/IF(Summary!B$77,Summary!B$77,1)/10</f>
        <v>0.91943838239730891</v>
      </c>
      <c r="D21" s="41">
        <f>Input!E$223</f>
        <v>1E-3</v>
      </c>
      <c r="E21" s="17"/>
    </row>
    <row r="22" spans="1:5">
      <c r="A22" s="4" t="s">
        <v>205</v>
      </c>
      <c r="B22" s="46">
        <f>IF(CData!B33,Summary!D$79/CData!B33-1,"")</f>
        <v>1.0838417613692717</v>
      </c>
      <c r="C22" s="47">
        <f>(Summary!D$79-CData!B33)/IF(Summary!B$79,Summary!B$79,1)/10</f>
        <v>0.86959410693410444</v>
      </c>
      <c r="D22" s="41">
        <f>Input!E$225</f>
        <v>1E-3</v>
      </c>
      <c r="E22" s="17"/>
    </row>
    <row r="23" spans="1:5">
      <c r="A23" s="4" t="s">
        <v>186</v>
      </c>
      <c r="B23" s="46">
        <f>IF(CData!B34,Summary!D$81/CData!B34-1,"")</f>
        <v>9.0919446222540223E-2</v>
      </c>
      <c r="C23" s="47">
        <f>(Summary!D$81-CData!B34)/IF(Summary!B$81,Summary!B$81,1)/10</f>
        <v>0.23744205592787035</v>
      </c>
      <c r="D23" s="41">
        <f>Input!E$227</f>
        <v>339.80327868852459</v>
      </c>
      <c r="E23" s="17"/>
    </row>
    <row r="24" spans="1:5">
      <c r="A24" s="4" t="s">
        <v>187</v>
      </c>
      <c r="B24" s="46">
        <f>IF(CData!B35,Summary!D$85/CData!B35-1,"")</f>
        <v>0.10174102879402458</v>
      </c>
      <c r="C24" s="47">
        <f>(Summary!D$85-CData!B35)/IF(Summary!B$85,Summary!B$85,1)/10</f>
        <v>0.19617885364516946</v>
      </c>
      <c r="D24" s="41">
        <f>Input!E$231</f>
        <v>3574</v>
      </c>
      <c r="E24" s="17"/>
    </row>
    <row r="25" spans="1:5">
      <c r="A25" s="4" t="s">
        <v>188</v>
      </c>
      <c r="B25" s="46">
        <f>IF(CData!B36,Summary!D$89/CData!B36-1,"")</f>
        <v>6.7243631096953527E-2</v>
      </c>
      <c r="C25" s="47">
        <f>(Summary!D$89-CData!B36)/IF(Summary!B$89,Summary!B$89,1)/10</f>
        <v>0.15128270805700444</v>
      </c>
      <c r="D25" s="41">
        <f>Input!E$235</f>
        <v>12971.084699453551</v>
      </c>
      <c r="E25" s="17"/>
    </row>
    <row r="26" spans="1:5">
      <c r="A26" s="4" t="s">
        <v>189</v>
      </c>
      <c r="B26" s="46">
        <f>IF(CData!B37,Summary!D$93/CData!B37-1,"")</f>
        <v>4.4601144280634442E-2</v>
      </c>
      <c r="C26" s="47">
        <f>(Summary!D$93-CData!B37)/IF(Summary!B$93,Summary!B$93,1)/10</f>
        <v>9.0534788799357585E-2</v>
      </c>
      <c r="D26" s="41">
        <f>Input!E$239</f>
        <v>2163.4890710382515</v>
      </c>
      <c r="E26" s="17"/>
    </row>
    <row r="27" spans="1:5">
      <c r="A27" s="4" t="s">
        <v>206</v>
      </c>
      <c r="B27" s="46">
        <f>IF(CData!B38,Summary!D$96/CData!B38-1,"")</f>
        <v>7.9893809989534992E-2</v>
      </c>
      <c r="C27" s="47">
        <f>(Summary!D$96-CData!B38)/IF(Summary!B$96,Summary!B$96,1)/10</f>
        <v>0.11674916171038825</v>
      </c>
      <c r="D27" s="41">
        <f>Input!E$242</f>
        <v>2232.9262295081967</v>
      </c>
      <c r="E27" s="17"/>
    </row>
    <row r="28" spans="1:5">
      <c r="A28" s="4" t="s">
        <v>228</v>
      </c>
      <c r="B28" s="46">
        <f>IF(CData!B39,Summary!D$99/CData!B39-1,"")</f>
        <v>9.3972179289026458E-2</v>
      </c>
      <c r="C28" s="47">
        <f>(Summary!D$99-CData!B39)/IF(Summary!B$99,Summary!B$99,1)/10</f>
        <v>0.30400000000000066</v>
      </c>
      <c r="D28" s="41">
        <f>Input!E$245</f>
        <v>203.50273224043715</v>
      </c>
      <c r="E28" s="17"/>
    </row>
    <row r="29" spans="1:5">
      <c r="A29" s="4" t="s">
        <v>229</v>
      </c>
      <c r="B29" s="46">
        <f>IF(CData!B40,Summary!D$103/CData!B40-1,"")</f>
        <v>9.260337798485696E-2</v>
      </c>
      <c r="C29" s="47">
        <f>(Summary!D$103-CData!B40)/IF(Summary!B$103,Summary!B$103,1)/10</f>
        <v>0.31799999999999889</v>
      </c>
      <c r="D29" s="41">
        <f>Input!E$249</f>
        <v>326</v>
      </c>
      <c r="E29" s="17"/>
    </row>
    <row r="30" spans="1:5">
      <c r="A30" s="4" t="s">
        <v>230</v>
      </c>
      <c r="B30" s="46">
        <f>IF(CData!B41,Summary!D$107/CData!B41-1,"")</f>
        <v>9.3156732891832128E-2</v>
      </c>
      <c r="C30" s="47">
        <f>(Summary!D$107-CData!B41)/IF(Summary!B$107,Summary!B$107,1)/10</f>
        <v>0.4219999999999991</v>
      </c>
      <c r="D30" s="41">
        <f>Input!E$253</f>
        <v>8</v>
      </c>
      <c r="E30" s="17"/>
    </row>
    <row r="31" spans="1:5">
      <c r="A31" s="4" t="s">
        <v>231</v>
      </c>
      <c r="B31" s="46">
        <f>IF(CData!B42,Summary!D$111/CData!B42-1,"")</f>
        <v>9.4530509010433361E-2</v>
      </c>
      <c r="C31" s="47">
        <f>(Summary!D$111-CData!B42)/IF(Summary!B$111,Summary!B$111,1)/10</f>
        <v>0.29900000000000043</v>
      </c>
      <c r="D31" s="41">
        <f>Input!E$257</f>
        <v>1E-3</v>
      </c>
      <c r="E31" s="17"/>
    </row>
    <row r="32" spans="1:5">
      <c r="A32" s="4" t="s">
        <v>232</v>
      </c>
      <c r="B32" s="46">
        <f>IF(CData!B43,Summary!D$115/CData!B43-1,"")</f>
        <v>9.4944804359046842E-2</v>
      </c>
      <c r="C32" s="47">
        <f>(Summary!D$115-CData!B43)/IF(Summary!B$115,Summary!B$115,1)/10</f>
        <v>0.32865791171490716</v>
      </c>
      <c r="D32" s="41">
        <f>Input!E$261</f>
        <v>25</v>
      </c>
      <c r="E32" s="17"/>
    </row>
    <row r="34" spans="1:6" ht="21" customHeight="1">
      <c r="A34" s="1" t="s">
        <v>1683</v>
      </c>
    </row>
    <row r="35" spans="1:6">
      <c r="A35" s="2" t="s">
        <v>379</v>
      </c>
    </row>
    <row r="36" spans="1:6">
      <c r="A36" s="29" t="s">
        <v>1684</v>
      </c>
    </row>
    <row r="37" spans="1:6">
      <c r="A37" s="29" t="s">
        <v>1685</v>
      </c>
    </row>
    <row r="38" spans="1:6">
      <c r="A38" s="29" t="s">
        <v>1686</v>
      </c>
    </row>
    <row r="39" spans="1:6">
      <c r="A39" s="29" t="s">
        <v>1687</v>
      </c>
    </row>
    <row r="40" spans="1:6">
      <c r="A40" s="29" t="s">
        <v>1688</v>
      </c>
    </row>
    <row r="41" spans="1:6">
      <c r="A41" s="30" t="s">
        <v>382</v>
      </c>
      <c r="B41" s="30" t="s">
        <v>441</v>
      </c>
      <c r="C41" s="30" t="s">
        <v>441</v>
      </c>
      <c r="D41" s="30" t="s">
        <v>512</v>
      </c>
      <c r="E41" s="30" t="s">
        <v>512</v>
      </c>
    </row>
    <row r="42" spans="1:6">
      <c r="A42" s="30" t="s">
        <v>385</v>
      </c>
      <c r="B42" s="30" t="s">
        <v>1471</v>
      </c>
      <c r="C42" s="30" t="s">
        <v>444</v>
      </c>
      <c r="D42" s="30" t="s">
        <v>1689</v>
      </c>
      <c r="E42" s="30" t="s">
        <v>1690</v>
      </c>
    </row>
    <row r="44" spans="1:6" ht="45">
      <c r="B44" s="15" t="s">
        <v>1625</v>
      </c>
      <c r="C44" s="15" t="s">
        <v>1691</v>
      </c>
      <c r="D44" s="15" t="s">
        <v>1692</v>
      </c>
      <c r="E44" s="15" t="s">
        <v>1693</v>
      </c>
    </row>
    <row r="45" spans="1:6">
      <c r="A45" s="4" t="s">
        <v>180</v>
      </c>
      <c r="B45" s="26" t="str">
        <f>CData!B$96</f>
        <v>MPAN</v>
      </c>
      <c r="C45" s="43">
        <f>CData!I$161</f>
        <v>88.76220974326398</v>
      </c>
      <c r="D45" s="43">
        <f>IF(CData!B276,C45-CData!B276,"")</f>
        <v>31.711774862237419</v>
      </c>
      <c r="E45" s="43">
        <f>IF(CData!B308,C45-CData!B308,"")</f>
        <v>50.867719392582281</v>
      </c>
      <c r="F45" s="17"/>
    </row>
    <row r="46" spans="1:6">
      <c r="A46" s="4" t="s">
        <v>181</v>
      </c>
      <c r="B46" s="26" t="str">
        <f>CData!B$97</f>
        <v>MPAN</v>
      </c>
      <c r="C46" s="43">
        <f>CData!I$165</f>
        <v>106.60071403729103</v>
      </c>
      <c r="D46" s="43">
        <f>IF(CData!B277,C46-CData!B277,"")</f>
        <v>38.078422344605599</v>
      </c>
      <c r="E46" s="43">
        <f>IF(CData!B309,C46-CData!B309,"")</f>
        <v>61.097685562522031</v>
      </c>
      <c r="F46" s="17"/>
    </row>
    <row r="47" spans="1:6">
      <c r="A47" s="4" t="s">
        <v>226</v>
      </c>
      <c r="B47" s="26" t="str">
        <f>CData!B$98</f>
        <v>MPAN</v>
      </c>
      <c r="C47" s="43">
        <f>CData!I$169</f>
        <v>27.488877568101003</v>
      </c>
      <c r="D47" s="43">
        <f>IF(CData!B278,C47-CData!B278,"")</f>
        <v>9.8317883272769997</v>
      </c>
      <c r="E47" s="43">
        <f>IF(CData!B310,C47-CData!B310,"")</f>
        <v>15.750926197780503</v>
      </c>
      <c r="F47" s="17"/>
    </row>
    <row r="48" spans="1:6">
      <c r="A48" s="4" t="s">
        <v>182</v>
      </c>
      <c r="B48" s="26" t="str">
        <f>CData!B$99</f>
        <v>MPAN</v>
      </c>
      <c r="C48" s="43">
        <f>CData!I$173</f>
        <v>289.7000252795483</v>
      </c>
      <c r="D48" s="43">
        <f>IF(CData!B279,C48-CData!B279,"")</f>
        <v>103.54946916076216</v>
      </c>
      <c r="E48" s="43">
        <f>IF(CData!B311,C48-CData!B311,"")</f>
        <v>166.06250321309807</v>
      </c>
      <c r="F48" s="17"/>
    </row>
    <row r="49" spans="1:6">
      <c r="A49" s="4" t="s">
        <v>183</v>
      </c>
      <c r="B49" s="26" t="str">
        <f>CData!B$100</f>
        <v>MPAN</v>
      </c>
      <c r="C49" s="43">
        <f>CData!I$177</f>
        <v>421.45159487330625</v>
      </c>
      <c r="D49" s="43">
        <f>IF(CData!B280,C49-CData!B280,"")</f>
        <v>150.6333089527264</v>
      </c>
      <c r="E49" s="43">
        <f>IF(CData!B312,C49-CData!B312,"")</f>
        <v>241.63046426272294</v>
      </c>
      <c r="F49" s="17"/>
    </row>
    <row r="50" spans="1:6">
      <c r="A50" s="4" t="s">
        <v>227</v>
      </c>
      <c r="B50" s="26" t="str">
        <f>CData!B$101</f>
        <v>MPAN</v>
      </c>
      <c r="C50" s="43">
        <f>CData!I$181</f>
        <v>41.980609760903818</v>
      </c>
      <c r="D50" s="43">
        <f>IF(CData!B281,C50-CData!B281,"")</f>
        <v>15.008898740375905</v>
      </c>
      <c r="E50" s="43">
        <f>IF(CData!B313,C50-CData!B313,"")</f>
        <v>24.09177473086169</v>
      </c>
      <c r="F50" s="17"/>
    </row>
    <row r="51" spans="1:6">
      <c r="A51" s="4" t="s">
        <v>184</v>
      </c>
      <c r="B51" s="26" t="str">
        <f>CData!B$102</f>
        <v>MPAN</v>
      </c>
      <c r="C51" s="43">
        <f>CData!I$185</f>
        <v>20627.672116917034</v>
      </c>
      <c r="D51" s="43">
        <f>IF(CData!B282,C51-CData!B282,"")</f>
        <v>7369.9958383525263</v>
      </c>
      <c r="E51" s="43">
        <f>IF(CData!B314,C51-CData!B314,"")</f>
        <v>11829.833017907447</v>
      </c>
      <c r="F51" s="17"/>
    </row>
    <row r="52" spans="1:6">
      <c r="A52" s="4" t="s">
        <v>186</v>
      </c>
      <c r="B52" s="26" t="str">
        <f>CData!B$105</f>
        <v>MPAN</v>
      </c>
      <c r="C52" s="43">
        <f>CData!I$193</f>
        <v>55.045718768745267</v>
      </c>
      <c r="D52" s="43">
        <f>IF(CData!B283,C52-CData!B283,"")</f>
        <v>19.662341929701199</v>
      </c>
      <c r="E52" s="43">
        <f>IF(CData!B315,C52-CData!B315,"")</f>
        <v>31.543400854091693</v>
      </c>
      <c r="F52" s="17"/>
    </row>
    <row r="53" spans="1:6">
      <c r="A53" s="4" t="s">
        <v>187</v>
      </c>
      <c r="B53" s="26" t="str">
        <f>CData!B$106</f>
        <v>MPAN</v>
      </c>
      <c r="C53" s="43">
        <f>CData!I$197</f>
        <v>1284.2854575113854</v>
      </c>
      <c r="D53" s="43">
        <f>IF(CData!B284,C53-CData!B284,"")</f>
        <v>458.97120834573377</v>
      </c>
      <c r="E53" s="43">
        <f>IF(CData!B316,C53-CData!B316,"")</f>
        <v>736.39456116664985</v>
      </c>
      <c r="F53" s="17"/>
    </row>
    <row r="54" spans="1:6">
      <c r="A54" s="4" t="s">
        <v>188</v>
      </c>
      <c r="B54" s="26" t="str">
        <f>CData!B$107</f>
        <v>kVA</v>
      </c>
      <c r="C54" s="43">
        <f>CData!I$201</f>
        <v>45.836131359987519</v>
      </c>
      <c r="D54" s="43">
        <f>IF(CData!B285,C54-CData!B285,"")</f>
        <v>16.36204729491698</v>
      </c>
      <c r="E54" s="43">
        <f>IF(CData!B317,C54-CData!B317,"")</f>
        <v>26.285941567743649</v>
      </c>
      <c r="F54" s="17"/>
    </row>
    <row r="55" spans="1:6">
      <c r="A55" s="4" t="s">
        <v>189</v>
      </c>
      <c r="B55" s="26" t="str">
        <f>CData!B$108</f>
        <v>kVA</v>
      </c>
      <c r="C55" s="43">
        <f>CData!I$205</f>
        <v>39.504136876242271</v>
      </c>
      <c r="D55" s="10"/>
      <c r="E55" s="43">
        <f>IF(CData!B318,C55-CData!B318,"")</f>
        <v>12.967344879068655</v>
      </c>
      <c r="F55" s="17"/>
    </row>
    <row r="56" spans="1:6">
      <c r="A56" s="4" t="s">
        <v>206</v>
      </c>
      <c r="B56" s="26" t="str">
        <f>CData!B$109</f>
        <v>kVA</v>
      </c>
      <c r="C56" s="43">
        <f>CData!I$208</f>
        <v>39.965627477076637</v>
      </c>
      <c r="D56" s="10"/>
      <c r="E56" s="43">
        <f>IF(CData!B319,C56-CData!B319,"")</f>
        <v>8.1680856373898649</v>
      </c>
      <c r="F56" s="17"/>
    </row>
    <row r="57" spans="1:6">
      <c r="A57" s="4" t="s">
        <v>228</v>
      </c>
      <c r="B57" s="26" t="str">
        <f>CData!B$110</f>
        <v>MWh</v>
      </c>
      <c r="C57" s="43">
        <f>CData!I$211</f>
        <v>35.39</v>
      </c>
      <c r="D57" s="43">
        <f>IF(CData!B288,C57-CData!B288,"")</f>
        <v>12.649999999999999</v>
      </c>
      <c r="E57" s="43">
        <f>IF(CData!B320,C57-CData!B320,"")</f>
        <v>20.29</v>
      </c>
      <c r="F57" s="17"/>
    </row>
    <row r="58" spans="1:6">
      <c r="A58" s="4" t="s">
        <v>229</v>
      </c>
      <c r="B58" s="26" t="str">
        <f>CData!B$111</f>
        <v>MWh</v>
      </c>
      <c r="C58" s="43">
        <f>CData!I$215</f>
        <v>37.519999999999996</v>
      </c>
      <c r="D58" s="43">
        <f>IF(CData!B289,C58-CData!B289,"")</f>
        <v>13.409999999999997</v>
      </c>
      <c r="E58" s="43">
        <f>IF(CData!B321,C58-CData!B321,"")</f>
        <v>21.509999999999998</v>
      </c>
      <c r="F58" s="17"/>
    </row>
    <row r="59" spans="1:6">
      <c r="A59" s="4" t="s">
        <v>230</v>
      </c>
      <c r="B59" s="26" t="str">
        <f>CData!B$112</f>
        <v>MWh</v>
      </c>
      <c r="C59" s="43">
        <f>CData!I$219</f>
        <v>49.519999999999996</v>
      </c>
      <c r="D59" s="43">
        <f>IF(CData!B290,C59-CData!B290,"")</f>
        <v>17.699999999999996</v>
      </c>
      <c r="E59" s="43">
        <f>IF(CData!B322,C59-CData!B322,"")</f>
        <v>28.399999999999995</v>
      </c>
      <c r="F59" s="17"/>
    </row>
    <row r="60" spans="1:6">
      <c r="A60" s="4" t="s">
        <v>231</v>
      </c>
      <c r="B60" s="26" t="str">
        <f>CData!B$113</f>
        <v>MWh</v>
      </c>
      <c r="C60" s="43">
        <f>CData!I$223</f>
        <v>34.620000000000005</v>
      </c>
      <c r="D60" s="43">
        <f>IF(CData!B291,C60-CData!B291,"")</f>
        <v>12.370000000000005</v>
      </c>
      <c r="E60" s="43">
        <f>IF(CData!B323,C60-CData!B323,"")</f>
        <v>19.850000000000001</v>
      </c>
      <c r="F60" s="17"/>
    </row>
    <row r="61" spans="1:6">
      <c r="A61" s="4" t="s">
        <v>232</v>
      </c>
      <c r="B61" s="26" t="str">
        <f>CData!B$114</f>
        <v>MWh</v>
      </c>
      <c r="C61" s="43">
        <f>CData!I$227</f>
        <v>37.902260715906408</v>
      </c>
      <c r="D61" s="43">
        <f>IF(CData!B292,C61-CData!B292,"")</f>
        <v>13.546672146287548</v>
      </c>
      <c r="E61" s="43">
        <f>IF(CData!B324,C61-CData!B324,"")</f>
        <v>21.734221288388625</v>
      </c>
      <c r="F61" s="17"/>
    </row>
    <row r="62" spans="1:6">
      <c r="A62" s="4" t="s">
        <v>190</v>
      </c>
      <c r="B62" s="26" t="str">
        <f>CData!B$115</f>
        <v>MWh</v>
      </c>
      <c r="C62" s="43">
        <f>CData!I$231</f>
        <v>-9.77</v>
      </c>
      <c r="D62" s="43">
        <f>IF(CData!B293,C62-CData!B293,"")</f>
        <v>0</v>
      </c>
      <c r="E62" s="43">
        <f>IF(CData!B325,C62-CData!B325,"")</f>
        <v>0</v>
      </c>
      <c r="F62" s="17"/>
    </row>
    <row r="63" spans="1:6">
      <c r="A63" s="4" t="s">
        <v>191</v>
      </c>
      <c r="B63" s="26" t="str">
        <f>CData!B$116</f>
        <v>MWh</v>
      </c>
      <c r="C63" s="43">
        <f>CData!I$235</f>
        <v>-7.8100000000000005</v>
      </c>
      <c r="D63" s="10"/>
      <c r="E63" s="43">
        <f>IF(CData!B326,C63-CData!B326,"")</f>
        <v>0</v>
      </c>
      <c r="F63" s="17"/>
    </row>
    <row r="64" spans="1:6">
      <c r="A64" s="4" t="s">
        <v>192</v>
      </c>
      <c r="B64" s="26" t="str">
        <f>CData!B$117</f>
        <v>MWh</v>
      </c>
      <c r="C64" s="43">
        <f>CData!I$238</f>
        <v>-9.6595691489880124</v>
      </c>
      <c r="D64" s="43">
        <f>IF(CData!B295,C64-CData!B295,"")</f>
        <v>0</v>
      </c>
      <c r="E64" s="43">
        <f>IF(CData!B327,C64-CData!B327,"")</f>
        <v>0</v>
      </c>
      <c r="F64" s="17"/>
    </row>
    <row r="65" spans="1:6">
      <c r="A65" s="4" t="s">
        <v>194</v>
      </c>
      <c r="B65" s="26" t="str">
        <f>CData!B$119</f>
        <v>MWh</v>
      </c>
      <c r="C65" s="43">
        <f>CData!I$244</f>
        <v>-9.1680240653927854</v>
      </c>
      <c r="D65" s="43">
        <f>IF(CData!B296,C65-CData!B296,"")</f>
        <v>0</v>
      </c>
      <c r="E65" s="43">
        <f>IF(CData!B328,C65-CData!B328,"")</f>
        <v>0</v>
      </c>
      <c r="F65" s="17"/>
    </row>
    <row r="66" spans="1:6">
      <c r="A66" s="4" t="s">
        <v>196</v>
      </c>
      <c r="B66" s="26" t="str">
        <f>CData!B$121</f>
        <v>MWh</v>
      </c>
      <c r="C66" s="43">
        <f>CData!I$250</f>
        <v>-7.7515553337867775</v>
      </c>
      <c r="D66" s="10"/>
      <c r="E66" s="43">
        <f>IF(CData!B329,C66-CData!B329,"")</f>
        <v>0</v>
      </c>
      <c r="F66" s="17"/>
    </row>
    <row r="67" spans="1:6">
      <c r="A67" s="4" t="s">
        <v>198</v>
      </c>
      <c r="B67" s="26" t="str">
        <f>CData!B$123</f>
        <v>MWh</v>
      </c>
      <c r="C67" s="43">
        <f>CData!I$255</f>
        <v>-8.0587478403262871</v>
      </c>
      <c r="D67" s="10"/>
      <c r="E67" s="43">
        <f>IF(CData!B330,C67-CData!B330,"")</f>
        <v>0</v>
      </c>
      <c r="F67" s="17"/>
    </row>
    <row r="68" spans="1:6">
      <c r="A68" s="4" t="s">
        <v>207</v>
      </c>
      <c r="B68" s="26" t="str">
        <f>CData!B$125</f>
        <v>MWh</v>
      </c>
      <c r="C68" s="43">
        <f>CData!I$260</f>
        <v>-5.6189220458747471</v>
      </c>
      <c r="D68" s="10"/>
      <c r="E68" s="43">
        <f>IF(CData!B331,C68-CData!B331,"")</f>
        <v>1.1270121657110721E-2</v>
      </c>
      <c r="F68" s="17"/>
    </row>
    <row r="69" spans="1:6">
      <c r="A69" s="4" t="s">
        <v>209</v>
      </c>
      <c r="B69" s="26" t="str">
        <f>CData!B$127</f>
        <v>MWh</v>
      </c>
      <c r="C69" s="43">
        <f>CData!I$265</f>
        <v>-6.5873323059997242</v>
      </c>
      <c r="D69" s="10"/>
      <c r="E69" s="43">
        <f>IF(CData!B332,C69-CData!B332,"")</f>
        <v>7.2692411505927979E-3</v>
      </c>
      <c r="F69" s="17"/>
    </row>
  </sheetData>
  <sheetProtection sheet="1" objects="1" scenarios="1"/>
  <hyperlinks>
    <hyperlink ref="A6" location="'CData'!B24" display="x1 = 4001. Revenues under current tariffs (£)"/>
    <hyperlink ref="A7" location="'Summary'!D47" display="x2 = 3802. Net revenues (£) (in Revenue summary)"/>
    <hyperlink ref="A8" location="'Summary'!B47" display="x3 = 3802. All units (MWh) (in Revenue summary)"/>
    <hyperlink ref="A9" location="'Input'!E193" display="x4 = 1053. MPANs by tariff (in Volume forecasts for the charging year)"/>
    <hyperlink ref="A36" location="'CData'!B95" display="x1 = 4003. Normalised to"/>
    <hyperlink ref="A37" location="'CData'!I159" display="x2 = 4004. Normalised revenues (£) (in Normalised volumes for comparisons)"/>
    <hyperlink ref="A38" location="'CData'!B275" display="x3 = 4005. LDNO LV charges (normalised £)"/>
    <hyperlink ref="A39" location="'CTables'!C44" display="x4 = All-the-way charges (normalised £) (in LDNO margins in use of system charges)"/>
    <hyperlink ref="A40" location="'CData'!B307" display="x5 = 4006. LDNO HV charges (normalised £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3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50.7109375" customWidth="1"/>
    <col min="2" max="251" width="20.7109375" customWidth="1"/>
  </cols>
  <sheetData>
    <row r="1" spans="1:10" ht="21" customHeight="1">
      <c r="A1" s="1" t="str">
        <f>"Loss adjustment factors and network use matrices for "&amp;Input!B7&amp;" in "&amp;Input!C7&amp;" ("&amp;Input!D7&amp;")"</f>
        <v>Loss adjustment factors and network use matrices for Electricity North West in 2019/20 (Version 1)</v>
      </c>
    </row>
    <row r="2" spans="1:10">
      <c r="A2" s="2" t="s">
        <v>376</v>
      </c>
    </row>
    <row r="3" spans="1:10">
      <c r="A3" s="2" t="s">
        <v>377</v>
      </c>
    </row>
    <row r="5" spans="1:10" ht="21" customHeight="1">
      <c r="A5" s="1" t="s">
        <v>378</v>
      </c>
    </row>
    <row r="6" spans="1:10">
      <c r="A6" s="2" t="s">
        <v>379</v>
      </c>
    </row>
    <row r="7" spans="1:10">
      <c r="A7" s="29" t="s">
        <v>380</v>
      </c>
    </row>
    <row r="8" spans="1:10">
      <c r="A8" s="29" t="s">
        <v>381</v>
      </c>
    </row>
    <row r="9" spans="1:10" ht="30">
      <c r="A9" s="30" t="s">
        <v>382</v>
      </c>
      <c r="B9" s="31" t="s">
        <v>383</v>
      </c>
      <c r="C9" s="31"/>
      <c r="D9" s="31"/>
      <c r="E9" s="31"/>
      <c r="F9" s="31"/>
      <c r="G9" s="31"/>
      <c r="H9" s="31"/>
      <c r="I9" s="30" t="s">
        <v>384</v>
      </c>
    </row>
    <row r="10" spans="1:10" ht="30">
      <c r="A10" s="30" t="s">
        <v>385</v>
      </c>
      <c r="B10" s="31" t="s">
        <v>386</v>
      </c>
      <c r="C10" s="31"/>
      <c r="D10" s="31"/>
      <c r="E10" s="31"/>
      <c r="F10" s="31"/>
      <c r="G10" s="31"/>
      <c r="H10" s="31"/>
      <c r="I10" s="30" t="s">
        <v>387</v>
      </c>
    </row>
    <row r="12" spans="1:10">
      <c r="B12" s="32" t="s">
        <v>388</v>
      </c>
      <c r="C12" s="32"/>
      <c r="D12" s="32"/>
      <c r="E12" s="32"/>
      <c r="F12" s="32"/>
      <c r="G12" s="32"/>
      <c r="H12" s="32"/>
    </row>
    <row r="13" spans="1:10" ht="30">
      <c r="B13" s="15" t="s">
        <v>149</v>
      </c>
      <c r="C13" s="15" t="s">
        <v>150</v>
      </c>
      <c r="D13" s="15" t="s">
        <v>151</v>
      </c>
      <c r="E13" s="15" t="s">
        <v>152</v>
      </c>
      <c r="F13" s="15" t="s">
        <v>153</v>
      </c>
      <c r="G13" s="15" t="s">
        <v>154</v>
      </c>
      <c r="H13" s="15" t="s">
        <v>155</v>
      </c>
      <c r="I13" s="15" t="s">
        <v>213</v>
      </c>
    </row>
    <row r="14" spans="1:10">
      <c r="A14" s="4" t="s">
        <v>180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1</v>
      </c>
      <c r="I14" s="34">
        <f>SUMPRODUCT($B14:$H14,Input!$B$156:$H$156)</f>
        <v>1.107559204</v>
      </c>
      <c r="J14" s="17"/>
    </row>
    <row r="15" spans="1:10">
      <c r="A15" s="4" t="s">
        <v>181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1</v>
      </c>
      <c r="I15" s="34">
        <f>SUMPRODUCT($B15:$H15,Input!$B$156:$H$156)</f>
        <v>1.107559204</v>
      </c>
      <c r="J15" s="17"/>
    </row>
    <row r="16" spans="1:10">
      <c r="A16" s="4" t="s">
        <v>226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1</v>
      </c>
      <c r="I16" s="34">
        <f>SUMPRODUCT($B16:$H16,Input!$B$156:$H$156)</f>
        <v>1.107559204</v>
      </c>
      <c r="J16" s="17"/>
    </row>
    <row r="17" spans="1:10">
      <c r="A17" s="4" t="s">
        <v>182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1</v>
      </c>
      <c r="I17" s="34">
        <f>SUMPRODUCT($B17:$H17,Input!$B$156:$H$156)</f>
        <v>1.107559204</v>
      </c>
      <c r="J17" s="17"/>
    </row>
    <row r="18" spans="1:10">
      <c r="A18" s="4" t="s">
        <v>183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1</v>
      </c>
      <c r="I18" s="34">
        <f>SUMPRODUCT($B18:$H18,Input!$B$156:$H$156)</f>
        <v>1.107559204</v>
      </c>
      <c r="J18" s="17"/>
    </row>
    <row r="19" spans="1:10">
      <c r="A19" s="4" t="s">
        <v>227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1</v>
      </c>
      <c r="I19" s="34">
        <f>SUMPRODUCT($B19:$H19,Input!$B$156:$H$156)</f>
        <v>1.107559204</v>
      </c>
      <c r="J19" s="17"/>
    </row>
    <row r="20" spans="1:10">
      <c r="A20" s="4" t="s">
        <v>184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1</v>
      </c>
      <c r="I20" s="34">
        <f>SUMPRODUCT($B20:$H20,Input!$B$156:$H$156)</f>
        <v>1.107559204</v>
      </c>
      <c r="J20" s="17"/>
    </row>
    <row r="21" spans="1:10">
      <c r="A21" s="4" t="s">
        <v>185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1</v>
      </c>
      <c r="H21" s="33">
        <v>0</v>
      </c>
      <c r="I21" s="34">
        <f>SUMPRODUCT($B21:$H21,Input!$B$156:$H$156)</f>
        <v>1.053194046</v>
      </c>
      <c r="J21" s="17"/>
    </row>
    <row r="22" spans="1:10">
      <c r="A22" s="4" t="s">
        <v>205</v>
      </c>
      <c r="B22" s="33">
        <v>0</v>
      </c>
      <c r="C22" s="33">
        <v>0</v>
      </c>
      <c r="D22" s="33">
        <v>0</v>
      </c>
      <c r="E22" s="33">
        <v>0</v>
      </c>
      <c r="F22" s="33">
        <v>1</v>
      </c>
      <c r="G22" s="33">
        <v>0</v>
      </c>
      <c r="H22" s="33">
        <v>0</v>
      </c>
      <c r="I22" s="34">
        <f>SUMPRODUCT($B22:$H22,Input!$B$156:$H$156)</f>
        <v>1.039338946</v>
      </c>
      <c r="J22" s="17"/>
    </row>
    <row r="23" spans="1:10">
      <c r="A23" s="4" t="s">
        <v>186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1</v>
      </c>
      <c r="I23" s="34">
        <f>SUMPRODUCT($B23:$H23,Input!$B$156:$H$156)</f>
        <v>1.107559204</v>
      </c>
      <c r="J23" s="17"/>
    </row>
    <row r="24" spans="1:10">
      <c r="A24" s="4" t="s">
        <v>187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1</v>
      </c>
      <c r="I24" s="34">
        <f>SUMPRODUCT($B24:$H24,Input!$B$156:$H$156)</f>
        <v>1.107559204</v>
      </c>
      <c r="J24" s="17"/>
    </row>
    <row r="25" spans="1:10">
      <c r="A25" s="4" t="s">
        <v>188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1</v>
      </c>
      <c r="I25" s="34">
        <f>SUMPRODUCT($B25:$H25,Input!$B$156:$H$156)</f>
        <v>1.107559204</v>
      </c>
      <c r="J25" s="17"/>
    </row>
    <row r="26" spans="1:10">
      <c r="A26" s="4" t="s">
        <v>189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1</v>
      </c>
      <c r="H26" s="33">
        <v>0</v>
      </c>
      <c r="I26" s="34">
        <f>SUMPRODUCT($B26:$H26,Input!$B$156:$H$156)</f>
        <v>1.053194046</v>
      </c>
      <c r="J26" s="17"/>
    </row>
    <row r="27" spans="1:10">
      <c r="A27" s="4" t="s">
        <v>206</v>
      </c>
      <c r="B27" s="33">
        <v>0</v>
      </c>
      <c r="C27" s="33">
        <v>0</v>
      </c>
      <c r="D27" s="33">
        <v>0</v>
      </c>
      <c r="E27" s="33">
        <v>0</v>
      </c>
      <c r="F27" s="33">
        <v>1</v>
      </c>
      <c r="G27" s="33">
        <v>0</v>
      </c>
      <c r="H27" s="33">
        <v>0</v>
      </c>
      <c r="I27" s="34">
        <f>SUMPRODUCT($B27:$H27,Input!$B$156:$H$156)</f>
        <v>1.039338946</v>
      </c>
      <c r="J27" s="17"/>
    </row>
    <row r="28" spans="1:10">
      <c r="A28" s="4" t="s">
        <v>228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1</v>
      </c>
      <c r="I28" s="34">
        <f>SUMPRODUCT($B28:$H28,Input!$B$156:$H$156)</f>
        <v>1.107559204</v>
      </c>
      <c r="J28" s="17"/>
    </row>
    <row r="29" spans="1:10">
      <c r="A29" s="4" t="s">
        <v>229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1</v>
      </c>
      <c r="I29" s="34">
        <f>SUMPRODUCT($B29:$H29,Input!$B$156:$H$156)</f>
        <v>1.107559204</v>
      </c>
      <c r="J29" s="17"/>
    </row>
    <row r="30" spans="1:10">
      <c r="A30" s="4" t="s">
        <v>230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1</v>
      </c>
      <c r="I30" s="34">
        <f>SUMPRODUCT($B30:$H30,Input!$B$156:$H$156)</f>
        <v>1.107559204</v>
      </c>
      <c r="J30" s="17"/>
    </row>
    <row r="31" spans="1:10">
      <c r="A31" s="4" t="s">
        <v>231</v>
      </c>
      <c r="B31" s="33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1</v>
      </c>
      <c r="I31" s="34">
        <f>SUMPRODUCT($B31:$H31,Input!$B$156:$H$156)</f>
        <v>1.107559204</v>
      </c>
      <c r="J31" s="17"/>
    </row>
    <row r="32" spans="1:10">
      <c r="A32" s="4" t="s">
        <v>232</v>
      </c>
      <c r="B32" s="33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1</v>
      </c>
      <c r="I32" s="34">
        <f>SUMPRODUCT($B32:$H32,Input!$B$156:$H$156)</f>
        <v>1.107559204</v>
      </c>
      <c r="J32" s="17"/>
    </row>
    <row r="33" spans="1:10">
      <c r="A33" s="4" t="s">
        <v>190</v>
      </c>
      <c r="B33" s="33">
        <v>0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1</v>
      </c>
      <c r="I33" s="34">
        <f>SUMPRODUCT($B33:$H33,Input!$B$156:$H$156)</f>
        <v>1.107559204</v>
      </c>
      <c r="J33" s="17"/>
    </row>
    <row r="34" spans="1:10">
      <c r="A34" s="4" t="s">
        <v>191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1</v>
      </c>
      <c r="H34" s="33">
        <v>0</v>
      </c>
      <c r="I34" s="34">
        <f>SUMPRODUCT($B34:$H34,Input!$B$156:$H$156)</f>
        <v>1.053194046</v>
      </c>
      <c r="J34" s="17"/>
    </row>
    <row r="35" spans="1:10">
      <c r="A35" s="4" t="s">
        <v>192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1</v>
      </c>
      <c r="I35" s="34">
        <f>SUMPRODUCT($B35:$H35,Input!$B$156:$H$156)</f>
        <v>1.107559204</v>
      </c>
      <c r="J35" s="17"/>
    </row>
    <row r="36" spans="1:10">
      <c r="A36" s="4" t="s">
        <v>193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1</v>
      </c>
      <c r="I36" s="34">
        <f>SUMPRODUCT($B36:$H36,Input!$B$156:$H$156)</f>
        <v>1.107559204</v>
      </c>
      <c r="J36" s="17"/>
    </row>
    <row r="37" spans="1:10">
      <c r="A37" s="4" t="s">
        <v>194</v>
      </c>
      <c r="B37" s="33">
        <v>0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1</v>
      </c>
      <c r="I37" s="34">
        <f>SUMPRODUCT($B37:$H37,Input!$B$156:$H$156)</f>
        <v>1.107559204</v>
      </c>
      <c r="J37" s="17"/>
    </row>
    <row r="38" spans="1:10">
      <c r="A38" s="4" t="s">
        <v>195</v>
      </c>
      <c r="B38" s="33">
        <v>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1</v>
      </c>
      <c r="I38" s="34">
        <f>SUMPRODUCT($B38:$H38,Input!$B$156:$H$156)</f>
        <v>1.107559204</v>
      </c>
      <c r="J38" s="17"/>
    </row>
    <row r="39" spans="1:10">
      <c r="A39" s="4" t="s">
        <v>196</v>
      </c>
      <c r="B39" s="33">
        <v>0</v>
      </c>
      <c r="C39" s="33">
        <v>0</v>
      </c>
      <c r="D39" s="33">
        <v>0</v>
      </c>
      <c r="E39" s="33">
        <v>0</v>
      </c>
      <c r="F39" s="33">
        <v>0</v>
      </c>
      <c r="G39" s="33">
        <v>1</v>
      </c>
      <c r="H39" s="33">
        <v>0</v>
      </c>
      <c r="I39" s="34">
        <f>SUMPRODUCT($B39:$H39,Input!$B$156:$H$156)</f>
        <v>1.053194046</v>
      </c>
      <c r="J39" s="17"/>
    </row>
    <row r="40" spans="1:10">
      <c r="A40" s="4" t="s">
        <v>197</v>
      </c>
      <c r="B40" s="33">
        <v>0</v>
      </c>
      <c r="C40" s="33">
        <v>0</v>
      </c>
      <c r="D40" s="33">
        <v>0</v>
      </c>
      <c r="E40" s="33">
        <v>0</v>
      </c>
      <c r="F40" s="33">
        <v>0</v>
      </c>
      <c r="G40" s="33">
        <v>1</v>
      </c>
      <c r="H40" s="33">
        <v>0</v>
      </c>
      <c r="I40" s="34">
        <f>SUMPRODUCT($B40:$H40,Input!$B$156:$H$156)</f>
        <v>1.053194046</v>
      </c>
      <c r="J40" s="17"/>
    </row>
    <row r="41" spans="1:10">
      <c r="A41" s="4" t="s">
        <v>198</v>
      </c>
      <c r="B41" s="33">
        <v>0</v>
      </c>
      <c r="C41" s="33">
        <v>0</v>
      </c>
      <c r="D41" s="33">
        <v>0</v>
      </c>
      <c r="E41" s="33">
        <v>0</v>
      </c>
      <c r="F41" s="33">
        <v>0</v>
      </c>
      <c r="G41" s="33">
        <v>1</v>
      </c>
      <c r="H41" s="33">
        <v>0</v>
      </c>
      <c r="I41" s="34">
        <f>SUMPRODUCT($B41:$H41,Input!$B$156:$H$156)</f>
        <v>1.053194046</v>
      </c>
      <c r="J41" s="17"/>
    </row>
    <row r="42" spans="1:10">
      <c r="A42" s="4" t="s">
        <v>199</v>
      </c>
      <c r="B42" s="33">
        <v>0</v>
      </c>
      <c r="C42" s="33">
        <v>0</v>
      </c>
      <c r="D42" s="33">
        <v>0</v>
      </c>
      <c r="E42" s="33">
        <v>0</v>
      </c>
      <c r="F42" s="33">
        <v>0</v>
      </c>
      <c r="G42" s="33">
        <v>1</v>
      </c>
      <c r="H42" s="33">
        <v>0</v>
      </c>
      <c r="I42" s="34">
        <f>SUMPRODUCT($B42:$H42,Input!$B$156:$H$156)</f>
        <v>1.053194046</v>
      </c>
      <c r="J42" s="17"/>
    </row>
    <row r="43" spans="1:10">
      <c r="A43" s="4" t="s">
        <v>207</v>
      </c>
      <c r="B43" s="33">
        <v>0</v>
      </c>
      <c r="C43" s="33">
        <v>0</v>
      </c>
      <c r="D43" s="33">
        <v>0</v>
      </c>
      <c r="E43" s="33">
        <v>0</v>
      </c>
      <c r="F43" s="33">
        <v>1</v>
      </c>
      <c r="G43" s="33">
        <v>0</v>
      </c>
      <c r="H43" s="33">
        <v>0</v>
      </c>
      <c r="I43" s="34">
        <f>SUMPRODUCT($B43:$H43,Input!$B$156:$H$156)</f>
        <v>1.039338946</v>
      </c>
      <c r="J43" s="17"/>
    </row>
    <row r="44" spans="1:10">
      <c r="A44" s="4" t="s">
        <v>208</v>
      </c>
      <c r="B44" s="33">
        <v>0</v>
      </c>
      <c r="C44" s="33">
        <v>0</v>
      </c>
      <c r="D44" s="33">
        <v>0</v>
      </c>
      <c r="E44" s="33">
        <v>0</v>
      </c>
      <c r="F44" s="33">
        <v>1</v>
      </c>
      <c r="G44" s="33">
        <v>0</v>
      </c>
      <c r="H44" s="33">
        <v>0</v>
      </c>
      <c r="I44" s="34">
        <f>SUMPRODUCT($B44:$H44,Input!$B$156:$H$156)</f>
        <v>1.039338946</v>
      </c>
      <c r="J44" s="17"/>
    </row>
    <row r="45" spans="1:10">
      <c r="A45" s="4" t="s">
        <v>209</v>
      </c>
      <c r="B45" s="33">
        <v>0</v>
      </c>
      <c r="C45" s="33">
        <v>0</v>
      </c>
      <c r="D45" s="33">
        <v>0</v>
      </c>
      <c r="E45" s="33">
        <v>0</v>
      </c>
      <c r="F45" s="33">
        <v>1</v>
      </c>
      <c r="G45" s="33">
        <v>0</v>
      </c>
      <c r="H45" s="33">
        <v>0</v>
      </c>
      <c r="I45" s="34">
        <f>SUMPRODUCT($B45:$H45,Input!$B$156:$H$156)</f>
        <v>1.039338946</v>
      </c>
      <c r="J45" s="17"/>
    </row>
    <row r="46" spans="1:10">
      <c r="A46" s="4" t="s">
        <v>210</v>
      </c>
      <c r="B46" s="33">
        <v>0</v>
      </c>
      <c r="C46" s="33">
        <v>0</v>
      </c>
      <c r="D46" s="33">
        <v>0</v>
      </c>
      <c r="E46" s="33">
        <v>0</v>
      </c>
      <c r="F46" s="33">
        <v>1</v>
      </c>
      <c r="G46" s="33">
        <v>0</v>
      </c>
      <c r="H46" s="33">
        <v>0</v>
      </c>
      <c r="I46" s="34">
        <f>SUMPRODUCT($B46:$H46,Input!$B$156:$H$156)</f>
        <v>1.039338946</v>
      </c>
      <c r="J46" s="17"/>
    </row>
    <row r="48" spans="1:10" ht="21" customHeight="1">
      <c r="A48" s="1" t="s">
        <v>389</v>
      </c>
    </row>
    <row r="50" spans="1:9">
      <c r="B50" s="15" t="s">
        <v>149</v>
      </c>
      <c r="C50" s="15" t="s">
        <v>150</v>
      </c>
      <c r="D50" s="15" t="s">
        <v>151</v>
      </c>
      <c r="E50" s="15" t="s">
        <v>152</v>
      </c>
      <c r="F50" s="15" t="s">
        <v>153</v>
      </c>
      <c r="G50" s="15" t="s">
        <v>154</v>
      </c>
      <c r="H50" s="15" t="s">
        <v>155</v>
      </c>
    </row>
    <row r="51" spans="1:9">
      <c r="A51" s="4" t="s">
        <v>149</v>
      </c>
      <c r="B51" s="33">
        <v>1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17"/>
    </row>
    <row r="52" spans="1:9">
      <c r="A52" s="4" t="s">
        <v>150</v>
      </c>
      <c r="B52" s="33">
        <v>0</v>
      </c>
      <c r="C52" s="33">
        <v>1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17"/>
    </row>
    <row r="53" spans="1:9">
      <c r="A53" s="4" t="s">
        <v>151</v>
      </c>
      <c r="B53" s="33">
        <v>0</v>
      </c>
      <c r="C53" s="33">
        <v>0</v>
      </c>
      <c r="D53" s="33">
        <v>1</v>
      </c>
      <c r="E53" s="33">
        <v>0</v>
      </c>
      <c r="F53" s="33">
        <v>0</v>
      </c>
      <c r="G53" s="33">
        <v>0</v>
      </c>
      <c r="H53" s="33">
        <v>0</v>
      </c>
      <c r="I53" s="17"/>
    </row>
    <row r="54" spans="1:9">
      <c r="A54" s="4" t="s">
        <v>152</v>
      </c>
      <c r="B54" s="33">
        <v>0</v>
      </c>
      <c r="C54" s="33">
        <v>0</v>
      </c>
      <c r="D54" s="33">
        <v>0</v>
      </c>
      <c r="E54" s="33">
        <v>1</v>
      </c>
      <c r="F54" s="33">
        <v>0</v>
      </c>
      <c r="G54" s="33">
        <v>0</v>
      </c>
      <c r="H54" s="33">
        <v>0</v>
      </c>
      <c r="I54" s="17"/>
    </row>
    <row r="55" spans="1:9">
      <c r="A55" s="4" t="s">
        <v>157</v>
      </c>
      <c r="B55" s="33">
        <v>0</v>
      </c>
      <c r="C55" s="33">
        <v>0</v>
      </c>
      <c r="D55" s="33">
        <v>0</v>
      </c>
      <c r="E55" s="33">
        <v>1</v>
      </c>
      <c r="F55" s="33">
        <v>0</v>
      </c>
      <c r="G55" s="33">
        <v>0</v>
      </c>
      <c r="H55" s="33">
        <v>0</v>
      </c>
      <c r="I55" s="17"/>
    </row>
    <row r="56" spans="1:9">
      <c r="A56" s="4" t="s">
        <v>153</v>
      </c>
      <c r="B56" s="33">
        <v>0</v>
      </c>
      <c r="C56" s="33">
        <v>0</v>
      </c>
      <c r="D56" s="33">
        <v>0</v>
      </c>
      <c r="E56" s="33">
        <v>0</v>
      </c>
      <c r="F56" s="33">
        <v>1</v>
      </c>
      <c r="G56" s="33">
        <v>0</v>
      </c>
      <c r="H56" s="33">
        <v>0</v>
      </c>
      <c r="I56" s="17"/>
    </row>
    <row r="57" spans="1:9">
      <c r="A57" s="4" t="s">
        <v>154</v>
      </c>
      <c r="B57" s="33">
        <v>0</v>
      </c>
      <c r="C57" s="33">
        <v>0</v>
      </c>
      <c r="D57" s="33">
        <v>0</v>
      </c>
      <c r="E57" s="33">
        <v>0</v>
      </c>
      <c r="F57" s="33">
        <v>0</v>
      </c>
      <c r="G57" s="33">
        <v>1</v>
      </c>
      <c r="H57" s="33">
        <v>0</v>
      </c>
      <c r="I57" s="17"/>
    </row>
    <row r="58" spans="1:9">
      <c r="A58" s="4" t="s">
        <v>155</v>
      </c>
      <c r="B58" s="33">
        <v>0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  <c r="H58" s="33">
        <v>1</v>
      </c>
      <c r="I58" s="17"/>
    </row>
    <row r="60" spans="1:9" ht="21" customHeight="1">
      <c r="A60" s="1" t="s">
        <v>390</v>
      </c>
    </row>
    <row r="61" spans="1:9">
      <c r="A61" s="2" t="s">
        <v>379</v>
      </c>
    </row>
    <row r="62" spans="1:9">
      <c r="A62" s="29" t="s">
        <v>391</v>
      </c>
    </row>
    <row r="63" spans="1:9">
      <c r="A63" s="29" t="s">
        <v>381</v>
      </c>
    </row>
    <row r="64" spans="1:9">
      <c r="A64" s="2" t="s">
        <v>392</v>
      </c>
    </row>
    <row r="66" spans="1:3" ht="60">
      <c r="B66" s="15" t="s">
        <v>393</v>
      </c>
    </row>
    <row r="67" spans="1:3">
      <c r="A67" s="4" t="s">
        <v>149</v>
      </c>
      <c r="B67" s="34">
        <f>SUMPRODUCT($B51:$H51,Input!$B$156:$H$156)</f>
        <v>1.0100495819999999</v>
      </c>
      <c r="C67" s="17"/>
    </row>
    <row r="68" spans="1:3">
      <c r="A68" s="4" t="s">
        <v>150</v>
      </c>
      <c r="B68" s="34">
        <f>SUMPRODUCT($B52:$H52,Input!$B$156:$H$156)</f>
        <v>1.0150287149999999</v>
      </c>
      <c r="C68" s="17"/>
    </row>
    <row r="69" spans="1:3">
      <c r="A69" s="4" t="s">
        <v>151</v>
      </c>
      <c r="B69" s="34">
        <f>SUMPRODUCT($B53:$H53,Input!$B$156:$H$156)</f>
        <v>1.0214236969999999</v>
      </c>
      <c r="C69" s="17"/>
    </row>
    <row r="70" spans="1:3">
      <c r="A70" s="4" t="s">
        <v>152</v>
      </c>
      <c r="B70" s="34">
        <f>SUMPRODUCT($B54:$H54,Input!$B$156:$H$156)</f>
        <v>1.026965618</v>
      </c>
      <c r="C70" s="17"/>
    </row>
    <row r="71" spans="1:3">
      <c r="A71" s="4" t="s">
        <v>157</v>
      </c>
      <c r="B71" s="34">
        <f>SUMPRODUCT($B55:$H55,Input!$B$156:$H$156)</f>
        <v>1.026965618</v>
      </c>
      <c r="C71" s="17"/>
    </row>
    <row r="72" spans="1:3">
      <c r="A72" s="4" t="s">
        <v>153</v>
      </c>
      <c r="B72" s="34">
        <f>SUMPRODUCT($B56:$H56,Input!$B$156:$H$156)</f>
        <v>1.039338946</v>
      </c>
      <c r="C72" s="17"/>
    </row>
    <row r="73" spans="1:3">
      <c r="A73" s="4" t="s">
        <v>154</v>
      </c>
      <c r="B73" s="34">
        <f>SUMPRODUCT($B57:$H57,Input!$B$156:$H$156)</f>
        <v>1.053194046</v>
      </c>
      <c r="C73" s="17"/>
    </row>
    <row r="74" spans="1:3">
      <c r="A74" s="4" t="s">
        <v>155</v>
      </c>
      <c r="B74" s="34">
        <f>SUMPRODUCT($B58:$H58,Input!$B$156:$H$156)</f>
        <v>1.107559204</v>
      </c>
      <c r="C74" s="17"/>
    </row>
    <row r="76" spans="1:3" ht="21" customHeight="1">
      <c r="A76" s="1" t="s">
        <v>394</v>
      </c>
    </row>
    <row r="77" spans="1:3">
      <c r="A77" s="2" t="s">
        <v>379</v>
      </c>
    </row>
    <row r="78" spans="1:3">
      <c r="A78" s="29" t="s">
        <v>395</v>
      </c>
    </row>
    <row r="79" spans="1:3">
      <c r="A79" s="2" t="s">
        <v>396</v>
      </c>
    </row>
    <row r="80" spans="1:3">
      <c r="A80" s="2" t="s">
        <v>397</v>
      </c>
    </row>
    <row r="82" spans="1:11">
      <c r="B82" s="15" t="s">
        <v>148</v>
      </c>
      <c r="C82" s="15" t="s">
        <v>149</v>
      </c>
      <c r="D82" s="15" t="s">
        <v>150</v>
      </c>
      <c r="E82" s="15" t="s">
        <v>151</v>
      </c>
      <c r="F82" s="15" t="s">
        <v>152</v>
      </c>
      <c r="G82" s="15" t="s">
        <v>157</v>
      </c>
      <c r="H82" s="15" t="s">
        <v>153</v>
      </c>
      <c r="I82" s="15" t="s">
        <v>154</v>
      </c>
      <c r="J82" s="15" t="s">
        <v>155</v>
      </c>
    </row>
    <row r="83" spans="1:11" ht="30">
      <c r="A83" s="4" t="s">
        <v>398</v>
      </c>
      <c r="B83" s="26">
        <v>1</v>
      </c>
      <c r="C83" s="35">
        <f>$B$67</f>
        <v>1.0100495819999999</v>
      </c>
      <c r="D83" s="35">
        <f>$B$68</f>
        <v>1.0150287149999999</v>
      </c>
      <c r="E83" s="35">
        <f>$B$69</f>
        <v>1.0214236969999999</v>
      </c>
      <c r="F83" s="35">
        <f>$B$70</f>
        <v>1.026965618</v>
      </c>
      <c r="G83" s="35">
        <f>$B$71</f>
        <v>1.026965618</v>
      </c>
      <c r="H83" s="35">
        <f>$B$72</f>
        <v>1.039338946</v>
      </c>
      <c r="I83" s="35">
        <f>$B$73</f>
        <v>1.053194046</v>
      </c>
      <c r="J83" s="35">
        <f>$B$74</f>
        <v>1.107559204</v>
      </c>
      <c r="K83" s="17"/>
    </row>
    <row r="85" spans="1:11" ht="21" customHeight="1">
      <c r="A85" s="1" t="s">
        <v>399</v>
      </c>
    </row>
    <row r="86" spans="1:11">
      <c r="A86" s="2" t="s">
        <v>400</v>
      </c>
    </row>
    <row r="87" spans="1:11">
      <c r="A87" s="2" t="s">
        <v>401</v>
      </c>
    </row>
    <row r="88" spans="1:11">
      <c r="A88" s="2" t="s">
        <v>402</v>
      </c>
    </row>
    <row r="90" spans="1:11">
      <c r="B90" s="15" t="s">
        <v>148</v>
      </c>
      <c r="C90" s="15" t="s">
        <v>149</v>
      </c>
      <c r="D90" s="15" t="s">
        <v>150</v>
      </c>
      <c r="E90" s="15" t="s">
        <v>151</v>
      </c>
      <c r="F90" s="15" t="s">
        <v>152</v>
      </c>
      <c r="G90" s="15" t="s">
        <v>153</v>
      </c>
      <c r="H90" s="15" t="s">
        <v>154</v>
      </c>
      <c r="I90" s="15" t="s">
        <v>155</v>
      </c>
    </row>
    <row r="91" spans="1:11">
      <c r="A91" s="4" t="s">
        <v>180</v>
      </c>
      <c r="B91" s="26">
        <v>1</v>
      </c>
      <c r="C91" s="26">
        <v>1</v>
      </c>
      <c r="D91" s="26">
        <v>1</v>
      </c>
      <c r="E91" s="26">
        <v>1</v>
      </c>
      <c r="F91" s="26">
        <v>1</v>
      </c>
      <c r="G91" s="26">
        <v>1</v>
      </c>
      <c r="H91" s="26">
        <v>1</v>
      </c>
      <c r="I91" s="26">
        <v>1</v>
      </c>
      <c r="J91" s="17"/>
    </row>
    <row r="92" spans="1:11">
      <c r="A92" s="4" t="s">
        <v>181</v>
      </c>
      <c r="B92" s="26">
        <v>1</v>
      </c>
      <c r="C92" s="26">
        <v>1</v>
      </c>
      <c r="D92" s="26">
        <v>1</v>
      </c>
      <c r="E92" s="26">
        <v>1</v>
      </c>
      <c r="F92" s="26">
        <v>1</v>
      </c>
      <c r="G92" s="26">
        <v>1</v>
      </c>
      <c r="H92" s="26">
        <v>1</v>
      </c>
      <c r="I92" s="26">
        <v>1</v>
      </c>
      <c r="J92" s="17"/>
    </row>
    <row r="93" spans="1:11">
      <c r="A93" s="4" t="s">
        <v>226</v>
      </c>
      <c r="B93" s="26">
        <v>1</v>
      </c>
      <c r="C93" s="26">
        <v>1</v>
      </c>
      <c r="D93" s="26">
        <v>1</v>
      </c>
      <c r="E93" s="26">
        <v>1</v>
      </c>
      <c r="F93" s="26">
        <v>1</v>
      </c>
      <c r="G93" s="26">
        <v>1</v>
      </c>
      <c r="H93" s="26">
        <v>1</v>
      </c>
      <c r="I93" s="26">
        <v>1</v>
      </c>
      <c r="J93" s="17"/>
    </row>
    <row r="94" spans="1:11">
      <c r="A94" s="4" t="s">
        <v>182</v>
      </c>
      <c r="B94" s="26">
        <v>1</v>
      </c>
      <c r="C94" s="26">
        <v>1</v>
      </c>
      <c r="D94" s="26">
        <v>1</v>
      </c>
      <c r="E94" s="26">
        <v>1</v>
      </c>
      <c r="F94" s="26">
        <v>1</v>
      </c>
      <c r="G94" s="26">
        <v>1</v>
      </c>
      <c r="H94" s="26">
        <v>1</v>
      </c>
      <c r="I94" s="26">
        <v>1</v>
      </c>
      <c r="J94" s="17"/>
    </row>
    <row r="95" spans="1:11">
      <c r="A95" s="4" t="s">
        <v>183</v>
      </c>
      <c r="B95" s="26">
        <v>1</v>
      </c>
      <c r="C95" s="26">
        <v>1</v>
      </c>
      <c r="D95" s="26">
        <v>1</v>
      </c>
      <c r="E95" s="26">
        <v>1</v>
      </c>
      <c r="F95" s="26">
        <v>1</v>
      </c>
      <c r="G95" s="26">
        <v>1</v>
      </c>
      <c r="H95" s="26">
        <v>1</v>
      </c>
      <c r="I95" s="26">
        <v>1</v>
      </c>
      <c r="J95" s="17"/>
    </row>
    <row r="96" spans="1:11">
      <c r="A96" s="4" t="s">
        <v>227</v>
      </c>
      <c r="B96" s="26">
        <v>1</v>
      </c>
      <c r="C96" s="26">
        <v>1</v>
      </c>
      <c r="D96" s="26">
        <v>1</v>
      </c>
      <c r="E96" s="26">
        <v>1</v>
      </c>
      <c r="F96" s="26">
        <v>1</v>
      </c>
      <c r="G96" s="26">
        <v>1</v>
      </c>
      <c r="H96" s="26">
        <v>1</v>
      </c>
      <c r="I96" s="26">
        <v>1</v>
      </c>
      <c r="J96" s="17"/>
    </row>
    <row r="97" spans="1:10">
      <c r="A97" s="4" t="s">
        <v>184</v>
      </c>
      <c r="B97" s="26">
        <v>1</v>
      </c>
      <c r="C97" s="26">
        <v>1</v>
      </c>
      <c r="D97" s="26">
        <v>1</v>
      </c>
      <c r="E97" s="26">
        <v>1</v>
      </c>
      <c r="F97" s="26">
        <v>1</v>
      </c>
      <c r="G97" s="26">
        <v>1</v>
      </c>
      <c r="H97" s="26">
        <v>1</v>
      </c>
      <c r="I97" s="26">
        <v>1</v>
      </c>
      <c r="J97" s="17"/>
    </row>
    <row r="98" spans="1:10">
      <c r="A98" s="4" t="s">
        <v>185</v>
      </c>
      <c r="B98" s="26">
        <v>1</v>
      </c>
      <c r="C98" s="26">
        <v>1</v>
      </c>
      <c r="D98" s="26">
        <v>1</v>
      </c>
      <c r="E98" s="26">
        <v>1</v>
      </c>
      <c r="F98" s="26">
        <v>1</v>
      </c>
      <c r="G98" s="26">
        <v>1</v>
      </c>
      <c r="H98" s="26">
        <v>1</v>
      </c>
      <c r="I98" s="26">
        <v>0</v>
      </c>
      <c r="J98" s="17"/>
    </row>
    <row r="99" spans="1:10">
      <c r="A99" s="4" t="s">
        <v>205</v>
      </c>
      <c r="B99" s="26">
        <v>1</v>
      </c>
      <c r="C99" s="26">
        <v>1</v>
      </c>
      <c r="D99" s="26">
        <v>1</v>
      </c>
      <c r="E99" s="26">
        <v>1</v>
      </c>
      <c r="F99" s="26">
        <v>1</v>
      </c>
      <c r="G99" s="26">
        <v>1</v>
      </c>
      <c r="H99" s="26">
        <v>0</v>
      </c>
      <c r="I99" s="26">
        <v>0</v>
      </c>
      <c r="J99" s="17"/>
    </row>
    <row r="100" spans="1:10">
      <c r="A100" s="4" t="s">
        <v>186</v>
      </c>
      <c r="B100" s="26">
        <v>1</v>
      </c>
      <c r="C100" s="26">
        <v>1</v>
      </c>
      <c r="D100" s="26">
        <v>1</v>
      </c>
      <c r="E100" s="26">
        <v>1</v>
      </c>
      <c r="F100" s="26">
        <v>1</v>
      </c>
      <c r="G100" s="26">
        <v>1</v>
      </c>
      <c r="H100" s="26">
        <v>1</v>
      </c>
      <c r="I100" s="26">
        <v>1</v>
      </c>
      <c r="J100" s="17"/>
    </row>
    <row r="101" spans="1:10">
      <c r="A101" s="4" t="s">
        <v>187</v>
      </c>
      <c r="B101" s="26">
        <v>1</v>
      </c>
      <c r="C101" s="26">
        <v>1</v>
      </c>
      <c r="D101" s="26">
        <v>1</v>
      </c>
      <c r="E101" s="26">
        <v>1</v>
      </c>
      <c r="F101" s="26">
        <v>1</v>
      </c>
      <c r="G101" s="26">
        <v>1</v>
      </c>
      <c r="H101" s="26">
        <v>1</v>
      </c>
      <c r="I101" s="26">
        <v>1</v>
      </c>
      <c r="J101" s="17"/>
    </row>
    <row r="102" spans="1:10">
      <c r="A102" s="4" t="s">
        <v>188</v>
      </c>
      <c r="B102" s="26">
        <v>1</v>
      </c>
      <c r="C102" s="26">
        <v>1</v>
      </c>
      <c r="D102" s="26">
        <v>1</v>
      </c>
      <c r="E102" s="26">
        <v>1</v>
      </c>
      <c r="F102" s="26">
        <v>1</v>
      </c>
      <c r="G102" s="26">
        <v>1</v>
      </c>
      <c r="H102" s="26">
        <v>1</v>
      </c>
      <c r="I102" s="26">
        <v>1</v>
      </c>
      <c r="J102" s="17"/>
    </row>
    <row r="103" spans="1:10">
      <c r="A103" s="4" t="s">
        <v>189</v>
      </c>
      <c r="B103" s="26">
        <v>1</v>
      </c>
      <c r="C103" s="26">
        <v>1</v>
      </c>
      <c r="D103" s="26">
        <v>1</v>
      </c>
      <c r="E103" s="26">
        <v>1</v>
      </c>
      <c r="F103" s="26">
        <v>1</v>
      </c>
      <c r="G103" s="26">
        <v>1</v>
      </c>
      <c r="H103" s="26">
        <v>1</v>
      </c>
      <c r="I103" s="26">
        <v>0</v>
      </c>
      <c r="J103" s="17"/>
    </row>
    <row r="104" spans="1:10">
      <c r="A104" s="4" t="s">
        <v>206</v>
      </c>
      <c r="B104" s="26">
        <v>1</v>
      </c>
      <c r="C104" s="26">
        <v>1</v>
      </c>
      <c r="D104" s="26">
        <v>1</v>
      </c>
      <c r="E104" s="26">
        <v>1</v>
      </c>
      <c r="F104" s="26">
        <v>1</v>
      </c>
      <c r="G104" s="26">
        <v>1</v>
      </c>
      <c r="H104" s="26">
        <v>0</v>
      </c>
      <c r="I104" s="26">
        <v>0</v>
      </c>
      <c r="J104" s="17"/>
    </row>
    <row r="105" spans="1:10">
      <c r="A105" s="4" t="s">
        <v>228</v>
      </c>
      <c r="B105" s="26">
        <v>1</v>
      </c>
      <c r="C105" s="26">
        <v>1</v>
      </c>
      <c r="D105" s="26">
        <v>1</v>
      </c>
      <c r="E105" s="26">
        <v>1</v>
      </c>
      <c r="F105" s="26">
        <v>1</v>
      </c>
      <c r="G105" s="26">
        <v>1</v>
      </c>
      <c r="H105" s="26">
        <v>1</v>
      </c>
      <c r="I105" s="26">
        <v>1</v>
      </c>
      <c r="J105" s="17"/>
    </row>
    <row r="106" spans="1:10">
      <c r="A106" s="4" t="s">
        <v>229</v>
      </c>
      <c r="B106" s="26">
        <v>1</v>
      </c>
      <c r="C106" s="26">
        <v>1</v>
      </c>
      <c r="D106" s="26">
        <v>1</v>
      </c>
      <c r="E106" s="26">
        <v>1</v>
      </c>
      <c r="F106" s="26">
        <v>1</v>
      </c>
      <c r="G106" s="26">
        <v>1</v>
      </c>
      <c r="H106" s="26">
        <v>1</v>
      </c>
      <c r="I106" s="26">
        <v>1</v>
      </c>
      <c r="J106" s="17"/>
    </row>
    <row r="107" spans="1:10">
      <c r="A107" s="4" t="s">
        <v>230</v>
      </c>
      <c r="B107" s="26">
        <v>1</v>
      </c>
      <c r="C107" s="26">
        <v>1</v>
      </c>
      <c r="D107" s="26">
        <v>1</v>
      </c>
      <c r="E107" s="26">
        <v>1</v>
      </c>
      <c r="F107" s="26">
        <v>1</v>
      </c>
      <c r="G107" s="26">
        <v>1</v>
      </c>
      <c r="H107" s="26">
        <v>1</v>
      </c>
      <c r="I107" s="26">
        <v>1</v>
      </c>
      <c r="J107" s="17"/>
    </row>
    <row r="108" spans="1:10">
      <c r="A108" s="4" t="s">
        <v>231</v>
      </c>
      <c r="B108" s="26">
        <v>1</v>
      </c>
      <c r="C108" s="26">
        <v>1</v>
      </c>
      <c r="D108" s="26">
        <v>1</v>
      </c>
      <c r="E108" s="26">
        <v>1</v>
      </c>
      <c r="F108" s="26">
        <v>1</v>
      </c>
      <c r="G108" s="26">
        <v>1</v>
      </c>
      <c r="H108" s="26">
        <v>1</v>
      </c>
      <c r="I108" s="26">
        <v>1</v>
      </c>
      <c r="J108" s="17"/>
    </row>
    <row r="109" spans="1:10">
      <c r="A109" s="4" t="s">
        <v>232</v>
      </c>
      <c r="B109" s="26">
        <v>1</v>
      </c>
      <c r="C109" s="26">
        <v>1</v>
      </c>
      <c r="D109" s="26">
        <v>1</v>
      </c>
      <c r="E109" s="26">
        <v>1</v>
      </c>
      <c r="F109" s="26">
        <v>1</v>
      </c>
      <c r="G109" s="26">
        <v>1</v>
      </c>
      <c r="H109" s="26">
        <v>1</v>
      </c>
      <c r="I109" s="26">
        <v>1</v>
      </c>
      <c r="J109" s="17"/>
    </row>
    <row r="110" spans="1:10">
      <c r="A110" s="4" t="s">
        <v>190</v>
      </c>
      <c r="B110" s="26">
        <v>1</v>
      </c>
      <c r="C110" s="26">
        <v>1</v>
      </c>
      <c r="D110" s="26">
        <v>1</v>
      </c>
      <c r="E110" s="26">
        <v>1</v>
      </c>
      <c r="F110" s="26">
        <v>1</v>
      </c>
      <c r="G110" s="26">
        <v>1</v>
      </c>
      <c r="H110" s="26">
        <v>1</v>
      </c>
      <c r="I110" s="26">
        <v>0</v>
      </c>
      <c r="J110" s="17"/>
    </row>
    <row r="111" spans="1:10">
      <c r="A111" s="4" t="s">
        <v>191</v>
      </c>
      <c r="B111" s="26">
        <v>1</v>
      </c>
      <c r="C111" s="26">
        <v>1</v>
      </c>
      <c r="D111" s="26">
        <v>1</v>
      </c>
      <c r="E111" s="26">
        <v>1</v>
      </c>
      <c r="F111" s="26">
        <v>1</v>
      </c>
      <c r="G111" s="26">
        <v>1</v>
      </c>
      <c r="H111" s="26">
        <v>0</v>
      </c>
      <c r="I111" s="26">
        <v>0</v>
      </c>
      <c r="J111" s="17"/>
    </row>
    <row r="112" spans="1:10">
      <c r="A112" s="4" t="s">
        <v>192</v>
      </c>
      <c r="B112" s="26">
        <v>1</v>
      </c>
      <c r="C112" s="26">
        <v>1</v>
      </c>
      <c r="D112" s="26">
        <v>1</v>
      </c>
      <c r="E112" s="26">
        <v>1</v>
      </c>
      <c r="F112" s="26">
        <v>1</v>
      </c>
      <c r="G112" s="26">
        <v>1</v>
      </c>
      <c r="H112" s="26">
        <v>1</v>
      </c>
      <c r="I112" s="26">
        <v>0</v>
      </c>
      <c r="J112" s="17"/>
    </row>
    <row r="113" spans="1:10">
      <c r="A113" s="4" t="s">
        <v>193</v>
      </c>
      <c r="B113" s="26">
        <v>1</v>
      </c>
      <c r="C113" s="26">
        <v>1</v>
      </c>
      <c r="D113" s="26">
        <v>1</v>
      </c>
      <c r="E113" s="26">
        <v>1</v>
      </c>
      <c r="F113" s="26">
        <v>1</v>
      </c>
      <c r="G113" s="26">
        <v>1</v>
      </c>
      <c r="H113" s="26">
        <v>1</v>
      </c>
      <c r="I113" s="26">
        <v>0</v>
      </c>
      <c r="J113" s="17"/>
    </row>
    <row r="114" spans="1:10">
      <c r="A114" s="4" t="s">
        <v>194</v>
      </c>
      <c r="B114" s="26">
        <v>1</v>
      </c>
      <c r="C114" s="26">
        <v>1</v>
      </c>
      <c r="D114" s="26">
        <v>1</v>
      </c>
      <c r="E114" s="26">
        <v>1</v>
      </c>
      <c r="F114" s="26">
        <v>1</v>
      </c>
      <c r="G114" s="26">
        <v>1</v>
      </c>
      <c r="H114" s="26">
        <v>1</v>
      </c>
      <c r="I114" s="26">
        <v>0</v>
      </c>
      <c r="J114" s="17"/>
    </row>
    <row r="115" spans="1:10">
      <c r="A115" s="4" t="s">
        <v>195</v>
      </c>
      <c r="B115" s="26">
        <v>1</v>
      </c>
      <c r="C115" s="26">
        <v>1</v>
      </c>
      <c r="D115" s="26">
        <v>1</v>
      </c>
      <c r="E115" s="26">
        <v>1</v>
      </c>
      <c r="F115" s="26">
        <v>1</v>
      </c>
      <c r="G115" s="26">
        <v>1</v>
      </c>
      <c r="H115" s="26">
        <v>1</v>
      </c>
      <c r="I115" s="26">
        <v>0</v>
      </c>
      <c r="J115" s="17"/>
    </row>
    <row r="116" spans="1:10">
      <c r="A116" s="4" t="s">
        <v>196</v>
      </c>
      <c r="B116" s="26">
        <v>1</v>
      </c>
      <c r="C116" s="26">
        <v>1</v>
      </c>
      <c r="D116" s="26">
        <v>1</v>
      </c>
      <c r="E116" s="26">
        <v>1</v>
      </c>
      <c r="F116" s="26">
        <v>1</v>
      </c>
      <c r="G116" s="26">
        <v>1</v>
      </c>
      <c r="H116" s="26">
        <v>0</v>
      </c>
      <c r="I116" s="26">
        <v>0</v>
      </c>
      <c r="J116" s="17"/>
    </row>
    <row r="117" spans="1:10">
      <c r="A117" s="4" t="s">
        <v>197</v>
      </c>
      <c r="B117" s="26">
        <v>1</v>
      </c>
      <c r="C117" s="26">
        <v>1</v>
      </c>
      <c r="D117" s="26">
        <v>1</v>
      </c>
      <c r="E117" s="26">
        <v>1</v>
      </c>
      <c r="F117" s="26">
        <v>1</v>
      </c>
      <c r="G117" s="26">
        <v>1</v>
      </c>
      <c r="H117" s="26">
        <v>0</v>
      </c>
      <c r="I117" s="26">
        <v>0</v>
      </c>
      <c r="J117" s="17"/>
    </row>
    <row r="118" spans="1:10">
      <c r="A118" s="4" t="s">
        <v>198</v>
      </c>
      <c r="B118" s="26">
        <v>1</v>
      </c>
      <c r="C118" s="26">
        <v>1</v>
      </c>
      <c r="D118" s="26">
        <v>1</v>
      </c>
      <c r="E118" s="26">
        <v>1</v>
      </c>
      <c r="F118" s="26">
        <v>1</v>
      </c>
      <c r="G118" s="26">
        <v>1</v>
      </c>
      <c r="H118" s="26">
        <v>0</v>
      </c>
      <c r="I118" s="26">
        <v>0</v>
      </c>
      <c r="J118" s="17"/>
    </row>
    <row r="119" spans="1:10">
      <c r="A119" s="4" t="s">
        <v>199</v>
      </c>
      <c r="B119" s="26">
        <v>1</v>
      </c>
      <c r="C119" s="26">
        <v>1</v>
      </c>
      <c r="D119" s="26">
        <v>1</v>
      </c>
      <c r="E119" s="26">
        <v>1</v>
      </c>
      <c r="F119" s="26">
        <v>1</v>
      </c>
      <c r="G119" s="26">
        <v>1</v>
      </c>
      <c r="H119" s="26">
        <v>0</v>
      </c>
      <c r="I119" s="26">
        <v>0</v>
      </c>
      <c r="J119" s="17"/>
    </row>
    <row r="120" spans="1:10">
      <c r="A120" s="4" t="s">
        <v>207</v>
      </c>
      <c r="B120" s="26">
        <v>1</v>
      </c>
      <c r="C120" s="26">
        <v>1</v>
      </c>
      <c r="D120" s="26">
        <v>1</v>
      </c>
      <c r="E120" s="26">
        <v>1</v>
      </c>
      <c r="F120" s="26">
        <v>1</v>
      </c>
      <c r="G120" s="26">
        <v>0</v>
      </c>
      <c r="H120" s="26">
        <v>0</v>
      </c>
      <c r="I120" s="26">
        <v>0</v>
      </c>
      <c r="J120" s="17"/>
    </row>
    <row r="121" spans="1:10">
      <c r="A121" s="4" t="s">
        <v>208</v>
      </c>
      <c r="B121" s="26">
        <v>1</v>
      </c>
      <c r="C121" s="26">
        <v>1</v>
      </c>
      <c r="D121" s="26">
        <v>1</v>
      </c>
      <c r="E121" s="26">
        <v>1</v>
      </c>
      <c r="F121" s="26">
        <v>1</v>
      </c>
      <c r="G121" s="26">
        <v>0</v>
      </c>
      <c r="H121" s="26">
        <v>0</v>
      </c>
      <c r="I121" s="26">
        <v>0</v>
      </c>
      <c r="J121" s="17"/>
    </row>
    <row r="122" spans="1:10">
      <c r="A122" s="4" t="s">
        <v>209</v>
      </c>
      <c r="B122" s="26">
        <v>1</v>
      </c>
      <c r="C122" s="26">
        <v>1</v>
      </c>
      <c r="D122" s="26">
        <v>1</v>
      </c>
      <c r="E122" s="26">
        <v>1</v>
      </c>
      <c r="F122" s="26">
        <v>1</v>
      </c>
      <c r="G122" s="26">
        <v>0</v>
      </c>
      <c r="H122" s="26">
        <v>0</v>
      </c>
      <c r="I122" s="26">
        <v>0</v>
      </c>
      <c r="J122" s="17"/>
    </row>
    <row r="123" spans="1:10">
      <c r="A123" s="4" t="s">
        <v>210</v>
      </c>
      <c r="B123" s="26">
        <v>1</v>
      </c>
      <c r="C123" s="26">
        <v>1</v>
      </c>
      <c r="D123" s="26">
        <v>1</v>
      </c>
      <c r="E123" s="26">
        <v>1</v>
      </c>
      <c r="F123" s="26">
        <v>1</v>
      </c>
      <c r="G123" s="26">
        <v>0</v>
      </c>
      <c r="H123" s="26">
        <v>0</v>
      </c>
      <c r="I123" s="26">
        <v>0</v>
      </c>
      <c r="J123" s="17"/>
    </row>
    <row r="125" spans="1:10" ht="21" customHeight="1">
      <c r="A125" s="1" t="s">
        <v>403</v>
      </c>
    </row>
    <row r="126" spans="1:10">
      <c r="A126" s="2" t="s">
        <v>379</v>
      </c>
    </row>
    <row r="127" spans="1:10">
      <c r="A127" s="29" t="s">
        <v>404</v>
      </c>
    </row>
    <row r="128" spans="1:10">
      <c r="A128" s="2" t="s">
        <v>405</v>
      </c>
    </row>
    <row r="130" spans="1:3">
      <c r="B130" s="15" t="s">
        <v>150</v>
      </c>
    </row>
    <row r="131" spans="1:3">
      <c r="A131" s="4" t="s">
        <v>150</v>
      </c>
      <c r="B131" s="36">
        <f>1-Input!$B$82</f>
        <v>1</v>
      </c>
      <c r="C131" s="17"/>
    </row>
    <row r="133" spans="1:3" ht="21" customHeight="1">
      <c r="A133" s="1" t="s">
        <v>406</v>
      </c>
    </row>
    <row r="134" spans="1:3">
      <c r="A134" s="2" t="s">
        <v>379</v>
      </c>
    </row>
    <row r="135" spans="1:3">
      <c r="A135" s="29" t="s">
        <v>404</v>
      </c>
    </row>
    <row r="136" spans="1:3">
      <c r="A136" s="2" t="s">
        <v>405</v>
      </c>
    </row>
    <row r="138" spans="1:3">
      <c r="B138" s="15" t="s">
        <v>151</v>
      </c>
    </row>
    <row r="139" spans="1:3">
      <c r="A139" s="4" t="s">
        <v>151</v>
      </c>
      <c r="B139" s="36">
        <f>1-Input!$B$82</f>
        <v>1</v>
      </c>
      <c r="C139" s="17"/>
    </row>
    <row r="141" spans="1:3" ht="21" customHeight="1">
      <c r="A141" s="1" t="s">
        <v>407</v>
      </c>
    </row>
    <row r="142" spans="1:3">
      <c r="A142" s="2" t="s">
        <v>379</v>
      </c>
    </row>
    <row r="143" spans="1:3">
      <c r="A143" s="29" t="s">
        <v>404</v>
      </c>
    </row>
    <row r="144" spans="1:3">
      <c r="A144" s="2" t="s">
        <v>405</v>
      </c>
    </row>
    <row r="146" spans="1:10">
      <c r="B146" s="15" t="s">
        <v>152</v>
      </c>
    </row>
    <row r="147" spans="1:10">
      <c r="A147" s="4" t="s">
        <v>152</v>
      </c>
      <c r="B147" s="36">
        <f>1-Input!$B$82</f>
        <v>1</v>
      </c>
      <c r="C147" s="17"/>
    </row>
    <row r="149" spans="1:10" ht="21" customHeight="1">
      <c r="A149" s="1" t="s">
        <v>408</v>
      </c>
    </row>
    <row r="150" spans="1:10">
      <c r="A150" s="2" t="s">
        <v>379</v>
      </c>
    </row>
    <row r="151" spans="1:10">
      <c r="A151" s="29" t="s">
        <v>404</v>
      </c>
    </row>
    <row r="152" spans="1:10">
      <c r="A152" s="29" t="s">
        <v>409</v>
      </c>
    </row>
    <row r="153" spans="1:10">
      <c r="A153" s="29" t="s">
        <v>410</v>
      </c>
    </row>
    <row r="154" spans="1:10">
      <c r="A154" s="29" t="s">
        <v>411</v>
      </c>
    </row>
    <row r="155" spans="1:10">
      <c r="A155" s="2" t="s">
        <v>412</v>
      </c>
    </row>
    <row r="156" spans="1:10">
      <c r="A156" s="2" t="s">
        <v>413</v>
      </c>
    </row>
    <row r="157" spans="1:10">
      <c r="A157" s="2" t="s">
        <v>414</v>
      </c>
    </row>
    <row r="159" spans="1:10">
      <c r="B159" s="15" t="s">
        <v>148</v>
      </c>
      <c r="C159" s="15" t="s">
        <v>149</v>
      </c>
      <c r="D159" s="15" t="s">
        <v>150</v>
      </c>
      <c r="E159" s="15" t="s">
        <v>151</v>
      </c>
      <c r="F159" s="15" t="s">
        <v>152</v>
      </c>
      <c r="G159" s="15" t="s">
        <v>153</v>
      </c>
      <c r="H159" s="15" t="s">
        <v>154</v>
      </c>
      <c r="I159" s="15" t="s">
        <v>155</v>
      </c>
    </row>
    <row r="160" spans="1:10">
      <c r="A160" s="4" t="s">
        <v>148</v>
      </c>
      <c r="B160" s="26">
        <v>1</v>
      </c>
      <c r="C160" s="10"/>
      <c r="D160" s="10"/>
      <c r="E160" s="10"/>
      <c r="F160" s="10"/>
      <c r="G160" s="10"/>
      <c r="H160" s="10"/>
      <c r="I160" s="10"/>
      <c r="J160" s="17"/>
    </row>
    <row r="161" spans="1:10">
      <c r="A161" s="4" t="s">
        <v>149</v>
      </c>
      <c r="B161" s="10"/>
      <c r="C161" s="37">
        <v>1</v>
      </c>
      <c r="D161" s="37">
        <v>0</v>
      </c>
      <c r="E161" s="37">
        <v>0</v>
      </c>
      <c r="F161" s="37">
        <v>0</v>
      </c>
      <c r="G161" s="37">
        <v>0</v>
      </c>
      <c r="H161" s="37">
        <v>0</v>
      </c>
      <c r="I161" s="37">
        <v>0</v>
      </c>
      <c r="J161" s="17"/>
    </row>
    <row r="162" spans="1:10">
      <c r="A162" s="4" t="s">
        <v>150</v>
      </c>
      <c r="B162" s="10"/>
      <c r="C162" s="37">
        <v>0</v>
      </c>
      <c r="D162" s="38">
        <f>$B$131</f>
        <v>1</v>
      </c>
      <c r="E162" s="37">
        <v>0</v>
      </c>
      <c r="F162" s="37">
        <v>0</v>
      </c>
      <c r="G162" s="37">
        <v>0</v>
      </c>
      <c r="H162" s="37">
        <v>0</v>
      </c>
      <c r="I162" s="37">
        <v>0</v>
      </c>
      <c r="J162" s="17"/>
    </row>
    <row r="163" spans="1:10">
      <c r="A163" s="4" t="s">
        <v>151</v>
      </c>
      <c r="B163" s="10"/>
      <c r="C163" s="37">
        <v>0</v>
      </c>
      <c r="D163" s="37">
        <v>0</v>
      </c>
      <c r="E163" s="38">
        <f>$B$139</f>
        <v>1</v>
      </c>
      <c r="F163" s="37">
        <v>0</v>
      </c>
      <c r="G163" s="37">
        <v>0</v>
      </c>
      <c r="H163" s="37">
        <v>0</v>
      </c>
      <c r="I163" s="37">
        <v>0</v>
      </c>
      <c r="J163" s="17"/>
    </row>
    <row r="164" spans="1:10">
      <c r="A164" s="4" t="s">
        <v>152</v>
      </c>
      <c r="B164" s="10"/>
      <c r="C164" s="37">
        <v>0</v>
      </c>
      <c r="D164" s="37">
        <v>0</v>
      </c>
      <c r="E164" s="37">
        <v>0</v>
      </c>
      <c r="F164" s="38">
        <f>$B$147</f>
        <v>1</v>
      </c>
      <c r="G164" s="37">
        <v>0</v>
      </c>
      <c r="H164" s="37">
        <v>0</v>
      </c>
      <c r="I164" s="37">
        <v>0</v>
      </c>
      <c r="J164" s="17"/>
    </row>
    <row r="165" spans="1:10">
      <c r="A165" s="4" t="s">
        <v>157</v>
      </c>
      <c r="B165" s="10"/>
      <c r="C165" s="37">
        <v>0</v>
      </c>
      <c r="D165" s="37">
        <v>0</v>
      </c>
      <c r="E165" s="37">
        <v>0</v>
      </c>
      <c r="F165" s="38">
        <f>Input!$B$82</f>
        <v>0</v>
      </c>
      <c r="G165" s="37">
        <v>0</v>
      </c>
      <c r="H165" s="37">
        <v>0</v>
      </c>
      <c r="I165" s="37">
        <v>0</v>
      </c>
      <c r="J165" s="17"/>
    </row>
    <row r="166" spans="1:10">
      <c r="A166" s="4" t="s">
        <v>153</v>
      </c>
      <c r="B166" s="10"/>
      <c r="C166" s="37">
        <v>0</v>
      </c>
      <c r="D166" s="37">
        <v>0</v>
      </c>
      <c r="E166" s="37">
        <v>0</v>
      </c>
      <c r="F166" s="37">
        <v>0</v>
      </c>
      <c r="G166" s="37">
        <v>1</v>
      </c>
      <c r="H166" s="37">
        <v>0</v>
      </c>
      <c r="I166" s="37">
        <v>0</v>
      </c>
      <c r="J166" s="17"/>
    </row>
    <row r="167" spans="1:10">
      <c r="A167" s="4" t="s">
        <v>154</v>
      </c>
      <c r="B167" s="10"/>
      <c r="C167" s="37">
        <v>0</v>
      </c>
      <c r="D167" s="37">
        <v>0</v>
      </c>
      <c r="E167" s="37">
        <v>0</v>
      </c>
      <c r="F167" s="37">
        <v>0</v>
      </c>
      <c r="G167" s="37">
        <v>0</v>
      </c>
      <c r="H167" s="37">
        <v>1</v>
      </c>
      <c r="I167" s="37">
        <v>0</v>
      </c>
      <c r="J167" s="17"/>
    </row>
    <row r="168" spans="1:10">
      <c r="A168" s="4" t="s">
        <v>155</v>
      </c>
      <c r="B168" s="10"/>
      <c r="C168" s="37">
        <v>0</v>
      </c>
      <c r="D168" s="37">
        <v>0</v>
      </c>
      <c r="E168" s="37">
        <v>0</v>
      </c>
      <c r="F168" s="37">
        <v>0</v>
      </c>
      <c r="G168" s="37">
        <v>0</v>
      </c>
      <c r="H168" s="37">
        <v>0</v>
      </c>
      <c r="I168" s="37">
        <v>1</v>
      </c>
      <c r="J168" s="17"/>
    </row>
    <row r="170" spans="1:10" ht="21" customHeight="1">
      <c r="A170" s="1" t="s">
        <v>415</v>
      </c>
    </row>
    <row r="171" spans="1:10">
      <c r="A171" s="2" t="s">
        <v>379</v>
      </c>
    </row>
    <row r="172" spans="1:10">
      <c r="A172" s="29" t="s">
        <v>416</v>
      </c>
    </row>
    <row r="173" spans="1:10">
      <c r="A173" s="29" t="s">
        <v>417</v>
      </c>
    </row>
    <row r="174" spans="1:10">
      <c r="A174" s="2" t="s">
        <v>392</v>
      </c>
    </row>
    <row r="176" spans="1:10">
      <c r="B176" s="15" t="s">
        <v>148</v>
      </c>
      <c r="C176" s="15" t="s">
        <v>149</v>
      </c>
      <c r="D176" s="15" t="s">
        <v>150</v>
      </c>
      <c r="E176" s="15" t="s">
        <v>151</v>
      </c>
      <c r="F176" s="15" t="s">
        <v>152</v>
      </c>
      <c r="G176" s="15" t="s">
        <v>157</v>
      </c>
      <c r="H176" s="15" t="s">
        <v>153</v>
      </c>
      <c r="I176" s="15" t="s">
        <v>154</v>
      </c>
      <c r="J176" s="15" t="s">
        <v>155</v>
      </c>
    </row>
    <row r="177" spans="1:11">
      <c r="A177" s="4" t="s">
        <v>180</v>
      </c>
      <c r="B177" s="34">
        <f t="shared" ref="B177:B209" si="0">SUMPRODUCT($B91:$I91,$B$160:$I$160)</f>
        <v>1</v>
      </c>
      <c r="C177" s="34">
        <f t="shared" ref="C177:C209" si="1">SUMPRODUCT($B91:$I91,$B$161:$I$161)</f>
        <v>1</v>
      </c>
      <c r="D177" s="34">
        <f t="shared" ref="D177:D209" si="2">SUMPRODUCT($B91:$I91,$B$162:$I$162)</f>
        <v>1</v>
      </c>
      <c r="E177" s="34">
        <f t="shared" ref="E177:E209" si="3">SUMPRODUCT($B91:$I91,$B$163:$I$163)</f>
        <v>1</v>
      </c>
      <c r="F177" s="34">
        <f t="shared" ref="F177:F209" si="4">SUMPRODUCT($B91:$I91,$B$164:$I$164)</f>
        <v>1</v>
      </c>
      <c r="G177" s="34">
        <f t="shared" ref="G177:G209" si="5">SUMPRODUCT($B91:$I91,$B$165:$I$165)</f>
        <v>0</v>
      </c>
      <c r="H177" s="34">
        <f t="shared" ref="H177:H209" si="6">SUMPRODUCT($B91:$I91,$B$166:$I$166)</f>
        <v>1</v>
      </c>
      <c r="I177" s="34">
        <f t="shared" ref="I177:I209" si="7">SUMPRODUCT($B91:$I91,$B$167:$I$167)</f>
        <v>1</v>
      </c>
      <c r="J177" s="34">
        <f t="shared" ref="J177:J209" si="8">SUMPRODUCT($B91:$I91,$B$168:$I$168)</f>
        <v>1</v>
      </c>
      <c r="K177" s="17"/>
    </row>
    <row r="178" spans="1:11">
      <c r="A178" s="4" t="s">
        <v>181</v>
      </c>
      <c r="B178" s="34">
        <f t="shared" si="0"/>
        <v>1</v>
      </c>
      <c r="C178" s="34">
        <f t="shared" si="1"/>
        <v>1</v>
      </c>
      <c r="D178" s="34">
        <f t="shared" si="2"/>
        <v>1</v>
      </c>
      <c r="E178" s="34">
        <f t="shared" si="3"/>
        <v>1</v>
      </c>
      <c r="F178" s="34">
        <f t="shared" si="4"/>
        <v>1</v>
      </c>
      <c r="G178" s="34">
        <f t="shared" si="5"/>
        <v>0</v>
      </c>
      <c r="H178" s="34">
        <f t="shared" si="6"/>
        <v>1</v>
      </c>
      <c r="I178" s="34">
        <f t="shared" si="7"/>
        <v>1</v>
      </c>
      <c r="J178" s="34">
        <f t="shared" si="8"/>
        <v>1</v>
      </c>
      <c r="K178" s="17"/>
    </row>
    <row r="179" spans="1:11">
      <c r="A179" s="4" t="s">
        <v>226</v>
      </c>
      <c r="B179" s="34">
        <f t="shared" si="0"/>
        <v>1</v>
      </c>
      <c r="C179" s="34">
        <f t="shared" si="1"/>
        <v>1</v>
      </c>
      <c r="D179" s="34">
        <f t="shared" si="2"/>
        <v>1</v>
      </c>
      <c r="E179" s="34">
        <f t="shared" si="3"/>
        <v>1</v>
      </c>
      <c r="F179" s="34">
        <f t="shared" si="4"/>
        <v>1</v>
      </c>
      <c r="G179" s="34">
        <f t="shared" si="5"/>
        <v>0</v>
      </c>
      <c r="H179" s="34">
        <f t="shared" si="6"/>
        <v>1</v>
      </c>
      <c r="I179" s="34">
        <f t="shared" si="7"/>
        <v>1</v>
      </c>
      <c r="J179" s="34">
        <f t="shared" si="8"/>
        <v>1</v>
      </c>
      <c r="K179" s="17"/>
    </row>
    <row r="180" spans="1:11">
      <c r="A180" s="4" t="s">
        <v>182</v>
      </c>
      <c r="B180" s="34">
        <f t="shared" si="0"/>
        <v>1</v>
      </c>
      <c r="C180" s="34">
        <f t="shared" si="1"/>
        <v>1</v>
      </c>
      <c r="D180" s="34">
        <f t="shared" si="2"/>
        <v>1</v>
      </c>
      <c r="E180" s="34">
        <f t="shared" si="3"/>
        <v>1</v>
      </c>
      <c r="F180" s="34">
        <f t="shared" si="4"/>
        <v>1</v>
      </c>
      <c r="G180" s="34">
        <f t="shared" si="5"/>
        <v>0</v>
      </c>
      <c r="H180" s="34">
        <f t="shared" si="6"/>
        <v>1</v>
      </c>
      <c r="I180" s="34">
        <f t="shared" si="7"/>
        <v>1</v>
      </c>
      <c r="J180" s="34">
        <f t="shared" si="8"/>
        <v>1</v>
      </c>
      <c r="K180" s="17"/>
    </row>
    <row r="181" spans="1:11">
      <c r="A181" s="4" t="s">
        <v>183</v>
      </c>
      <c r="B181" s="34">
        <f t="shared" si="0"/>
        <v>1</v>
      </c>
      <c r="C181" s="34">
        <f t="shared" si="1"/>
        <v>1</v>
      </c>
      <c r="D181" s="34">
        <f t="shared" si="2"/>
        <v>1</v>
      </c>
      <c r="E181" s="34">
        <f t="shared" si="3"/>
        <v>1</v>
      </c>
      <c r="F181" s="34">
        <f t="shared" si="4"/>
        <v>1</v>
      </c>
      <c r="G181" s="34">
        <f t="shared" si="5"/>
        <v>0</v>
      </c>
      <c r="H181" s="34">
        <f t="shared" si="6"/>
        <v>1</v>
      </c>
      <c r="I181" s="34">
        <f t="shared" si="7"/>
        <v>1</v>
      </c>
      <c r="J181" s="34">
        <f t="shared" si="8"/>
        <v>1</v>
      </c>
      <c r="K181" s="17"/>
    </row>
    <row r="182" spans="1:11">
      <c r="A182" s="4" t="s">
        <v>227</v>
      </c>
      <c r="B182" s="34">
        <f t="shared" si="0"/>
        <v>1</v>
      </c>
      <c r="C182" s="34">
        <f t="shared" si="1"/>
        <v>1</v>
      </c>
      <c r="D182" s="34">
        <f t="shared" si="2"/>
        <v>1</v>
      </c>
      <c r="E182" s="34">
        <f t="shared" si="3"/>
        <v>1</v>
      </c>
      <c r="F182" s="34">
        <f t="shared" si="4"/>
        <v>1</v>
      </c>
      <c r="G182" s="34">
        <f t="shared" si="5"/>
        <v>0</v>
      </c>
      <c r="H182" s="34">
        <f t="shared" si="6"/>
        <v>1</v>
      </c>
      <c r="I182" s="34">
        <f t="shared" si="7"/>
        <v>1</v>
      </c>
      <c r="J182" s="34">
        <f t="shared" si="8"/>
        <v>1</v>
      </c>
      <c r="K182" s="17"/>
    </row>
    <row r="183" spans="1:11">
      <c r="A183" s="4" t="s">
        <v>184</v>
      </c>
      <c r="B183" s="34">
        <f t="shared" si="0"/>
        <v>1</v>
      </c>
      <c r="C183" s="34">
        <f t="shared" si="1"/>
        <v>1</v>
      </c>
      <c r="D183" s="34">
        <f t="shared" si="2"/>
        <v>1</v>
      </c>
      <c r="E183" s="34">
        <f t="shared" si="3"/>
        <v>1</v>
      </c>
      <c r="F183" s="34">
        <f t="shared" si="4"/>
        <v>1</v>
      </c>
      <c r="G183" s="34">
        <f t="shared" si="5"/>
        <v>0</v>
      </c>
      <c r="H183" s="34">
        <f t="shared" si="6"/>
        <v>1</v>
      </c>
      <c r="I183" s="34">
        <f t="shared" si="7"/>
        <v>1</v>
      </c>
      <c r="J183" s="34">
        <f t="shared" si="8"/>
        <v>1</v>
      </c>
      <c r="K183" s="17"/>
    </row>
    <row r="184" spans="1:11">
      <c r="A184" s="4" t="s">
        <v>185</v>
      </c>
      <c r="B184" s="34">
        <f t="shared" si="0"/>
        <v>1</v>
      </c>
      <c r="C184" s="34">
        <f t="shared" si="1"/>
        <v>1</v>
      </c>
      <c r="D184" s="34">
        <f t="shared" si="2"/>
        <v>1</v>
      </c>
      <c r="E184" s="34">
        <f t="shared" si="3"/>
        <v>1</v>
      </c>
      <c r="F184" s="34">
        <f t="shared" si="4"/>
        <v>1</v>
      </c>
      <c r="G184" s="34">
        <f t="shared" si="5"/>
        <v>0</v>
      </c>
      <c r="H184" s="34">
        <f t="shared" si="6"/>
        <v>1</v>
      </c>
      <c r="I184" s="34">
        <f t="shared" si="7"/>
        <v>1</v>
      </c>
      <c r="J184" s="34">
        <f t="shared" si="8"/>
        <v>0</v>
      </c>
      <c r="K184" s="17"/>
    </row>
    <row r="185" spans="1:11">
      <c r="A185" s="4" t="s">
        <v>205</v>
      </c>
      <c r="B185" s="34">
        <f t="shared" si="0"/>
        <v>1</v>
      </c>
      <c r="C185" s="34">
        <f t="shared" si="1"/>
        <v>1</v>
      </c>
      <c r="D185" s="34">
        <f t="shared" si="2"/>
        <v>1</v>
      </c>
      <c r="E185" s="34">
        <f t="shared" si="3"/>
        <v>1</v>
      </c>
      <c r="F185" s="34">
        <f t="shared" si="4"/>
        <v>1</v>
      </c>
      <c r="G185" s="34">
        <f t="shared" si="5"/>
        <v>0</v>
      </c>
      <c r="H185" s="34">
        <f t="shared" si="6"/>
        <v>1</v>
      </c>
      <c r="I185" s="34">
        <f t="shared" si="7"/>
        <v>0</v>
      </c>
      <c r="J185" s="34">
        <f t="shared" si="8"/>
        <v>0</v>
      </c>
      <c r="K185" s="17"/>
    </row>
    <row r="186" spans="1:11">
      <c r="A186" s="4" t="s">
        <v>186</v>
      </c>
      <c r="B186" s="34">
        <f t="shared" si="0"/>
        <v>1</v>
      </c>
      <c r="C186" s="34">
        <f t="shared" si="1"/>
        <v>1</v>
      </c>
      <c r="D186" s="34">
        <f t="shared" si="2"/>
        <v>1</v>
      </c>
      <c r="E186" s="34">
        <f t="shared" si="3"/>
        <v>1</v>
      </c>
      <c r="F186" s="34">
        <f t="shared" si="4"/>
        <v>1</v>
      </c>
      <c r="G186" s="34">
        <f t="shared" si="5"/>
        <v>0</v>
      </c>
      <c r="H186" s="34">
        <f t="shared" si="6"/>
        <v>1</v>
      </c>
      <c r="I186" s="34">
        <f t="shared" si="7"/>
        <v>1</v>
      </c>
      <c r="J186" s="34">
        <f t="shared" si="8"/>
        <v>1</v>
      </c>
      <c r="K186" s="17"/>
    </row>
    <row r="187" spans="1:11">
      <c r="A187" s="4" t="s">
        <v>187</v>
      </c>
      <c r="B187" s="34">
        <f t="shared" si="0"/>
        <v>1</v>
      </c>
      <c r="C187" s="34">
        <f t="shared" si="1"/>
        <v>1</v>
      </c>
      <c r="D187" s="34">
        <f t="shared" si="2"/>
        <v>1</v>
      </c>
      <c r="E187" s="34">
        <f t="shared" si="3"/>
        <v>1</v>
      </c>
      <c r="F187" s="34">
        <f t="shared" si="4"/>
        <v>1</v>
      </c>
      <c r="G187" s="34">
        <f t="shared" si="5"/>
        <v>0</v>
      </c>
      <c r="H187" s="34">
        <f t="shared" si="6"/>
        <v>1</v>
      </c>
      <c r="I187" s="34">
        <f t="shared" si="7"/>
        <v>1</v>
      </c>
      <c r="J187" s="34">
        <f t="shared" si="8"/>
        <v>1</v>
      </c>
      <c r="K187" s="17"/>
    </row>
    <row r="188" spans="1:11">
      <c r="A188" s="4" t="s">
        <v>188</v>
      </c>
      <c r="B188" s="34">
        <f t="shared" si="0"/>
        <v>1</v>
      </c>
      <c r="C188" s="34">
        <f t="shared" si="1"/>
        <v>1</v>
      </c>
      <c r="D188" s="34">
        <f t="shared" si="2"/>
        <v>1</v>
      </c>
      <c r="E188" s="34">
        <f t="shared" si="3"/>
        <v>1</v>
      </c>
      <c r="F188" s="34">
        <f t="shared" si="4"/>
        <v>1</v>
      </c>
      <c r="G188" s="34">
        <f t="shared" si="5"/>
        <v>0</v>
      </c>
      <c r="H188" s="34">
        <f t="shared" si="6"/>
        <v>1</v>
      </c>
      <c r="I188" s="34">
        <f t="shared" si="7"/>
        <v>1</v>
      </c>
      <c r="J188" s="34">
        <f t="shared" si="8"/>
        <v>1</v>
      </c>
      <c r="K188" s="17"/>
    </row>
    <row r="189" spans="1:11">
      <c r="A189" s="4" t="s">
        <v>189</v>
      </c>
      <c r="B189" s="34">
        <f t="shared" si="0"/>
        <v>1</v>
      </c>
      <c r="C189" s="34">
        <f t="shared" si="1"/>
        <v>1</v>
      </c>
      <c r="D189" s="34">
        <f t="shared" si="2"/>
        <v>1</v>
      </c>
      <c r="E189" s="34">
        <f t="shared" si="3"/>
        <v>1</v>
      </c>
      <c r="F189" s="34">
        <f t="shared" si="4"/>
        <v>1</v>
      </c>
      <c r="G189" s="34">
        <f t="shared" si="5"/>
        <v>0</v>
      </c>
      <c r="H189" s="34">
        <f t="shared" si="6"/>
        <v>1</v>
      </c>
      <c r="I189" s="34">
        <f t="shared" si="7"/>
        <v>1</v>
      </c>
      <c r="J189" s="34">
        <f t="shared" si="8"/>
        <v>0</v>
      </c>
      <c r="K189" s="17"/>
    </row>
    <row r="190" spans="1:11">
      <c r="A190" s="4" t="s">
        <v>206</v>
      </c>
      <c r="B190" s="34">
        <f t="shared" si="0"/>
        <v>1</v>
      </c>
      <c r="C190" s="34">
        <f t="shared" si="1"/>
        <v>1</v>
      </c>
      <c r="D190" s="34">
        <f t="shared" si="2"/>
        <v>1</v>
      </c>
      <c r="E190" s="34">
        <f t="shared" si="3"/>
        <v>1</v>
      </c>
      <c r="F190" s="34">
        <f t="shared" si="4"/>
        <v>1</v>
      </c>
      <c r="G190" s="34">
        <f t="shared" si="5"/>
        <v>0</v>
      </c>
      <c r="H190" s="34">
        <f t="shared" si="6"/>
        <v>1</v>
      </c>
      <c r="I190" s="34">
        <f t="shared" si="7"/>
        <v>0</v>
      </c>
      <c r="J190" s="34">
        <f t="shared" si="8"/>
        <v>0</v>
      </c>
      <c r="K190" s="17"/>
    </row>
    <row r="191" spans="1:11">
      <c r="A191" s="4" t="s">
        <v>228</v>
      </c>
      <c r="B191" s="34">
        <f t="shared" si="0"/>
        <v>1</v>
      </c>
      <c r="C191" s="34">
        <f t="shared" si="1"/>
        <v>1</v>
      </c>
      <c r="D191" s="34">
        <f t="shared" si="2"/>
        <v>1</v>
      </c>
      <c r="E191" s="34">
        <f t="shared" si="3"/>
        <v>1</v>
      </c>
      <c r="F191" s="34">
        <f t="shared" si="4"/>
        <v>1</v>
      </c>
      <c r="G191" s="34">
        <f t="shared" si="5"/>
        <v>0</v>
      </c>
      <c r="H191" s="34">
        <f t="shared" si="6"/>
        <v>1</v>
      </c>
      <c r="I191" s="34">
        <f t="shared" si="7"/>
        <v>1</v>
      </c>
      <c r="J191" s="34">
        <f t="shared" si="8"/>
        <v>1</v>
      </c>
      <c r="K191" s="17"/>
    </row>
    <row r="192" spans="1:11">
      <c r="A192" s="4" t="s">
        <v>229</v>
      </c>
      <c r="B192" s="34">
        <f t="shared" si="0"/>
        <v>1</v>
      </c>
      <c r="C192" s="34">
        <f t="shared" si="1"/>
        <v>1</v>
      </c>
      <c r="D192" s="34">
        <f t="shared" si="2"/>
        <v>1</v>
      </c>
      <c r="E192" s="34">
        <f t="shared" si="3"/>
        <v>1</v>
      </c>
      <c r="F192" s="34">
        <f t="shared" si="4"/>
        <v>1</v>
      </c>
      <c r="G192" s="34">
        <f t="shared" si="5"/>
        <v>0</v>
      </c>
      <c r="H192" s="34">
        <f t="shared" si="6"/>
        <v>1</v>
      </c>
      <c r="I192" s="34">
        <f t="shared" si="7"/>
        <v>1</v>
      </c>
      <c r="J192" s="34">
        <f t="shared" si="8"/>
        <v>1</v>
      </c>
      <c r="K192" s="17"/>
    </row>
    <row r="193" spans="1:11">
      <c r="A193" s="4" t="s">
        <v>230</v>
      </c>
      <c r="B193" s="34">
        <f t="shared" si="0"/>
        <v>1</v>
      </c>
      <c r="C193" s="34">
        <f t="shared" si="1"/>
        <v>1</v>
      </c>
      <c r="D193" s="34">
        <f t="shared" si="2"/>
        <v>1</v>
      </c>
      <c r="E193" s="34">
        <f t="shared" si="3"/>
        <v>1</v>
      </c>
      <c r="F193" s="34">
        <f t="shared" si="4"/>
        <v>1</v>
      </c>
      <c r="G193" s="34">
        <f t="shared" si="5"/>
        <v>0</v>
      </c>
      <c r="H193" s="34">
        <f t="shared" si="6"/>
        <v>1</v>
      </c>
      <c r="I193" s="34">
        <f t="shared" si="7"/>
        <v>1</v>
      </c>
      <c r="J193" s="34">
        <f t="shared" si="8"/>
        <v>1</v>
      </c>
      <c r="K193" s="17"/>
    </row>
    <row r="194" spans="1:11">
      <c r="A194" s="4" t="s">
        <v>231</v>
      </c>
      <c r="B194" s="34">
        <f t="shared" si="0"/>
        <v>1</v>
      </c>
      <c r="C194" s="34">
        <f t="shared" si="1"/>
        <v>1</v>
      </c>
      <c r="D194" s="34">
        <f t="shared" si="2"/>
        <v>1</v>
      </c>
      <c r="E194" s="34">
        <f t="shared" si="3"/>
        <v>1</v>
      </c>
      <c r="F194" s="34">
        <f t="shared" si="4"/>
        <v>1</v>
      </c>
      <c r="G194" s="34">
        <f t="shared" si="5"/>
        <v>0</v>
      </c>
      <c r="H194" s="34">
        <f t="shared" si="6"/>
        <v>1</v>
      </c>
      <c r="I194" s="34">
        <f t="shared" si="7"/>
        <v>1</v>
      </c>
      <c r="J194" s="34">
        <f t="shared" si="8"/>
        <v>1</v>
      </c>
      <c r="K194" s="17"/>
    </row>
    <row r="195" spans="1:11">
      <c r="A195" s="4" t="s">
        <v>232</v>
      </c>
      <c r="B195" s="34">
        <f t="shared" si="0"/>
        <v>1</v>
      </c>
      <c r="C195" s="34">
        <f t="shared" si="1"/>
        <v>1</v>
      </c>
      <c r="D195" s="34">
        <f t="shared" si="2"/>
        <v>1</v>
      </c>
      <c r="E195" s="34">
        <f t="shared" si="3"/>
        <v>1</v>
      </c>
      <c r="F195" s="34">
        <f t="shared" si="4"/>
        <v>1</v>
      </c>
      <c r="G195" s="34">
        <f t="shared" si="5"/>
        <v>0</v>
      </c>
      <c r="H195" s="34">
        <f t="shared" si="6"/>
        <v>1</v>
      </c>
      <c r="I195" s="34">
        <f t="shared" si="7"/>
        <v>1</v>
      </c>
      <c r="J195" s="34">
        <f t="shared" si="8"/>
        <v>1</v>
      </c>
      <c r="K195" s="17"/>
    </row>
    <row r="196" spans="1:11">
      <c r="A196" s="4" t="s">
        <v>190</v>
      </c>
      <c r="B196" s="34">
        <f t="shared" si="0"/>
        <v>1</v>
      </c>
      <c r="C196" s="34">
        <f t="shared" si="1"/>
        <v>1</v>
      </c>
      <c r="D196" s="34">
        <f t="shared" si="2"/>
        <v>1</v>
      </c>
      <c r="E196" s="34">
        <f t="shared" si="3"/>
        <v>1</v>
      </c>
      <c r="F196" s="34">
        <f t="shared" si="4"/>
        <v>1</v>
      </c>
      <c r="G196" s="34">
        <f t="shared" si="5"/>
        <v>0</v>
      </c>
      <c r="H196" s="34">
        <f t="shared" si="6"/>
        <v>1</v>
      </c>
      <c r="I196" s="34">
        <f t="shared" si="7"/>
        <v>1</v>
      </c>
      <c r="J196" s="34">
        <f t="shared" si="8"/>
        <v>0</v>
      </c>
      <c r="K196" s="17"/>
    </row>
    <row r="197" spans="1:11">
      <c r="A197" s="4" t="s">
        <v>191</v>
      </c>
      <c r="B197" s="34">
        <f t="shared" si="0"/>
        <v>1</v>
      </c>
      <c r="C197" s="34">
        <f t="shared" si="1"/>
        <v>1</v>
      </c>
      <c r="D197" s="34">
        <f t="shared" si="2"/>
        <v>1</v>
      </c>
      <c r="E197" s="34">
        <f t="shared" si="3"/>
        <v>1</v>
      </c>
      <c r="F197" s="34">
        <f t="shared" si="4"/>
        <v>1</v>
      </c>
      <c r="G197" s="34">
        <f t="shared" si="5"/>
        <v>0</v>
      </c>
      <c r="H197" s="34">
        <f t="shared" si="6"/>
        <v>1</v>
      </c>
      <c r="I197" s="34">
        <f t="shared" si="7"/>
        <v>0</v>
      </c>
      <c r="J197" s="34">
        <f t="shared" si="8"/>
        <v>0</v>
      </c>
      <c r="K197" s="17"/>
    </row>
    <row r="198" spans="1:11">
      <c r="A198" s="4" t="s">
        <v>192</v>
      </c>
      <c r="B198" s="34">
        <f t="shared" si="0"/>
        <v>1</v>
      </c>
      <c r="C198" s="34">
        <f t="shared" si="1"/>
        <v>1</v>
      </c>
      <c r="D198" s="34">
        <f t="shared" si="2"/>
        <v>1</v>
      </c>
      <c r="E198" s="34">
        <f t="shared" si="3"/>
        <v>1</v>
      </c>
      <c r="F198" s="34">
        <f t="shared" si="4"/>
        <v>1</v>
      </c>
      <c r="G198" s="34">
        <f t="shared" si="5"/>
        <v>0</v>
      </c>
      <c r="H198" s="34">
        <f t="shared" si="6"/>
        <v>1</v>
      </c>
      <c r="I198" s="34">
        <f t="shared" si="7"/>
        <v>1</v>
      </c>
      <c r="J198" s="34">
        <f t="shared" si="8"/>
        <v>0</v>
      </c>
      <c r="K198" s="17"/>
    </row>
    <row r="199" spans="1:11">
      <c r="A199" s="4" t="s">
        <v>193</v>
      </c>
      <c r="B199" s="34">
        <f t="shared" si="0"/>
        <v>1</v>
      </c>
      <c r="C199" s="34">
        <f t="shared" si="1"/>
        <v>1</v>
      </c>
      <c r="D199" s="34">
        <f t="shared" si="2"/>
        <v>1</v>
      </c>
      <c r="E199" s="34">
        <f t="shared" si="3"/>
        <v>1</v>
      </c>
      <c r="F199" s="34">
        <f t="shared" si="4"/>
        <v>1</v>
      </c>
      <c r="G199" s="34">
        <f t="shared" si="5"/>
        <v>0</v>
      </c>
      <c r="H199" s="34">
        <f t="shared" si="6"/>
        <v>1</v>
      </c>
      <c r="I199" s="34">
        <f t="shared" si="7"/>
        <v>1</v>
      </c>
      <c r="J199" s="34">
        <f t="shared" si="8"/>
        <v>0</v>
      </c>
      <c r="K199" s="17"/>
    </row>
    <row r="200" spans="1:11">
      <c r="A200" s="4" t="s">
        <v>194</v>
      </c>
      <c r="B200" s="34">
        <f t="shared" si="0"/>
        <v>1</v>
      </c>
      <c r="C200" s="34">
        <f t="shared" si="1"/>
        <v>1</v>
      </c>
      <c r="D200" s="34">
        <f t="shared" si="2"/>
        <v>1</v>
      </c>
      <c r="E200" s="34">
        <f t="shared" si="3"/>
        <v>1</v>
      </c>
      <c r="F200" s="34">
        <f t="shared" si="4"/>
        <v>1</v>
      </c>
      <c r="G200" s="34">
        <f t="shared" si="5"/>
        <v>0</v>
      </c>
      <c r="H200" s="34">
        <f t="shared" si="6"/>
        <v>1</v>
      </c>
      <c r="I200" s="34">
        <f t="shared" si="7"/>
        <v>1</v>
      </c>
      <c r="J200" s="34">
        <f t="shared" si="8"/>
        <v>0</v>
      </c>
      <c r="K200" s="17"/>
    </row>
    <row r="201" spans="1:11">
      <c r="A201" s="4" t="s">
        <v>195</v>
      </c>
      <c r="B201" s="34">
        <f t="shared" si="0"/>
        <v>1</v>
      </c>
      <c r="C201" s="34">
        <f t="shared" si="1"/>
        <v>1</v>
      </c>
      <c r="D201" s="34">
        <f t="shared" si="2"/>
        <v>1</v>
      </c>
      <c r="E201" s="34">
        <f t="shared" si="3"/>
        <v>1</v>
      </c>
      <c r="F201" s="34">
        <f t="shared" si="4"/>
        <v>1</v>
      </c>
      <c r="G201" s="34">
        <f t="shared" si="5"/>
        <v>0</v>
      </c>
      <c r="H201" s="34">
        <f t="shared" si="6"/>
        <v>1</v>
      </c>
      <c r="I201" s="34">
        <f t="shared" si="7"/>
        <v>1</v>
      </c>
      <c r="J201" s="34">
        <f t="shared" si="8"/>
        <v>0</v>
      </c>
      <c r="K201" s="17"/>
    </row>
    <row r="202" spans="1:11">
      <c r="A202" s="4" t="s">
        <v>196</v>
      </c>
      <c r="B202" s="34">
        <f t="shared" si="0"/>
        <v>1</v>
      </c>
      <c r="C202" s="34">
        <f t="shared" si="1"/>
        <v>1</v>
      </c>
      <c r="D202" s="34">
        <f t="shared" si="2"/>
        <v>1</v>
      </c>
      <c r="E202" s="34">
        <f t="shared" si="3"/>
        <v>1</v>
      </c>
      <c r="F202" s="34">
        <f t="shared" si="4"/>
        <v>1</v>
      </c>
      <c r="G202" s="34">
        <f t="shared" si="5"/>
        <v>0</v>
      </c>
      <c r="H202" s="34">
        <f t="shared" si="6"/>
        <v>1</v>
      </c>
      <c r="I202" s="34">
        <f t="shared" si="7"/>
        <v>0</v>
      </c>
      <c r="J202" s="34">
        <f t="shared" si="8"/>
        <v>0</v>
      </c>
      <c r="K202" s="17"/>
    </row>
    <row r="203" spans="1:11">
      <c r="A203" s="4" t="s">
        <v>197</v>
      </c>
      <c r="B203" s="34">
        <f t="shared" si="0"/>
        <v>1</v>
      </c>
      <c r="C203" s="34">
        <f t="shared" si="1"/>
        <v>1</v>
      </c>
      <c r="D203" s="34">
        <f t="shared" si="2"/>
        <v>1</v>
      </c>
      <c r="E203" s="34">
        <f t="shared" si="3"/>
        <v>1</v>
      </c>
      <c r="F203" s="34">
        <f t="shared" si="4"/>
        <v>1</v>
      </c>
      <c r="G203" s="34">
        <f t="shared" si="5"/>
        <v>0</v>
      </c>
      <c r="H203" s="34">
        <f t="shared" si="6"/>
        <v>1</v>
      </c>
      <c r="I203" s="34">
        <f t="shared" si="7"/>
        <v>0</v>
      </c>
      <c r="J203" s="34">
        <f t="shared" si="8"/>
        <v>0</v>
      </c>
      <c r="K203" s="17"/>
    </row>
    <row r="204" spans="1:11">
      <c r="A204" s="4" t="s">
        <v>198</v>
      </c>
      <c r="B204" s="34">
        <f t="shared" si="0"/>
        <v>1</v>
      </c>
      <c r="C204" s="34">
        <f t="shared" si="1"/>
        <v>1</v>
      </c>
      <c r="D204" s="34">
        <f t="shared" si="2"/>
        <v>1</v>
      </c>
      <c r="E204" s="34">
        <f t="shared" si="3"/>
        <v>1</v>
      </c>
      <c r="F204" s="34">
        <f t="shared" si="4"/>
        <v>1</v>
      </c>
      <c r="G204" s="34">
        <f t="shared" si="5"/>
        <v>0</v>
      </c>
      <c r="H204" s="34">
        <f t="shared" si="6"/>
        <v>1</v>
      </c>
      <c r="I204" s="34">
        <f t="shared" si="7"/>
        <v>0</v>
      </c>
      <c r="J204" s="34">
        <f t="shared" si="8"/>
        <v>0</v>
      </c>
      <c r="K204" s="17"/>
    </row>
    <row r="205" spans="1:11">
      <c r="A205" s="4" t="s">
        <v>199</v>
      </c>
      <c r="B205" s="34">
        <f t="shared" si="0"/>
        <v>1</v>
      </c>
      <c r="C205" s="34">
        <f t="shared" si="1"/>
        <v>1</v>
      </c>
      <c r="D205" s="34">
        <f t="shared" si="2"/>
        <v>1</v>
      </c>
      <c r="E205" s="34">
        <f t="shared" si="3"/>
        <v>1</v>
      </c>
      <c r="F205" s="34">
        <f t="shared" si="4"/>
        <v>1</v>
      </c>
      <c r="G205" s="34">
        <f t="shared" si="5"/>
        <v>0</v>
      </c>
      <c r="H205" s="34">
        <f t="shared" si="6"/>
        <v>1</v>
      </c>
      <c r="I205" s="34">
        <f t="shared" si="7"/>
        <v>0</v>
      </c>
      <c r="J205" s="34">
        <f t="shared" si="8"/>
        <v>0</v>
      </c>
      <c r="K205" s="17"/>
    </row>
    <row r="206" spans="1:11">
      <c r="A206" s="4" t="s">
        <v>207</v>
      </c>
      <c r="B206" s="34">
        <f t="shared" si="0"/>
        <v>1</v>
      </c>
      <c r="C206" s="34">
        <f t="shared" si="1"/>
        <v>1</v>
      </c>
      <c r="D206" s="34">
        <f t="shared" si="2"/>
        <v>1</v>
      </c>
      <c r="E206" s="34">
        <f t="shared" si="3"/>
        <v>1</v>
      </c>
      <c r="F206" s="34">
        <f t="shared" si="4"/>
        <v>1</v>
      </c>
      <c r="G206" s="34">
        <f t="shared" si="5"/>
        <v>0</v>
      </c>
      <c r="H206" s="34">
        <f t="shared" si="6"/>
        <v>0</v>
      </c>
      <c r="I206" s="34">
        <f t="shared" si="7"/>
        <v>0</v>
      </c>
      <c r="J206" s="34">
        <f t="shared" si="8"/>
        <v>0</v>
      </c>
      <c r="K206" s="17"/>
    </row>
    <row r="207" spans="1:11">
      <c r="A207" s="4" t="s">
        <v>208</v>
      </c>
      <c r="B207" s="34">
        <f t="shared" si="0"/>
        <v>1</v>
      </c>
      <c r="C207" s="34">
        <f t="shared" si="1"/>
        <v>1</v>
      </c>
      <c r="D207" s="34">
        <f t="shared" si="2"/>
        <v>1</v>
      </c>
      <c r="E207" s="34">
        <f t="shared" si="3"/>
        <v>1</v>
      </c>
      <c r="F207" s="34">
        <f t="shared" si="4"/>
        <v>1</v>
      </c>
      <c r="G207" s="34">
        <f t="shared" si="5"/>
        <v>0</v>
      </c>
      <c r="H207" s="34">
        <f t="shared" si="6"/>
        <v>0</v>
      </c>
      <c r="I207" s="34">
        <f t="shared" si="7"/>
        <v>0</v>
      </c>
      <c r="J207" s="34">
        <f t="shared" si="8"/>
        <v>0</v>
      </c>
      <c r="K207" s="17"/>
    </row>
    <row r="208" spans="1:11">
      <c r="A208" s="4" t="s">
        <v>209</v>
      </c>
      <c r="B208" s="34">
        <f t="shared" si="0"/>
        <v>1</v>
      </c>
      <c r="C208" s="34">
        <f t="shared" si="1"/>
        <v>1</v>
      </c>
      <c r="D208" s="34">
        <f t="shared" si="2"/>
        <v>1</v>
      </c>
      <c r="E208" s="34">
        <f t="shared" si="3"/>
        <v>1</v>
      </c>
      <c r="F208" s="34">
        <f t="shared" si="4"/>
        <v>1</v>
      </c>
      <c r="G208" s="34">
        <f t="shared" si="5"/>
        <v>0</v>
      </c>
      <c r="H208" s="34">
        <f t="shared" si="6"/>
        <v>0</v>
      </c>
      <c r="I208" s="34">
        <f t="shared" si="7"/>
        <v>0</v>
      </c>
      <c r="J208" s="34">
        <f t="shared" si="8"/>
        <v>0</v>
      </c>
      <c r="K208" s="17"/>
    </row>
    <row r="209" spans="1:11">
      <c r="A209" s="4" t="s">
        <v>210</v>
      </c>
      <c r="B209" s="34">
        <f t="shared" si="0"/>
        <v>1</v>
      </c>
      <c r="C209" s="34">
        <f t="shared" si="1"/>
        <v>1</v>
      </c>
      <c r="D209" s="34">
        <f t="shared" si="2"/>
        <v>1</v>
      </c>
      <c r="E209" s="34">
        <f t="shared" si="3"/>
        <v>1</v>
      </c>
      <c r="F209" s="34">
        <f t="shared" si="4"/>
        <v>1</v>
      </c>
      <c r="G209" s="34">
        <f t="shared" si="5"/>
        <v>0</v>
      </c>
      <c r="H209" s="34">
        <f t="shared" si="6"/>
        <v>0</v>
      </c>
      <c r="I209" s="34">
        <f t="shared" si="7"/>
        <v>0</v>
      </c>
      <c r="J209" s="34">
        <f t="shared" si="8"/>
        <v>0</v>
      </c>
      <c r="K209" s="17"/>
    </row>
    <row r="211" spans="1:11" ht="21" customHeight="1">
      <c r="A211" s="1" t="s">
        <v>418</v>
      </c>
    </row>
    <row r="212" spans="1:11">
      <c r="A212" s="2" t="s">
        <v>379</v>
      </c>
    </row>
    <row r="213" spans="1:11">
      <c r="A213" s="2" t="s">
        <v>419</v>
      </c>
    </row>
    <row r="214" spans="1:11">
      <c r="A214" s="2" t="s">
        <v>420</v>
      </c>
    </row>
    <row r="215" spans="1:11">
      <c r="A215" s="29" t="s">
        <v>421</v>
      </c>
    </row>
    <row r="216" spans="1:11">
      <c r="A216" s="2" t="s">
        <v>422</v>
      </c>
    </row>
    <row r="218" spans="1:11">
      <c r="B218" s="15" t="s">
        <v>148</v>
      </c>
      <c r="C218" s="15" t="s">
        <v>149</v>
      </c>
      <c r="D218" s="15" t="s">
        <v>150</v>
      </c>
      <c r="E218" s="15" t="s">
        <v>151</v>
      </c>
      <c r="F218" s="15" t="s">
        <v>152</v>
      </c>
      <c r="G218" s="15" t="s">
        <v>157</v>
      </c>
      <c r="H218" s="15" t="s">
        <v>153</v>
      </c>
      <c r="I218" s="15" t="s">
        <v>154</v>
      </c>
      <c r="J218" s="15" t="s">
        <v>155</v>
      </c>
    </row>
    <row r="219" spans="1:11">
      <c r="A219" s="4" t="s">
        <v>180</v>
      </c>
      <c r="B219" s="35">
        <f t="shared" ref="B219:J219" si="9">B177</f>
        <v>1</v>
      </c>
      <c r="C219" s="35">
        <f t="shared" si="9"/>
        <v>1</v>
      </c>
      <c r="D219" s="35">
        <f t="shared" si="9"/>
        <v>1</v>
      </c>
      <c r="E219" s="35">
        <f t="shared" si="9"/>
        <v>1</v>
      </c>
      <c r="F219" s="35">
        <f t="shared" si="9"/>
        <v>1</v>
      </c>
      <c r="G219" s="35">
        <f t="shared" si="9"/>
        <v>0</v>
      </c>
      <c r="H219" s="35">
        <f t="shared" si="9"/>
        <v>1</v>
      </c>
      <c r="I219" s="35">
        <f t="shared" si="9"/>
        <v>1</v>
      </c>
      <c r="J219" s="35">
        <f t="shared" si="9"/>
        <v>1</v>
      </c>
      <c r="K219" s="17"/>
    </row>
    <row r="220" spans="1:11">
      <c r="A220" s="4" t="s">
        <v>181</v>
      </c>
      <c r="B220" s="35">
        <f t="shared" ref="B220:J220" si="10">B178</f>
        <v>1</v>
      </c>
      <c r="C220" s="35">
        <f t="shared" si="10"/>
        <v>1</v>
      </c>
      <c r="D220" s="35">
        <f t="shared" si="10"/>
        <v>1</v>
      </c>
      <c r="E220" s="35">
        <f t="shared" si="10"/>
        <v>1</v>
      </c>
      <c r="F220" s="35">
        <f t="shared" si="10"/>
        <v>1</v>
      </c>
      <c r="G220" s="35">
        <f t="shared" si="10"/>
        <v>0</v>
      </c>
      <c r="H220" s="35">
        <f t="shared" si="10"/>
        <v>1</v>
      </c>
      <c r="I220" s="35">
        <f t="shared" si="10"/>
        <v>1</v>
      </c>
      <c r="J220" s="35">
        <f t="shared" si="10"/>
        <v>1</v>
      </c>
      <c r="K220" s="17"/>
    </row>
    <row r="221" spans="1:11">
      <c r="A221" s="4" t="s">
        <v>226</v>
      </c>
      <c r="B221" s="35">
        <f t="shared" ref="B221:J221" si="11">B179</f>
        <v>1</v>
      </c>
      <c r="C221" s="35">
        <f t="shared" si="11"/>
        <v>1</v>
      </c>
      <c r="D221" s="35">
        <f t="shared" si="11"/>
        <v>1</v>
      </c>
      <c r="E221" s="35">
        <f t="shared" si="11"/>
        <v>1</v>
      </c>
      <c r="F221" s="35">
        <f t="shared" si="11"/>
        <v>1</v>
      </c>
      <c r="G221" s="35">
        <f t="shared" si="11"/>
        <v>0</v>
      </c>
      <c r="H221" s="35">
        <f t="shared" si="11"/>
        <v>1</v>
      </c>
      <c r="I221" s="35">
        <f t="shared" si="11"/>
        <v>1</v>
      </c>
      <c r="J221" s="35">
        <f t="shared" si="11"/>
        <v>1</v>
      </c>
      <c r="K221" s="17"/>
    </row>
    <row r="222" spans="1:11">
      <c r="A222" s="4" t="s">
        <v>182</v>
      </c>
      <c r="B222" s="35">
        <f t="shared" ref="B222:J222" si="12">B180</f>
        <v>1</v>
      </c>
      <c r="C222" s="35">
        <f t="shared" si="12"/>
        <v>1</v>
      </c>
      <c r="D222" s="35">
        <f t="shared" si="12"/>
        <v>1</v>
      </c>
      <c r="E222" s="35">
        <f t="shared" si="12"/>
        <v>1</v>
      </c>
      <c r="F222" s="35">
        <f t="shared" si="12"/>
        <v>1</v>
      </c>
      <c r="G222" s="35">
        <f t="shared" si="12"/>
        <v>0</v>
      </c>
      <c r="H222" s="35">
        <f t="shared" si="12"/>
        <v>1</v>
      </c>
      <c r="I222" s="35">
        <f t="shared" si="12"/>
        <v>1</v>
      </c>
      <c r="J222" s="35">
        <f t="shared" si="12"/>
        <v>1</v>
      </c>
      <c r="K222" s="17"/>
    </row>
    <row r="223" spans="1:11">
      <c r="A223" s="4" t="s">
        <v>183</v>
      </c>
      <c r="B223" s="35">
        <f t="shared" ref="B223:J223" si="13">B181</f>
        <v>1</v>
      </c>
      <c r="C223" s="35">
        <f t="shared" si="13"/>
        <v>1</v>
      </c>
      <c r="D223" s="35">
        <f t="shared" si="13"/>
        <v>1</v>
      </c>
      <c r="E223" s="35">
        <f t="shared" si="13"/>
        <v>1</v>
      </c>
      <c r="F223" s="35">
        <f t="shared" si="13"/>
        <v>1</v>
      </c>
      <c r="G223" s="35">
        <f t="shared" si="13"/>
        <v>0</v>
      </c>
      <c r="H223" s="35">
        <f t="shared" si="13"/>
        <v>1</v>
      </c>
      <c r="I223" s="35">
        <f t="shared" si="13"/>
        <v>1</v>
      </c>
      <c r="J223" s="35">
        <f t="shared" si="13"/>
        <v>1</v>
      </c>
      <c r="K223" s="17"/>
    </row>
    <row r="224" spans="1:11">
      <c r="A224" s="4" t="s">
        <v>227</v>
      </c>
      <c r="B224" s="35">
        <f t="shared" ref="B224:J224" si="14">B182</f>
        <v>1</v>
      </c>
      <c r="C224" s="35">
        <f t="shared" si="14"/>
        <v>1</v>
      </c>
      <c r="D224" s="35">
        <f t="shared" si="14"/>
        <v>1</v>
      </c>
      <c r="E224" s="35">
        <f t="shared" si="14"/>
        <v>1</v>
      </c>
      <c r="F224" s="35">
        <f t="shared" si="14"/>
        <v>1</v>
      </c>
      <c r="G224" s="35">
        <f t="shared" si="14"/>
        <v>0</v>
      </c>
      <c r="H224" s="35">
        <f t="shared" si="14"/>
        <v>1</v>
      </c>
      <c r="I224" s="35">
        <f t="shared" si="14"/>
        <v>1</v>
      </c>
      <c r="J224" s="35">
        <f t="shared" si="14"/>
        <v>1</v>
      </c>
      <c r="K224" s="17"/>
    </row>
    <row r="225" spans="1:11">
      <c r="A225" s="4" t="s">
        <v>184</v>
      </c>
      <c r="B225" s="35">
        <f t="shared" ref="B225:J225" si="15">B183</f>
        <v>1</v>
      </c>
      <c r="C225" s="35">
        <f t="shared" si="15"/>
        <v>1</v>
      </c>
      <c r="D225" s="35">
        <f t="shared" si="15"/>
        <v>1</v>
      </c>
      <c r="E225" s="35">
        <f t="shared" si="15"/>
        <v>1</v>
      </c>
      <c r="F225" s="35">
        <f t="shared" si="15"/>
        <v>1</v>
      </c>
      <c r="G225" s="35">
        <f t="shared" si="15"/>
        <v>0</v>
      </c>
      <c r="H225" s="35">
        <f t="shared" si="15"/>
        <v>1</v>
      </c>
      <c r="I225" s="35">
        <f t="shared" si="15"/>
        <v>1</v>
      </c>
      <c r="J225" s="35">
        <f t="shared" si="15"/>
        <v>1</v>
      </c>
      <c r="K225" s="17"/>
    </row>
    <row r="226" spans="1:11">
      <c r="A226" s="4" t="s">
        <v>185</v>
      </c>
      <c r="B226" s="35">
        <f t="shared" ref="B226:J226" si="16">B184</f>
        <v>1</v>
      </c>
      <c r="C226" s="35">
        <f t="shared" si="16"/>
        <v>1</v>
      </c>
      <c r="D226" s="35">
        <f t="shared" si="16"/>
        <v>1</v>
      </c>
      <c r="E226" s="35">
        <f t="shared" si="16"/>
        <v>1</v>
      </c>
      <c r="F226" s="35">
        <f t="shared" si="16"/>
        <v>1</v>
      </c>
      <c r="G226" s="35">
        <f t="shared" si="16"/>
        <v>0</v>
      </c>
      <c r="H226" s="35">
        <f t="shared" si="16"/>
        <v>1</v>
      </c>
      <c r="I226" s="35">
        <f t="shared" si="16"/>
        <v>1</v>
      </c>
      <c r="J226" s="35">
        <f t="shared" si="16"/>
        <v>0</v>
      </c>
      <c r="K226" s="17"/>
    </row>
    <row r="227" spans="1:11">
      <c r="A227" s="4" t="s">
        <v>205</v>
      </c>
      <c r="B227" s="35">
        <f t="shared" ref="B227:J227" si="17">B185</f>
        <v>1</v>
      </c>
      <c r="C227" s="35">
        <f t="shared" si="17"/>
        <v>1</v>
      </c>
      <c r="D227" s="35">
        <f t="shared" si="17"/>
        <v>1</v>
      </c>
      <c r="E227" s="35">
        <f t="shared" si="17"/>
        <v>1</v>
      </c>
      <c r="F227" s="35">
        <f t="shared" si="17"/>
        <v>1</v>
      </c>
      <c r="G227" s="35">
        <f t="shared" si="17"/>
        <v>0</v>
      </c>
      <c r="H227" s="35">
        <f t="shared" si="17"/>
        <v>1</v>
      </c>
      <c r="I227" s="35">
        <f t="shared" si="17"/>
        <v>0</v>
      </c>
      <c r="J227" s="35">
        <f t="shared" si="17"/>
        <v>0</v>
      </c>
      <c r="K227" s="17"/>
    </row>
    <row r="228" spans="1:11">
      <c r="A228" s="4" t="s">
        <v>186</v>
      </c>
      <c r="B228" s="35">
        <f t="shared" ref="B228:J228" si="18">B186</f>
        <v>1</v>
      </c>
      <c r="C228" s="35">
        <f t="shared" si="18"/>
        <v>1</v>
      </c>
      <c r="D228" s="35">
        <f t="shared" si="18"/>
        <v>1</v>
      </c>
      <c r="E228" s="35">
        <f t="shared" si="18"/>
        <v>1</v>
      </c>
      <c r="F228" s="35">
        <f t="shared" si="18"/>
        <v>1</v>
      </c>
      <c r="G228" s="35">
        <f t="shared" si="18"/>
        <v>0</v>
      </c>
      <c r="H228" s="35">
        <f t="shared" si="18"/>
        <v>1</v>
      </c>
      <c r="I228" s="35">
        <f t="shared" si="18"/>
        <v>1</v>
      </c>
      <c r="J228" s="35">
        <f t="shared" si="18"/>
        <v>1</v>
      </c>
      <c r="K228" s="17"/>
    </row>
    <row r="229" spans="1:11">
      <c r="A229" s="4" t="s">
        <v>187</v>
      </c>
      <c r="B229" s="35">
        <f t="shared" ref="B229:J229" si="19">B187</f>
        <v>1</v>
      </c>
      <c r="C229" s="35">
        <f t="shared" si="19"/>
        <v>1</v>
      </c>
      <c r="D229" s="35">
        <f t="shared" si="19"/>
        <v>1</v>
      </c>
      <c r="E229" s="35">
        <f t="shared" si="19"/>
        <v>1</v>
      </c>
      <c r="F229" s="35">
        <f t="shared" si="19"/>
        <v>1</v>
      </c>
      <c r="G229" s="35">
        <f t="shared" si="19"/>
        <v>0</v>
      </c>
      <c r="H229" s="35">
        <f t="shared" si="19"/>
        <v>1</v>
      </c>
      <c r="I229" s="35">
        <f t="shared" si="19"/>
        <v>1</v>
      </c>
      <c r="J229" s="35">
        <f t="shared" si="19"/>
        <v>1</v>
      </c>
      <c r="K229" s="17"/>
    </row>
    <row r="230" spans="1:11">
      <c r="A230" s="4" t="s">
        <v>188</v>
      </c>
      <c r="B230" s="35">
        <f t="shared" ref="B230:J230" si="20">B188</f>
        <v>1</v>
      </c>
      <c r="C230" s="35">
        <f t="shared" si="20"/>
        <v>1</v>
      </c>
      <c r="D230" s="35">
        <f t="shared" si="20"/>
        <v>1</v>
      </c>
      <c r="E230" s="35">
        <f t="shared" si="20"/>
        <v>1</v>
      </c>
      <c r="F230" s="35">
        <f t="shared" si="20"/>
        <v>1</v>
      </c>
      <c r="G230" s="35">
        <f t="shared" si="20"/>
        <v>0</v>
      </c>
      <c r="H230" s="35">
        <f t="shared" si="20"/>
        <v>1</v>
      </c>
      <c r="I230" s="35">
        <f t="shared" si="20"/>
        <v>1</v>
      </c>
      <c r="J230" s="35">
        <f t="shared" si="20"/>
        <v>1</v>
      </c>
      <c r="K230" s="17"/>
    </row>
    <row r="231" spans="1:11">
      <c r="A231" s="4" t="s">
        <v>189</v>
      </c>
      <c r="B231" s="35">
        <f t="shared" ref="B231:J231" si="21">B189</f>
        <v>1</v>
      </c>
      <c r="C231" s="35">
        <f t="shared" si="21"/>
        <v>1</v>
      </c>
      <c r="D231" s="35">
        <f t="shared" si="21"/>
        <v>1</v>
      </c>
      <c r="E231" s="35">
        <f t="shared" si="21"/>
        <v>1</v>
      </c>
      <c r="F231" s="35">
        <f t="shared" si="21"/>
        <v>1</v>
      </c>
      <c r="G231" s="35">
        <f t="shared" si="21"/>
        <v>0</v>
      </c>
      <c r="H231" s="35">
        <f t="shared" si="21"/>
        <v>1</v>
      </c>
      <c r="I231" s="35">
        <f t="shared" si="21"/>
        <v>1</v>
      </c>
      <c r="J231" s="35">
        <f t="shared" si="21"/>
        <v>0</v>
      </c>
      <c r="K231" s="17"/>
    </row>
    <row r="232" spans="1:11">
      <c r="A232" s="4" t="s">
        <v>206</v>
      </c>
      <c r="B232" s="35">
        <f t="shared" ref="B232:J232" si="22">B190</f>
        <v>1</v>
      </c>
      <c r="C232" s="35">
        <f t="shared" si="22"/>
        <v>1</v>
      </c>
      <c r="D232" s="35">
        <f t="shared" si="22"/>
        <v>1</v>
      </c>
      <c r="E232" s="35">
        <f t="shared" si="22"/>
        <v>1</v>
      </c>
      <c r="F232" s="35">
        <f t="shared" si="22"/>
        <v>1</v>
      </c>
      <c r="G232" s="35">
        <f t="shared" si="22"/>
        <v>0</v>
      </c>
      <c r="H232" s="35">
        <f t="shared" si="22"/>
        <v>1</v>
      </c>
      <c r="I232" s="35">
        <f t="shared" si="22"/>
        <v>0</v>
      </c>
      <c r="J232" s="35">
        <f t="shared" si="22"/>
        <v>0</v>
      </c>
      <c r="K232" s="17"/>
    </row>
    <row r="233" spans="1:11">
      <c r="A233" s="4" t="s">
        <v>228</v>
      </c>
      <c r="B233" s="35">
        <f t="shared" ref="B233:J233" si="23">B191</f>
        <v>1</v>
      </c>
      <c r="C233" s="35">
        <f t="shared" si="23"/>
        <v>1</v>
      </c>
      <c r="D233" s="35">
        <f t="shared" si="23"/>
        <v>1</v>
      </c>
      <c r="E233" s="35">
        <f t="shared" si="23"/>
        <v>1</v>
      </c>
      <c r="F233" s="35">
        <f t="shared" si="23"/>
        <v>1</v>
      </c>
      <c r="G233" s="35">
        <f t="shared" si="23"/>
        <v>0</v>
      </c>
      <c r="H233" s="35">
        <f t="shared" si="23"/>
        <v>1</v>
      </c>
      <c r="I233" s="35">
        <f t="shared" si="23"/>
        <v>1</v>
      </c>
      <c r="J233" s="35">
        <f t="shared" si="23"/>
        <v>1</v>
      </c>
      <c r="K233" s="17"/>
    </row>
    <row r="234" spans="1:11">
      <c r="A234" s="4" t="s">
        <v>229</v>
      </c>
      <c r="B234" s="35">
        <f t="shared" ref="B234:J234" si="24">B192</f>
        <v>1</v>
      </c>
      <c r="C234" s="35">
        <f t="shared" si="24"/>
        <v>1</v>
      </c>
      <c r="D234" s="35">
        <f t="shared" si="24"/>
        <v>1</v>
      </c>
      <c r="E234" s="35">
        <f t="shared" si="24"/>
        <v>1</v>
      </c>
      <c r="F234" s="35">
        <f t="shared" si="24"/>
        <v>1</v>
      </c>
      <c r="G234" s="35">
        <f t="shared" si="24"/>
        <v>0</v>
      </c>
      <c r="H234" s="35">
        <f t="shared" si="24"/>
        <v>1</v>
      </c>
      <c r="I234" s="35">
        <f t="shared" si="24"/>
        <v>1</v>
      </c>
      <c r="J234" s="35">
        <f t="shared" si="24"/>
        <v>1</v>
      </c>
      <c r="K234" s="17"/>
    </row>
    <row r="235" spans="1:11">
      <c r="A235" s="4" t="s">
        <v>230</v>
      </c>
      <c r="B235" s="35">
        <f t="shared" ref="B235:J235" si="25">B193</f>
        <v>1</v>
      </c>
      <c r="C235" s="35">
        <f t="shared" si="25"/>
        <v>1</v>
      </c>
      <c r="D235" s="35">
        <f t="shared" si="25"/>
        <v>1</v>
      </c>
      <c r="E235" s="35">
        <f t="shared" si="25"/>
        <v>1</v>
      </c>
      <c r="F235" s="35">
        <f t="shared" si="25"/>
        <v>1</v>
      </c>
      <c r="G235" s="35">
        <f t="shared" si="25"/>
        <v>0</v>
      </c>
      <c r="H235" s="35">
        <f t="shared" si="25"/>
        <v>1</v>
      </c>
      <c r="I235" s="35">
        <f t="shared" si="25"/>
        <v>1</v>
      </c>
      <c r="J235" s="35">
        <f t="shared" si="25"/>
        <v>1</v>
      </c>
      <c r="K235" s="17"/>
    </row>
    <row r="236" spans="1:11">
      <c r="A236" s="4" t="s">
        <v>231</v>
      </c>
      <c r="B236" s="35">
        <f t="shared" ref="B236:J236" si="26">B194</f>
        <v>1</v>
      </c>
      <c r="C236" s="35">
        <f t="shared" si="26"/>
        <v>1</v>
      </c>
      <c r="D236" s="35">
        <f t="shared" si="26"/>
        <v>1</v>
      </c>
      <c r="E236" s="35">
        <f t="shared" si="26"/>
        <v>1</v>
      </c>
      <c r="F236" s="35">
        <f t="shared" si="26"/>
        <v>1</v>
      </c>
      <c r="G236" s="35">
        <f t="shared" si="26"/>
        <v>0</v>
      </c>
      <c r="H236" s="35">
        <f t="shared" si="26"/>
        <v>1</v>
      </c>
      <c r="I236" s="35">
        <f t="shared" si="26"/>
        <v>1</v>
      </c>
      <c r="J236" s="35">
        <f t="shared" si="26"/>
        <v>1</v>
      </c>
      <c r="K236" s="17"/>
    </row>
    <row r="237" spans="1:11">
      <c r="A237" s="4" t="s">
        <v>232</v>
      </c>
      <c r="B237" s="35">
        <f t="shared" ref="B237:J237" si="27">B195</f>
        <v>1</v>
      </c>
      <c r="C237" s="35">
        <f t="shared" si="27"/>
        <v>1</v>
      </c>
      <c r="D237" s="35">
        <f t="shared" si="27"/>
        <v>1</v>
      </c>
      <c r="E237" s="35">
        <f t="shared" si="27"/>
        <v>1</v>
      </c>
      <c r="F237" s="35">
        <f t="shared" si="27"/>
        <v>1</v>
      </c>
      <c r="G237" s="35">
        <f t="shared" si="27"/>
        <v>0</v>
      </c>
      <c r="H237" s="35">
        <f t="shared" si="27"/>
        <v>1</v>
      </c>
      <c r="I237" s="35">
        <f t="shared" si="27"/>
        <v>1</v>
      </c>
      <c r="J237" s="35">
        <f t="shared" si="27"/>
        <v>1</v>
      </c>
      <c r="K237" s="17"/>
    </row>
    <row r="238" spans="1:11">
      <c r="A238" s="4" t="s">
        <v>190</v>
      </c>
      <c r="B238" s="35">
        <f t="shared" ref="B238:J238" si="28">B196</f>
        <v>1</v>
      </c>
      <c r="C238" s="35">
        <f t="shared" si="28"/>
        <v>1</v>
      </c>
      <c r="D238" s="35">
        <f t="shared" si="28"/>
        <v>1</v>
      </c>
      <c r="E238" s="35">
        <f t="shared" si="28"/>
        <v>1</v>
      </c>
      <c r="F238" s="35">
        <f t="shared" si="28"/>
        <v>1</v>
      </c>
      <c r="G238" s="35">
        <f t="shared" si="28"/>
        <v>0</v>
      </c>
      <c r="H238" s="35">
        <f t="shared" si="28"/>
        <v>1</v>
      </c>
      <c r="I238" s="35">
        <f t="shared" si="28"/>
        <v>1</v>
      </c>
      <c r="J238" s="35">
        <f t="shared" si="28"/>
        <v>0</v>
      </c>
      <c r="K238" s="17"/>
    </row>
    <row r="239" spans="1:11">
      <c r="A239" s="4" t="s">
        <v>191</v>
      </c>
      <c r="B239" s="35">
        <f t="shared" ref="B239:J239" si="29">B197</f>
        <v>1</v>
      </c>
      <c r="C239" s="35">
        <f t="shared" si="29"/>
        <v>1</v>
      </c>
      <c r="D239" s="35">
        <f t="shared" si="29"/>
        <v>1</v>
      </c>
      <c r="E239" s="35">
        <f t="shared" si="29"/>
        <v>1</v>
      </c>
      <c r="F239" s="35">
        <f t="shared" si="29"/>
        <v>1</v>
      </c>
      <c r="G239" s="35">
        <f t="shared" si="29"/>
        <v>0</v>
      </c>
      <c r="H239" s="35">
        <f t="shared" si="29"/>
        <v>1</v>
      </c>
      <c r="I239" s="35">
        <f t="shared" si="29"/>
        <v>0</v>
      </c>
      <c r="J239" s="35">
        <f t="shared" si="29"/>
        <v>0</v>
      </c>
      <c r="K239" s="17"/>
    </row>
    <row r="240" spans="1:11">
      <c r="A240" s="4" t="s">
        <v>192</v>
      </c>
      <c r="B240" s="35">
        <f t="shared" ref="B240:J240" si="30">B198</f>
        <v>1</v>
      </c>
      <c r="C240" s="35">
        <f t="shared" si="30"/>
        <v>1</v>
      </c>
      <c r="D240" s="35">
        <f t="shared" si="30"/>
        <v>1</v>
      </c>
      <c r="E240" s="35">
        <f t="shared" si="30"/>
        <v>1</v>
      </c>
      <c r="F240" s="35">
        <f t="shared" si="30"/>
        <v>1</v>
      </c>
      <c r="G240" s="35">
        <f t="shared" si="30"/>
        <v>0</v>
      </c>
      <c r="H240" s="35">
        <f t="shared" si="30"/>
        <v>1</v>
      </c>
      <c r="I240" s="35">
        <f t="shared" si="30"/>
        <v>1</v>
      </c>
      <c r="J240" s="35">
        <f t="shared" si="30"/>
        <v>0</v>
      </c>
      <c r="K240" s="17"/>
    </row>
    <row r="241" spans="1:11">
      <c r="A241" s="4" t="s">
        <v>193</v>
      </c>
      <c r="B241" s="35">
        <f t="shared" ref="B241:J241" si="31">B199</f>
        <v>1</v>
      </c>
      <c r="C241" s="35">
        <f t="shared" si="31"/>
        <v>1</v>
      </c>
      <c r="D241" s="35">
        <f t="shared" si="31"/>
        <v>1</v>
      </c>
      <c r="E241" s="35">
        <f t="shared" si="31"/>
        <v>1</v>
      </c>
      <c r="F241" s="35">
        <f t="shared" si="31"/>
        <v>1</v>
      </c>
      <c r="G241" s="35">
        <f t="shared" si="31"/>
        <v>0</v>
      </c>
      <c r="H241" s="35">
        <f t="shared" si="31"/>
        <v>1</v>
      </c>
      <c r="I241" s="35">
        <f t="shared" si="31"/>
        <v>1</v>
      </c>
      <c r="J241" s="35">
        <f t="shared" si="31"/>
        <v>0</v>
      </c>
      <c r="K241" s="17"/>
    </row>
    <row r="242" spans="1:11">
      <c r="A242" s="4" t="s">
        <v>194</v>
      </c>
      <c r="B242" s="35">
        <f t="shared" ref="B242:J242" si="32">B200</f>
        <v>1</v>
      </c>
      <c r="C242" s="35">
        <f t="shared" si="32"/>
        <v>1</v>
      </c>
      <c r="D242" s="35">
        <f t="shared" si="32"/>
        <v>1</v>
      </c>
      <c r="E242" s="35">
        <f t="shared" si="32"/>
        <v>1</v>
      </c>
      <c r="F242" s="35">
        <f t="shared" si="32"/>
        <v>1</v>
      </c>
      <c r="G242" s="35">
        <f t="shared" si="32"/>
        <v>0</v>
      </c>
      <c r="H242" s="35">
        <f t="shared" si="32"/>
        <v>1</v>
      </c>
      <c r="I242" s="35">
        <f t="shared" si="32"/>
        <v>1</v>
      </c>
      <c r="J242" s="35">
        <f t="shared" si="32"/>
        <v>0</v>
      </c>
      <c r="K242" s="17"/>
    </row>
    <row r="243" spans="1:11">
      <c r="A243" s="4" t="s">
        <v>195</v>
      </c>
      <c r="B243" s="35">
        <f t="shared" ref="B243:J243" si="33">B201</f>
        <v>1</v>
      </c>
      <c r="C243" s="35">
        <f t="shared" si="33"/>
        <v>1</v>
      </c>
      <c r="D243" s="35">
        <f t="shared" si="33"/>
        <v>1</v>
      </c>
      <c r="E243" s="35">
        <f t="shared" si="33"/>
        <v>1</v>
      </c>
      <c r="F243" s="35">
        <f t="shared" si="33"/>
        <v>1</v>
      </c>
      <c r="G243" s="35">
        <f t="shared" si="33"/>
        <v>0</v>
      </c>
      <c r="H243" s="35">
        <f t="shared" si="33"/>
        <v>1</v>
      </c>
      <c r="I243" s="35">
        <f t="shared" si="33"/>
        <v>1</v>
      </c>
      <c r="J243" s="35">
        <f t="shared" si="33"/>
        <v>0</v>
      </c>
      <c r="K243" s="17"/>
    </row>
    <row r="244" spans="1:11">
      <c r="A244" s="4" t="s">
        <v>196</v>
      </c>
      <c r="B244" s="35">
        <f t="shared" ref="B244:J244" si="34">B202</f>
        <v>1</v>
      </c>
      <c r="C244" s="35">
        <f t="shared" si="34"/>
        <v>1</v>
      </c>
      <c r="D244" s="35">
        <f t="shared" si="34"/>
        <v>1</v>
      </c>
      <c r="E244" s="35">
        <f t="shared" si="34"/>
        <v>1</v>
      </c>
      <c r="F244" s="35">
        <f t="shared" si="34"/>
        <v>1</v>
      </c>
      <c r="G244" s="35">
        <f t="shared" si="34"/>
        <v>0</v>
      </c>
      <c r="H244" s="35">
        <f t="shared" si="34"/>
        <v>1</v>
      </c>
      <c r="I244" s="35">
        <f t="shared" si="34"/>
        <v>0</v>
      </c>
      <c r="J244" s="35">
        <f t="shared" si="34"/>
        <v>0</v>
      </c>
      <c r="K244" s="17"/>
    </row>
    <row r="245" spans="1:11">
      <c r="A245" s="4" t="s">
        <v>197</v>
      </c>
      <c r="B245" s="35">
        <f t="shared" ref="B245:J245" si="35">B203</f>
        <v>1</v>
      </c>
      <c r="C245" s="35">
        <f t="shared" si="35"/>
        <v>1</v>
      </c>
      <c r="D245" s="35">
        <f t="shared" si="35"/>
        <v>1</v>
      </c>
      <c r="E245" s="35">
        <f t="shared" si="35"/>
        <v>1</v>
      </c>
      <c r="F245" s="35">
        <f t="shared" si="35"/>
        <v>1</v>
      </c>
      <c r="G245" s="35">
        <f t="shared" si="35"/>
        <v>0</v>
      </c>
      <c r="H245" s="35">
        <f t="shared" si="35"/>
        <v>1</v>
      </c>
      <c r="I245" s="35">
        <f t="shared" si="35"/>
        <v>0</v>
      </c>
      <c r="J245" s="35">
        <f t="shared" si="35"/>
        <v>0</v>
      </c>
      <c r="K245" s="17"/>
    </row>
    <row r="246" spans="1:11">
      <c r="A246" s="4" t="s">
        <v>198</v>
      </c>
      <c r="B246" s="35">
        <f t="shared" ref="B246:J246" si="36">B204</f>
        <v>1</v>
      </c>
      <c r="C246" s="35">
        <f t="shared" si="36"/>
        <v>1</v>
      </c>
      <c r="D246" s="35">
        <f t="shared" si="36"/>
        <v>1</v>
      </c>
      <c r="E246" s="35">
        <f t="shared" si="36"/>
        <v>1</v>
      </c>
      <c r="F246" s="35">
        <f t="shared" si="36"/>
        <v>1</v>
      </c>
      <c r="G246" s="35">
        <f t="shared" si="36"/>
        <v>0</v>
      </c>
      <c r="H246" s="35">
        <f t="shared" si="36"/>
        <v>1</v>
      </c>
      <c r="I246" s="35">
        <f t="shared" si="36"/>
        <v>0</v>
      </c>
      <c r="J246" s="35">
        <f t="shared" si="36"/>
        <v>0</v>
      </c>
      <c r="K246" s="17"/>
    </row>
    <row r="247" spans="1:11">
      <c r="A247" s="4" t="s">
        <v>199</v>
      </c>
      <c r="B247" s="35">
        <f t="shared" ref="B247:J247" si="37">B205</f>
        <v>1</v>
      </c>
      <c r="C247" s="35">
        <f t="shared" si="37"/>
        <v>1</v>
      </c>
      <c r="D247" s="35">
        <f t="shared" si="37"/>
        <v>1</v>
      </c>
      <c r="E247" s="35">
        <f t="shared" si="37"/>
        <v>1</v>
      </c>
      <c r="F247" s="35">
        <f t="shared" si="37"/>
        <v>1</v>
      </c>
      <c r="G247" s="35">
        <f t="shared" si="37"/>
        <v>0</v>
      </c>
      <c r="H247" s="35">
        <f t="shared" si="37"/>
        <v>1</v>
      </c>
      <c r="I247" s="35">
        <f t="shared" si="37"/>
        <v>0</v>
      </c>
      <c r="J247" s="35">
        <f t="shared" si="37"/>
        <v>0</v>
      </c>
      <c r="K247" s="17"/>
    </row>
    <row r="248" spans="1:11">
      <c r="A248" s="4" t="s">
        <v>207</v>
      </c>
      <c r="B248" s="35">
        <f t="shared" ref="B248:J248" si="38">B206</f>
        <v>1</v>
      </c>
      <c r="C248" s="35">
        <f t="shared" si="38"/>
        <v>1</v>
      </c>
      <c r="D248" s="35">
        <f t="shared" si="38"/>
        <v>1</v>
      </c>
      <c r="E248" s="35">
        <f t="shared" si="38"/>
        <v>1</v>
      </c>
      <c r="F248" s="35">
        <f t="shared" si="38"/>
        <v>1</v>
      </c>
      <c r="G248" s="35">
        <f t="shared" si="38"/>
        <v>0</v>
      </c>
      <c r="H248" s="35">
        <f t="shared" si="38"/>
        <v>0</v>
      </c>
      <c r="I248" s="35">
        <f t="shared" si="38"/>
        <v>0</v>
      </c>
      <c r="J248" s="35">
        <f t="shared" si="38"/>
        <v>0</v>
      </c>
      <c r="K248" s="17"/>
    </row>
    <row r="249" spans="1:11">
      <c r="A249" s="4" t="s">
        <v>208</v>
      </c>
      <c r="B249" s="35">
        <f t="shared" ref="B249:J249" si="39">B207</f>
        <v>1</v>
      </c>
      <c r="C249" s="35">
        <f t="shared" si="39"/>
        <v>1</v>
      </c>
      <c r="D249" s="35">
        <f t="shared" si="39"/>
        <v>1</v>
      </c>
      <c r="E249" s="35">
        <f t="shared" si="39"/>
        <v>1</v>
      </c>
      <c r="F249" s="35">
        <f t="shared" si="39"/>
        <v>1</v>
      </c>
      <c r="G249" s="35">
        <f t="shared" si="39"/>
        <v>0</v>
      </c>
      <c r="H249" s="35">
        <f t="shared" si="39"/>
        <v>0</v>
      </c>
      <c r="I249" s="35">
        <f t="shared" si="39"/>
        <v>0</v>
      </c>
      <c r="J249" s="35">
        <f t="shared" si="39"/>
        <v>0</v>
      </c>
      <c r="K249" s="17"/>
    </row>
    <row r="250" spans="1:11">
      <c r="A250" s="4" t="s">
        <v>209</v>
      </c>
      <c r="B250" s="35">
        <f t="shared" ref="B250:J250" si="40">B208</f>
        <v>1</v>
      </c>
      <c r="C250" s="35">
        <f t="shared" si="40"/>
        <v>1</v>
      </c>
      <c r="D250" s="35">
        <f t="shared" si="40"/>
        <v>1</v>
      </c>
      <c r="E250" s="35">
        <f t="shared" si="40"/>
        <v>1</v>
      </c>
      <c r="F250" s="35">
        <f t="shared" si="40"/>
        <v>1</v>
      </c>
      <c r="G250" s="35">
        <f t="shared" si="40"/>
        <v>0</v>
      </c>
      <c r="H250" s="35">
        <f t="shared" si="40"/>
        <v>0</v>
      </c>
      <c r="I250" s="35">
        <f t="shared" si="40"/>
        <v>0</v>
      </c>
      <c r="J250" s="35">
        <f t="shared" si="40"/>
        <v>0</v>
      </c>
      <c r="K250" s="17"/>
    </row>
    <row r="251" spans="1:11">
      <c r="A251" s="4" t="s">
        <v>210</v>
      </c>
      <c r="B251" s="35">
        <f t="shared" ref="B251:J251" si="41">B209</f>
        <v>1</v>
      </c>
      <c r="C251" s="35">
        <f t="shared" si="41"/>
        <v>1</v>
      </c>
      <c r="D251" s="35">
        <f t="shared" si="41"/>
        <v>1</v>
      </c>
      <c r="E251" s="35">
        <f t="shared" si="41"/>
        <v>1</v>
      </c>
      <c r="F251" s="35">
        <f t="shared" si="41"/>
        <v>1</v>
      </c>
      <c r="G251" s="35">
        <f t="shared" si="41"/>
        <v>0</v>
      </c>
      <c r="H251" s="35">
        <f t="shared" si="41"/>
        <v>0</v>
      </c>
      <c r="I251" s="35">
        <f t="shared" si="41"/>
        <v>0</v>
      </c>
      <c r="J251" s="35">
        <f t="shared" si="41"/>
        <v>0</v>
      </c>
      <c r="K251" s="17"/>
    </row>
    <row r="253" spans="1:11" ht="21" customHeight="1">
      <c r="A253" s="1" t="s">
        <v>423</v>
      </c>
    </row>
    <row r="254" spans="1:11">
      <c r="A254" s="2" t="s">
        <v>379</v>
      </c>
    </row>
    <row r="255" spans="1:11">
      <c r="A255" s="29" t="s">
        <v>424</v>
      </c>
    </row>
    <row r="256" spans="1:11">
      <c r="A256" s="29" t="s">
        <v>425</v>
      </c>
    </row>
    <row r="257" spans="1:11">
      <c r="A257" s="29" t="s">
        <v>426</v>
      </c>
    </row>
    <row r="258" spans="1:11">
      <c r="A258" s="2" t="s">
        <v>427</v>
      </c>
    </row>
    <row r="260" spans="1:11">
      <c r="B260" s="15" t="s">
        <v>148</v>
      </c>
      <c r="C260" s="15" t="s">
        <v>149</v>
      </c>
      <c r="D260" s="15" t="s">
        <v>150</v>
      </c>
      <c r="E260" s="15" t="s">
        <v>151</v>
      </c>
      <c r="F260" s="15" t="s">
        <v>152</v>
      </c>
      <c r="G260" s="15" t="s">
        <v>157</v>
      </c>
      <c r="H260" s="15" t="s">
        <v>153</v>
      </c>
      <c r="I260" s="15" t="s">
        <v>154</v>
      </c>
      <c r="J260" s="15" t="s">
        <v>155</v>
      </c>
    </row>
    <row r="261" spans="1:11">
      <c r="A261" s="4" t="s">
        <v>180</v>
      </c>
      <c r="B261" s="34">
        <f t="shared" ref="B261:J261" si="42">IF(B$83="",B219,B219*$I14/B$83)</f>
        <v>1.107559204</v>
      </c>
      <c r="C261" s="34">
        <f t="shared" si="42"/>
        <v>1.0965394409717206</v>
      </c>
      <c r="D261" s="34">
        <f t="shared" si="42"/>
        <v>1.0911604643618382</v>
      </c>
      <c r="E261" s="34">
        <f t="shared" si="42"/>
        <v>1.0843288708231331</v>
      </c>
      <c r="F261" s="34">
        <f t="shared" si="42"/>
        <v>1.0784773945567474</v>
      </c>
      <c r="G261" s="34">
        <f t="shared" si="42"/>
        <v>0</v>
      </c>
      <c r="H261" s="34">
        <f t="shared" si="42"/>
        <v>1.0656381234077223</v>
      </c>
      <c r="I261" s="34">
        <f t="shared" si="42"/>
        <v>1.0516193176428192</v>
      </c>
      <c r="J261" s="34">
        <f t="shared" si="42"/>
        <v>1</v>
      </c>
      <c r="K261" s="17"/>
    </row>
    <row r="262" spans="1:11">
      <c r="A262" s="4" t="s">
        <v>181</v>
      </c>
      <c r="B262" s="34">
        <f t="shared" ref="B262:J262" si="43">IF(B$83="",B220,B220*$I15/B$83)</f>
        <v>1.107559204</v>
      </c>
      <c r="C262" s="34">
        <f t="shared" si="43"/>
        <v>1.0965394409717206</v>
      </c>
      <c r="D262" s="34">
        <f t="shared" si="43"/>
        <v>1.0911604643618382</v>
      </c>
      <c r="E262" s="34">
        <f t="shared" si="43"/>
        <v>1.0843288708231331</v>
      </c>
      <c r="F262" s="34">
        <f t="shared" si="43"/>
        <v>1.0784773945567474</v>
      </c>
      <c r="G262" s="34">
        <f t="shared" si="43"/>
        <v>0</v>
      </c>
      <c r="H262" s="34">
        <f t="shared" si="43"/>
        <v>1.0656381234077223</v>
      </c>
      <c r="I262" s="34">
        <f t="shared" si="43"/>
        <v>1.0516193176428192</v>
      </c>
      <c r="J262" s="34">
        <f t="shared" si="43"/>
        <v>1</v>
      </c>
      <c r="K262" s="17"/>
    </row>
    <row r="263" spans="1:11">
      <c r="A263" s="4" t="s">
        <v>226</v>
      </c>
      <c r="B263" s="34">
        <f t="shared" ref="B263:J263" si="44">IF(B$83="",B221,B221*$I16/B$83)</f>
        <v>1.107559204</v>
      </c>
      <c r="C263" s="34">
        <f t="shared" si="44"/>
        <v>1.0965394409717206</v>
      </c>
      <c r="D263" s="34">
        <f t="shared" si="44"/>
        <v>1.0911604643618382</v>
      </c>
      <c r="E263" s="34">
        <f t="shared" si="44"/>
        <v>1.0843288708231331</v>
      </c>
      <c r="F263" s="34">
        <f t="shared" si="44"/>
        <v>1.0784773945567474</v>
      </c>
      <c r="G263" s="34">
        <f t="shared" si="44"/>
        <v>0</v>
      </c>
      <c r="H263" s="34">
        <f t="shared" si="44"/>
        <v>1.0656381234077223</v>
      </c>
      <c r="I263" s="34">
        <f t="shared" si="44"/>
        <v>1.0516193176428192</v>
      </c>
      <c r="J263" s="34">
        <f t="shared" si="44"/>
        <v>1</v>
      </c>
      <c r="K263" s="17"/>
    </row>
    <row r="264" spans="1:11">
      <c r="A264" s="4" t="s">
        <v>182</v>
      </c>
      <c r="B264" s="34">
        <f t="shared" ref="B264:J264" si="45">IF(B$83="",B222,B222*$I17/B$83)</f>
        <v>1.107559204</v>
      </c>
      <c r="C264" s="34">
        <f t="shared" si="45"/>
        <v>1.0965394409717206</v>
      </c>
      <c r="D264" s="34">
        <f t="shared" si="45"/>
        <v>1.0911604643618382</v>
      </c>
      <c r="E264" s="34">
        <f t="shared" si="45"/>
        <v>1.0843288708231331</v>
      </c>
      <c r="F264" s="34">
        <f t="shared" si="45"/>
        <v>1.0784773945567474</v>
      </c>
      <c r="G264" s="34">
        <f t="shared" si="45"/>
        <v>0</v>
      </c>
      <c r="H264" s="34">
        <f t="shared" si="45"/>
        <v>1.0656381234077223</v>
      </c>
      <c r="I264" s="34">
        <f t="shared" si="45"/>
        <v>1.0516193176428192</v>
      </c>
      <c r="J264" s="34">
        <f t="shared" si="45"/>
        <v>1</v>
      </c>
      <c r="K264" s="17"/>
    </row>
    <row r="265" spans="1:11">
      <c r="A265" s="4" t="s">
        <v>183</v>
      </c>
      <c r="B265" s="34">
        <f t="shared" ref="B265:J265" si="46">IF(B$83="",B223,B223*$I18/B$83)</f>
        <v>1.107559204</v>
      </c>
      <c r="C265" s="34">
        <f t="shared" si="46"/>
        <v>1.0965394409717206</v>
      </c>
      <c r="D265" s="34">
        <f t="shared" si="46"/>
        <v>1.0911604643618382</v>
      </c>
      <c r="E265" s="34">
        <f t="shared" si="46"/>
        <v>1.0843288708231331</v>
      </c>
      <c r="F265" s="34">
        <f t="shared" si="46"/>
        <v>1.0784773945567474</v>
      </c>
      <c r="G265" s="34">
        <f t="shared" si="46"/>
        <v>0</v>
      </c>
      <c r="H265" s="34">
        <f t="shared" si="46"/>
        <v>1.0656381234077223</v>
      </c>
      <c r="I265" s="34">
        <f t="shared" si="46"/>
        <v>1.0516193176428192</v>
      </c>
      <c r="J265" s="34">
        <f t="shared" si="46"/>
        <v>1</v>
      </c>
      <c r="K265" s="17"/>
    </row>
    <row r="266" spans="1:11">
      <c r="A266" s="4" t="s">
        <v>227</v>
      </c>
      <c r="B266" s="34">
        <f t="shared" ref="B266:J266" si="47">IF(B$83="",B224,B224*$I19/B$83)</f>
        <v>1.107559204</v>
      </c>
      <c r="C266" s="34">
        <f t="shared" si="47"/>
        <v>1.0965394409717206</v>
      </c>
      <c r="D266" s="34">
        <f t="shared" si="47"/>
        <v>1.0911604643618382</v>
      </c>
      <c r="E266" s="34">
        <f t="shared" si="47"/>
        <v>1.0843288708231331</v>
      </c>
      <c r="F266" s="34">
        <f t="shared" si="47"/>
        <v>1.0784773945567474</v>
      </c>
      <c r="G266" s="34">
        <f t="shared" si="47"/>
        <v>0</v>
      </c>
      <c r="H266" s="34">
        <f t="shared" si="47"/>
        <v>1.0656381234077223</v>
      </c>
      <c r="I266" s="34">
        <f t="shared" si="47"/>
        <v>1.0516193176428192</v>
      </c>
      <c r="J266" s="34">
        <f t="shared" si="47"/>
        <v>1</v>
      </c>
      <c r="K266" s="17"/>
    </row>
    <row r="267" spans="1:11">
      <c r="A267" s="4" t="s">
        <v>184</v>
      </c>
      <c r="B267" s="34">
        <f t="shared" ref="B267:J267" si="48">IF(B$83="",B225,B225*$I20/B$83)</f>
        <v>1.107559204</v>
      </c>
      <c r="C267" s="34">
        <f t="shared" si="48"/>
        <v>1.0965394409717206</v>
      </c>
      <c r="D267" s="34">
        <f t="shared" si="48"/>
        <v>1.0911604643618382</v>
      </c>
      <c r="E267" s="34">
        <f t="shared" si="48"/>
        <v>1.0843288708231331</v>
      </c>
      <c r="F267" s="34">
        <f t="shared" si="48"/>
        <v>1.0784773945567474</v>
      </c>
      <c r="G267" s="34">
        <f t="shared" si="48"/>
        <v>0</v>
      </c>
      <c r="H267" s="34">
        <f t="shared" si="48"/>
        <v>1.0656381234077223</v>
      </c>
      <c r="I267" s="34">
        <f t="shared" si="48"/>
        <v>1.0516193176428192</v>
      </c>
      <c r="J267" s="34">
        <f t="shared" si="48"/>
        <v>1</v>
      </c>
      <c r="K267" s="17"/>
    </row>
    <row r="268" spans="1:11">
      <c r="A268" s="4" t="s">
        <v>185</v>
      </c>
      <c r="B268" s="34">
        <f t="shared" ref="B268:J268" si="49">IF(B$83="",B226,B226*$I21/B$83)</f>
        <v>1.053194046</v>
      </c>
      <c r="C268" s="34">
        <f t="shared" si="49"/>
        <v>1.0427151941537065</v>
      </c>
      <c r="D268" s="34">
        <f t="shared" si="49"/>
        <v>1.0376002475949659</v>
      </c>
      <c r="E268" s="34">
        <f t="shared" si="49"/>
        <v>1.0311039866152627</v>
      </c>
      <c r="F268" s="34">
        <f t="shared" si="49"/>
        <v>1.0255397333078</v>
      </c>
      <c r="G268" s="34">
        <f t="shared" si="49"/>
        <v>0</v>
      </c>
      <c r="H268" s="34">
        <f t="shared" si="49"/>
        <v>1.0133306849063271</v>
      </c>
      <c r="I268" s="34">
        <f t="shared" si="49"/>
        <v>1</v>
      </c>
      <c r="J268" s="34">
        <f t="shared" si="49"/>
        <v>0</v>
      </c>
      <c r="K268" s="17"/>
    </row>
    <row r="269" spans="1:11">
      <c r="A269" s="4" t="s">
        <v>205</v>
      </c>
      <c r="B269" s="34">
        <f t="shared" ref="B269:J269" si="50">IF(B$83="",B227,B227*$I22/B$83)</f>
        <v>1.039338946</v>
      </c>
      <c r="C269" s="34">
        <f t="shared" si="50"/>
        <v>1.0289979467562416</v>
      </c>
      <c r="D269" s="34">
        <f t="shared" si="50"/>
        <v>1.0239502889334515</v>
      </c>
      <c r="E269" s="34">
        <f t="shared" si="50"/>
        <v>1.0175394883167665</v>
      </c>
      <c r="F269" s="34">
        <f t="shared" si="50"/>
        <v>1.0120484345173082</v>
      </c>
      <c r="G269" s="34">
        <f t="shared" si="50"/>
        <v>0</v>
      </c>
      <c r="H269" s="34">
        <f t="shared" si="50"/>
        <v>1</v>
      </c>
      <c r="I269" s="34">
        <f t="shared" si="50"/>
        <v>0</v>
      </c>
      <c r="J269" s="34">
        <f t="shared" si="50"/>
        <v>0</v>
      </c>
      <c r="K269" s="17"/>
    </row>
    <row r="270" spans="1:11">
      <c r="A270" s="4" t="s">
        <v>186</v>
      </c>
      <c r="B270" s="34">
        <f t="shared" ref="B270:J270" si="51">IF(B$83="",B228,B228*$I23/B$83)</f>
        <v>1.107559204</v>
      </c>
      <c r="C270" s="34">
        <f t="shared" si="51"/>
        <v>1.0965394409717206</v>
      </c>
      <c r="D270" s="34">
        <f t="shared" si="51"/>
        <v>1.0911604643618382</v>
      </c>
      <c r="E270" s="34">
        <f t="shared" si="51"/>
        <v>1.0843288708231331</v>
      </c>
      <c r="F270" s="34">
        <f t="shared" si="51"/>
        <v>1.0784773945567474</v>
      </c>
      <c r="G270" s="34">
        <f t="shared" si="51"/>
        <v>0</v>
      </c>
      <c r="H270" s="34">
        <f t="shared" si="51"/>
        <v>1.0656381234077223</v>
      </c>
      <c r="I270" s="34">
        <f t="shared" si="51"/>
        <v>1.0516193176428192</v>
      </c>
      <c r="J270" s="34">
        <f t="shared" si="51"/>
        <v>1</v>
      </c>
      <c r="K270" s="17"/>
    </row>
    <row r="271" spans="1:11">
      <c r="A271" s="4" t="s">
        <v>187</v>
      </c>
      <c r="B271" s="34">
        <f t="shared" ref="B271:J271" si="52">IF(B$83="",B229,B229*$I24/B$83)</f>
        <v>1.107559204</v>
      </c>
      <c r="C271" s="34">
        <f t="shared" si="52"/>
        <v>1.0965394409717206</v>
      </c>
      <c r="D271" s="34">
        <f t="shared" si="52"/>
        <v>1.0911604643618382</v>
      </c>
      <c r="E271" s="34">
        <f t="shared" si="52"/>
        <v>1.0843288708231331</v>
      </c>
      <c r="F271" s="34">
        <f t="shared" si="52"/>
        <v>1.0784773945567474</v>
      </c>
      <c r="G271" s="34">
        <f t="shared" si="52"/>
        <v>0</v>
      </c>
      <c r="H271" s="34">
        <f t="shared" si="52"/>
        <v>1.0656381234077223</v>
      </c>
      <c r="I271" s="34">
        <f t="shared" si="52"/>
        <v>1.0516193176428192</v>
      </c>
      <c r="J271" s="34">
        <f t="shared" si="52"/>
        <v>1</v>
      </c>
      <c r="K271" s="17"/>
    </row>
    <row r="272" spans="1:11">
      <c r="A272" s="4" t="s">
        <v>188</v>
      </c>
      <c r="B272" s="34">
        <f t="shared" ref="B272:J272" si="53">IF(B$83="",B230,B230*$I25/B$83)</f>
        <v>1.107559204</v>
      </c>
      <c r="C272" s="34">
        <f t="shared" si="53"/>
        <v>1.0965394409717206</v>
      </c>
      <c r="D272" s="34">
        <f t="shared" si="53"/>
        <v>1.0911604643618382</v>
      </c>
      <c r="E272" s="34">
        <f t="shared" si="53"/>
        <v>1.0843288708231331</v>
      </c>
      <c r="F272" s="34">
        <f t="shared" si="53"/>
        <v>1.0784773945567474</v>
      </c>
      <c r="G272" s="34">
        <f t="shared" si="53"/>
        <v>0</v>
      </c>
      <c r="H272" s="34">
        <f t="shared" si="53"/>
        <v>1.0656381234077223</v>
      </c>
      <c r="I272" s="34">
        <f t="shared" si="53"/>
        <v>1.0516193176428192</v>
      </c>
      <c r="J272" s="34">
        <f t="shared" si="53"/>
        <v>1</v>
      </c>
      <c r="K272" s="17"/>
    </row>
    <row r="273" spans="1:11">
      <c r="A273" s="4" t="s">
        <v>189</v>
      </c>
      <c r="B273" s="34">
        <f t="shared" ref="B273:J273" si="54">IF(B$83="",B231,B231*$I26/B$83)</f>
        <v>1.053194046</v>
      </c>
      <c r="C273" s="34">
        <f t="shared" si="54"/>
        <v>1.0427151941537065</v>
      </c>
      <c r="D273" s="34">
        <f t="shared" si="54"/>
        <v>1.0376002475949659</v>
      </c>
      <c r="E273" s="34">
        <f t="shared" si="54"/>
        <v>1.0311039866152627</v>
      </c>
      <c r="F273" s="34">
        <f t="shared" si="54"/>
        <v>1.0255397333078</v>
      </c>
      <c r="G273" s="34">
        <f t="shared" si="54"/>
        <v>0</v>
      </c>
      <c r="H273" s="34">
        <f t="shared" si="54"/>
        <v>1.0133306849063271</v>
      </c>
      <c r="I273" s="34">
        <f t="shared" si="54"/>
        <v>1</v>
      </c>
      <c r="J273" s="34">
        <f t="shared" si="54"/>
        <v>0</v>
      </c>
      <c r="K273" s="17"/>
    </row>
    <row r="274" spans="1:11">
      <c r="A274" s="4" t="s">
        <v>206</v>
      </c>
      <c r="B274" s="34">
        <f t="shared" ref="B274:J274" si="55">IF(B$83="",B232,B232*$I27/B$83)</f>
        <v>1.039338946</v>
      </c>
      <c r="C274" s="34">
        <f t="shared" si="55"/>
        <v>1.0289979467562416</v>
      </c>
      <c r="D274" s="34">
        <f t="shared" si="55"/>
        <v>1.0239502889334515</v>
      </c>
      <c r="E274" s="34">
        <f t="shared" si="55"/>
        <v>1.0175394883167665</v>
      </c>
      <c r="F274" s="34">
        <f t="shared" si="55"/>
        <v>1.0120484345173082</v>
      </c>
      <c r="G274" s="34">
        <f t="shared" si="55"/>
        <v>0</v>
      </c>
      <c r="H274" s="34">
        <f t="shared" si="55"/>
        <v>1</v>
      </c>
      <c r="I274" s="34">
        <f t="shared" si="55"/>
        <v>0</v>
      </c>
      <c r="J274" s="34">
        <f t="shared" si="55"/>
        <v>0</v>
      </c>
      <c r="K274" s="17"/>
    </row>
    <row r="275" spans="1:11">
      <c r="A275" s="4" t="s">
        <v>228</v>
      </c>
      <c r="B275" s="34">
        <f t="shared" ref="B275:J275" si="56">IF(B$83="",B233,B233*$I28/B$83)</f>
        <v>1.107559204</v>
      </c>
      <c r="C275" s="34">
        <f t="shared" si="56"/>
        <v>1.0965394409717206</v>
      </c>
      <c r="D275" s="34">
        <f t="shared" si="56"/>
        <v>1.0911604643618382</v>
      </c>
      <c r="E275" s="34">
        <f t="shared" si="56"/>
        <v>1.0843288708231331</v>
      </c>
      <c r="F275" s="34">
        <f t="shared" si="56"/>
        <v>1.0784773945567474</v>
      </c>
      <c r="G275" s="34">
        <f t="shared" si="56"/>
        <v>0</v>
      </c>
      <c r="H275" s="34">
        <f t="shared" si="56"/>
        <v>1.0656381234077223</v>
      </c>
      <c r="I275" s="34">
        <f t="shared" si="56"/>
        <v>1.0516193176428192</v>
      </c>
      <c r="J275" s="34">
        <f t="shared" si="56"/>
        <v>1</v>
      </c>
      <c r="K275" s="17"/>
    </row>
    <row r="276" spans="1:11">
      <c r="A276" s="4" t="s">
        <v>229</v>
      </c>
      <c r="B276" s="34">
        <f t="shared" ref="B276:J276" si="57">IF(B$83="",B234,B234*$I29/B$83)</f>
        <v>1.107559204</v>
      </c>
      <c r="C276" s="34">
        <f t="shared" si="57"/>
        <v>1.0965394409717206</v>
      </c>
      <c r="D276" s="34">
        <f t="shared" si="57"/>
        <v>1.0911604643618382</v>
      </c>
      <c r="E276" s="34">
        <f t="shared" si="57"/>
        <v>1.0843288708231331</v>
      </c>
      <c r="F276" s="34">
        <f t="shared" si="57"/>
        <v>1.0784773945567474</v>
      </c>
      <c r="G276" s="34">
        <f t="shared" si="57"/>
        <v>0</v>
      </c>
      <c r="H276" s="34">
        <f t="shared" si="57"/>
        <v>1.0656381234077223</v>
      </c>
      <c r="I276" s="34">
        <f t="shared" si="57"/>
        <v>1.0516193176428192</v>
      </c>
      <c r="J276" s="34">
        <f t="shared" si="57"/>
        <v>1</v>
      </c>
      <c r="K276" s="17"/>
    </row>
    <row r="277" spans="1:11">
      <c r="A277" s="4" t="s">
        <v>230</v>
      </c>
      <c r="B277" s="34">
        <f t="shared" ref="B277:J277" si="58">IF(B$83="",B235,B235*$I30/B$83)</f>
        <v>1.107559204</v>
      </c>
      <c r="C277" s="34">
        <f t="shared" si="58"/>
        <v>1.0965394409717206</v>
      </c>
      <c r="D277" s="34">
        <f t="shared" si="58"/>
        <v>1.0911604643618382</v>
      </c>
      <c r="E277" s="34">
        <f t="shared" si="58"/>
        <v>1.0843288708231331</v>
      </c>
      <c r="F277" s="34">
        <f t="shared" si="58"/>
        <v>1.0784773945567474</v>
      </c>
      <c r="G277" s="34">
        <f t="shared" si="58"/>
        <v>0</v>
      </c>
      <c r="H277" s="34">
        <f t="shared" si="58"/>
        <v>1.0656381234077223</v>
      </c>
      <c r="I277" s="34">
        <f t="shared" si="58"/>
        <v>1.0516193176428192</v>
      </c>
      <c r="J277" s="34">
        <f t="shared" si="58"/>
        <v>1</v>
      </c>
      <c r="K277" s="17"/>
    </row>
    <row r="278" spans="1:11">
      <c r="A278" s="4" t="s">
        <v>231</v>
      </c>
      <c r="B278" s="34">
        <f t="shared" ref="B278:J278" si="59">IF(B$83="",B236,B236*$I31/B$83)</f>
        <v>1.107559204</v>
      </c>
      <c r="C278" s="34">
        <f t="shared" si="59"/>
        <v>1.0965394409717206</v>
      </c>
      <c r="D278" s="34">
        <f t="shared" si="59"/>
        <v>1.0911604643618382</v>
      </c>
      <c r="E278" s="34">
        <f t="shared" si="59"/>
        <v>1.0843288708231331</v>
      </c>
      <c r="F278" s="34">
        <f t="shared" si="59"/>
        <v>1.0784773945567474</v>
      </c>
      <c r="G278" s="34">
        <f t="shared" si="59"/>
        <v>0</v>
      </c>
      <c r="H278" s="34">
        <f t="shared" si="59"/>
        <v>1.0656381234077223</v>
      </c>
      <c r="I278" s="34">
        <f t="shared" si="59"/>
        <v>1.0516193176428192</v>
      </c>
      <c r="J278" s="34">
        <f t="shared" si="59"/>
        <v>1</v>
      </c>
      <c r="K278" s="17"/>
    </row>
    <row r="279" spans="1:11">
      <c r="A279" s="4" t="s">
        <v>232</v>
      </c>
      <c r="B279" s="34">
        <f t="shared" ref="B279:J279" si="60">IF(B$83="",B237,B237*$I32/B$83)</f>
        <v>1.107559204</v>
      </c>
      <c r="C279" s="34">
        <f t="shared" si="60"/>
        <v>1.0965394409717206</v>
      </c>
      <c r="D279" s="34">
        <f t="shared" si="60"/>
        <v>1.0911604643618382</v>
      </c>
      <c r="E279" s="34">
        <f t="shared" si="60"/>
        <v>1.0843288708231331</v>
      </c>
      <c r="F279" s="34">
        <f t="shared" si="60"/>
        <v>1.0784773945567474</v>
      </c>
      <c r="G279" s="34">
        <f t="shared" si="60"/>
        <v>0</v>
      </c>
      <c r="H279" s="34">
        <f t="shared" si="60"/>
        <v>1.0656381234077223</v>
      </c>
      <c r="I279" s="34">
        <f t="shared" si="60"/>
        <v>1.0516193176428192</v>
      </c>
      <c r="J279" s="34">
        <f t="shared" si="60"/>
        <v>1</v>
      </c>
      <c r="K279" s="17"/>
    </row>
    <row r="280" spans="1:11">
      <c r="A280" s="4" t="s">
        <v>190</v>
      </c>
      <c r="B280" s="34">
        <f t="shared" ref="B280:J280" si="61">IF(B$83="",B238,B238*$I33/B$83)</f>
        <v>1.107559204</v>
      </c>
      <c r="C280" s="34">
        <f t="shared" si="61"/>
        <v>1.0965394409717206</v>
      </c>
      <c r="D280" s="34">
        <f t="shared" si="61"/>
        <v>1.0911604643618382</v>
      </c>
      <c r="E280" s="34">
        <f t="shared" si="61"/>
        <v>1.0843288708231331</v>
      </c>
      <c r="F280" s="34">
        <f t="shared" si="61"/>
        <v>1.0784773945567474</v>
      </c>
      <c r="G280" s="34">
        <f t="shared" si="61"/>
        <v>0</v>
      </c>
      <c r="H280" s="34">
        <f t="shared" si="61"/>
        <v>1.0656381234077223</v>
      </c>
      <c r="I280" s="34">
        <f t="shared" si="61"/>
        <v>1.0516193176428192</v>
      </c>
      <c r="J280" s="34">
        <f t="shared" si="61"/>
        <v>0</v>
      </c>
      <c r="K280" s="17"/>
    </row>
    <row r="281" spans="1:11">
      <c r="A281" s="4" t="s">
        <v>191</v>
      </c>
      <c r="B281" s="34">
        <f t="shared" ref="B281:J281" si="62">IF(B$83="",B239,B239*$I34/B$83)</f>
        <v>1.053194046</v>
      </c>
      <c r="C281" s="34">
        <f t="shared" si="62"/>
        <v>1.0427151941537065</v>
      </c>
      <c r="D281" s="34">
        <f t="shared" si="62"/>
        <v>1.0376002475949659</v>
      </c>
      <c r="E281" s="34">
        <f t="shared" si="62"/>
        <v>1.0311039866152627</v>
      </c>
      <c r="F281" s="34">
        <f t="shared" si="62"/>
        <v>1.0255397333078</v>
      </c>
      <c r="G281" s="34">
        <f t="shared" si="62"/>
        <v>0</v>
      </c>
      <c r="H281" s="34">
        <f t="shared" si="62"/>
        <v>1.0133306849063271</v>
      </c>
      <c r="I281" s="34">
        <f t="shared" si="62"/>
        <v>0</v>
      </c>
      <c r="J281" s="34">
        <f t="shared" si="62"/>
        <v>0</v>
      </c>
      <c r="K281" s="17"/>
    </row>
    <row r="282" spans="1:11">
      <c r="A282" s="4" t="s">
        <v>192</v>
      </c>
      <c r="B282" s="34">
        <f t="shared" ref="B282:J282" si="63">IF(B$83="",B240,B240*$I35/B$83)</f>
        <v>1.107559204</v>
      </c>
      <c r="C282" s="34">
        <f t="shared" si="63"/>
        <v>1.0965394409717206</v>
      </c>
      <c r="D282" s="34">
        <f t="shared" si="63"/>
        <v>1.0911604643618382</v>
      </c>
      <c r="E282" s="34">
        <f t="shared" si="63"/>
        <v>1.0843288708231331</v>
      </c>
      <c r="F282" s="34">
        <f t="shared" si="63"/>
        <v>1.0784773945567474</v>
      </c>
      <c r="G282" s="34">
        <f t="shared" si="63"/>
        <v>0</v>
      </c>
      <c r="H282" s="34">
        <f t="shared" si="63"/>
        <v>1.0656381234077223</v>
      </c>
      <c r="I282" s="34">
        <f t="shared" si="63"/>
        <v>1.0516193176428192</v>
      </c>
      <c r="J282" s="34">
        <f t="shared" si="63"/>
        <v>0</v>
      </c>
      <c r="K282" s="17"/>
    </row>
    <row r="283" spans="1:11">
      <c r="A283" s="4" t="s">
        <v>193</v>
      </c>
      <c r="B283" s="34">
        <f t="shared" ref="B283:J283" si="64">IF(B$83="",B241,B241*$I36/B$83)</f>
        <v>1.107559204</v>
      </c>
      <c r="C283" s="34">
        <f t="shared" si="64"/>
        <v>1.0965394409717206</v>
      </c>
      <c r="D283" s="34">
        <f t="shared" si="64"/>
        <v>1.0911604643618382</v>
      </c>
      <c r="E283" s="34">
        <f t="shared" si="64"/>
        <v>1.0843288708231331</v>
      </c>
      <c r="F283" s="34">
        <f t="shared" si="64"/>
        <v>1.0784773945567474</v>
      </c>
      <c r="G283" s="34">
        <f t="shared" si="64"/>
        <v>0</v>
      </c>
      <c r="H283" s="34">
        <f t="shared" si="64"/>
        <v>1.0656381234077223</v>
      </c>
      <c r="I283" s="34">
        <f t="shared" si="64"/>
        <v>1.0516193176428192</v>
      </c>
      <c r="J283" s="34">
        <f t="shared" si="64"/>
        <v>0</v>
      </c>
      <c r="K283" s="17"/>
    </row>
    <row r="284" spans="1:11">
      <c r="A284" s="4" t="s">
        <v>194</v>
      </c>
      <c r="B284" s="34">
        <f t="shared" ref="B284:J284" si="65">IF(B$83="",B242,B242*$I37/B$83)</f>
        <v>1.107559204</v>
      </c>
      <c r="C284" s="34">
        <f t="shared" si="65"/>
        <v>1.0965394409717206</v>
      </c>
      <c r="D284" s="34">
        <f t="shared" si="65"/>
        <v>1.0911604643618382</v>
      </c>
      <c r="E284" s="34">
        <f t="shared" si="65"/>
        <v>1.0843288708231331</v>
      </c>
      <c r="F284" s="34">
        <f t="shared" si="65"/>
        <v>1.0784773945567474</v>
      </c>
      <c r="G284" s="34">
        <f t="shared" si="65"/>
        <v>0</v>
      </c>
      <c r="H284" s="34">
        <f t="shared" si="65"/>
        <v>1.0656381234077223</v>
      </c>
      <c r="I284" s="34">
        <f t="shared" si="65"/>
        <v>1.0516193176428192</v>
      </c>
      <c r="J284" s="34">
        <f t="shared" si="65"/>
        <v>0</v>
      </c>
      <c r="K284" s="17"/>
    </row>
    <row r="285" spans="1:11">
      <c r="A285" s="4" t="s">
        <v>195</v>
      </c>
      <c r="B285" s="34">
        <f t="shared" ref="B285:J285" si="66">IF(B$83="",B243,B243*$I38/B$83)</f>
        <v>1.107559204</v>
      </c>
      <c r="C285" s="34">
        <f t="shared" si="66"/>
        <v>1.0965394409717206</v>
      </c>
      <c r="D285" s="34">
        <f t="shared" si="66"/>
        <v>1.0911604643618382</v>
      </c>
      <c r="E285" s="34">
        <f t="shared" si="66"/>
        <v>1.0843288708231331</v>
      </c>
      <c r="F285" s="34">
        <f t="shared" si="66"/>
        <v>1.0784773945567474</v>
      </c>
      <c r="G285" s="34">
        <f t="shared" si="66"/>
        <v>0</v>
      </c>
      <c r="H285" s="34">
        <f t="shared" si="66"/>
        <v>1.0656381234077223</v>
      </c>
      <c r="I285" s="34">
        <f t="shared" si="66"/>
        <v>1.0516193176428192</v>
      </c>
      <c r="J285" s="34">
        <f t="shared" si="66"/>
        <v>0</v>
      </c>
      <c r="K285" s="17"/>
    </row>
    <row r="286" spans="1:11">
      <c r="A286" s="4" t="s">
        <v>196</v>
      </c>
      <c r="B286" s="34">
        <f t="shared" ref="B286:J286" si="67">IF(B$83="",B244,B244*$I39/B$83)</f>
        <v>1.053194046</v>
      </c>
      <c r="C286" s="34">
        <f t="shared" si="67"/>
        <v>1.0427151941537065</v>
      </c>
      <c r="D286" s="34">
        <f t="shared" si="67"/>
        <v>1.0376002475949659</v>
      </c>
      <c r="E286" s="34">
        <f t="shared" si="67"/>
        <v>1.0311039866152627</v>
      </c>
      <c r="F286" s="34">
        <f t="shared" si="67"/>
        <v>1.0255397333078</v>
      </c>
      <c r="G286" s="34">
        <f t="shared" si="67"/>
        <v>0</v>
      </c>
      <c r="H286" s="34">
        <f t="shared" si="67"/>
        <v>1.0133306849063271</v>
      </c>
      <c r="I286" s="34">
        <f t="shared" si="67"/>
        <v>0</v>
      </c>
      <c r="J286" s="34">
        <f t="shared" si="67"/>
        <v>0</v>
      </c>
      <c r="K286" s="17"/>
    </row>
    <row r="287" spans="1:11">
      <c r="A287" s="4" t="s">
        <v>197</v>
      </c>
      <c r="B287" s="34">
        <f t="shared" ref="B287:J287" si="68">IF(B$83="",B245,B245*$I40/B$83)</f>
        <v>1.053194046</v>
      </c>
      <c r="C287" s="34">
        <f t="shared" si="68"/>
        <v>1.0427151941537065</v>
      </c>
      <c r="D287" s="34">
        <f t="shared" si="68"/>
        <v>1.0376002475949659</v>
      </c>
      <c r="E287" s="34">
        <f t="shared" si="68"/>
        <v>1.0311039866152627</v>
      </c>
      <c r="F287" s="34">
        <f t="shared" si="68"/>
        <v>1.0255397333078</v>
      </c>
      <c r="G287" s="34">
        <f t="shared" si="68"/>
        <v>0</v>
      </c>
      <c r="H287" s="34">
        <f t="shared" si="68"/>
        <v>1.0133306849063271</v>
      </c>
      <c r="I287" s="34">
        <f t="shared" si="68"/>
        <v>0</v>
      </c>
      <c r="J287" s="34">
        <f t="shared" si="68"/>
        <v>0</v>
      </c>
      <c r="K287" s="17"/>
    </row>
    <row r="288" spans="1:11">
      <c r="A288" s="4" t="s">
        <v>198</v>
      </c>
      <c r="B288" s="34">
        <f t="shared" ref="B288:J288" si="69">IF(B$83="",B246,B246*$I41/B$83)</f>
        <v>1.053194046</v>
      </c>
      <c r="C288" s="34">
        <f t="shared" si="69"/>
        <v>1.0427151941537065</v>
      </c>
      <c r="D288" s="34">
        <f t="shared" si="69"/>
        <v>1.0376002475949659</v>
      </c>
      <c r="E288" s="34">
        <f t="shared" si="69"/>
        <v>1.0311039866152627</v>
      </c>
      <c r="F288" s="34">
        <f t="shared" si="69"/>
        <v>1.0255397333078</v>
      </c>
      <c r="G288" s="34">
        <f t="shared" si="69"/>
        <v>0</v>
      </c>
      <c r="H288" s="34">
        <f t="shared" si="69"/>
        <v>1.0133306849063271</v>
      </c>
      <c r="I288" s="34">
        <f t="shared" si="69"/>
        <v>0</v>
      </c>
      <c r="J288" s="34">
        <f t="shared" si="69"/>
        <v>0</v>
      </c>
      <c r="K288" s="17"/>
    </row>
    <row r="289" spans="1:11">
      <c r="A289" s="4" t="s">
        <v>199</v>
      </c>
      <c r="B289" s="34">
        <f t="shared" ref="B289:J289" si="70">IF(B$83="",B247,B247*$I42/B$83)</f>
        <v>1.053194046</v>
      </c>
      <c r="C289" s="34">
        <f t="shared" si="70"/>
        <v>1.0427151941537065</v>
      </c>
      <c r="D289" s="34">
        <f t="shared" si="70"/>
        <v>1.0376002475949659</v>
      </c>
      <c r="E289" s="34">
        <f t="shared" si="70"/>
        <v>1.0311039866152627</v>
      </c>
      <c r="F289" s="34">
        <f t="shared" si="70"/>
        <v>1.0255397333078</v>
      </c>
      <c r="G289" s="34">
        <f t="shared" si="70"/>
        <v>0</v>
      </c>
      <c r="H289" s="34">
        <f t="shared" si="70"/>
        <v>1.0133306849063271</v>
      </c>
      <c r="I289" s="34">
        <f t="shared" si="70"/>
        <v>0</v>
      </c>
      <c r="J289" s="34">
        <f t="shared" si="70"/>
        <v>0</v>
      </c>
      <c r="K289" s="17"/>
    </row>
    <row r="290" spans="1:11">
      <c r="A290" s="4" t="s">
        <v>207</v>
      </c>
      <c r="B290" s="34">
        <f t="shared" ref="B290:J290" si="71">IF(B$83="",B248,B248*$I43/B$83)</f>
        <v>1.039338946</v>
      </c>
      <c r="C290" s="34">
        <f t="shared" si="71"/>
        <v>1.0289979467562416</v>
      </c>
      <c r="D290" s="34">
        <f t="shared" si="71"/>
        <v>1.0239502889334515</v>
      </c>
      <c r="E290" s="34">
        <f t="shared" si="71"/>
        <v>1.0175394883167665</v>
      </c>
      <c r="F290" s="34">
        <f t="shared" si="71"/>
        <v>1.0120484345173082</v>
      </c>
      <c r="G290" s="34">
        <f t="shared" si="71"/>
        <v>0</v>
      </c>
      <c r="H290" s="34">
        <f t="shared" si="71"/>
        <v>0</v>
      </c>
      <c r="I290" s="34">
        <f t="shared" si="71"/>
        <v>0</v>
      </c>
      <c r="J290" s="34">
        <f t="shared" si="71"/>
        <v>0</v>
      </c>
      <c r="K290" s="17"/>
    </row>
    <row r="291" spans="1:11">
      <c r="A291" s="4" t="s">
        <v>208</v>
      </c>
      <c r="B291" s="34">
        <f t="shared" ref="B291:J291" si="72">IF(B$83="",B249,B249*$I44/B$83)</f>
        <v>1.039338946</v>
      </c>
      <c r="C291" s="34">
        <f t="shared" si="72"/>
        <v>1.0289979467562416</v>
      </c>
      <c r="D291" s="34">
        <f t="shared" si="72"/>
        <v>1.0239502889334515</v>
      </c>
      <c r="E291" s="34">
        <f t="shared" si="72"/>
        <v>1.0175394883167665</v>
      </c>
      <c r="F291" s="34">
        <f t="shared" si="72"/>
        <v>1.0120484345173082</v>
      </c>
      <c r="G291" s="34">
        <f t="shared" si="72"/>
        <v>0</v>
      </c>
      <c r="H291" s="34">
        <f t="shared" si="72"/>
        <v>0</v>
      </c>
      <c r="I291" s="34">
        <f t="shared" si="72"/>
        <v>0</v>
      </c>
      <c r="J291" s="34">
        <f t="shared" si="72"/>
        <v>0</v>
      </c>
      <c r="K291" s="17"/>
    </row>
    <row r="292" spans="1:11">
      <c r="A292" s="4" t="s">
        <v>209</v>
      </c>
      <c r="B292" s="34">
        <f t="shared" ref="B292:J292" si="73">IF(B$83="",B250,B250*$I45/B$83)</f>
        <v>1.039338946</v>
      </c>
      <c r="C292" s="34">
        <f t="shared" si="73"/>
        <v>1.0289979467562416</v>
      </c>
      <c r="D292" s="34">
        <f t="shared" si="73"/>
        <v>1.0239502889334515</v>
      </c>
      <c r="E292" s="34">
        <f t="shared" si="73"/>
        <v>1.0175394883167665</v>
      </c>
      <c r="F292" s="34">
        <f t="shared" si="73"/>
        <v>1.0120484345173082</v>
      </c>
      <c r="G292" s="34">
        <f t="shared" si="73"/>
        <v>0</v>
      </c>
      <c r="H292" s="34">
        <f t="shared" si="73"/>
        <v>0</v>
      </c>
      <c r="I292" s="34">
        <f t="shared" si="73"/>
        <v>0</v>
      </c>
      <c r="J292" s="34">
        <f t="shared" si="73"/>
        <v>0</v>
      </c>
      <c r="K292" s="17"/>
    </row>
    <row r="293" spans="1:11">
      <c r="A293" s="4" t="s">
        <v>210</v>
      </c>
      <c r="B293" s="34">
        <f t="shared" ref="B293:J293" si="74">IF(B$83="",B251,B251*$I46/B$83)</f>
        <v>1.039338946</v>
      </c>
      <c r="C293" s="34">
        <f t="shared" si="74"/>
        <v>1.0289979467562416</v>
      </c>
      <c r="D293" s="34">
        <f t="shared" si="74"/>
        <v>1.0239502889334515</v>
      </c>
      <c r="E293" s="34">
        <f t="shared" si="74"/>
        <v>1.0175394883167665</v>
      </c>
      <c r="F293" s="34">
        <f t="shared" si="74"/>
        <v>1.0120484345173082</v>
      </c>
      <c r="G293" s="34">
        <f t="shared" si="74"/>
        <v>0</v>
      </c>
      <c r="H293" s="34">
        <f t="shared" si="74"/>
        <v>0</v>
      </c>
      <c r="I293" s="34">
        <f t="shared" si="74"/>
        <v>0</v>
      </c>
      <c r="J293" s="34">
        <f t="shared" si="74"/>
        <v>0</v>
      </c>
      <c r="K293" s="17"/>
    </row>
  </sheetData>
  <sheetProtection sheet="1" objects="1" scenarios="1"/>
  <hyperlinks>
    <hyperlink ref="A7" location="'LAFs'!B13" display="x1 = Network level for each tariff (to get loss factors applicable to capacity) (in Loss adjustment factors to transmission)"/>
    <hyperlink ref="A8" location="'Input'!B155" display="x2 = 1032. Loss adjustment factors to transmission"/>
    <hyperlink ref="A62" location="'LAFs'!B50" display="x1 = 2002. Mapping of DRM network levels to core network levels"/>
    <hyperlink ref="A63" location="'Input'!B155" display="x2 = 1032. Loss adjustment factors to transmission"/>
    <hyperlink ref="A78" location="'LAFs'!B66" display="x1 = 2003. Loss adjustment factor to transmission for each DRM network level"/>
    <hyperlink ref="A127" location="'Input'!B81" display="x1 = 1018. Proportion of relevant load going through 132kV/HV direct transformation"/>
    <hyperlink ref="A135" location="'Input'!B81" display="x1 = 1018. Proportion of relevant load going through 132kV/HV direct transformation"/>
    <hyperlink ref="A143" location="'Input'!B81" display="x1 = 1018. Proportion of relevant load going through 132kV/HV direct transformation"/>
    <hyperlink ref="A151" location="'Input'!B81" display="x1 = 1018. Proportion of relevant load going through 132kV/HV direct transformation"/>
    <hyperlink ref="A152" location="'LAFs'!B130" display="x2 = 2006. Proportion going through 132kV/EHV"/>
    <hyperlink ref="A153" location="'LAFs'!B138" display="x3 = 2007. Proportion going through EHV"/>
    <hyperlink ref="A154" location="'LAFs'!B146" display="x4 = 2008. Proportion going through EHV/HV"/>
    <hyperlink ref="A172" location="'LAFs'!B90" display="x1 = 2005. Network use factors"/>
    <hyperlink ref="A173" location="'LAFs'!B159" display="x2 = 2009. Rerouteing matrix for all network levels"/>
    <hyperlink ref="A215" location="'LAFs'!B176" display="x3 = 2010. Network use factors: interim step in calculations before adjustments"/>
    <hyperlink ref="A255" location="'LAFs'!B82" display="x1 = 2004. Loss adjustment factor to transmission for each network level"/>
    <hyperlink ref="A256" location="'LAFs'!B218" display="x2 = 2011. Network use factors for all tariffs"/>
    <hyperlink ref="A257" location="'LAFs'!I13" display="x3 = 2001. Loss adjustment factor to transmission (in Loss adjustment factors to transmission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7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50.7109375" customWidth="1"/>
    <col min="2" max="251" width="24.7109375" customWidth="1"/>
  </cols>
  <sheetData>
    <row r="1" spans="1:3" ht="21" customHeight="1">
      <c r="A1" s="1" t="str">
        <f>"Network model for "&amp;Input!B7&amp;" in "&amp;Input!C7&amp;" ("&amp;Input!D7&amp;")"</f>
        <v>Network model for Electricity North West in 2019/20 (Version 1)</v>
      </c>
    </row>
    <row r="2" spans="1:3">
      <c r="A2" s="2" t="s">
        <v>428</v>
      </c>
    </row>
    <row r="4" spans="1:3" ht="21" customHeight="1">
      <c r="A4" s="1" t="s">
        <v>429</v>
      </c>
    </row>
    <row r="5" spans="1:3">
      <c r="A5" s="2" t="s">
        <v>379</v>
      </c>
    </row>
    <row r="6" spans="1:3">
      <c r="A6" s="29" t="s">
        <v>430</v>
      </c>
    </row>
    <row r="7" spans="1:3">
      <c r="A7" s="29" t="s">
        <v>431</v>
      </c>
    </row>
    <row r="8" spans="1:3">
      <c r="A8" s="29" t="s">
        <v>432</v>
      </c>
    </row>
    <row r="9" spans="1:3">
      <c r="A9" s="2" t="s">
        <v>433</v>
      </c>
    </row>
    <row r="11" spans="1:3">
      <c r="B11" s="15" t="s">
        <v>434</v>
      </c>
    </row>
    <row r="12" spans="1:3">
      <c r="A12" s="4" t="s">
        <v>434</v>
      </c>
      <c r="B12" s="36">
        <f>PMT(Input!B60,Input!C60,-1)*IF(OR(Input!F60&gt;366,Input!F60&lt;365),Input!F60/365.25,1)</f>
        <v>5.0673958653885222E-2</v>
      </c>
      <c r="C12" s="17"/>
    </row>
    <row r="14" spans="1:3" ht="21" customHeight="1">
      <c r="A14" s="1" t="s">
        <v>435</v>
      </c>
    </row>
    <row r="15" spans="1:3">
      <c r="A15" s="2" t="s">
        <v>379</v>
      </c>
    </row>
    <row r="16" spans="1:3">
      <c r="A16" s="29" t="s">
        <v>436</v>
      </c>
    </row>
    <row r="17" spans="1:10">
      <c r="A17" s="2" t="s">
        <v>396</v>
      </c>
    </row>
    <row r="18" spans="1:10">
      <c r="A18" s="2" t="s">
        <v>397</v>
      </c>
    </row>
    <row r="20" spans="1:10">
      <c r="B20" s="15" t="s">
        <v>148</v>
      </c>
      <c r="C20" s="15" t="s">
        <v>149</v>
      </c>
      <c r="D20" s="15" t="s">
        <v>150</v>
      </c>
      <c r="E20" s="15" t="s">
        <v>151</v>
      </c>
      <c r="F20" s="15" t="s">
        <v>152</v>
      </c>
      <c r="G20" s="15" t="s">
        <v>153</v>
      </c>
      <c r="H20" s="15" t="s">
        <v>154</v>
      </c>
      <c r="I20" s="15" t="s">
        <v>155</v>
      </c>
    </row>
    <row r="21" spans="1:10" ht="30">
      <c r="A21" s="4" t="s">
        <v>437</v>
      </c>
      <c r="B21" s="26">
        <v>1</v>
      </c>
      <c r="C21" s="35">
        <f>Input!$B156</f>
        <v>1.0100495819999999</v>
      </c>
      <c r="D21" s="35">
        <f>Input!$C156</f>
        <v>1.0150287149999999</v>
      </c>
      <c r="E21" s="35">
        <f>Input!$D156</f>
        <v>1.0214236969999999</v>
      </c>
      <c r="F21" s="35">
        <f>Input!$E156</f>
        <v>1.026965618</v>
      </c>
      <c r="G21" s="35">
        <f>Input!$F156</f>
        <v>1.039338946</v>
      </c>
      <c r="H21" s="35">
        <f>Input!$G156</f>
        <v>1.053194046</v>
      </c>
      <c r="I21" s="35">
        <f>Input!$H156</f>
        <v>1.107559204</v>
      </c>
      <c r="J21" s="17"/>
    </row>
    <row r="23" spans="1:10" ht="21" customHeight="1">
      <c r="A23" s="1" t="s">
        <v>438</v>
      </c>
    </row>
    <row r="24" spans="1:10">
      <c r="A24" s="2" t="s">
        <v>379</v>
      </c>
    </row>
    <row r="25" spans="1:10">
      <c r="A25" s="29" t="s">
        <v>439</v>
      </c>
    </row>
    <row r="26" spans="1:10">
      <c r="A26" s="29" t="s">
        <v>440</v>
      </c>
    </row>
    <row r="27" spans="1:10">
      <c r="A27" s="30" t="s">
        <v>382</v>
      </c>
      <c r="B27" s="30" t="s">
        <v>441</v>
      </c>
      <c r="C27" s="30" t="s">
        <v>442</v>
      </c>
    </row>
    <row r="28" spans="1:10">
      <c r="A28" s="30" t="s">
        <v>385</v>
      </c>
      <c r="B28" s="30" t="s">
        <v>443</v>
      </c>
      <c r="C28" s="30" t="s">
        <v>444</v>
      </c>
    </row>
    <row r="30" spans="1:10" ht="45">
      <c r="B30" s="15" t="s">
        <v>445</v>
      </c>
      <c r="C30" s="15" t="s">
        <v>446</v>
      </c>
    </row>
    <row r="31" spans="1:10">
      <c r="A31" s="4" t="s">
        <v>148</v>
      </c>
      <c r="B31" s="34">
        <f>$B$21</f>
        <v>1</v>
      </c>
      <c r="C31" s="10"/>
      <c r="D31" s="17"/>
    </row>
    <row r="32" spans="1:10">
      <c r="A32" s="4" t="s">
        <v>149</v>
      </c>
      <c r="B32" s="34">
        <f>$C$21</f>
        <v>1.0100495819999999</v>
      </c>
      <c r="C32" s="34">
        <f t="shared" ref="C32:C38" si="0">B31</f>
        <v>1</v>
      </c>
      <c r="D32" s="17"/>
    </row>
    <row r="33" spans="1:5">
      <c r="A33" s="4" t="s">
        <v>150</v>
      </c>
      <c r="B33" s="34">
        <f>$D$21</f>
        <v>1.0150287149999999</v>
      </c>
      <c r="C33" s="34">
        <f t="shared" si="0"/>
        <v>1.0100495819999999</v>
      </c>
      <c r="D33" s="17"/>
    </row>
    <row r="34" spans="1:5">
      <c r="A34" s="4" t="s">
        <v>151</v>
      </c>
      <c r="B34" s="34">
        <f>$E$21</f>
        <v>1.0214236969999999</v>
      </c>
      <c r="C34" s="34">
        <f t="shared" si="0"/>
        <v>1.0150287149999999</v>
      </c>
      <c r="D34" s="17"/>
    </row>
    <row r="35" spans="1:5">
      <c r="A35" s="4" t="s">
        <v>152</v>
      </c>
      <c r="B35" s="34">
        <f>$F$21</f>
        <v>1.026965618</v>
      </c>
      <c r="C35" s="34">
        <f t="shared" si="0"/>
        <v>1.0214236969999999</v>
      </c>
      <c r="D35" s="17"/>
    </row>
    <row r="36" spans="1:5">
      <c r="A36" s="4" t="s">
        <v>153</v>
      </c>
      <c r="B36" s="34">
        <f>$G$21</f>
        <v>1.039338946</v>
      </c>
      <c r="C36" s="34">
        <f t="shared" si="0"/>
        <v>1.026965618</v>
      </c>
      <c r="D36" s="17"/>
    </row>
    <row r="37" spans="1:5">
      <c r="A37" s="4" t="s">
        <v>154</v>
      </c>
      <c r="B37" s="34">
        <f>$H$21</f>
        <v>1.053194046</v>
      </c>
      <c r="C37" s="34">
        <f t="shared" si="0"/>
        <v>1.039338946</v>
      </c>
      <c r="D37" s="17"/>
    </row>
    <row r="38" spans="1:5">
      <c r="A38" s="4" t="s">
        <v>155</v>
      </c>
      <c r="B38" s="34">
        <f>$I$21</f>
        <v>1.107559204</v>
      </c>
      <c r="C38" s="34">
        <f t="shared" si="0"/>
        <v>1.053194046</v>
      </c>
      <c r="D38" s="17"/>
    </row>
    <row r="40" spans="1:5" ht="21" customHeight="1">
      <c r="A40" s="1" t="s">
        <v>447</v>
      </c>
    </row>
    <row r="41" spans="1:5">
      <c r="A41" s="2" t="s">
        <v>379</v>
      </c>
    </row>
    <row r="42" spans="1:5">
      <c r="A42" s="29" t="s">
        <v>448</v>
      </c>
    </row>
    <row r="43" spans="1:5">
      <c r="A43" s="29" t="s">
        <v>449</v>
      </c>
    </row>
    <row r="44" spans="1:5">
      <c r="A44" s="30" t="s">
        <v>382</v>
      </c>
      <c r="B44" s="30" t="s">
        <v>450</v>
      </c>
      <c r="C44" s="30" t="s">
        <v>450</v>
      </c>
      <c r="D44" s="30" t="s">
        <v>450</v>
      </c>
    </row>
    <row r="45" spans="1:5">
      <c r="A45" s="30" t="s">
        <v>385</v>
      </c>
      <c r="B45" s="30" t="s">
        <v>451</v>
      </c>
      <c r="C45" s="30" t="s">
        <v>451</v>
      </c>
      <c r="D45" s="30" t="s">
        <v>452</v>
      </c>
    </row>
    <row r="47" spans="1:5" ht="45">
      <c r="B47" s="15" t="s">
        <v>453</v>
      </c>
      <c r="C47" s="15" t="s">
        <v>454</v>
      </c>
      <c r="D47" s="15" t="s">
        <v>455</v>
      </c>
    </row>
    <row r="48" spans="1:5">
      <c r="A48" s="4" t="s">
        <v>148</v>
      </c>
      <c r="B48" s="10"/>
      <c r="C48" s="36">
        <f>1/(1+Input!B70)</f>
        <v>0.94029688245622978</v>
      </c>
      <c r="D48" s="36">
        <f t="shared" ref="D48:D54" si="1">1/C48-1</f>
        <v>6.3493901402517317E-2</v>
      </c>
      <c r="E48" s="17"/>
    </row>
    <row r="49" spans="1:5">
      <c r="A49" s="4" t="s">
        <v>149</v>
      </c>
      <c r="B49" s="36">
        <f>1/(1+Input!B71)</f>
        <v>0.93604216894343861</v>
      </c>
      <c r="C49" s="36">
        <f>C48/(1+Input!B71)</f>
        <v>0.88015753330508284</v>
      </c>
      <c r="D49" s="36">
        <f t="shared" si="1"/>
        <v>0.13616024650143732</v>
      </c>
      <c r="E49" s="17"/>
    </row>
    <row r="50" spans="1:5">
      <c r="A50" s="4" t="s">
        <v>150</v>
      </c>
      <c r="B50" s="36">
        <f>B49/(1+Input!B72)</f>
        <v>0.93604216894343861</v>
      </c>
      <c r="C50" s="36">
        <f>C49/(1+Input!B72)</f>
        <v>0.88015753330508284</v>
      </c>
      <c r="D50" s="36">
        <f t="shared" si="1"/>
        <v>0.13616024650143732</v>
      </c>
      <c r="E50" s="17"/>
    </row>
    <row r="51" spans="1:5">
      <c r="A51" s="4" t="s">
        <v>151</v>
      </c>
      <c r="B51" s="36">
        <f>B50/(1+Input!B73)</f>
        <v>0.857652519665413</v>
      </c>
      <c r="C51" s="36">
        <f>C50/(1+Input!B73)</f>
        <v>0.80644799047211813</v>
      </c>
      <c r="D51" s="36">
        <f t="shared" si="1"/>
        <v>0.24000556987509003</v>
      </c>
      <c r="E51" s="17"/>
    </row>
    <row r="52" spans="1:5">
      <c r="A52" s="4" t="s">
        <v>152</v>
      </c>
      <c r="B52" s="36">
        <f>B51/(1+Input!B74)</f>
        <v>0.857652519665413</v>
      </c>
      <c r="C52" s="36">
        <f>C51/(1+Input!B74)</f>
        <v>0.80644799047211813</v>
      </c>
      <c r="D52" s="36">
        <f t="shared" si="1"/>
        <v>0.24000556987509003</v>
      </c>
      <c r="E52" s="17"/>
    </row>
    <row r="53" spans="1:5">
      <c r="A53" s="4" t="s">
        <v>153</v>
      </c>
      <c r="B53" s="36">
        <f>B52/(1+Input!B75)</f>
        <v>0.69221277032080797</v>
      </c>
      <c r="C53" s="36">
        <f>C52/(1+Input!B75)</f>
        <v>0.65088550992904592</v>
      </c>
      <c r="D53" s="36">
        <f t="shared" si="1"/>
        <v>0.53636850835565775</v>
      </c>
      <c r="E53" s="17"/>
    </row>
    <row r="54" spans="1:5">
      <c r="A54" s="4" t="s">
        <v>154</v>
      </c>
      <c r="B54" s="36">
        <f>B53/(1+Input!B76)</f>
        <v>0.69221277032080797</v>
      </c>
      <c r="C54" s="36">
        <f>C53/(1+Input!B76)</f>
        <v>0.65088550992904592</v>
      </c>
      <c r="D54" s="36">
        <f t="shared" si="1"/>
        <v>0.53636850835565775</v>
      </c>
      <c r="E54" s="17"/>
    </row>
    <row r="55" spans="1:5">
      <c r="A55" s="4" t="s">
        <v>155</v>
      </c>
      <c r="B55" s="36">
        <f>B54/(1+Input!B77)</f>
        <v>0.69221277032080797</v>
      </c>
      <c r="C55" s="36">
        <f>C54/(1+Input!B77)</f>
        <v>0.65088550992904592</v>
      </c>
      <c r="D55" s="10"/>
      <c r="E55" s="17"/>
    </row>
    <row r="57" spans="1:5" ht="21" customHeight="1">
      <c r="A57" s="1" t="s">
        <v>456</v>
      </c>
    </row>
    <row r="58" spans="1:5">
      <c r="A58" s="2" t="s">
        <v>379</v>
      </c>
    </row>
    <row r="59" spans="1:5">
      <c r="A59" s="29" t="s">
        <v>457</v>
      </c>
    </row>
    <row r="60" spans="1:5">
      <c r="A60" s="29" t="s">
        <v>458</v>
      </c>
    </row>
    <row r="61" spans="1:5">
      <c r="A61" s="2" t="s">
        <v>459</v>
      </c>
    </row>
    <row r="63" spans="1:5" ht="45">
      <c r="B63" s="15" t="s">
        <v>460</v>
      </c>
    </row>
    <row r="64" spans="1:5">
      <c r="A64" s="4" t="s">
        <v>149</v>
      </c>
      <c r="B64" s="34">
        <f>Input!B$87/B$49</f>
        <v>534.16396887800158</v>
      </c>
      <c r="C64" s="17"/>
    </row>
    <row r="65" spans="1:3">
      <c r="A65" s="4" t="s">
        <v>150</v>
      </c>
      <c r="B65" s="34">
        <f>Input!B$87/B$50</f>
        <v>534.16396887800158</v>
      </c>
      <c r="C65" s="17"/>
    </row>
    <row r="66" spans="1:3">
      <c r="A66" s="4" t="s">
        <v>151</v>
      </c>
      <c r="B66" s="34">
        <f>Input!B$87/B$51</f>
        <v>582.98668579095386</v>
      </c>
      <c r="C66" s="17"/>
    </row>
    <row r="67" spans="1:3">
      <c r="A67" s="4" t="s">
        <v>152</v>
      </c>
      <c r="B67" s="34">
        <f>Input!B$87/B$52</f>
        <v>582.98668579095386</v>
      </c>
      <c r="C67" s="17"/>
    </row>
    <row r="68" spans="1:3">
      <c r="A68" s="4" t="s">
        <v>153</v>
      </c>
      <c r="B68" s="34">
        <f>Input!B$87/B$53</f>
        <v>722.32125935537647</v>
      </c>
      <c r="C68" s="17"/>
    </row>
    <row r="69" spans="1:3">
      <c r="A69" s="4" t="s">
        <v>154</v>
      </c>
      <c r="B69" s="34">
        <f>Input!B$87/B$54</f>
        <v>722.32125935537647</v>
      </c>
      <c r="C69" s="17"/>
    </row>
    <row r="70" spans="1:3">
      <c r="A70" s="4" t="s">
        <v>155</v>
      </c>
      <c r="B70" s="34">
        <f>Input!B$87/B$55</f>
        <v>722.32125935537647</v>
      </c>
      <c r="C70" s="17"/>
    </row>
    <row r="72" spans="1:3" ht="21" customHeight="1">
      <c r="A72" s="1" t="s">
        <v>461</v>
      </c>
    </row>
    <row r="73" spans="1:3">
      <c r="A73" s="2" t="s">
        <v>379</v>
      </c>
    </row>
    <row r="74" spans="1:3">
      <c r="A74" s="29" t="s">
        <v>462</v>
      </c>
    </row>
    <row r="75" spans="1:3">
      <c r="A75" s="29" t="s">
        <v>463</v>
      </c>
    </row>
    <row r="76" spans="1:3">
      <c r="A76" s="29" t="s">
        <v>464</v>
      </c>
    </row>
    <row r="77" spans="1:3">
      <c r="A77" s="2" t="s">
        <v>465</v>
      </c>
    </row>
    <row r="79" spans="1:3" ht="75">
      <c r="B79" s="15" t="s">
        <v>466</v>
      </c>
    </row>
    <row r="80" spans="1:3">
      <c r="A80" s="4" t="s">
        <v>149</v>
      </c>
      <c r="B80" s="34">
        <f>B64*C$49/B$32</f>
        <v>465.47065570501366</v>
      </c>
      <c r="C80" s="17"/>
    </row>
    <row r="81" spans="1:3">
      <c r="A81" s="4" t="s">
        <v>150</v>
      </c>
      <c r="B81" s="34">
        <f>B65*C$50/B$33</f>
        <v>463.18733084129047</v>
      </c>
      <c r="C81" s="17"/>
    </row>
    <row r="82" spans="1:3">
      <c r="A82" s="4" t="s">
        <v>151</v>
      </c>
      <c r="B82" s="34">
        <f>B66*C$51/B$34</f>
        <v>460.28738378498275</v>
      </c>
      <c r="C82" s="17"/>
    </row>
    <row r="83" spans="1:3">
      <c r="A83" s="4" t="s">
        <v>152</v>
      </c>
      <c r="B83" s="34">
        <f>B67*C$52/B$35</f>
        <v>457.80348727128944</v>
      </c>
      <c r="C83" s="17"/>
    </row>
    <row r="84" spans="1:3">
      <c r="A84" s="4" t="s">
        <v>153</v>
      </c>
      <c r="B84" s="34">
        <f>B68*C$53/B$36</f>
        <v>452.35333770328555</v>
      </c>
      <c r="C84" s="17"/>
    </row>
    <row r="85" spans="1:3">
      <c r="A85" s="4" t="s">
        <v>154</v>
      </c>
      <c r="B85" s="34">
        <f>B69*C$54/B$37</f>
        <v>446.40248681021774</v>
      </c>
      <c r="C85" s="17"/>
    </row>
    <row r="86" spans="1:3">
      <c r="A86" s="4" t="s">
        <v>155</v>
      </c>
      <c r="B86" s="34">
        <f>B70*C$55/B$38</f>
        <v>424.49057308191976</v>
      </c>
      <c r="C86" s="17"/>
    </row>
    <row r="88" spans="1:3" ht="21" customHeight="1">
      <c r="A88" s="1" t="s">
        <v>467</v>
      </c>
    </row>
    <row r="89" spans="1:3">
      <c r="A89" s="2" t="s">
        <v>379</v>
      </c>
    </row>
    <row r="90" spans="1:3">
      <c r="A90" s="29" t="s">
        <v>404</v>
      </c>
    </row>
    <row r="91" spans="1:3">
      <c r="A91" s="29" t="s">
        <v>409</v>
      </c>
    </row>
    <row r="92" spans="1:3">
      <c r="A92" s="29" t="s">
        <v>410</v>
      </c>
    </row>
    <row r="93" spans="1:3">
      <c r="A93" s="29" t="s">
        <v>411</v>
      </c>
    </row>
    <row r="94" spans="1:3">
      <c r="A94" s="2" t="s">
        <v>412</v>
      </c>
    </row>
    <row r="95" spans="1:3">
      <c r="A95" s="2" t="s">
        <v>468</v>
      </c>
    </row>
    <row r="97" spans="1:10">
      <c r="B97" s="15" t="s">
        <v>149</v>
      </c>
      <c r="C97" s="15" t="s">
        <v>150</v>
      </c>
      <c r="D97" s="15" t="s">
        <v>151</v>
      </c>
      <c r="E97" s="15" t="s">
        <v>152</v>
      </c>
      <c r="F97" s="15" t="s">
        <v>157</v>
      </c>
      <c r="G97" s="15" t="s">
        <v>153</v>
      </c>
      <c r="H97" s="15" t="s">
        <v>154</v>
      </c>
      <c r="I97" s="15" t="s">
        <v>155</v>
      </c>
    </row>
    <row r="98" spans="1:10">
      <c r="A98" s="4" t="s">
        <v>149</v>
      </c>
      <c r="B98" s="37">
        <v>1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  <c r="J98" s="17"/>
    </row>
    <row r="99" spans="1:10">
      <c r="A99" s="4" t="s">
        <v>150</v>
      </c>
      <c r="B99" s="37">
        <v>0</v>
      </c>
      <c r="C99" s="38">
        <f>LAFs!$B$131</f>
        <v>1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17"/>
    </row>
    <row r="100" spans="1:10">
      <c r="A100" s="4" t="s">
        <v>151</v>
      </c>
      <c r="B100" s="37">
        <v>0</v>
      </c>
      <c r="C100" s="37">
        <v>0</v>
      </c>
      <c r="D100" s="38">
        <f>LAFs!$B$139</f>
        <v>1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17"/>
    </row>
    <row r="101" spans="1:10">
      <c r="A101" s="4" t="s">
        <v>152</v>
      </c>
      <c r="B101" s="37">
        <v>0</v>
      </c>
      <c r="C101" s="37">
        <v>0</v>
      </c>
      <c r="D101" s="37">
        <v>0</v>
      </c>
      <c r="E101" s="38">
        <f>LAFs!$B$147</f>
        <v>1</v>
      </c>
      <c r="F101" s="38">
        <f>Input!$B$82</f>
        <v>0</v>
      </c>
      <c r="G101" s="37">
        <v>0</v>
      </c>
      <c r="H101" s="37">
        <v>0</v>
      </c>
      <c r="I101" s="37">
        <v>0</v>
      </c>
      <c r="J101" s="17"/>
    </row>
    <row r="102" spans="1:10">
      <c r="A102" s="4" t="s">
        <v>153</v>
      </c>
      <c r="B102" s="37">
        <v>0</v>
      </c>
      <c r="C102" s="37">
        <v>0</v>
      </c>
      <c r="D102" s="37">
        <v>0</v>
      </c>
      <c r="E102" s="37">
        <v>0</v>
      </c>
      <c r="F102" s="37">
        <v>0</v>
      </c>
      <c r="G102" s="37">
        <v>1</v>
      </c>
      <c r="H102" s="37">
        <v>0</v>
      </c>
      <c r="I102" s="37">
        <v>0</v>
      </c>
      <c r="J102" s="17"/>
    </row>
    <row r="103" spans="1:10">
      <c r="A103" s="4" t="s">
        <v>154</v>
      </c>
      <c r="B103" s="37">
        <v>0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  <c r="H103" s="37">
        <v>1</v>
      </c>
      <c r="I103" s="37">
        <v>0</v>
      </c>
      <c r="J103" s="17"/>
    </row>
    <row r="104" spans="1:10">
      <c r="A104" s="4" t="s">
        <v>155</v>
      </c>
      <c r="B104" s="37">
        <v>0</v>
      </c>
      <c r="C104" s="37">
        <v>0</v>
      </c>
      <c r="D104" s="37">
        <v>0</v>
      </c>
      <c r="E104" s="37">
        <v>0</v>
      </c>
      <c r="F104" s="37">
        <v>0</v>
      </c>
      <c r="G104" s="37">
        <v>0</v>
      </c>
      <c r="H104" s="37">
        <v>0</v>
      </c>
      <c r="I104" s="37">
        <v>1</v>
      </c>
      <c r="J104" s="17"/>
    </row>
    <row r="106" spans="1:10" ht="21" customHeight="1">
      <c r="A106" s="1" t="s">
        <v>469</v>
      </c>
    </row>
    <row r="107" spans="1:10">
      <c r="A107" s="2" t="s">
        <v>379</v>
      </c>
    </row>
    <row r="108" spans="1:10">
      <c r="A108" s="29" t="s">
        <v>470</v>
      </c>
    </row>
    <row r="109" spans="1:10">
      <c r="A109" s="29" t="s">
        <v>471</v>
      </c>
    </row>
    <row r="110" spans="1:10">
      <c r="A110" s="2" t="s">
        <v>392</v>
      </c>
    </row>
    <row r="112" spans="1:10" ht="60">
      <c r="B112" s="15" t="s">
        <v>472</v>
      </c>
    </row>
    <row r="113" spans="1:3">
      <c r="A113" s="4" t="s">
        <v>149</v>
      </c>
      <c r="B113" s="34">
        <f>SUMPRODUCT(B$80:B$86,$B$98:$B$104)</f>
        <v>465.47065570501366</v>
      </c>
      <c r="C113" s="17"/>
    </row>
    <row r="114" spans="1:3">
      <c r="A114" s="4" t="s">
        <v>150</v>
      </c>
      <c r="B114" s="34">
        <f>SUMPRODUCT(B$80:B$86,$C$98:$C$104)</f>
        <v>463.18733084129047</v>
      </c>
      <c r="C114" s="17"/>
    </row>
    <row r="115" spans="1:3">
      <c r="A115" s="4" t="s">
        <v>151</v>
      </c>
      <c r="B115" s="34">
        <f>SUMPRODUCT(B$80:B$86,$D$98:$D$104)</f>
        <v>460.28738378498275</v>
      </c>
      <c r="C115" s="17"/>
    </row>
    <row r="116" spans="1:3">
      <c r="A116" s="4" t="s">
        <v>152</v>
      </c>
      <c r="B116" s="34">
        <f>SUMPRODUCT(B$80:B$86,$E$98:$E$104)</f>
        <v>457.80348727128944</v>
      </c>
      <c r="C116" s="17"/>
    </row>
    <row r="117" spans="1:3">
      <c r="A117" s="4" t="s">
        <v>157</v>
      </c>
      <c r="B117" s="34">
        <f>SUMPRODUCT(B$80:B$86,$F$98:$F$104)</f>
        <v>0</v>
      </c>
      <c r="C117" s="17"/>
    </row>
    <row r="118" spans="1:3">
      <c r="A118" s="4" t="s">
        <v>153</v>
      </c>
      <c r="B118" s="34">
        <f>SUMPRODUCT(B$80:B$86,$G$98:$G$104)</f>
        <v>452.35333770328555</v>
      </c>
      <c r="C118" s="17"/>
    </row>
    <row r="119" spans="1:3">
      <c r="A119" s="4" t="s">
        <v>154</v>
      </c>
      <c r="B119" s="34">
        <f>SUMPRODUCT(B$80:B$86,$H$98:$H$104)</f>
        <v>446.40248681021774</v>
      </c>
      <c r="C119" s="17"/>
    </row>
    <row r="120" spans="1:3">
      <c r="A120" s="4" t="s">
        <v>155</v>
      </c>
      <c r="B120" s="34">
        <f>SUMPRODUCT(B$80:B$86,$I$98:$I$104)</f>
        <v>424.49057308191976</v>
      </c>
      <c r="C120" s="17"/>
    </row>
    <row r="122" spans="1:3" ht="21" customHeight="1">
      <c r="A122" s="1" t="s">
        <v>473</v>
      </c>
    </row>
    <row r="123" spans="1:3">
      <c r="A123" s="2" t="s">
        <v>379</v>
      </c>
    </row>
    <row r="124" spans="1:3">
      <c r="A124" s="29" t="s">
        <v>474</v>
      </c>
    </row>
    <row r="125" spans="1:3">
      <c r="A125" s="29" t="s">
        <v>475</v>
      </c>
    </row>
    <row r="126" spans="1:3">
      <c r="A126" s="29" t="s">
        <v>476</v>
      </c>
    </row>
    <row r="127" spans="1:3">
      <c r="A127" s="2" t="s">
        <v>477</v>
      </c>
    </row>
    <row r="129" spans="1:3">
      <c r="B129" s="15" t="s">
        <v>478</v>
      </c>
    </row>
    <row r="130" spans="1:3">
      <c r="A130" s="4" t="s">
        <v>479</v>
      </c>
      <c r="B130" s="34">
        <f>IF(B113,0.001*Input!B92*B$12/B113,0)</f>
        <v>10.919457327240881</v>
      </c>
      <c r="C130" s="17"/>
    </row>
    <row r="131" spans="1:3">
      <c r="A131" s="4" t="s">
        <v>480</v>
      </c>
      <c r="B131" s="34">
        <f>IF(B114,0.001*Input!B93*B$12/B114,0)</f>
        <v>4.3405422577515722</v>
      </c>
      <c r="C131" s="17"/>
    </row>
    <row r="132" spans="1:3">
      <c r="A132" s="4" t="s">
        <v>481</v>
      </c>
      <c r="B132" s="34">
        <f>IF(B115,0.001*Input!B94*B$12/B115,0)</f>
        <v>11.029214934666836</v>
      </c>
      <c r="C132" s="17"/>
    </row>
    <row r="133" spans="1:3">
      <c r="A133" s="4" t="s">
        <v>482</v>
      </c>
      <c r="B133" s="34">
        <f>IF(B116,0.001*Input!B95*B$12/B116,0)</f>
        <v>6.9950141662489553</v>
      </c>
      <c r="C133" s="17"/>
    </row>
    <row r="134" spans="1:3">
      <c r="A134" s="4" t="s">
        <v>483</v>
      </c>
      <c r="B134" s="34">
        <f>IF(B117,0.001*Input!B96*B$12/B117,0)</f>
        <v>0</v>
      </c>
      <c r="C134" s="17"/>
    </row>
    <row r="135" spans="1:3">
      <c r="A135" s="4" t="s">
        <v>484</v>
      </c>
      <c r="B135" s="34">
        <f>IF(B118,0.001*Input!B97*B$12/B118,0)</f>
        <v>12.852319859871926</v>
      </c>
      <c r="C135" s="17"/>
    </row>
    <row r="136" spans="1:3">
      <c r="A136" s="4" t="s">
        <v>485</v>
      </c>
      <c r="B136" s="34">
        <f>IF(B119,0.001*Input!B98*B$12/B119,0)</f>
        <v>11.824437624913966</v>
      </c>
      <c r="C136" s="17"/>
    </row>
    <row r="137" spans="1:3">
      <c r="A137" s="4" t="s">
        <v>486</v>
      </c>
      <c r="B137" s="34">
        <f>IF(B120,0.001*Input!B99*B$12/B120,0)</f>
        <v>6.8933808745402771</v>
      </c>
      <c r="C137" s="17"/>
    </row>
  </sheetData>
  <sheetProtection sheet="1" objects="1" scenarios="1"/>
  <hyperlinks>
    <hyperlink ref="A6" location="'Input'!B59" display="x1 = 1010. Rate of return (in Financial and general assumptions)"/>
    <hyperlink ref="A7" location="'Input'!C59" display="x2 = 1010. Annualisation period (years) (in Financial and general assumptions)"/>
    <hyperlink ref="A8" location="'Input'!F59" display="x3 = 1010. Days in the charging year (in Financial and general assumptions)"/>
    <hyperlink ref="A16" location="'Input'!B155" display="x1 = 1032. Loss adjustment factors to transmission"/>
    <hyperlink ref="A25" location="'DRM'!B20" display="x1 = 2102. Loss adjustment factor to transmission for each core level"/>
    <hyperlink ref="A26" location="'DRM'!B30" display="x2 = Loss adjustment factor to transmission for network level exit (in Loss adjustment factors)"/>
    <hyperlink ref="A42" location="'Input'!B69" display="x1 = 1017. Diversity allowance between top and bottom of network level"/>
    <hyperlink ref="A43" location="'DRM'!C47" display="x2 = Coincidence to system peak at level exit (in Diversity calculations)"/>
    <hyperlink ref="A59" location="'Input'!B86" display="x1 = 1019. Network model GSP peak demand (MW)"/>
    <hyperlink ref="A60" location="'DRM'!B47" display="x2 = 2104. Coincidence to GSP peak at level exit (in Diversity calculations)"/>
    <hyperlink ref="A74" location="'DRM'!B63" display="x1 = 2105. Network model total maximum demand at substation (MW)"/>
    <hyperlink ref="A75" location="'DRM'!C47" display="x2 = 2104. Coincidence to system peak at level exit (in Diversity calculations)"/>
    <hyperlink ref="A76" location="'DRM'!B30" display="x3 = 2103. Loss adjustment factor to transmission for network level exit (in Loss adjustment factors)"/>
    <hyperlink ref="A90" location="'Input'!B81" display="x1 = 1018. Proportion of relevant load going through 132kV/HV direct transformation"/>
    <hyperlink ref="A91" location="'LAFs'!B130" display="x2 = 2006. Proportion going through 132kV/EHV"/>
    <hyperlink ref="A92" location="'LAFs'!B138" display="x3 = 2007. Proportion going through EHV"/>
    <hyperlink ref="A93" location="'LAFs'!B146" display="x4 = 2008. Proportion going through EHV/HV"/>
    <hyperlink ref="A108" location="'DRM'!B79" display="x1 = 2106. Network model contribution to system maximum load measured at network level exit (MW)"/>
    <hyperlink ref="A109" location="'DRM'!B97" display="x2 = 2107. Rerouteing matrix for DRM network levels"/>
    <hyperlink ref="A124" location="'DRM'!B112" display="x1 = 2108. GSP simultaneous maximum load assumed through each network level (MW)"/>
    <hyperlink ref="A125" location="'Input'!B91" display="x2 = 1020. Gross asset cost by network level (£)"/>
    <hyperlink ref="A126" location="'DRM'!B11" display="x3 = 2101. Annuity rate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0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50.7109375" customWidth="1"/>
    <col min="2" max="251" width="24.7109375" customWidth="1"/>
  </cols>
  <sheetData>
    <row r="1" spans="1:3" ht="21" customHeight="1">
      <c r="A1" s="1" t="str">
        <f>"Service models for "&amp;Input!B7&amp;" in "&amp;Input!C7&amp;" ("&amp;Input!D7&amp;")"</f>
        <v>Service models for Electricity North West in 2019/20 (Version 1)</v>
      </c>
    </row>
    <row r="2" spans="1:3">
      <c r="A2" s="2" t="s">
        <v>487</v>
      </c>
    </row>
    <row r="4" spans="1:3" ht="21" customHeight="1">
      <c r="A4" s="1" t="s">
        <v>488</v>
      </c>
    </row>
    <row r="5" spans="1:3">
      <c r="A5" s="2" t="s">
        <v>379</v>
      </c>
    </row>
    <row r="6" spans="1:3">
      <c r="A6" s="29" t="s">
        <v>489</v>
      </c>
    </row>
    <row r="7" spans="1:3">
      <c r="A7" s="29" t="s">
        <v>490</v>
      </c>
    </row>
    <row r="8" spans="1:3">
      <c r="A8" s="2" t="s">
        <v>392</v>
      </c>
    </row>
    <row r="10" spans="1:3" ht="30">
      <c r="B10" s="15" t="s">
        <v>491</v>
      </c>
    </row>
    <row r="11" spans="1:3">
      <c r="A11" s="4" t="s">
        <v>180</v>
      </c>
      <c r="B11" s="39">
        <f>SUMPRODUCT(Input!$B114:$I114,Input!$B$104:$I$104)</f>
        <v>548.09157090334668</v>
      </c>
      <c r="C11" s="17"/>
    </row>
    <row r="12" spans="1:3">
      <c r="A12" s="4" t="s">
        <v>181</v>
      </c>
      <c r="B12" s="39">
        <f>SUMPRODUCT(Input!$B115:$I115,Input!$B$104:$I$104)</f>
        <v>548.09157090334668</v>
      </c>
      <c r="C12" s="17"/>
    </row>
    <row r="13" spans="1:3">
      <c r="A13" s="4" t="s">
        <v>182</v>
      </c>
      <c r="B13" s="39">
        <f>SUMPRODUCT(Input!$B116:$I116,Input!$B$104:$I$104)</f>
        <v>548.09157090334668</v>
      </c>
      <c r="C13" s="17"/>
    </row>
    <row r="14" spans="1:3">
      <c r="A14" s="4" t="s">
        <v>183</v>
      </c>
      <c r="B14" s="39">
        <f>SUMPRODUCT(Input!$B117:$I117,Input!$B$104:$I$104)</f>
        <v>548.09157090334668</v>
      </c>
      <c r="C14" s="17"/>
    </row>
    <row r="15" spans="1:3">
      <c r="A15" s="4" t="s">
        <v>184</v>
      </c>
      <c r="B15" s="39">
        <f>SUMPRODUCT(Input!$B118:$I118,Input!$B$104:$I$104)</f>
        <v>2091.5830995223537</v>
      </c>
      <c r="C15" s="17"/>
    </row>
    <row r="16" spans="1:3">
      <c r="A16" s="4" t="s">
        <v>185</v>
      </c>
      <c r="B16" s="39">
        <f>SUMPRODUCT(Input!$B119:$I119,Input!$B$104:$I$104)</f>
        <v>8271.6387638235956</v>
      </c>
      <c r="C16" s="17"/>
    </row>
    <row r="17" spans="1:3">
      <c r="A17" s="4" t="s">
        <v>186</v>
      </c>
      <c r="B17" s="39">
        <f>SUMPRODUCT(Input!$B120:$I120,Input!$B$104:$I$104)</f>
        <v>548.09157090334668</v>
      </c>
      <c r="C17" s="17"/>
    </row>
    <row r="18" spans="1:3">
      <c r="A18" s="4" t="s">
        <v>187</v>
      </c>
      <c r="B18" s="39">
        <f>SUMPRODUCT(Input!$B121:$I121,Input!$B$104:$I$104)</f>
        <v>548.09157090334668</v>
      </c>
      <c r="C18" s="17"/>
    </row>
    <row r="19" spans="1:3">
      <c r="A19" s="4" t="s">
        <v>188</v>
      </c>
      <c r="B19" s="39">
        <f>SUMPRODUCT(Input!$B122:$I122,Input!$B$104:$I$104)</f>
        <v>2576.7389248309805</v>
      </c>
      <c r="C19" s="17"/>
    </row>
    <row r="20" spans="1:3">
      <c r="A20" s="4" t="s">
        <v>189</v>
      </c>
      <c r="B20" s="39">
        <f>SUMPRODUCT(Input!$B123:$I123,Input!$B$104:$I$104)</f>
        <v>8271.6387638235956</v>
      </c>
      <c r="C20" s="17"/>
    </row>
    <row r="21" spans="1:3">
      <c r="A21" s="4" t="s">
        <v>190</v>
      </c>
      <c r="B21" s="39">
        <f>SUMPRODUCT(Input!$B124:$I124,Input!$B$104:$I$104)</f>
        <v>0</v>
      </c>
      <c r="C21" s="17"/>
    </row>
    <row r="22" spans="1:3">
      <c r="A22" s="4" t="s">
        <v>191</v>
      </c>
      <c r="B22" s="39">
        <f>SUMPRODUCT(Input!$B125:$I125,Input!$B$104:$I$104)</f>
        <v>0</v>
      </c>
      <c r="C22" s="17"/>
    </row>
    <row r="23" spans="1:3">
      <c r="A23" s="4" t="s">
        <v>192</v>
      </c>
      <c r="B23" s="39">
        <f>SUMPRODUCT(Input!$B126:$I126,Input!$B$104:$I$104)</f>
        <v>0</v>
      </c>
      <c r="C23" s="17"/>
    </row>
    <row r="24" spans="1:3">
      <c r="A24" s="4" t="s">
        <v>193</v>
      </c>
      <c r="B24" s="39">
        <f>SUMPRODUCT(Input!$B127:$I127,Input!$B$104:$I$104)</f>
        <v>0</v>
      </c>
      <c r="C24" s="17"/>
    </row>
    <row r="25" spans="1:3">
      <c r="A25" s="4" t="s">
        <v>194</v>
      </c>
      <c r="B25" s="39">
        <f>SUMPRODUCT(Input!$B128:$I128,Input!$B$104:$I$104)</f>
        <v>0</v>
      </c>
      <c r="C25" s="17"/>
    </row>
    <row r="26" spans="1:3">
      <c r="A26" s="4" t="s">
        <v>195</v>
      </c>
      <c r="B26" s="39">
        <f>SUMPRODUCT(Input!$B129:$I129,Input!$B$104:$I$104)</f>
        <v>0</v>
      </c>
      <c r="C26" s="17"/>
    </row>
    <row r="27" spans="1:3">
      <c r="A27" s="4" t="s">
        <v>196</v>
      </c>
      <c r="B27" s="39">
        <f>SUMPRODUCT(Input!$B130:$I130,Input!$B$104:$I$104)</f>
        <v>0</v>
      </c>
      <c r="C27" s="17"/>
    </row>
    <row r="28" spans="1:3">
      <c r="A28" s="4" t="s">
        <v>197</v>
      </c>
      <c r="B28" s="39">
        <f>SUMPRODUCT(Input!$B131:$I131,Input!$B$104:$I$104)</f>
        <v>0</v>
      </c>
      <c r="C28" s="17"/>
    </row>
    <row r="29" spans="1:3">
      <c r="A29" s="4" t="s">
        <v>198</v>
      </c>
      <c r="B29" s="39">
        <f>SUMPRODUCT(Input!$B132:$I132,Input!$B$104:$I$104)</f>
        <v>0</v>
      </c>
      <c r="C29" s="17"/>
    </row>
    <row r="30" spans="1:3">
      <c r="A30" s="4" t="s">
        <v>199</v>
      </c>
      <c r="B30" s="39">
        <f>SUMPRODUCT(Input!$B133:$I133,Input!$B$104:$I$104)</f>
        <v>0</v>
      </c>
      <c r="C30" s="17"/>
    </row>
    <row r="32" spans="1:3" ht="21" customHeight="1">
      <c r="A32" s="1" t="s">
        <v>492</v>
      </c>
    </row>
    <row r="33" spans="1:3">
      <c r="A33" s="2" t="s">
        <v>379</v>
      </c>
    </row>
    <row r="34" spans="1:3">
      <c r="A34" s="29" t="s">
        <v>493</v>
      </c>
    </row>
    <row r="35" spans="1:3">
      <c r="A35" s="29" t="s">
        <v>490</v>
      </c>
    </row>
    <row r="36" spans="1:3">
      <c r="A36" s="2" t="s">
        <v>392</v>
      </c>
    </row>
    <row r="38" spans="1:3" ht="30">
      <c r="B38" s="15" t="s">
        <v>491</v>
      </c>
    </row>
    <row r="39" spans="1:3">
      <c r="A39" s="4" t="s">
        <v>494</v>
      </c>
      <c r="B39" s="39">
        <f>SUMPRODUCT(Input!$B140:$I140,Input!$B$104:$I$104)</f>
        <v>865.41983231568111</v>
      </c>
      <c r="C39" s="17"/>
    </row>
    <row r="41" spans="1:3" ht="21" customHeight="1">
      <c r="A41" s="1" t="s">
        <v>495</v>
      </c>
    </row>
    <row r="42" spans="1:3">
      <c r="A42" s="2" t="s">
        <v>379</v>
      </c>
    </row>
    <row r="43" spans="1:3">
      <c r="A43" s="29" t="s">
        <v>496</v>
      </c>
    </row>
    <row r="44" spans="1:3">
      <c r="A44" s="29" t="s">
        <v>497</v>
      </c>
    </row>
    <row r="45" spans="1:3">
      <c r="A45" s="29" t="s">
        <v>476</v>
      </c>
    </row>
    <row r="46" spans="1:3">
      <c r="A46" s="2" t="s">
        <v>498</v>
      </c>
    </row>
    <row r="48" spans="1:3" ht="30">
      <c r="B48" s="15" t="s">
        <v>491</v>
      </c>
    </row>
    <row r="49" spans="1:3">
      <c r="A49" s="4" t="s">
        <v>499</v>
      </c>
      <c r="B49" s="34">
        <f>0.1*Input!$D60*B39*DRM!$B12</f>
        <v>0</v>
      </c>
      <c r="C49" s="17"/>
    </row>
    <row r="51" spans="1:3" ht="21" customHeight="1">
      <c r="A51" s="1" t="s">
        <v>500</v>
      </c>
    </row>
    <row r="52" spans="1:3">
      <c r="A52" s="2" t="s">
        <v>379</v>
      </c>
    </row>
    <row r="53" spans="1:3">
      <c r="A53" s="29" t="s">
        <v>501</v>
      </c>
    </row>
    <row r="54" spans="1:3">
      <c r="A54" s="29" t="s">
        <v>502</v>
      </c>
    </row>
    <row r="55" spans="1:3">
      <c r="A55" s="2" t="s">
        <v>392</v>
      </c>
    </row>
    <row r="57" spans="1:3" ht="30">
      <c r="B57" s="15" t="s">
        <v>503</v>
      </c>
    </row>
    <row r="58" spans="1:3">
      <c r="A58" s="4" t="s">
        <v>205</v>
      </c>
      <c r="B58" s="39">
        <f>SUMPRODUCT(Input!$B145:$F145,Input!$B$109:$F$109)</f>
        <v>18188.230760622555</v>
      </c>
      <c r="C58" s="17"/>
    </row>
    <row r="59" spans="1:3">
      <c r="A59" s="4" t="s">
        <v>206</v>
      </c>
      <c r="B59" s="39">
        <f>SUMPRODUCT(Input!$B146:$F146,Input!$B$109:$F$109)</f>
        <v>18188.230760622555</v>
      </c>
      <c r="C59" s="17"/>
    </row>
    <row r="60" spans="1:3">
      <c r="A60" s="4" t="s">
        <v>207</v>
      </c>
      <c r="B60" s="39">
        <f>SUMPRODUCT(Input!$B147:$F147,Input!$B$109:$F$109)</f>
        <v>1224.7359261328124</v>
      </c>
      <c r="C60" s="17"/>
    </row>
    <row r="61" spans="1:3">
      <c r="A61" s="4" t="s">
        <v>208</v>
      </c>
      <c r="B61" s="39">
        <f>SUMPRODUCT(Input!$B148:$F148,Input!$B$109:$F$109)</f>
        <v>1224.7359261328124</v>
      </c>
      <c r="C61" s="17"/>
    </row>
    <row r="62" spans="1:3">
      <c r="A62" s="4" t="s">
        <v>209</v>
      </c>
      <c r="B62" s="39">
        <f>SUMPRODUCT(Input!$B149:$F149,Input!$B$109:$F$109)</f>
        <v>1224.7359261328124</v>
      </c>
      <c r="C62" s="17"/>
    </row>
    <row r="63" spans="1:3">
      <c r="A63" s="4" t="s">
        <v>210</v>
      </c>
      <c r="B63" s="39">
        <f>SUMPRODUCT(Input!$B150:$F150,Input!$B$109:$F$109)</f>
        <v>1224.7359261328124</v>
      </c>
      <c r="C63" s="17"/>
    </row>
    <row r="65" spans="1:4" ht="21" customHeight="1">
      <c r="A65" s="1" t="s">
        <v>504</v>
      </c>
    </row>
    <row r="66" spans="1:4">
      <c r="A66" s="2" t="s">
        <v>379</v>
      </c>
    </row>
    <row r="67" spans="1:4">
      <c r="A67" s="29" t="s">
        <v>505</v>
      </c>
    </row>
    <row r="68" spans="1:4">
      <c r="A68" s="29" t="s">
        <v>506</v>
      </c>
    </row>
    <row r="69" spans="1:4">
      <c r="A69" s="2" t="s">
        <v>397</v>
      </c>
    </row>
    <row r="71" spans="1:4" ht="30">
      <c r="B71" s="15" t="s">
        <v>491</v>
      </c>
      <c r="C71" s="15" t="s">
        <v>503</v>
      </c>
    </row>
    <row r="72" spans="1:4">
      <c r="A72" s="4" t="s">
        <v>180</v>
      </c>
      <c r="B72" s="35">
        <f>$B$11</f>
        <v>548.09157090334668</v>
      </c>
      <c r="C72" s="10"/>
      <c r="D72" s="17"/>
    </row>
    <row r="73" spans="1:4">
      <c r="A73" s="4" t="s">
        <v>181</v>
      </c>
      <c r="B73" s="35">
        <f>$B$12</f>
        <v>548.09157090334668</v>
      </c>
      <c r="C73" s="10"/>
      <c r="D73" s="17"/>
    </row>
    <row r="74" spans="1:4">
      <c r="A74" s="4" t="s">
        <v>226</v>
      </c>
      <c r="B74" s="10"/>
      <c r="C74" s="10"/>
      <c r="D74" s="17"/>
    </row>
    <row r="75" spans="1:4">
      <c r="A75" s="4" t="s">
        <v>182</v>
      </c>
      <c r="B75" s="35">
        <f>$B$13</f>
        <v>548.09157090334668</v>
      </c>
      <c r="C75" s="10"/>
      <c r="D75" s="17"/>
    </row>
    <row r="76" spans="1:4">
      <c r="A76" s="4" t="s">
        <v>183</v>
      </c>
      <c r="B76" s="35">
        <f>$B$14</f>
        <v>548.09157090334668</v>
      </c>
      <c r="C76" s="10"/>
      <c r="D76" s="17"/>
    </row>
    <row r="77" spans="1:4">
      <c r="A77" s="4" t="s">
        <v>227</v>
      </c>
      <c r="B77" s="10"/>
      <c r="C77" s="10"/>
      <c r="D77" s="17"/>
    </row>
    <row r="78" spans="1:4">
      <c r="A78" s="4" t="s">
        <v>184</v>
      </c>
      <c r="B78" s="35">
        <f>$B$15</f>
        <v>2091.5830995223537</v>
      </c>
      <c r="C78" s="10"/>
      <c r="D78" s="17"/>
    </row>
    <row r="79" spans="1:4">
      <c r="A79" s="4" t="s">
        <v>185</v>
      </c>
      <c r="B79" s="35">
        <f>$B$16</f>
        <v>8271.6387638235956</v>
      </c>
      <c r="C79" s="10"/>
      <c r="D79" s="17"/>
    </row>
    <row r="80" spans="1:4">
      <c r="A80" s="4" t="s">
        <v>205</v>
      </c>
      <c r="B80" s="10"/>
      <c r="C80" s="35">
        <f>$B$58</f>
        <v>18188.230760622555</v>
      </c>
      <c r="D80" s="17"/>
    </row>
    <row r="81" spans="1:4">
      <c r="A81" s="4" t="s">
        <v>186</v>
      </c>
      <c r="B81" s="35">
        <f>$B$17</f>
        <v>548.09157090334668</v>
      </c>
      <c r="C81" s="10"/>
      <c r="D81" s="17"/>
    </row>
    <row r="82" spans="1:4">
      <c r="A82" s="4" t="s">
        <v>187</v>
      </c>
      <c r="B82" s="35">
        <f>$B$18</f>
        <v>548.09157090334668</v>
      </c>
      <c r="C82" s="10"/>
      <c r="D82" s="17"/>
    </row>
    <row r="83" spans="1:4">
      <c r="A83" s="4" t="s">
        <v>188</v>
      </c>
      <c r="B83" s="35">
        <f>$B$19</f>
        <v>2576.7389248309805</v>
      </c>
      <c r="C83" s="10"/>
      <c r="D83" s="17"/>
    </row>
    <row r="84" spans="1:4">
      <c r="A84" s="4" t="s">
        <v>189</v>
      </c>
      <c r="B84" s="35">
        <f>$B$20</f>
        <v>8271.6387638235956</v>
      </c>
      <c r="C84" s="10"/>
      <c r="D84" s="17"/>
    </row>
    <row r="85" spans="1:4">
      <c r="A85" s="4" t="s">
        <v>206</v>
      </c>
      <c r="B85" s="10"/>
      <c r="C85" s="35">
        <f>$B$59</f>
        <v>18188.230760622555</v>
      </c>
      <c r="D85" s="17"/>
    </row>
    <row r="86" spans="1:4">
      <c r="A86" s="4" t="s">
        <v>228</v>
      </c>
      <c r="B86" s="10"/>
      <c r="C86" s="10"/>
      <c r="D86" s="17"/>
    </row>
    <row r="87" spans="1:4">
      <c r="A87" s="4" t="s">
        <v>229</v>
      </c>
      <c r="B87" s="10"/>
      <c r="C87" s="10"/>
      <c r="D87" s="17"/>
    </row>
    <row r="88" spans="1:4">
      <c r="A88" s="4" t="s">
        <v>230</v>
      </c>
      <c r="B88" s="10"/>
      <c r="C88" s="10"/>
      <c r="D88" s="17"/>
    </row>
    <row r="89" spans="1:4">
      <c r="A89" s="4" t="s">
        <v>231</v>
      </c>
      <c r="B89" s="10"/>
      <c r="C89" s="10"/>
      <c r="D89" s="17"/>
    </row>
    <row r="90" spans="1:4">
      <c r="A90" s="4" t="s">
        <v>232</v>
      </c>
      <c r="B90" s="10"/>
      <c r="C90" s="10"/>
      <c r="D90" s="17"/>
    </row>
    <row r="91" spans="1:4">
      <c r="A91" s="4" t="s">
        <v>190</v>
      </c>
      <c r="B91" s="35">
        <f>$B$21</f>
        <v>0</v>
      </c>
      <c r="C91" s="10"/>
      <c r="D91" s="17"/>
    </row>
    <row r="92" spans="1:4">
      <c r="A92" s="4" t="s">
        <v>191</v>
      </c>
      <c r="B92" s="35">
        <f>$B$22</f>
        <v>0</v>
      </c>
      <c r="C92" s="10"/>
      <c r="D92" s="17"/>
    </row>
    <row r="93" spans="1:4">
      <c r="A93" s="4" t="s">
        <v>192</v>
      </c>
      <c r="B93" s="35">
        <f>$B$23</f>
        <v>0</v>
      </c>
      <c r="C93" s="10"/>
      <c r="D93" s="17"/>
    </row>
    <row r="94" spans="1:4">
      <c r="A94" s="4" t="s">
        <v>193</v>
      </c>
      <c r="B94" s="35">
        <f>$B$24</f>
        <v>0</v>
      </c>
      <c r="C94" s="10"/>
      <c r="D94" s="17"/>
    </row>
    <row r="95" spans="1:4">
      <c r="A95" s="4" t="s">
        <v>194</v>
      </c>
      <c r="B95" s="35">
        <f>$B$25</f>
        <v>0</v>
      </c>
      <c r="C95" s="10"/>
      <c r="D95" s="17"/>
    </row>
    <row r="96" spans="1:4">
      <c r="A96" s="4" t="s">
        <v>195</v>
      </c>
      <c r="B96" s="35">
        <f>$B$26</f>
        <v>0</v>
      </c>
      <c r="C96" s="10"/>
      <c r="D96" s="17"/>
    </row>
    <row r="97" spans="1:4">
      <c r="A97" s="4" t="s">
        <v>196</v>
      </c>
      <c r="B97" s="35">
        <f>$B$27</f>
        <v>0</v>
      </c>
      <c r="C97" s="10"/>
      <c r="D97" s="17"/>
    </row>
    <row r="98" spans="1:4">
      <c r="A98" s="4" t="s">
        <v>197</v>
      </c>
      <c r="B98" s="35">
        <f>$B$28</f>
        <v>0</v>
      </c>
      <c r="C98" s="10"/>
      <c r="D98" s="17"/>
    </row>
    <row r="99" spans="1:4">
      <c r="A99" s="4" t="s">
        <v>198</v>
      </c>
      <c r="B99" s="35">
        <f>$B$29</f>
        <v>0</v>
      </c>
      <c r="C99" s="10"/>
      <c r="D99" s="17"/>
    </row>
    <row r="100" spans="1:4">
      <c r="A100" s="4" t="s">
        <v>199</v>
      </c>
      <c r="B100" s="35">
        <f>$B$30</f>
        <v>0</v>
      </c>
      <c r="C100" s="10"/>
      <c r="D100" s="17"/>
    </row>
    <row r="101" spans="1:4">
      <c r="A101" s="4" t="s">
        <v>207</v>
      </c>
      <c r="B101" s="10"/>
      <c r="C101" s="35">
        <f>$B$60</f>
        <v>1224.7359261328124</v>
      </c>
      <c r="D101" s="17"/>
    </row>
    <row r="102" spans="1:4">
      <c r="A102" s="4" t="s">
        <v>208</v>
      </c>
      <c r="B102" s="10"/>
      <c r="C102" s="35">
        <f>$B$61</f>
        <v>1224.7359261328124</v>
      </c>
      <c r="D102" s="17"/>
    </row>
    <row r="103" spans="1:4">
      <c r="A103" s="4" t="s">
        <v>209</v>
      </c>
      <c r="B103" s="10"/>
      <c r="C103" s="35">
        <f>$B$62</f>
        <v>1224.7359261328124</v>
      </c>
      <c r="D103" s="17"/>
    </row>
    <row r="104" spans="1:4">
      <c r="A104" s="4" t="s">
        <v>210</v>
      </c>
      <c r="B104" s="10"/>
      <c r="C104" s="35">
        <f>$B$63</f>
        <v>1224.7359261328124</v>
      </c>
      <c r="D104" s="17"/>
    </row>
    <row r="106" spans="1:4" ht="21" customHeight="1">
      <c r="A106" s="1" t="s">
        <v>507</v>
      </c>
    </row>
    <row r="107" spans="1:4">
      <c r="A107" s="2" t="s">
        <v>379</v>
      </c>
    </row>
    <row r="108" spans="1:4">
      <c r="A108" s="29" t="s">
        <v>508</v>
      </c>
    </row>
    <row r="109" spans="1:4">
      <c r="A109" s="29" t="s">
        <v>509</v>
      </c>
    </row>
    <row r="110" spans="1:4">
      <c r="A110" s="29" t="s">
        <v>476</v>
      </c>
    </row>
    <row r="111" spans="1:4">
      <c r="A111" s="29" t="s">
        <v>510</v>
      </c>
    </row>
    <row r="112" spans="1:4">
      <c r="A112" s="29" t="s">
        <v>511</v>
      </c>
    </row>
    <row r="113" spans="1:5">
      <c r="A113" s="30" t="s">
        <v>382</v>
      </c>
      <c r="B113" s="30" t="s">
        <v>512</v>
      </c>
      <c r="C113" s="30"/>
      <c r="D113" s="30" t="s">
        <v>513</v>
      </c>
    </row>
    <row r="114" spans="1:5">
      <c r="A114" s="30" t="s">
        <v>385</v>
      </c>
      <c r="B114" s="30" t="s">
        <v>514</v>
      </c>
      <c r="C114" s="30"/>
      <c r="D114" s="30" t="s">
        <v>515</v>
      </c>
    </row>
    <row r="116" spans="1:5">
      <c r="B116" s="28" t="s">
        <v>516</v>
      </c>
      <c r="C116" s="28"/>
    </row>
    <row r="117" spans="1:5" ht="30">
      <c r="B117" s="15" t="s">
        <v>491</v>
      </c>
      <c r="C117" s="15" t="s">
        <v>503</v>
      </c>
      <c r="D117" s="15" t="s">
        <v>517</v>
      </c>
    </row>
    <row r="118" spans="1:5">
      <c r="A118" s="4" t="s">
        <v>180</v>
      </c>
      <c r="B118" s="34">
        <f>100/Input!$F$60*B72*DRM!$B$12*Input!$D$60</f>
        <v>0</v>
      </c>
      <c r="C118" s="34">
        <f>100/Input!$F$60*C72*DRM!$B$12*Input!$D$60</f>
        <v>0</v>
      </c>
      <c r="D118" s="34">
        <f t="shared" ref="D118:D150" si="0">SUM($B118:$C118)</f>
        <v>0</v>
      </c>
      <c r="E118" s="17"/>
    </row>
    <row r="119" spans="1:5">
      <c r="A119" s="4" t="s">
        <v>181</v>
      </c>
      <c r="B119" s="34">
        <f>100/Input!$F$60*B73*DRM!$B$12*Input!$D$60</f>
        <v>0</v>
      </c>
      <c r="C119" s="34">
        <f>100/Input!$F$60*C73*DRM!$B$12*Input!$D$60</f>
        <v>0</v>
      </c>
      <c r="D119" s="34">
        <f t="shared" si="0"/>
        <v>0</v>
      </c>
      <c r="E119" s="17"/>
    </row>
    <row r="120" spans="1:5">
      <c r="A120" s="4" t="s">
        <v>226</v>
      </c>
      <c r="B120" s="34">
        <f>100/Input!$F$60*B74*DRM!$B$12*Input!$D$60</f>
        <v>0</v>
      </c>
      <c r="C120" s="34">
        <f>100/Input!$F$60*C74*DRM!$B$12*Input!$D$60</f>
        <v>0</v>
      </c>
      <c r="D120" s="34">
        <f t="shared" si="0"/>
        <v>0</v>
      </c>
      <c r="E120" s="17"/>
    </row>
    <row r="121" spans="1:5">
      <c r="A121" s="4" t="s">
        <v>182</v>
      </c>
      <c r="B121" s="34">
        <f>100/Input!$F$60*B75*DRM!$B$12*Input!$D$60</f>
        <v>0</v>
      </c>
      <c r="C121" s="34">
        <f>100/Input!$F$60*C75*DRM!$B$12*Input!$D$60</f>
        <v>0</v>
      </c>
      <c r="D121" s="34">
        <f t="shared" si="0"/>
        <v>0</v>
      </c>
      <c r="E121" s="17"/>
    </row>
    <row r="122" spans="1:5">
      <c r="A122" s="4" t="s">
        <v>183</v>
      </c>
      <c r="B122" s="34">
        <f>100/Input!$F$60*B76*DRM!$B$12*Input!$D$60</f>
        <v>0</v>
      </c>
      <c r="C122" s="34">
        <f>100/Input!$F$60*C76*DRM!$B$12*Input!$D$60</f>
        <v>0</v>
      </c>
      <c r="D122" s="34">
        <f t="shared" si="0"/>
        <v>0</v>
      </c>
      <c r="E122" s="17"/>
    </row>
    <row r="123" spans="1:5">
      <c r="A123" s="4" t="s">
        <v>227</v>
      </c>
      <c r="B123" s="34">
        <f>100/Input!$F$60*B77*DRM!$B$12*Input!$D$60</f>
        <v>0</v>
      </c>
      <c r="C123" s="34">
        <f>100/Input!$F$60*C77*DRM!$B$12*Input!$D$60</f>
        <v>0</v>
      </c>
      <c r="D123" s="34">
        <f t="shared" si="0"/>
        <v>0</v>
      </c>
      <c r="E123" s="17"/>
    </row>
    <row r="124" spans="1:5">
      <c r="A124" s="4" t="s">
        <v>184</v>
      </c>
      <c r="B124" s="34">
        <f>100/Input!$F$60*B78*DRM!$B$12*Input!$D$60</f>
        <v>0</v>
      </c>
      <c r="C124" s="34">
        <f>100/Input!$F$60*C78*DRM!$B$12*Input!$D$60</f>
        <v>0</v>
      </c>
      <c r="D124" s="34">
        <f t="shared" si="0"/>
        <v>0</v>
      </c>
      <c r="E124" s="17"/>
    </row>
    <row r="125" spans="1:5">
      <c r="A125" s="4" t="s">
        <v>185</v>
      </c>
      <c r="B125" s="34">
        <f>100/Input!$F$60*B79*DRM!$B$12*Input!$D$60</f>
        <v>0</v>
      </c>
      <c r="C125" s="34">
        <f>100/Input!$F$60*C79*DRM!$B$12*Input!$D$60</f>
        <v>0</v>
      </c>
      <c r="D125" s="34">
        <f t="shared" si="0"/>
        <v>0</v>
      </c>
      <c r="E125" s="17"/>
    </row>
    <row r="126" spans="1:5">
      <c r="A126" s="4" t="s">
        <v>205</v>
      </c>
      <c r="B126" s="34">
        <f>100/Input!$F$60*B80*DRM!$B$12*Input!$D$60</f>
        <v>0</v>
      </c>
      <c r="C126" s="34">
        <f>100/Input!$F$60*C80*DRM!$B$12*Input!$D$60</f>
        <v>0</v>
      </c>
      <c r="D126" s="34">
        <f t="shared" si="0"/>
        <v>0</v>
      </c>
      <c r="E126" s="17"/>
    </row>
    <row r="127" spans="1:5">
      <c r="A127" s="4" t="s">
        <v>186</v>
      </c>
      <c r="B127" s="34">
        <f>100/Input!$F$60*B81*DRM!$B$12*Input!$D$60</f>
        <v>0</v>
      </c>
      <c r="C127" s="34">
        <f>100/Input!$F$60*C81*DRM!$B$12*Input!$D$60</f>
        <v>0</v>
      </c>
      <c r="D127" s="34">
        <f t="shared" si="0"/>
        <v>0</v>
      </c>
      <c r="E127" s="17"/>
    </row>
    <row r="128" spans="1:5">
      <c r="A128" s="4" t="s">
        <v>187</v>
      </c>
      <c r="B128" s="34">
        <f>100/Input!$F$60*B82*DRM!$B$12*Input!$D$60</f>
        <v>0</v>
      </c>
      <c r="C128" s="34">
        <f>100/Input!$F$60*C82*DRM!$B$12*Input!$D$60</f>
        <v>0</v>
      </c>
      <c r="D128" s="34">
        <f t="shared" si="0"/>
        <v>0</v>
      </c>
      <c r="E128" s="17"/>
    </row>
    <row r="129" spans="1:5">
      <c r="A129" s="4" t="s">
        <v>188</v>
      </c>
      <c r="B129" s="34">
        <f>100/Input!$F$60*B83*DRM!$B$12*Input!$D$60</f>
        <v>0</v>
      </c>
      <c r="C129" s="34">
        <f>100/Input!$F$60*C83*DRM!$B$12*Input!$D$60</f>
        <v>0</v>
      </c>
      <c r="D129" s="34">
        <f t="shared" si="0"/>
        <v>0</v>
      </c>
      <c r="E129" s="17"/>
    </row>
    <row r="130" spans="1:5">
      <c r="A130" s="4" t="s">
        <v>189</v>
      </c>
      <c r="B130" s="34">
        <f>100/Input!$F$60*B84*DRM!$B$12*Input!$D$60</f>
        <v>0</v>
      </c>
      <c r="C130" s="34">
        <f>100/Input!$F$60*C84*DRM!$B$12*Input!$D$60</f>
        <v>0</v>
      </c>
      <c r="D130" s="34">
        <f t="shared" si="0"/>
        <v>0</v>
      </c>
      <c r="E130" s="17"/>
    </row>
    <row r="131" spans="1:5">
      <c r="A131" s="4" t="s">
        <v>206</v>
      </c>
      <c r="B131" s="34">
        <f>100/Input!$F$60*B85*DRM!$B$12*Input!$D$60</f>
        <v>0</v>
      </c>
      <c r="C131" s="34">
        <f>100/Input!$F$60*C85*DRM!$B$12*Input!$D$60</f>
        <v>0</v>
      </c>
      <c r="D131" s="34">
        <f t="shared" si="0"/>
        <v>0</v>
      </c>
      <c r="E131" s="17"/>
    </row>
    <row r="132" spans="1:5">
      <c r="A132" s="4" t="s">
        <v>228</v>
      </c>
      <c r="B132" s="34">
        <f>100/Input!$F$60*B86*DRM!$B$12*Input!$D$60</f>
        <v>0</v>
      </c>
      <c r="C132" s="34">
        <f>100/Input!$F$60*C86*DRM!$B$12*Input!$D$60</f>
        <v>0</v>
      </c>
      <c r="D132" s="34">
        <f t="shared" si="0"/>
        <v>0</v>
      </c>
      <c r="E132" s="17"/>
    </row>
    <row r="133" spans="1:5">
      <c r="A133" s="4" t="s">
        <v>229</v>
      </c>
      <c r="B133" s="34">
        <f>100/Input!$F$60*B87*DRM!$B$12*Input!$D$60</f>
        <v>0</v>
      </c>
      <c r="C133" s="34">
        <f>100/Input!$F$60*C87*DRM!$B$12*Input!$D$60</f>
        <v>0</v>
      </c>
      <c r="D133" s="34">
        <f t="shared" si="0"/>
        <v>0</v>
      </c>
      <c r="E133" s="17"/>
    </row>
    <row r="134" spans="1:5">
      <c r="A134" s="4" t="s">
        <v>230</v>
      </c>
      <c r="B134" s="34">
        <f>100/Input!$F$60*B88*DRM!$B$12*Input!$D$60</f>
        <v>0</v>
      </c>
      <c r="C134" s="34">
        <f>100/Input!$F$60*C88*DRM!$B$12*Input!$D$60</f>
        <v>0</v>
      </c>
      <c r="D134" s="34">
        <f t="shared" si="0"/>
        <v>0</v>
      </c>
      <c r="E134" s="17"/>
    </row>
    <row r="135" spans="1:5">
      <c r="A135" s="4" t="s">
        <v>231</v>
      </c>
      <c r="B135" s="34">
        <f>100/Input!$F$60*B89*DRM!$B$12*Input!$D$60</f>
        <v>0</v>
      </c>
      <c r="C135" s="34">
        <f>100/Input!$F$60*C89*DRM!$B$12*Input!$D$60</f>
        <v>0</v>
      </c>
      <c r="D135" s="34">
        <f t="shared" si="0"/>
        <v>0</v>
      </c>
      <c r="E135" s="17"/>
    </row>
    <row r="136" spans="1:5">
      <c r="A136" s="4" t="s">
        <v>232</v>
      </c>
      <c r="B136" s="34">
        <f>100/Input!$F$60*B90*DRM!$B$12*Input!$D$60</f>
        <v>0</v>
      </c>
      <c r="C136" s="34">
        <f>100/Input!$F$60*C90*DRM!$B$12*Input!$D$60</f>
        <v>0</v>
      </c>
      <c r="D136" s="34">
        <f t="shared" si="0"/>
        <v>0</v>
      </c>
      <c r="E136" s="17"/>
    </row>
    <row r="137" spans="1:5">
      <c r="A137" s="4" t="s">
        <v>190</v>
      </c>
      <c r="B137" s="34">
        <f>100/Input!$F$60*B91*DRM!$B$12*Input!$D$60</f>
        <v>0</v>
      </c>
      <c r="C137" s="34">
        <f>100/Input!$F$60*C91*DRM!$B$12*Input!$D$60</f>
        <v>0</v>
      </c>
      <c r="D137" s="34">
        <f t="shared" si="0"/>
        <v>0</v>
      </c>
      <c r="E137" s="17"/>
    </row>
    <row r="138" spans="1:5">
      <c r="A138" s="4" t="s">
        <v>191</v>
      </c>
      <c r="B138" s="34">
        <f>100/Input!$F$60*B92*DRM!$B$12*Input!$D$60</f>
        <v>0</v>
      </c>
      <c r="C138" s="34">
        <f>100/Input!$F$60*C92*DRM!$B$12*Input!$D$60</f>
        <v>0</v>
      </c>
      <c r="D138" s="34">
        <f t="shared" si="0"/>
        <v>0</v>
      </c>
      <c r="E138" s="17"/>
    </row>
    <row r="139" spans="1:5">
      <c r="A139" s="4" t="s">
        <v>192</v>
      </c>
      <c r="B139" s="34">
        <f>100/Input!$F$60*B93*DRM!$B$12*Input!$D$60</f>
        <v>0</v>
      </c>
      <c r="C139" s="34">
        <f>100/Input!$F$60*C93*DRM!$B$12*Input!$D$60</f>
        <v>0</v>
      </c>
      <c r="D139" s="34">
        <f t="shared" si="0"/>
        <v>0</v>
      </c>
      <c r="E139" s="17"/>
    </row>
    <row r="140" spans="1:5">
      <c r="A140" s="4" t="s">
        <v>193</v>
      </c>
      <c r="B140" s="34">
        <f>100/Input!$F$60*B94*DRM!$B$12*Input!$D$60</f>
        <v>0</v>
      </c>
      <c r="C140" s="34">
        <f>100/Input!$F$60*C94*DRM!$B$12*Input!$D$60</f>
        <v>0</v>
      </c>
      <c r="D140" s="34">
        <f t="shared" si="0"/>
        <v>0</v>
      </c>
      <c r="E140" s="17"/>
    </row>
    <row r="141" spans="1:5">
      <c r="A141" s="4" t="s">
        <v>194</v>
      </c>
      <c r="B141" s="34">
        <f>100/Input!$F$60*B95*DRM!$B$12*Input!$D$60</f>
        <v>0</v>
      </c>
      <c r="C141" s="34">
        <f>100/Input!$F$60*C95*DRM!$B$12*Input!$D$60</f>
        <v>0</v>
      </c>
      <c r="D141" s="34">
        <f t="shared" si="0"/>
        <v>0</v>
      </c>
      <c r="E141" s="17"/>
    </row>
    <row r="142" spans="1:5">
      <c r="A142" s="4" t="s">
        <v>195</v>
      </c>
      <c r="B142" s="34">
        <f>100/Input!$F$60*B96*DRM!$B$12*Input!$D$60</f>
        <v>0</v>
      </c>
      <c r="C142" s="34">
        <f>100/Input!$F$60*C96*DRM!$B$12*Input!$D$60</f>
        <v>0</v>
      </c>
      <c r="D142" s="34">
        <f t="shared" si="0"/>
        <v>0</v>
      </c>
      <c r="E142" s="17"/>
    </row>
    <row r="143" spans="1:5">
      <c r="A143" s="4" t="s">
        <v>196</v>
      </c>
      <c r="B143" s="34">
        <f>100/Input!$F$60*B97*DRM!$B$12*Input!$D$60</f>
        <v>0</v>
      </c>
      <c r="C143" s="34">
        <f>100/Input!$F$60*C97*DRM!$B$12*Input!$D$60</f>
        <v>0</v>
      </c>
      <c r="D143" s="34">
        <f t="shared" si="0"/>
        <v>0</v>
      </c>
      <c r="E143" s="17"/>
    </row>
    <row r="144" spans="1:5">
      <c r="A144" s="4" t="s">
        <v>197</v>
      </c>
      <c r="B144" s="34">
        <f>100/Input!$F$60*B98*DRM!$B$12*Input!$D$60</f>
        <v>0</v>
      </c>
      <c r="C144" s="34">
        <f>100/Input!$F$60*C98*DRM!$B$12*Input!$D$60</f>
        <v>0</v>
      </c>
      <c r="D144" s="34">
        <f t="shared" si="0"/>
        <v>0</v>
      </c>
      <c r="E144" s="17"/>
    </row>
    <row r="145" spans="1:5">
      <c r="A145" s="4" t="s">
        <v>198</v>
      </c>
      <c r="B145" s="34">
        <f>100/Input!$F$60*B99*DRM!$B$12*Input!$D$60</f>
        <v>0</v>
      </c>
      <c r="C145" s="34">
        <f>100/Input!$F$60*C99*DRM!$B$12*Input!$D$60</f>
        <v>0</v>
      </c>
      <c r="D145" s="34">
        <f t="shared" si="0"/>
        <v>0</v>
      </c>
      <c r="E145" s="17"/>
    </row>
    <row r="146" spans="1:5">
      <c r="A146" s="4" t="s">
        <v>199</v>
      </c>
      <c r="B146" s="34">
        <f>100/Input!$F$60*B100*DRM!$B$12*Input!$D$60</f>
        <v>0</v>
      </c>
      <c r="C146" s="34">
        <f>100/Input!$F$60*C100*DRM!$B$12*Input!$D$60</f>
        <v>0</v>
      </c>
      <c r="D146" s="34">
        <f t="shared" si="0"/>
        <v>0</v>
      </c>
      <c r="E146" s="17"/>
    </row>
    <row r="147" spans="1:5">
      <c r="A147" s="4" t="s">
        <v>207</v>
      </c>
      <c r="B147" s="34">
        <f>100/Input!$F$60*B101*DRM!$B$12*Input!$D$60</f>
        <v>0</v>
      </c>
      <c r="C147" s="34">
        <f>100/Input!$F$60*C101*DRM!$B$12*Input!$D$60</f>
        <v>0</v>
      </c>
      <c r="D147" s="34">
        <f t="shared" si="0"/>
        <v>0</v>
      </c>
      <c r="E147" s="17"/>
    </row>
    <row r="148" spans="1:5">
      <c r="A148" s="4" t="s">
        <v>208</v>
      </c>
      <c r="B148" s="34">
        <f>100/Input!$F$60*B102*DRM!$B$12*Input!$D$60</f>
        <v>0</v>
      </c>
      <c r="C148" s="34">
        <f>100/Input!$F$60*C102*DRM!$B$12*Input!$D$60</f>
        <v>0</v>
      </c>
      <c r="D148" s="34">
        <f t="shared" si="0"/>
        <v>0</v>
      </c>
      <c r="E148" s="17"/>
    </row>
    <row r="149" spans="1:5">
      <c r="A149" s="4" t="s">
        <v>209</v>
      </c>
      <c r="B149" s="34">
        <f>100/Input!$F$60*B103*DRM!$B$12*Input!$D$60</f>
        <v>0</v>
      </c>
      <c r="C149" s="34">
        <f>100/Input!$F$60*C103*DRM!$B$12*Input!$D$60</f>
        <v>0</v>
      </c>
      <c r="D149" s="34">
        <f t="shared" si="0"/>
        <v>0</v>
      </c>
      <c r="E149" s="17"/>
    </row>
    <row r="150" spans="1:5">
      <c r="A150" s="4" t="s">
        <v>210</v>
      </c>
      <c r="B150" s="34">
        <f>100/Input!$F$60*B104*DRM!$B$12*Input!$D$60</f>
        <v>0</v>
      </c>
      <c r="C150" s="34">
        <f>100/Input!$F$60*C104*DRM!$B$12*Input!$D$60</f>
        <v>0</v>
      </c>
      <c r="D150" s="34">
        <f t="shared" si="0"/>
        <v>0</v>
      </c>
      <c r="E150" s="17"/>
    </row>
  </sheetData>
  <sheetProtection sheet="1" objects="1" scenarios="1"/>
  <hyperlinks>
    <hyperlink ref="A6" location="'Input'!B113" display="x1 = 1025. Matrix of applicability of LV service models to tariffs with fixed charges"/>
    <hyperlink ref="A7" location="'Input'!B103" display="x2 = 1022. LV service model asset cost (£)"/>
    <hyperlink ref="A34" location="'Input'!B139" display="x1 = 1026. Matrix of applicability of LV service models to unmetered tariffs"/>
    <hyperlink ref="A35" location="'Input'!B103" display="x2 = 1022. LV service model asset cost (£)"/>
    <hyperlink ref="A43" location="'Input'!D59" display="x1 = 1010. Annuity proportion for customer-contributed assets (in Financial and general assumptions)"/>
    <hyperlink ref="A44" location="'SM'!B38" display="x2 = 2202. LV unmetered service model assets £/(MWh/year)"/>
    <hyperlink ref="A45" location="'DRM'!B11" display="x3 = 2101. Annuity rate"/>
    <hyperlink ref="A53" location="'Input'!B144" display="x1 = 1028. Matrix of applicability of HV service models to tariffs with fixed charges"/>
    <hyperlink ref="A54" location="'Input'!B108" display="x2 = 1023. HV service model asset cost (£)"/>
    <hyperlink ref="A67" location="'SM'!B10" display="x1 = 2201. Asset £/customer from LV service models"/>
    <hyperlink ref="A68" location="'SM'!B57" display="x2 = 2204. Asset £/customer from HV service models"/>
    <hyperlink ref="A108" location="'Input'!F59" display="x1 = 1010. Days in the charging year (in Financial and general assumptions)"/>
    <hyperlink ref="A109" location="'SM'!B71" display="x2 = 2205. Service model assets by tariff (£)"/>
    <hyperlink ref="A110" location="'DRM'!B11" display="x3 = 2101. Annuity rate"/>
    <hyperlink ref="A111" location="'Input'!D59" display="x4 = 1010. Annuity proportion for customer-contributed assets (in Financial and general assumptions)"/>
    <hyperlink ref="A112" location="'SM'!B117" display="x5 = Service model p/MPAN/day charge (in Replacement annuities for service model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50.7109375" customWidth="1"/>
    <col min="2" max="251" width="20.7109375" customWidth="1"/>
  </cols>
  <sheetData>
    <row r="1" spans="1:1" ht="21" customHeight="1">
      <c r="A1" s="1" t="str">
        <f>"Load characteristics for "&amp;Input!B7&amp;" in "&amp;Input!C7&amp;" ("&amp;Input!D7&amp;")"</f>
        <v>Load characteristics for Electricity North West in 2019/20 (Version 1)</v>
      </c>
    </row>
    <row r="2" spans="1:1">
      <c r="A2" s="2" t="s">
        <v>518</v>
      </c>
    </row>
    <row r="3" spans="1:1">
      <c r="A3" s="2"/>
    </row>
    <row r="4" spans="1:1">
      <c r="A4" s="2" t="s">
        <v>519</v>
      </c>
    </row>
    <row r="5" spans="1:1">
      <c r="A5" s="2" t="s">
        <v>520</v>
      </c>
    </row>
    <row r="6" spans="1:1">
      <c r="A6" s="2"/>
    </row>
    <row r="7" spans="1:1">
      <c r="A7" s="2" t="s">
        <v>521</v>
      </c>
    </row>
    <row r="8" spans="1:1">
      <c r="A8" s="2" t="s">
        <v>522</v>
      </c>
    </row>
    <row r="9" spans="1:1">
      <c r="A9" s="2" t="s">
        <v>523</v>
      </c>
    </row>
    <row r="10" spans="1:1">
      <c r="A10" s="2" t="s">
        <v>524</v>
      </c>
    </row>
    <row r="12" spans="1:1" ht="21" customHeight="1">
      <c r="A12" s="1" t="s">
        <v>525</v>
      </c>
    </row>
    <row r="13" spans="1:1">
      <c r="A13" s="2" t="s">
        <v>379</v>
      </c>
    </row>
    <row r="14" spans="1:1">
      <c r="A14" s="29" t="s">
        <v>526</v>
      </c>
    </row>
    <row r="15" spans="1:1">
      <c r="A15" s="29" t="s">
        <v>527</v>
      </c>
    </row>
    <row r="16" spans="1:1">
      <c r="A16" s="2" t="s">
        <v>459</v>
      </c>
    </row>
    <row r="18" spans="1:3">
      <c r="B18" s="15" t="s">
        <v>528</v>
      </c>
    </row>
    <row r="19" spans="1:3">
      <c r="A19" s="4" t="s">
        <v>180</v>
      </c>
      <c r="B19" s="34">
        <f>Input!B168/Input!C168</f>
        <v>2.0341261343448425</v>
      </c>
      <c r="C19" s="17"/>
    </row>
    <row r="20" spans="1:3">
      <c r="A20" s="4" t="s">
        <v>181</v>
      </c>
      <c r="B20" s="34">
        <f>Input!B169/Input!C169</f>
        <v>1.2667074097345703</v>
      </c>
      <c r="C20" s="17"/>
    </row>
    <row r="21" spans="1:3">
      <c r="A21" s="4" t="s">
        <v>226</v>
      </c>
      <c r="B21" s="34">
        <f>Input!B170/Input!C170</f>
        <v>0</v>
      </c>
      <c r="C21" s="17"/>
    </row>
    <row r="22" spans="1:3">
      <c r="A22" s="4" t="s">
        <v>182</v>
      </c>
      <c r="B22" s="34">
        <f>Input!B171/Input!C171</f>
        <v>1.635220549211613</v>
      </c>
      <c r="C22" s="17"/>
    </row>
    <row r="23" spans="1:3">
      <c r="A23" s="4" t="s">
        <v>183</v>
      </c>
      <c r="B23" s="34">
        <f>Input!B172/Input!C172</f>
        <v>1.3237270307178195</v>
      </c>
      <c r="C23" s="17"/>
    </row>
    <row r="24" spans="1:3">
      <c r="A24" s="4" t="s">
        <v>227</v>
      </c>
      <c r="B24" s="34">
        <f>Input!B173/Input!C173</f>
        <v>0</v>
      </c>
      <c r="C24" s="17"/>
    </row>
    <row r="25" spans="1:3">
      <c r="A25" s="4" t="s">
        <v>184</v>
      </c>
      <c r="B25" s="34">
        <f>Input!B174/Input!C174</f>
        <v>1.4106757441552378</v>
      </c>
      <c r="C25" s="17"/>
    </row>
    <row r="26" spans="1:3">
      <c r="A26" s="4" t="s">
        <v>185</v>
      </c>
      <c r="B26" s="34">
        <f>Input!B175/Input!C175</f>
        <v>1.4070377007052708</v>
      </c>
      <c r="C26" s="17"/>
    </row>
    <row r="27" spans="1:3">
      <c r="A27" s="4" t="s">
        <v>205</v>
      </c>
      <c r="B27" s="34">
        <f>Input!B176/Input!C176</f>
        <v>1.4963016864392102</v>
      </c>
      <c r="C27" s="17"/>
    </row>
    <row r="28" spans="1:3">
      <c r="A28" s="4" t="s">
        <v>186</v>
      </c>
      <c r="B28" s="34">
        <f>Input!B177/Input!C177</f>
        <v>2.0341261343448425</v>
      </c>
      <c r="C28" s="17"/>
    </row>
    <row r="29" spans="1:3">
      <c r="A29" s="4" t="s">
        <v>187</v>
      </c>
      <c r="B29" s="34">
        <f>Input!B178/Input!C178</f>
        <v>1.635220549211613</v>
      </c>
      <c r="C29" s="17"/>
    </row>
    <row r="30" spans="1:3">
      <c r="A30" s="4" t="s">
        <v>188</v>
      </c>
      <c r="B30" s="34">
        <f>Input!B179/Input!C179</f>
        <v>1.4535862824776571</v>
      </c>
      <c r="C30" s="17"/>
    </row>
    <row r="31" spans="1:3">
      <c r="A31" s="4" t="s">
        <v>189</v>
      </c>
      <c r="B31" s="34">
        <f>Input!B180/Input!C180</f>
        <v>1.3626939087000081</v>
      </c>
      <c r="C31" s="17"/>
    </row>
    <row r="32" spans="1:3">
      <c r="A32" s="4" t="s">
        <v>206</v>
      </c>
      <c r="B32" s="34">
        <f>Input!B181/Input!C181</f>
        <v>1.1818698936379728</v>
      </c>
      <c r="C32" s="17"/>
    </row>
    <row r="33" spans="1:3">
      <c r="A33" s="4" t="s">
        <v>228</v>
      </c>
      <c r="B33" s="34">
        <f>Input!B182/Input!C182</f>
        <v>1</v>
      </c>
      <c r="C33" s="17"/>
    </row>
    <row r="34" spans="1:3">
      <c r="A34" s="4" t="s">
        <v>229</v>
      </c>
      <c r="B34" s="34">
        <f>Input!B183/Input!C183</f>
        <v>2.1136582684960237</v>
      </c>
      <c r="C34" s="17"/>
    </row>
    <row r="35" spans="1:3">
      <c r="A35" s="4" t="s">
        <v>230</v>
      </c>
      <c r="B35" s="34">
        <f>Input!B184/Input!C184</f>
        <v>3.8787212713744683</v>
      </c>
      <c r="C35" s="17"/>
    </row>
    <row r="36" spans="1:3">
      <c r="A36" s="4" t="s">
        <v>231</v>
      </c>
      <c r="B36" s="34">
        <f>Input!B185/Input!C185</f>
        <v>0</v>
      </c>
      <c r="C36" s="17"/>
    </row>
    <row r="37" spans="1:3">
      <c r="A37" s="4" t="s">
        <v>232</v>
      </c>
      <c r="B37" s="34">
        <f>Input!B186/Input!C186</f>
        <v>2.0638669242489596</v>
      </c>
      <c r="C37" s="17"/>
    </row>
    <row r="39" spans="1:3" ht="21" customHeight="1">
      <c r="A39" s="1" t="s">
        <v>529</v>
      </c>
    </row>
    <row r="40" spans="1:3">
      <c r="A40" s="2" t="s">
        <v>379</v>
      </c>
    </row>
    <row r="41" spans="1:3">
      <c r="A41" s="29" t="s">
        <v>530</v>
      </c>
    </row>
    <row r="42" spans="1:3">
      <c r="A42" s="2" t="s">
        <v>531</v>
      </c>
    </row>
    <row r="43" spans="1:3">
      <c r="A43" s="2" t="s">
        <v>397</v>
      </c>
    </row>
    <row r="45" spans="1:3">
      <c r="B45" s="15" t="s">
        <v>532</v>
      </c>
    </row>
    <row r="46" spans="1:3">
      <c r="A46" s="4" t="s">
        <v>180</v>
      </c>
      <c r="B46" s="35">
        <f>B$19</f>
        <v>2.0341261343448425</v>
      </c>
      <c r="C46" s="17"/>
    </row>
    <row r="47" spans="1:3">
      <c r="A47" s="4" t="s">
        <v>181</v>
      </c>
      <c r="B47" s="35">
        <f>B$20</f>
        <v>1.2667074097345703</v>
      </c>
      <c r="C47" s="17"/>
    </row>
    <row r="48" spans="1:3">
      <c r="A48" s="4" t="s">
        <v>226</v>
      </c>
      <c r="B48" s="35">
        <f>B$21</f>
        <v>0</v>
      </c>
      <c r="C48" s="17"/>
    </row>
    <row r="49" spans="1:3">
      <c r="A49" s="4" t="s">
        <v>182</v>
      </c>
      <c r="B49" s="35">
        <f>B$22</f>
        <v>1.635220549211613</v>
      </c>
      <c r="C49" s="17"/>
    </row>
    <row r="50" spans="1:3">
      <c r="A50" s="4" t="s">
        <v>183</v>
      </c>
      <c r="B50" s="35">
        <f>B$23</f>
        <v>1.3237270307178195</v>
      </c>
      <c r="C50" s="17"/>
    </row>
    <row r="51" spans="1:3">
      <c r="A51" s="4" t="s">
        <v>227</v>
      </c>
      <c r="B51" s="35">
        <f>B$24</f>
        <v>0</v>
      </c>
      <c r="C51" s="17"/>
    </row>
    <row r="52" spans="1:3">
      <c r="A52" s="4" t="s">
        <v>184</v>
      </c>
      <c r="B52" s="35">
        <f>B$25</f>
        <v>1.4106757441552378</v>
      </c>
      <c r="C52" s="17"/>
    </row>
    <row r="53" spans="1:3">
      <c r="A53" s="4" t="s">
        <v>185</v>
      </c>
      <c r="B53" s="35">
        <f>B$26</f>
        <v>1.4070377007052708</v>
      </c>
      <c r="C53" s="17"/>
    </row>
    <row r="54" spans="1:3">
      <c r="A54" s="4" t="s">
        <v>205</v>
      </c>
      <c r="B54" s="35">
        <f>B$27</f>
        <v>1.4963016864392102</v>
      </c>
      <c r="C54" s="17"/>
    </row>
    <row r="55" spans="1:3">
      <c r="A55" s="4" t="s">
        <v>186</v>
      </c>
      <c r="B55" s="35">
        <f>B$28</f>
        <v>2.0341261343448425</v>
      </c>
      <c r="C55" s="17"/>
    </row>
    <row r="56" spans="1:3">
      <c r="A56" s="4" t="s">
        <v>187</v>
      </c>
      <c r="B56" s="35">
        <f>B$29</f>
        <v>1.635220549211613</v>
      </c>
      <c r="C56" s="17"/>
    </row>
    <row r="57" spans="1:3">
      <c r="A57" s="4" t="s">
        <v>188</v>
      </c>
      <c r="B57" s="35">
        <f>B$30</f>
        <v>1.4535862824776571</v>
      </c>
      <c r="C57" s="17"/>
    </row>
    <row r="58" spans="1:3">
      <c r="A58" s="4" t="s">
        <v>189</v>
      </c>
      <c r="B58" s="35">
        <f>B$31</f>
        <v>1.3626939087000081</v>
      </c>
      <c r="C58" s="17"/>
    </row>
    <row r="59" spans="1:3">
      <c r="A59" s="4" t="s">
        <v>206</v>
      </c>
      <c r="B59" s="35">
        <f>B$32</f>
        <v>1.1818698936379728</v>
      </c>
      <c r="C59" s="17"/>
    </row>
    <row r="60" spans="1:3">
      <c r="A60" s="4" t="s">
        <v>228</v>
      </c>
      <c r="B60" s="35">
        <f>B$33</f>
        <v>1</v>
      </c>
      <c r="C60" s="17"/>
    </row>
    <row r="61" spans="1:3">
      <c r="A61" s="4" t="s">
        <v>229</v>
      </c>
      <c r="B61" s="35">
        <f>B$34</f>
        <v>2.1136582684960237</v>
      </c>
      <c r="C61" s="17"/>
    </row>
    <row r="62" spans="1:3">
      <c r="A62" s="4" t="s">
        <v>230</v>
      </c>
      <c r="B62" s="35">
        <f>B$35</f>
        <v>3.8787212713744683</v>
      </c>
      <c r="C62" s="17"/>
    </row>
    <row r="63" spans="1:3">
      <c r="A63" s="4" t="s">
        <v>231</v>
      </c>
      <c r="B63" s="35">
        <f>B$36</f>
        <v>0</v>
      </c>
      <c r="C63" s="17"/>
    </row>
    <row r="64" spans="1:3">
      <c r="A64" s="4" t="s">
        <v>232</v>
      </c>
      <c r="B64" s="35">
        <f>B$37</f>
        <v>2.0638669242489596</v>
      </c>
      <c r="C64" s="17"/>
    </row>
    <row r="65" spans="1:3">
      <c r="A65" s="4" t="s">
        <v>190</v>
      </c>
      <c r="B65" s="26">
        <v>-1</v>
      </c>
      <c r="C65" s="17"/>
    </row>
    <row r="66" spans="1:3">
      <c r="A66" s="4" t="s">
        <v>191</v>
      </c>
      <c r="B66" s="26">
        <v>-1</v>
      </c>
      <c r="C66" s="17"/>
    </row>
    <row r="67" spans="1:3">
      <c r="A67" s="4" t="s">
        <v>192</v>
      </c>
      <c r="B67" s="26">
        <v>-1</v>
      </c>
      <c r="C67" s="17"/>
    </row>
    <row r="68" spans="1:3">
      <c r="A68" s="4" t="s">
        <v>193</v>
      </c>
      <c r="B68" s="26">
        <v>-1</v>
      </c>
      <c r="C68" s="17"/>
    </row>
    <row r="69" spans="1:3">
      <c r="A69" s="4" t="s">
        <v>194</v>
      </c>
      <c r="B69" s="26">
        <v>-1</v>
      </c>
      <c r="C69" s="17"/>
    </row>
    <row r="70" spans="1:3">
      <c r="A70" s="4" t="s">
        <v>195</v>
      </c>
      <c r="B70" s="26">
        <v>-1</v>
      </c>
      <c r="C70" s="17"/>
    </row>
    <row r="71" spans="1:3">
      <c r="A71" s="4" t="s">
        <v>196</v>
      </c>
      <c r="B71" s="26">
        <v>-1</v>
      </c>
      <c r="C71" s="17"/>
    </row>
    <row r="72" spans="1:3">
      <c r="A72" s="4" t="s">
        <v>197</v>
      </c>
      <c r="B72" s="26">
        <v>-1</v>
      </c>
      <c r="C72" s="17"/>
    </row>
    <row r="73" spans="1:3">
      <c r="A73" s="4" t="s">
        <v>198</v>
      </c>
      <c r="B73" s="26">
        <v>-1</v>
      </c>
      <c r="C73" s="17"/>
    </row>
    <row r="74" spans="1:3">
      <c r="A74" s="4" t="s">
        <v>199</v>
      </c>
      <c r="B74" s="26">
        <v>-1</v>
      </c>
      <c r="C74" s="17"/>
    </row>
    <row r="75" spans="1:3">
      <c r="A75" s="4" t="s">
        <v>207</v>
      </c>
      <c r="B75" s="26">
        <v>-1</v>
      </c>
      <c r="C75" s="17"/>
    </row>
    <row r="76" spans="1:3">
      <c r="A76" s="4" t="s">
        <v>208</v>
      </c>
      <c r="B76" s="26">
        <v>-1</v>
      </c>
      <c r="C76" s="17"/>
    </row>
    <row r="77" spans="1:3">
      <c r="A77" s="4" t="s">
        <v>209</v>
      </c>
      <c r="B77" s="26">
        <v>-1</v>
      </c>
      <c r="C77" s="17"/>
    </row>
    <row r="78" spans="1:3">
      <c r="A78" s="4" t="s">
        <v>210</v>
      </c>
      <c r="B78" s="26">
        <v>-1</v>
      </c>
      <c r="C78" s="17"/>
    </row>
    <row r="80" spans="1:3" ht="21" customHeight="1">
      <c r="A80" s="1" t="s">
        <v>533</v>
      </c>
    </row>
    <row r="82" spans="1:7">
      <c r="B82" s="15" t="s">
        <v>216</v>
      </c>
      <c r="C82" s="15" t="s">
        <v>217</v>
      </c>
      <c r="D82" s="15" t="s">
        <v>218</v>
      </c>
      <c r="E82" s="15" t="s">
        <v>219</v>
      </c>
      <c r="F82" s="15" t="s">
        <v>220</v>
      </c>
    </row>
    <row r="83" spans="1:7">
      <c r="A83" s="27" t="s">
        <v>244</v>
      </c>
      <c r="G83" s="17"/>
    </row>
    <row r="84" spans="1:7">
      <c r="A84" s="4" t="s">
        <v>180</v>
      </c>
      <c r="B84" s="33">
        <v>1</v>
      </c>
      <c r="C84" s="33">
        <v>0</v>
      </c>
      <c r="D84" s="33">
        <v>0</v>
      </c>
      <c r="E84" s="33">
        <v>0</v>
      </c>
      <c r="F84" s="33">
        <v>0</v>
      </c>
      <c r="G84" s="17"/>
    </row>
    <row r="85" spans="1:7">
      <c r="A85" s="4" t="s">
        <v>245</v>
      </c>
      <c r="B85" s="33">
        <v>0</v>
      </c>
      <c r="C85" s="33">
        <v>1</v>
      </c>
      <c r="D85" s="33">
        <v>0</v>
      </c>
      <c r="E85" s="33">
        <v>0</v>
      </c>
      <c r="F85" s="33">
        <v>0</v>
      </c>
      <c r="G85" s="17"/>
    </row>
    <row r="86" spans="1:7">
      <c r="A86" s="4" t="s">
        <v>246</v>
      </c>
      <c r="B86" s="33">
        <v>0</v>
      </c>
      <c r="C86" s="33">
        <v>0</v>
      </c>
      <c r="D86" s="33">
        <v>1</v>
      </c>
      <c r="E86" s="33">
        <v>0</v>
      </c>
      <c r="F86" s="33">
        <v>0</v>
      </c>
      <c r="G86" s="17"/>
    </row>
    <row r="87" spans="1:7">
      <c r="A87" s="27" t="s">
        <v>247</v>
      </c>
      <c r="G87" s="17"/>
    </row>
    <row r="88" spans="1:7">
      <c r="A88" s="4" t="s">
        <v>181</v>
      </c>
      <c r="B88" s="33">
        <v>1</v>
      </c>
      <c r="C88" s="33">
        <v>0</v>
      </c>
      <c r="D88" s="33">
        <v>0</v>
      </c>
      <c r="E88" s="33">
        <v>0</v>
      </c>
      <c r="F88" s="33">
        <v>0</v>
      </c>
      <c r="G88" s="17"/>
    </row>
    <row r="89" spans="1:7">
      <c r="A89" s="4" t="s">
        <v>248</v>
      </c>
      <c r="B89" s="33">
        <v>0</v>
      </c>
      <c r="C89" s="33">
        <v>1</v>
      </c>
      <c r="D89" s="33">
        <v>0</v>
      </c>
      <c r="E89" s="33">
        <v>0</v>
      </c>
      <c r="F89" s="33">
        <v>0</v>
      </c>
      <c r="G89" s="17"/>
    </row>
    <row r="90" spans="1:7">
      <c r="A90" s="4" t="s">
        <v>249</v>
      </c>
      <c r="B90" s="33">
        <v>0</v>
      </c>
      <c r="C90" s="33">
        <v>0</v>
      </c>
      <c r="D90" s="33">
        <v>1</v>
      </c>
      <c r="E90" s="33">
        <v>0</v>
      </c>
      <c r="F90" s="33">
        <v>0</v>
      </c>
      <c r="G90" s="17"/>
    </row>
    <row r="91" spans="1:7">
      <c r="A91" s="27" t="s">
        <v>250</v>
      </c>
      <c r="G91" s="17"/>
    </row>
    <row r="92" spans="1:7">
      <c r="A92" s="4" t="s">
        <v>226</v>
      </c>
      <c r="B92" s="33">
        <v>1</v>
      </c>
      <c r="C92" s="33">
        <v>0</v>
      </c>
      <c r="D92" s="33">
        <v>0</v>
      </c>
      <c r="E92" s="33">
        <v>0</v>
      </c>
      <c r="F92" s="33">
        <v>0</v>
      </c>
      <c r="G92" s="17"/>
    </row>
    <row r="93" spans="1:7">
      <c r="A93" s="4" t="s">
        <v>251</v>
      </c>
      <c r="B93" s="33">
        <v>0</v>
      </c>
      <c r="C93" s="33">
        <v>1</v>
      </c>
      <c r="D93" s="33">
        <v>0</v>
      </c>
      <c r="E93" s="33">
        <v>0</v>
      </c>
      <c r="F93" s="33">
        <v>0</v>
      </c>
      <c r="G93" s="17"/>
    </row>
    <row r="94" spans="1:7">
      <c r="A94" s="4" t="s">
        <v>252</v>
      </c>
      <c r="B94" s="33">
        <v>0</v>
      </c>
      <c r="C94" s="33">
        <v>0</v>
      </c>
      <c r="D94" s="33">
        <v>1</v>
      </c>
      <c r="E94" s="33">
        <v>0</v>
      </c>
      <c r="F94" s="33">
        <v>0</v>
      </c>
      <c r="G94" s="17"/>
    </row>
    <row r="95" spans="1:7">
      <c r="A95" s="27" t="s">
        <v>253</v>
      </c>
      <c r="G95" s="17"/>
    </row>
    <row r="96" spans="1:7">
      <c r="A96" s="4" t="s">
        <v>182</v>
      </c>
      <c r="B96" s="33">
        <v>1</v>
      </c>
      <c r="C96" s="33">
        <v>0</v>
      </c>
      <c r="D96" s="33">
        <v>0</v>
      </c>
      <c r="E96" s="33">
        <v>0</v>
      </c>
      <c r="F96" s="33">
        <v>0</v>
      </c>
      <c r="G96" s="17"/>
    </row>
    <row r="97" spans="1:7">
      <c r="A97" s="4" t="s">
        <v>254</v>
      </c>
      <c r="B97" s="33">
        <v>0</v>
      </c>
      <c r="C97" s="33">
        <v>1</v>
      </c>
      <c r="D97" s="33">
        <v>0</v>
      </c>
      <c r="E97" s="33">
        <v>0</v>
      </c>
      <c r="F97" s="33">
        <v>0</v>
      </c>
      <c r="G97" s="17"/>
    </row>
    <row r="98" spans="1:7">
      <c r="A98" s="4" t="s">
        <v>255</v>
      </c>
      <c r="B98" s="33">
        <v>0</v>
      </c>
      <c r="C98" s="33">
        <v>0</v>
      </c>
      <c r="D98" s="33">
        <v>1</v>
      </c>
      <c r="E98" s="33">
        <v>0</v>
      </c>
      <c r="F98" s="33">
        <v>0</v>
      </c>
      <c r="G98" s="17"/>
    </row>
    <row r="99" spans="1:7">
      <c r="A99" s="27" t="s">
        <v>256</v>
      </c>
      <c r="G99" s="17"/>
    </row>
    <row r="100" spans="1:7">
      <c r="A100" s="4" t="s">
        <v>183</v>
      </c>
      <c r="B100" s="33">
        <v>1</v>
      </c>
      <c r="C100" s="33">
        <v>0</v>
      </c>
      <c r="D100" s="33">
        <v>0</v>
      </c>
      <c r="E100" s="33">
        <v>0</v>
      </c>
      <c r="F100" s="33">
        <v>0</v>
      </c>
      <c r="G100" s="17"/>
    </row>
    <row r="101" spans="1:7">
      <c r="A101" s="4" t="s">
        <v>257</v>
      </c>
      <c r="B101" s="33">
        <v>0</v>
      </c>
      <c r="C101" s="33">
        <v>1</v>
      </c>
      <c r="D101" s="33">
        <v>0</v>
      </c>
      <c r="E101" s="33">
        <v>0</v>
      </c>
      <c r="F101" s="33">
        <v>0</v>
      </c>
      <c r="G101" s="17"/>
    </row>
    <row r="102" spans="1:7">
      <c r="A102" s="4" t="s">
        <v>258</v>
      </c>
      <c r="B102" s="33">
        <v>0</v>
      </c>
      <c r="C102" s="33">
        <v>0</v>
      </c>
      <c r="D102" s="33">
        <v>1</v>
      </c>
      <c r="E102" s="33">
        <v>0</v>
      </c>
      <c r="F102" s="33">
        <v>0</v>
      </c>
      <c r="G102" s="17"/>
    </row>
    <row r="103" spans="1:7">
      <c r="A103" s="27" t="s">
        <v>259</v>
      </c>
      <c r="G103" s="17"/>
    </row>
    <row r="104" spans="1:7">
      <c r="A104" s="4" t="s">
        <v>227</v>
      </c>
      <c r="B104" s="33">
        <v>1</v>
      </c>
      <c r="C104" s="33">
        <v>0</v>
      </c>
      <c r="D104" s="33">
        <v>0</v>
      </c>
      <c r="E104" s="33">
        <v>0</v>
      </c>
      <c r="F104" s="33">
        <v>0</v>
      </c>
      <c r="G104" s="17"/>
    </row>
    <row r="105" spans="1:7" ht="30">
      <c r="A105" s="4" t="s">
        <v>260</v>
      </c>
      <c r="B105" s="33">
        <v>0</v>
      </c>
      <c r="C105" s="33">
        <v>1</v>
      </c>
      <c r="D105" s="33">
        <v>0</v>
      </c>
      <c r="E105" s="33">
        <v>0</v>
      </c>
      <c r="F105" s="33">
        <v>0</v>
      </c>
      <c r="G105" s="17"/>
    </row>
    <row r="106" spans="1:7" ht="30">
      <c r="A106" s="4" t="s">
        <v>261</v>
      </c>
      <c r="B106" s="33">
        <v>0</v>
      </c>
      <c r="C106" s="33">
        <v>0</v>
      </c>
      <c r="D106" s="33">
        <v>1</v>
      </c>
      <c r="E106" s="33">
        <v>0</v>
      </c>
      <c r="F106" s="33">
        <v>0</v>
      </c>
      <c r="G106" s="17"/>
    </row>
    <row r="107" spans="1:7">
      <c r="A107" s="27" t="s">
        <v>262</v>
      </c>
      <c r="G107" s="17"/>
    </row>
    <row r="108" spans="1:7">
      <c r="A108" s="4" t="s">
        <v>184</v>
      </c>
      <c r="B108" s="33">
        <v>1</v>
      </c>
      <c r="C108" s="33">
        <v>0</v>
      </c>
      <c r="D108" s="33">
        <v>0</v>
      </c>
      <c r="E108" s="33">
        <v>0</v>
      </c>
      <c r="F108" s="33">
        <v>0</v>
      </c>
      <c r="G108" s="17"/>
    </row>
    <row r="109" spans="1:7">
      <c r="A109" s="4" t="s">
        <v>263</v>
      </c>
      <c r="B109" s="33">
        <v>0</v>
      </c>
      <c r="C109" s="33">
        <v>1</v>
      </c>
      <c r="D109" s="33">
        <v>0</v>
      </c>
      <c r="E109" s="33">
        <v>0</v>
      </c>
      <c r="F109" s="33">
        <v>0</v>
      </c>
      <c r="G109" s="17"/>
    </row>
    <row r="110" spans="1:7">
      <c r="A110" s="4" t="s">
        <v>264</v>
      </c>
      <c r="B110" s="33">
        <v>0</v>
      </c>
      <c r="C110" s="33">
        <v>0</v>
      </c>
      <c r="D110" s="33">
        <v>1</v>
      </c>
      <c r="E110" s="33">
        <v>0</v>
      </c>
      <c r="F110" s="33">
        <v>0</v>
      </c>
      <c r="G110" s="17"/>
    </row>
    <row r="111" spans="1:7">
      <c r="A111" s="27" t="s">
        <v>265</v>
      </c>
      <c r="G111" s="17"/>
    </row>
    <row r="112" spans="1:7">
      <c r="A112" s="4" t="s">
        <v>185</v>
      </c>
      <c r="B112" s="33">
        <v>1</v>
      </c>
      <c r="C112" s="33">
        <v>0</v>
      </c>
      <c r="D112" s="33">
        <v>0</v>
      </c>
      <c r="E112" s="33">
        <v>0</v>
      </c>
      <c r="F112" s="33">
        <v>0</v>
      </c>
      <c r="G112" s="17"/>
    </row>
    <row r="113" spans="1:7">
      <c r="A113" s="27" t="s">
        <v>266</v>
      </c>
      <c r="G113" s="17"/>
    </row>
    <row r="114" spans="1:7">
      <c r="A114" s="4" t="s">
        <v>205</v>
      </c>
      <c r="B114" s="33">
        <v>1</v>
      </c>
      <c r="C114" s="33">
        <v>0</v>
      </c>
      <c r="D114" s="33">
        <v>0</v>
      </c>
      <c r="E114" s="33">
        <v>0</v>
      </c>
      <c r="F114" s="33">
        <v>0</v>
      </c>
      <c r="G114" s="17"/>
    </row>
    <row r="115" spans="1:7">
      <c r="A115" s="27" t="s">
        <v>267</v>
      </c>
      <c r="G115" s="17"/>
    </row>
    <row r="116" spans="1:7">
      <c r="A116" s="4" t="s">
        <v>186</v>
      </c>
      <c r="B116" s="33">
        <v>1</v>
      </c>
      <c r="C116" s="33">
        <v>0</v>
      </c>
      <c r="D116" s="33">
        <v>0</v>
      </c>
      <c r="E116" s="33">
        <v>0</v>
      </c>
      <c r="F116" s="33">
        <v>0</v>
      </c>
      <c r="G116" s="17"/>
    </row>
    <row r="117" spans="1:7">
      <c r="A117" s="4" t="s">
        <v>268</v>
      </c>
      <c r="B117" s="33">
        <v>0</v>
      </c>
      <c r="C117" s="33">
        <v>1</v>
      </c>
      <c r="D117" s="33">
        <v>0</v>
      </c>
      <c r="E117" s="33">
        <v>0</v>
      </c>
      <c r="F117" s="33">
        <v>0</v>
      </c>
      <c r="G117" s="17"/>
    </row>
    <row r="118" spans="1:7">
      <c r="A118" s="4" t="s">
        <v>269</v>
      </c>
      <c r="B118" s="33">
        <v>0</v>
      </c>
      <c r="C118" s="33">
        <v>0</v>
      </c>
      <c r="D118" s="33">
        <v>1</v>
      </c>
      <c r="E118" s="33">
        <v>0</v>
      </c>
      <c r="F118" s="33">
        <v>0</v>
      </c>
      <c r="G118" s="17"/>
    </row>
    <row r="119" spans="1:7">
      <c r="A119" s="27" t="s">
        <v>270</v>
      </c>
      <c r="G119" s="17"/>
    </row>
    <row r="120" spans="1:7">
      <c r="A120" s="4" t="s">
        <v>187</v>
      </c>
      <c r="B120" s="33">
        <v>1</v>
      </c>
      <c r="C120" s="33">
        <v>0</v>
      </c>
      <c r="D120" s="33">
        <v>0</v>
      </c>
      <c r="E120" s="33">
        <v>0</v>
      </c>
      <c r="F120" s="33">
        <v>0</v>
      </c>
      <c r="G120" s="17"/>
    </row>
    <row r="121" spans="1:7">
      <c r="A121" s="4" t="s">
        <v>271</v>
      </c>
      <c r="B121" s="33">
        <v>0</v>
      </c>
      <c r="C121" s="33">
        <v>1</v>
      </c>
      <c r="D121" s="33">
        <v>0</v>
      </c>
      <c r="E121" s="33">
        <v>0</v>
      </c>
      <c r="F121" s="33">
        <v>0</v>
      </c>
      <c r="G121" s="17"/>
    </row>
    <row r="122" spans="1:7">
      <c r="A122" s="4" t="s">
        <v>272</v>
      </c>
      <c r="B122" s="33">
        <v>0</v>
      </c>
      <c r="C122" s="33">
        <v>0</v>
      </c>
      <c r="D122" s="33">
        <v>1</v>
      </c>
      <c r="E122" s="33">
        <v>0</v>
      </c>
      <c r="F122" s="33">
        <v>0</v>
      </c>
      <c r="G122" s="17"/>
    </row>
    <row r="123" spans="1:7">
      <c r="A123" s="27" t="s">
        <v>273</v>
      </c>
      <c r="G123" s="17"/>
    </row>
    <row r="124" spans="1:7">
      <c r="A124" s="4" t="s">
        <v>188</v>
      </c>
      <c r="B124" s="33">
        <v>1</v>
      </c>
      <c r="C124" s="33">
        <v>0</v>
      </c>
      <c r="D124" s="33">
        <v>0</v>
      </c>
      <c r="E124" s="33">
        <v>0</v>
      </c>
      <c r="F124" s="33">
        <v>0</v>
      </c>
      <c r="G124" s="17"/>
    </row>
    <row r="125" spans="1:7">
      <c r="A125" s="4" t="s">
        <v>274</v>
      </c>
      <c r="B125" s="33">
        <v>0</v>
      </c>
      <c r="C125" s="33">
        <v>1</v>
      </c>
      <c r="D125" s="33">
        <v>0</v>
      </c>
      <c r="E125" s="33">
        <v>0</v>
      </c>
      <c r="F125" s="33">
        <v>0</v>
      </c>
      <c r="G125" s="17"/>
    </row>
    <row r="126" spans="1:7">
      <c r="A126" s="4" t="s">
        <v>275</v>
      </c>
      <c r="B126" s="33">
        <v>0</v>
      </c>
      <c r="C126" s="33">
        <v>0</v>
      </c>
      <c r="D126" s="33">
        <v>1</v>
      </c>
      <c r="E126" s="33">
        <v>0</v>
      </c>
      <c r="F126" s="33">
        <v>0</v>
      </c>
      <c r="G126" s="17"/>
    </row>
    <row r="127" spans="1:7">
      <c r="A127" s="27" t="s">
        <v>276</v>
      </c>
      <c r="G127" s="17"/>
    </row>
    <row r="128" spans="1:7">
      <c r="A128" s="4" t="s">
        <v>189</v>
      </c>
      <c r="B128" s="33">
        <v>1</v>
      </c>
      <c r="C128" s="33">
        <v>0</v>
      </c>
      <c r="D128" s="33">
        <v>0</v>
      </c>
      <c r="E128" s="33">
        <v>0</v>
      </c>
      <c r="F128" s="33">
        <v>0</v>
      </c>
      <c r="G128" s="17"/>
    </row>
    <row r="129" spans="1:7">
      <c r="A129" s="4" t="s">
        <v>277</v>
      </c>
      <c r="B129" s="33">
        <v>0</v>
      </c>
      <c r="C129" s="33">
        <v>0</v>
      </c>
      <c r="D129" s="33">
        <v>0</v>
      </c>
      <c r="E129" s="33">
        <v>1</v>
      </c>
      <c r="F129" s="33">
        <v>0</v>
      </c>
      <c r="G129" s="17"/>
    </row>
    <row r="130" spans="1:7">
      <c r="A130" s="27" t="s">
        <v>278</v>
      </c>
      <c r="G130" s="17"/>
    </row>
    <row r="131" spans="1:7">
      <c r="A131" s="4" t="s">
        <v>206</v>
      </c>
      <c r="B131" s="33">
        <v>1</v>
      </c>
      <c r="C131" s="33">
        <v>0</v>
      </c>
      <c r="D131" s="33">
        <v>0</v>
      </c>
      <c r="E131" s="33">
        <v>0</v>
      </c>
      <c r="F131" s="33">
        <v>0</v>
      </c>
      <c r="G131" s="17"/>
    </row>
    <row r="132" spans="1:7">
      <c r="A132" s="4" t="s">
        <v>279</v>
      </c>
      <c r="B132" s="33">
        <v>0</v>
      </c>
      <c r="C132" s="33">
        <v>0</v>
      </c>
      <c r="D132" s="33">
        <v>0</v>
      </c>
      <c r="E132" s="33">
        <v>0</v>
      </c>
      <c r="F132" s="33">
        <v>1</v>
      </c>
      <c r="G132" s="17"/>
    </row>
    <row r="133" spans="1:7">
      <c r="A133" s="27" t="s">
        <v>280</v>
      </c>
      <c r="G133" s="17"/>
    </row>
    <row r="134" spans="1:7">
      <c r="A134" s="4" t="s">
        <v>228</v>
      </c>
      <c r="B134" s="33">
        <v>1</v>
      </c>
      <c r="C134" s="33">
        <v>0</v>
      </c>
      <c r="D134" s="33">
        <v>0</v>
      </c>
      <c r="E134" s="33">
        <v>0</v>
      </c>
      <c r="F134" s="33">
        <v>0</v>
      </c>
      <c r="G134" s="17"/>
    </row>
    <row r="135" spans="1:7">
      <c r="A135" s="4" t="s">
        <v>281</v>
      </c>
      <c r="B135" s="33">
        <v>0</v>
      </c>
      <c r="C135" s="33">
        <v>1</v>
      </c>
      <c r="D135" s="33">
        <v>0</v>
      </c>
      <c r="E135" s="33">
        <v>0</v>
      </c>
      <c r="F135" s="33">
        <v>0</v>
      </c>
      <c r="G135" s="17"/>
    </row>
    <row r="136" spans="1:7">
      <c r="A136" s="4" t="s">
        <v>282</v>
      </c>
      <c r="B136" s="33">
        <v>0</v>
      </c>
      <c r="C136" s="33">
        <v>0</v>
      </c>
      <c r="D136" s="33">
        <v>1</v>
      </c>
      <c r="E136" s="33">
        <v>0</v>
      </c>
      <c r="F136" s="33">
        <v>0</v>
      </c>
      <c r="G136" s="17"/>
    </row>
    <row r="137" spans="1:7">
      <c r="A137" s="27" t="s">
        <v>283</v>
      </c>
      <c r="G137" s="17"/>
    </row>
    <row r="138" spans="1:7">
      <c r="A138" s="4" t="s">
        <v>229</v>
      </c>
      <c r="B138" s="33">
        <v>1</v>
      </c>
      <c r="C138" s="33">
        <v>0</v>
      </c>
      <c r="D138" s="33">
        <v>0</v>
      </c>
      <c r="E138" s="33">
        <v>0</v>
      </c>
      <c r="F138" s="33">
        <v>0</v>
      </c>
      <c r="G138" s="17"/>
    </row>
    <row r="139" spans="1:7">
      <c r="A139" s="4" t="s">
        <v>284</v>
      </c>
      <c r="B139" s="33">
        <v>0</v>
      </c>
      <c r="C139" s="33">
        <v>1</v>
      </c>
      <c r="D139" s="33">
        <v>0</v>
      </c>
      <c r="E139" s="33">
        <v>0</v>
      </c>
      <c r="F139" s="33">
        <v>0</v>
      </c>
      <c r="G139" s="17"/>
    </row>
    <row r="140" spans="1:7">
      <c r="A140" s="4" t="s">
        <v>285</v>
      </c>
      <c r="B140" s="33">
        <v>0</v>
      </c>
      <c r="C140" s="33">
        <v>0</v>
      </c>
      <c r="D140" s="33">
        <v>1</v>
      </c>
      <c r="E140" s="33">
        <v>0</v>
      </c>
      <c r="F140" s="33">
        <v>0</v>
      </c>
      <c r="G140" s="17"/>
    </row>
    <row r="141" spans="1:7">
      <c r="A141" s="27" t="s">
        <v>286</v>
      </c>
      <c r="G141" s="17"/>
    </row>
    <row r="142" spans="1:7">
      <c r="A142" s="4" t="s">
        <v>230</v>
      </c>
      <c r="B142" s="33">
        <v>1</v>
      </c>
      <c r="C142" s="33">
        <v>0</v>
      </c>
      <c r="D142" s="33">
        <v>0</v>
      </c>
      <c r="E142" s="33">
        <v>0</v>
      </c>
      <c r="F142" s="33">
        <v>0</v>
      </c>
      <c r="G142" s="17"/>
    </row>
    <row r="143" spans="1:7">
      <c r="A143" s="4" t="s">
        <v>287</v>
      </c>
      <c r="B143" s="33">
        <v>0</v>
      </c>
      <c r="C143" s="33">
        <v>1</v>
      </c>
      <c r="D143" s="33">
        <v>0</v>
      </c>
      <c r="E143" s="33">
        <v>0</v>
      </c>
      <c r="F143" s="33">
        <v>0</v>
      </c>
      <c r="G143" s="17"/>
    </row>
    <row r="144" spans="1:7">
      <c r="A144" s="4" t="s">
        <v>288</v>
      </c>
      <c r="B144" s="33">
        <v>0</v>
      </c>
      <c r="C144" s="33">
        <v>0</v>
      </c>
      <c r="D144" s="33">
        <v>1</v>
      </c>
      <c r="E144" s="33">
        <v>0</v>
      </c>
      <c r="F144" s="33">
        <v>0</v>
      </c>
      <c r="G144" s="17"/>
    </row>
    <row r="145" spans="1:7">
      <c r="A145" s="27" t="s">
        <v>289</v>
      </c>
      <c r="G145" s="17"/>
    </row>
    <row r="146" spans="1:7">
      <c r="A146" s="4" t="s">
        <v>231</v>
      </c>
      <c r="B146" s="33">
        <v>1</v>
      </c>
      <c r="C146" s="33">
        <v>0</v>
      </c>
      <c r="D146" s="33">
        <v>0</v>
      </c>
      <c r="E146" s="33">
        <v>0</v>
      </c>
      <c r="F146" s="33">
        <v>0</v>
      </c>
      <c r="G146" s="17"/>
    </row>
    <row r="147" spans="1:7">
      <c r="A147" s="4" t="s">
        <v>290</v>
      </c>
      <c r="B147" s="33">
        <v>0</v>
      </c>
      <c r="C147" s="33">
        <v>1</v>
      </c>
      <c r="D147" s="33">
        <v>0</v>
      </c>
      <c r="E147" s="33">
        <v>0</v>
      </c>
      <c r="F147" s="33">
        <v>0</v>
      </c>
      <c r="G147" s="17"/>
    </row>
    <row r="148" spans="1:7">
      <c r="A148" s="4" t="s">
        <v>291</v>
      </c>
      <c r="B148" s="33">
        <v>0</v>
      </c>
      <c r="C148" s="33">
        <v>0</v>
      </c>
      <c r="D148" s="33">
        <v>1</v>
      </c>
      <c r="E148" s="33">
        <v>0</v>
      </c>
      <c r="F148" s="33">
        <v>0</v>
      </c>
      <c r="G148" s="17"/>
    </row>
    <row r="149" spans="1:7">
      <c r="A149" s="27" t="s">
        <v>292</v>
      </c>
      <c r="G149" s="17"/>
    </row>
    <row r="150" spans="1:7">
      <c r="A150" s="4" t="s">
        <v>232</v>
      </c>
      <c r="B150" s="33">
        <v>1</v>
      </c>
      <c r="C150" s="33">
        <v>0</v>
      </c>
      <c r="D150" s="33">
        <v>0</v>
      </c>
      <c r="E150" s="33">
        <v>0</v>
      </c>
      <c r="F150" s="33">
        <v>0</v>
      </c>
      <c r="G150" s="17"/>
    </row>
    <row r="151" spans="1:7">
      <c r="A151" s="4" t="s">
        <v>293</v>
      </c>
      <c r="B151" s="33">
        <v>0</v>
      </c>
      <c r="C151" s="33">
        <v>1</v>
      </c>
      <c r="D151" s="33">
        <v>0</v>
      </c>
      <c r="E151" s="33">
        <v>0</v>
      </c>
      <c r="F151" s="33">
        <v>0</v>
      </c>
      <c r="G151" s="17"/>
    </row>
    <row r="152" spans="1:7">
      <c r="A152" s="4" t="s">
        <v>294</v>
      </c>
      <c r="B152" s="33">
        <v>0</v>
      </c>
      <c r="C152" s="33">
        <v>0</v>
      </c>
      <c r="D152" s="33">
        <v>1</v>
      </c>
      <c r="E152" s="33">
        <v>0</v>
      </c>
      <c r="F152" s="33">
        <v>0</v>
      </c>
      <c r="G152" s="17"/>
    </row>
    <row r="153" spans="1:7">
      <c r="A153" s="27" t="s">
        <v>295</v>
      </c>
      <c r="G153" s="17"/>
    </row>
    <row r="154" spans="1:7">
      <c r="A154" s="4" t="s">
        <v>190</v>
      </c>
      <c r="B154" s="33">
        <v>1</v>
      </c>
      <c r="C154" s="33">
        <v>0</v>
      </c>
      <c r="D154" s="33">
        <v>0</v>
      </c>
      <c r="E154" s="33">
        <v>0</v>
      </c>
      <c r="F154" s="33">
        <v>0</v>
      </c>
      <c r="G154" s="17"/>
    </row>
    <row r="155" spans="1:7">
      <c r="A155" s="4" t="s">
        <v>296</v>
      </c>
      <c r="B155" s="33">
        <v>1</v>
      </c>
      <c r="C155" s="33">
        <v>0</v>
      </c>
      <c r="D155" s="33">
        <v>0</v>
      </c>
      <c r="E155" s="33">
        <v>0</v>
      </c>
      <c r="F155" s="33">
        <v>0</v>
      </c>
      <c r="G155" s="17"/>
    </row>
    <row r="156" spans="1:7">
      <c r="A156" s="4" t="s">
        <v>297</v>
      </c>
      <c r="B156" s="33">
        <v>1</v>
      </c>
      <c r="C156" s="33">
        <v>0</v>
      </c>
      <c r="D156" s="33">
        <v>0</v>
      </c>
      <c r="E156" s="33">
        <v>0</v>
      </c>
      <c r="F156" s="33">
        <v>0</v>
      </c>
      <c r="G156" s="17"/>
    </row>
    <row r="157" spans="1:7">
      <c r="A157" s="27" t="s">
        <v>298</v>
      </c>
      <c r="G157" s="17"/>
    </row>
    <row r="158" spans="1:7">
      <c r="A158" s="4" t="s">
        <v>191</v>
      </c>
      <c r="B158" s="33">
        <v>1</v>
      </c>
      <c r="C158" s="33">
        <v>0</v>
      </c>
      <c r="D158" s="33">
        <v>0</v>
      </c>
      <c r="E158" s="33">
        <v>0</v>
      </c>
      <c r="F158" s="33">
        <v>0</v>
      </c>
      <c r="G158" s="17"/>
    </row>
    <row r="159" spans="1:7">
      <c r="A159" s="4" t="s">
        <v>299</v>
      </c>
      <c r="B159" s="33">
        <v>1</v>
      </c>
      <c r="C159" s="33">
        <v>0</v>
      </c>
      <c r="D159" s="33">
        <v>0</v>
      </c>
      <c r="E159" s="33">
        <v>0</v>
      </c>
      <c r="F159" s="33">
        <v>0</v>
      </c>
      <c r="G159" s="17"/>
    </row>
    <row r="160" spans="1:7">
      <c r="A160" s="27" t="s">
        <v>300</v>
      </c>
      <c r="G160" s="17"/>
    </row>
    <row r="161" spans="1:7">
      <c r="A161" s="4" t="s">
        <v>192</v>
      </c>
      <c r="B161" s="33">
        <v>1</v>
      </c>
      <c r="C161" s="33">
        <v>0</v>
      </c>
      <c r="D161" s="33">
        <v>0</v>
      </c>
      <c r="E161" s="33">
        <v>0</v>
      </c>
      <c r="F161" s="33">
        <v>0</v>
      </c>
      <c r="G161" s="17"/>
    </row>
    <row r="162" spans="1:7">
      <c r="A162" s="4" t="s">
        <v>301</v>
      </c>
      <c r="B162" s="33">
        <v>1</v>
      </c>
      <c r="C162" s="33">
        <v>0</v>
      </c>
      <c r="D162" s="33">
        <v>0</v>
      </c>
      <c r="E162" s="33">
        <v>0</v>
      </c>
      <c r="F162" s="33">
        <v>0</v>
      </c>
      <c r="G162" s="17"/>
    </row>
    <row r="163" spans="1:7">
      <c r="A163" s="4" t="s">
        <v>302</v>
      </c>
      <c r="B163" s="33">
        <v>1</v>
      </c>
      <c r="C163" s="33">
        <v>0</v>
      </c>
      <c r="D163" s="33">
        <v>0</v>
      </c>
      <c r="E163" s="33">
        <v>0</v>
      </c>
      <c r="F163" s="33">
        <v>0</v>
      </c>
      <c r="G163" s="17"/>
    </row>
    <row r="164" spans="1:7">
      <c r="A164" s="27" t="s">
        <v>303</v>
      </c>
      <c r="G164" s="17"/>
    </row>
    <row r="165" spans="1:7">
      <c r="A165" s="4" t="s">
        <v>193</v>
      </c>
      <c r="B165" s="33">
        <v>1</v>
      </c>
      <c r="C165" s="33">
        <v>0</v>
      </c>
      <c r="D165" s="33">
        <v>0</v>
      </c>
      <c r="E165" s="33">
        <v>0</v>
      </c>
      <c r="F165" s="33">
        <v>0</v>
      </c>
      <c r="G165" s="17"/>
    </row>
    <row r="166" spans="1:7">
      <c r="A166" s="27" t="s">
        <v>304</v>
      </c>
      <c r="G166" s="17"/>
    </row>
    <row r="167" spans="1:7">
      <c r="A167" s="4" t="s">
        <v>194</v>
      </c>
      <c r="B167" s="33">
        <v>1</v>
      </c>
      <c r="C167" s="33">
        <v>0</v>
      </c>
      <c r="D167" s="33">
        <v>0</v>
      </c>
      <c r="E167" s="33">
        <v>0</v>
      </c>
      <c r="F167" s="33">
        <v>0</v>
      </c>
      <c r="G167" s="17"/>
    </row>
    <row r="168" spans="1:7">
      <c r="A168" s="4" t="s">
        <v>305</v>
      </c>
      <c r="B168" s="33">
        <v>1</v>
      </c>
      <c r="C168" s="33">
        <v>0</v>
      </c>
      <c r="D168" s="33">
        <v>0</v>
      </c>
      <c r="E168" s="33">
        <v>0</v>
      </c>
      <c r="F168" s="33">
        <v>0</v>
      </c>
      <c r="G168" s="17"/>
    </row>
    <row r="169" spans="1:7">
      <c r="A169" s="4" t="s">
        <v>306</v>
      </c>
      <c r="B169" s="33">
        <v>1</v>
      </c>
      <c r="C169" s="33">
        <v>0</v>
      </c>
      <c r="D169" s="33">
        <v>0</v>
      </c>
      <c r="E169" s="33">
        <v>0</v>
      </c>
      <c r="F169" s="33">
        <v>0</v>
      </c>
      <c r="G169" s="17"/>
    </row>
    <row r="170" spans="1:7">
      <c r="A170" s="27" t="s">
        <v>307</v>
      </c>
      <c r="G170" s="17"/>
    </row>
    <row r="171" spans="1:7">
      <c r="A171" s="4" t="s">
        <v>195</v>
      </c>
      <c r="B171" s="33">
        <v>1</v>
      </c>
      <c r="C171" s="33">
        <v>0</v>
      </c>
      <c r="D171" s="33">
        <v>0</v>
      </c>
      <c r="E171" s="33">
        <v>0</v>
      </c>
      <c r="F171" s="33">
        <v>0</v>
      </c>
      <c r="G171" s="17"/>
    </row>
    <row r="172" spans="1:7">
      <c r="A172" s="27" t="s">
        <v>308</v>
      </c>
      <c r="G172" s="17"/>
    </row>
    <row r="173" spans="1:7">
      <c r="A173" s="4" t="s">
        <v>196</v>
      </c>
      <c r="B173" s="33">
        <v>1</v>
      </c>
      <c r="C173" s="33">
        <v>0</v>
      </c>
      <c r="D173" s="33">
        <v>0</v>
      </c>
      <c r="E173" s="33">
        <v>0</v>
      </c>
      <c r="F173" s="33">
        <v>0</v>
      </c>
      <c r="G173" s="17"/>
    </row>
    <row r="174" spans="1:7">
      <c r="A174" s="4" t="s">
        <v>309</v>
      </c>
      <c r="B174" s="33">
        <v>1</v>
      </c>
      <c r="C174" s="33">
        <v>0</v>
      </c>
      <c r="D174" s="33">
        <v>0</v>
      </c>
      <c r="E174" s="33">
        <v>0</v>
      </c>
      <c r="F174" s="33">
        <v>0</v>
      </c>
      <c r="G174" s="17"/>
    </row>
    <row r="175" spans="1:7">
      <c r="A175" s="27" t="s">
        <v>310</v>
      </c>
      <c r="G175" s="17"/>
    </row>
    <row r="176" spans="1:7">
      <c r="A176" s="4" t="s">
        <v>197</v>
      </c>
      <c r="B176" s="33">
        <v>1</v>
      </c>
      <c r="C176" s="33">
        <v>0</v>
      </c>
      <c r="D176" s="33">
        <v>0</v>
      </c>
      <c r="E176" s="33">
        <v>0</v>
      </c>
      <c r="F176" s="33">
        <v>0</v>
      </c>
      <c r="G176" s="17"/>
    </row>
    <row r="177" spans="1:7">
      <c r="A177" s="27" t="s">
        <v>311</v>
      </c>
      <c r="G177" s="17"/>
    </row>
    <row r="178" spans="1:7">
      <c r="A178" s="4" t="s">
        <v>198</v>
      </c>
      <c r="B178" s="33">
        <v>1</v>
      </c>
      <c r="C178" s="33">
        <v>0</v>
      </c>
      <c r="D178" s="33">
        <v>0</v>
      </c>
      <c r="E178" s="33">
        <v>0</v>
      </c>
      <c r="F178" s="33">
        <v>0</v>
      </c>
      <c r="G178" s="17"/>
    </row>
    <row r="179" spans="1:7">
      <c r="A179" s="4" t="s">
        <v>312</v>
      </c>
      <c r="B179" s="33">
        <v>1</v>
      </c>
      <c r="C179" s="33">
        <v>0</v>
      </c>
      <c r="D179" s="33">
        <v>0</v>
      </c>
      <c r="E179" s="33">
        <v>0</v>
      </c>
      <c r="F179" s="33">
        <v>0</v>
      </c>
      <c r="G179" s="17"/>
    </row>
    <row r="180" spans="1:7">
      <c r="A180" s="27" t="s">
        <v>313</v>
      </c>
      <c r="G180" s="17"/>
    </row>
    <row r="181" spans="1:7">
      <c r="A181" s="4" t="s">
        <v>199</v>
      </c>
      <c r="B181" s="33">
        <v>1</v>
      </c>
      <c r="C181" s="33">
        <v>0</v>
      </c>
      <c r="D181" s="33">
        <v>0</v>
      </c>
      <c r="E181" s="33">
        <v>0</v>
      </c>
      <c r="F181" s="33">
        <v>0</v>
      </c>
      <c r="G181" s="17"/>
    </row>
    <row r="182" spans="1:7">
      <c r="A182" s="27" t="s">
        <v>314</v>
      </c>
      <c r="G182" s="17"/>
    </row>
    <row r="183" spans="1:7">
      <c r="A183" s="4" t="s">
        <v>207</v>
      </c>
      <c r="B183" s="33">
        <v>1</v>
      </c>
      <c r="C183" s="33">
        <v>0</v>
      </c>
      <c r="D183" s="33">
        <v>0</v>
      </c>
      <c r="E183" s="33">
        <v>0</v>
      </c>
      <c r="F183" s="33">
        <v>0</v>
      </c>
      <c r="G183" s="17"/>
    </row>
    <row r="184" spans="1:7">
      <c r="A184" s="4" t="s">
        <v>315</v>
      </c>
      <c r="B184" s="33">
        <v>1</v>
      </c>
      <c r="C184" s="33">
        <v>0</v>
      </c>
      <c r="D184" s="33">
        <v>0</v>
      </c>
      <c r="E184" s="33">
        <v>0</v>
      </c>
      <c r="F184" s="33">
        <v>0</v>
      </c>
      <c r="G184" s="17"/>
    </row>
    <row r="185" spans="1:7">
      <c r="A185" s="27" t="s">
        <v>316</v>
      </c>
      <c r="G185" s="17"/>
    </row>
    <row r="186" spans="1:7">
      <c r="A186" s="4" t="s">
        <v>208</v>
      </c>
      <c r="B186" s="33">
        <v>1</v>
      </c>
      <c r="C186" s="33">
        <v>0</v>
      </c>
      <c r="D186" s="33">
        <v>0</v>
      </c>
      <c r="E186" s="33">
        <v>0</v>
      </c>
      <c r="F186" s="33">
        <v>0</v>
      </c>
      <c r="G186" s="17"/>
    </row>
    <row r="187" spans="1:7">
      <c r="A187" s="27" t="s">
        <v>317</v>
      </c>
      <c r="G187" s="17"/>
    </row>
    <row r="188" spans="1:7">
      <c r="A188" s="4" t="s">
        <v>209</v>
      </c>
      <c r="B188" s="33">
        <v>1</v>
      </c>
      <c r="C188" s="33">
        <v>0</v>
      </c>
      <c r="D188" s="33">
        <v>0</v>
      </c>
      <c r="E188" s="33">
        <v>0</v>
      </c>
      <c r="F188" s="33">
        <v>0</v>
      </c>
      <c r="G188" s="17"/>
    </row>
    <row r="189" spans="1:7">
      <c r="A189" s="4" t="s">
        <v>318</v>
      </c>
      <c r="B189" s="33">
        <v>1</v>
      </c>
      <c r="C189" s="33">
        <v>0</v>
      </c>
      <c r="D189" s="33">
        <v>0</v>
      </c>
      <c r="E189" s="33">
        <v>0</v>
      </c>
      <c r="F189" s="33">
        <v>0</v>
      </c>
      <c r="G189" s="17"/>
    </row>
    <row r="190" spans="1:7">
      <c r="A190" s="27" t="s">
        <v>319</v>
      </c>
      <c r="G190" s="17"/>
    </row>
    <row r="191" spans="1:7">
      <c r="A191" s="4" t="s">
        <v>210</v>
      </c>
      <c r="B191" s="33">
        <v>1</v>
      </c>
      <c r="C191" s="33">
        <v>0</v>
      </c>
      <c r="D191" s="33">
        <v>0</v>
      </c>
      <c r="E191" s="33">
        <v>0</v>
      </c>
      <c r="F191" s="33">
        <v>0</v>
      </c>
      <c r="G191" s="17"/>
    </row>
    <row r="193" spans="1:10" ht="21" customHeight="1">
      <c r="A193" s="1" t="s">
        <v>534</v>
      </c>
    </row>
    <row r="194" spans="1:10">
      <c r="A194" s="2" t="s">
        <v>379</v>
      </c>
    </row>
    <row r="195" spans="1:10">
      <c r="A195" s="29" t="s">
        <v>535</v>
      </c>
    </row>
    <row r="196" spans="1:10">
      <c r="A196" s="29" t="s">
        <v>536</v>
      </c>
    </row>
    <row r="197" spans="1:10">
      <c r="A197" s="2" t="s">
        <v>537</v>
      </c>
    </row>
    <row r="198" spans="1:10">
      <c r="A198" s="29" t="s">
        <v>538</v>
      </c>
    </row>
    <row r="199" spans="1:10">
      <c r="A199" s="29" t="s">
        <v>539</v>
      </c>
    </row>
    <row r="200" spans="1:10">
      <c r="A200" s="29" t="s">
        <v>540</v>
      </c>
    </row>
    <row r="201" spans="1:10">
      <c r="A201" s="29" t="s">
        <v>541</v>
      </c>
    </row>
    <row r="202" spans="1:10">
      <c r="A202" s="29" t="s">
        <v>542</v>
      </c>
    </row>
    <row r="203" spans="1:10">
      <c r="A203" s="29" t="s">
        <v>543</v>
      </c>
    </row>
    <row r="204" spans="1:10">
      <c r="A204" s="29" t="s">
        <v>544</v>
      </c>
    </row>
    <row r="205" spans="1:10">
      <c r="A205" s="29" t="s">
        <v>545</v>
      </c>
    </row>
    <row r="206" spans="1:10">
      <c r="A206" s="29" t="s">
        <v>546</v>
      </c>
    </row>
    <row r="207" spans="1:10" ht="30">
      <c r="A207" s="30" t="s">
        <v>382</v>
      </c>
      <c r="B207" s="30" t="s">
        <v>384</v>
      </c>
      <c r="C207" s="30" t="s">
        <v>547</v>
      </c>
      <c r="D207" s="30" t="s">
        <v>512</v>
      </c>
      <c r="E207" s="30" t="s">
        <v>512</v>
      </c>
      <c r="F207" s="30" t="s">
        <v>512</v>
      </c>
      <c r="G207" s="30" t="s">
        <v>512</v>
      </c>
      <c r="H207" s="30" t="s">
        <v>512</v>
      </c>
      <c r="I207" s="30" t="s">
        <v>512</v>
      </c>
      <c r="J207" s="30" t="s">
        <v>512</v>
      </c>
    </row>
    <row r="208" spans="1:10" ht="30">
      <c r="A208" s="30" t="s">
        <v>385</v>
      </c>
      <c r="B208" s="30" t="s">
        <v>387</v>
      </c>
      <c r="C208" s="30" t="s">
        <v>548</v>
      </c>
      <c r="D208" s="30" t="s">
        <v>549</v>
      </c>
      <c r="E208" s="30" t="s">
        <v>550</v>
      </c>
      <c r="F208" s="30" t="s">
        <v>551</v>
      </c>
      <c r="G208" s="30" t="s">
        <v>552</v>
      </c>
      <c r="H208" s="30" t="s">
        <v>553</v>
      </c>
      <c r="I208" s="30" t="s">
        <v>554</v>
      </c>
      <c r="J208" s="30" t="s">
        <v>555</v>
      </c>
    </row>
    <row r="210" spans="1:11" ht="45">
      <c r="B210" s="15" t="s">
        <v>556</v>
      </c>
      <c r="C210" s="15" t="s">
        <v>557</v>
      </c>
      <c r="D210" s="15" t="s">
        <v>237</v>
      </c>
      <c r="E210" s="15" t="s">
        <v>238</v>
      </c>
      <c r="F210" s="15" t="s">
        <v>239</v>
      </c>
      <c r="G210" s="15" t="s">
        <v>240</v>
      </c>
      <c r="H210" s="15" t="s">
        <v>241</v>
      </c>
      <c r="I210" s="15" t="s">
        <v>242</v>
      </c>
      <c r="J210" s="15" t="s">
        <v>243</v>
      </c>
    </row>
    <row r="211" spans="1:11">
      <c r="A211" s="27" t="s">
        <v>244</v>
      </c>
      <c r="K211" s="17"/>
    </row>
    <row r="212" spans="1:11">
      <c r="A212" s="4" t="s">
        <v>180</v>
      </c>
      <c r="B212" s="36">
        <f>SUMPRODUCT($B84:$F84,Input!$B$162:$F$162)</f>
        <v>0</v>
      </c>
      <c r="C212" s="38">
        <f>B212</f>
        <v>0</v>
      </c>
      <c r="D212" s="34">
        <f>Input!B195*(1-B212)</f>
        <v>6432881.8466872061</v>
      </c>
      <c r="E212" s="34">
        <f>Input!C195*(1-B212)</f>
        <v>0</v>
      </c>
      <c r="F212" s="34">
        <f>Input!D195*(1-B212)</f>
        <v>0</v>
      </c>
      <c r="G212" s="34">
        <f>Input!E195*(1-C212)</f>
        <v>2027175.5163934426</v>
      </c>
      <c r="H212" s="34">
        <f>Input!F195*(1-B212)</f>
        <v>0</v>
      </c>
      <c r="I212" s="34">
        <f>Input!G195*(1-B212)</f>
        <v>0</v>
      </c>
      <c r="J212" s="34">
        <f>Input!H195*(1-B212)</f>
        <v>0</v>
      </c>
      <c r="K212" s="17"/>
    </row>
    <row r="213" spans="1:11">
      <c r="A213" s="4" t="s">
        <v>245</v>
      </c>
      <c r="B213" s="36">
        <f>SUMPRODUCT($B85:$F85,Input!$B$162:$F$162)</f>
        <v>0.35735787095017979</v>
      </c>
      <c r="C213" s="38">
        <f>B213</f>
        <v>0.35735787095017979</v>
      </c>
      <c r="D213" s="34">
        <f>Input!B196*(1-B213)</f>
        <v>73136.531010735795</v>
      </c>
      <c r="E213" s="34">
        <f>Input!C196*(1-B213)</f>
        <v>0</v>
      </c>
      <c r="F213" s="34">
        <f>Input!D196*(1-B213)</f>
        <v>0</v>
      </c>
      <c r="G213" s="34">
        <f>Input!E196*(1-C213)</f>
        <v>25077.834337028005</v>
      </c>
      <c r="H213" s="34">
        <f>Input!F196*(1-B213)</f>
        <v>0</v>
      </c>
      <c r="I213" s="34">
        <f>Input!G196*(1-B213)</f>
        <v>0</v>
      </c>
      <c r="J213" s="34">
        <f>Input!H196*(1-B213)</f>
        <v>0</v>
      </c>
      <c r="K213" s="17"/>
    </row>
    <row r="214" spans="1:11">
      <c r="A214" s="4" t="s">
        <v>246</v>
      </c>
      <c r="B214" s="36">
        <f>SUMPRODUCT($B86:$F86,Input!$B$162:$F$162)</f>
        <v>0.57341162484196806</v>
      </c>
      <c r="C214" s="38">
        <f>B214</f>
        <v>0.57341162484196806</v>
      </c>
      <c r="D214" s="34">
        <f>Input!B197*(1-B214)</f>
        <v>39346.5858540111</v>
      </c>
      <c r="E214" s="34">
        <f>Input!C197*(1-B214)</f>
        <v>0</v>
      </c>
      <c r="F214" s="34">
        <f>Input!D197*(1-B214)</f>
        <v>0</v>
      </c>
      <c r="G214" s="34">
        <f>Input!E197*(1-C214)</f>
        <v>12880.346460253151</v>
      </c>
      <c r="H214" s="34">
        <f>Input!F197*(1-B214)</f>
        <v>0</v>
      </c>
      <c r="I214" s="34">
        <f>Input!G197*(1-B214)</f>
        <v>0</v>
      </c>
      <c r="J214" s="34">
        <f>Input!H197*(1-B214)</f>
        <v>0</v>
      </c>
      <c r="K214" s="17"/>
    </row>
    <row r="215" spans="1:11">
      <c r="A215" s="27" t="s">
        <v>247</v>
      </c>
      <c r="K215" s="17"/>
    </row>
    <row r="216" spans="1:11">
      <c r="A216" s="4" t="s">
        <v>181</v>
      </c>
      <c r="B216" s="36">
        <f>SUMPRODUCT($B88:$F88,Input!$B$162:$F$162)</f>
        <v>0</v>
      </c>
      <c r="C216" s="38">
        <f>B216</f>
        <v>0</v>
      </c>
      <c r="D216" s="34">
        <f>Input!B199*(1-B216)</f>
        <v>468570.07787356892</v>
      </c>
      <c r="E216" s="34">
        <f>Input!C199*(1-B216)</f>
        <v>465777.12782049074</v>
      </c>
      <c r="F216" s="34">
        <f>Input!D199*(1-B216)</f>
        <v>0</v>
      </c>
      <c r="G216" s="34">
        <f>Input!E199*(1-C216)</f>
        <v>178282</v>
      </c>
      <c r="H216" s="34">
        <f>Input!F199*(1-B216)</f>
        <v>0</v>
      </c>
      <c r="I216" s="34">
        <f>Input!G199*(1-B216)</f>
        <v>0</v>
      </c>
      <c r="J216" s="34">
        <f>Input!H199*(1-B216)</f>
        <v>0</v>
      </c>
      <c r="K216" s="17"/>
    </row>
    <row r="217" spans="1:11">
      <c r="A217" s="4" t="s">
        <v>248</v>
      </c>
      <c r="B217" s="36">
        <f>SUMPRODUCT($B89:$F89,Input!$B$162:$F$162)</f>
        <v>0.35735787095017979</v>
      </c>
      <c r="C217" s="38">
        <f>B217</f>
        <v>0.35735787095017979</v>
      </c>
      <c r="D217" s="34">
        <f>Input!B200*(1-B217)</f>
        <v>811.36953230475888</v>
      </c>
      <c r="E217" s="34">
        <f>Input!C200*(1-B217)</f>
        <v>299.84626067932538</v>
      </c>
      <c r="F217" s="34">
        <f>Input!D200*(1-B217)</f>
        <v>0</v>
      </c>
      <c r="G217" s="34">
        <f>Input!E200*(1-C217)</f>
        <v>283.07859028801096</v>
      </c>
      <c r="H217" s="34">
        <f>Input!F200*(1-B217)</f>
        <v>0</v>
      </c>
      <c r="I217" s="34">
        <f>Input!G200*(1-B217)</f>
        <v>0</v>
      </c>
      <c r="J217" s="34">
        <f>Input!H200*(1-B217)</f>
        <v>0</v>
      </c>
      <c r="K217" s="17"/>
    </row>
    <row r="218" spans="1:11">
      <c r="A218" s="4" t="s">
        <v>249</v>
      </c>
      <c r="B218" s="36">
        <f>SUMPRODUCT($B90:$F90,Input!$B$162:$F$162)</f>
        <v>0.57341162484196806</v>
      </c>
      <c r="C218" s="38">
        <f>B218</f>
        <v>0.57341162484196806</v>
      </c>
      <c r="D218" s="34">
        <f>Input!B201*(1-B218)</f>
        <v>2185.6221073320648</v>
      </c>
      <c r="E218" s="34">
        <f>Input!C201*(1-B218)</f>
        <v>1216.6131089128219</v>
      </c>
      <c r="F218" s="34">
        <f>Input!D201*(1-B218)</f>
        <v>0</v>
      </c>
      <c r="G218" s="34">
        <f>Input!E201*(1-C218)</f>
        <v>665.14685131607939</v>
      </c>
      <c r="H218" s="34">
        <f>Input!F201*(1-B218)</f>
        <v>0</v>
      </c>
      <c r="I218" s="34">
        <f>Input!G201*(1-B218)</f>
        <v>0</v>
      </c>
      <c r="J218" s="34">
        <f>Input!H201*(1-B218)</f>
        <v>0</v>
      </c>
      <c r="K218" s="17"/>
    </row>
    <row r="219" spans="1:11">
      <c r="A219" s="27" t="s">
        <v>250</v>
      </c>
      <c r="K219" s="17"/>
    </row>
    <row r="220" spans="1:11">
      <c r="A220" s="4" t="s">
        <v>226</v>
      </c>
      <c r="B220" s="36">
        <f>SUMPRODUCT($B92:$F92,Input!$B$162:$F$162)</f>
        <v>0</v>
      </c>
      <c r="C220" s="38">
        <f>B220</f>
        <v>0</v>
      </c>
      <c r="D220" s="34">
        <f>Input!B203*(1-B220)</f>
        <v>14279.502094378502</v>
      </c>
      <c r="E220" s="34">
        <f>Input!C203*(1-B220)</f>
        <v>0</v>
      </c>
      <c r="F220" s="34">
        <f>Input!D203*(1-B220)</f>
        <v>0</v>
      </c>
      <c r="G220" s="34">
        <f>Input!E203*(1-C220)</f>
        <v>4270</v>
      </c>
      <c r="H220" s="34">
        <f>Input!F203*(1-B220)</f>
        <v>0</v>
      </c>
      <c r="I220" s="34">
        <f>Input!G203*(1-B220)</f>
        <v>0</v>
      </c>
      <c r="J220" s="34">
        <f>Input!H203*(1-B220)</f>
        <v>0</v>
      </c>
      <c r="K220" s="17"/>
    </row>
    <row r="221" spans="1:11">
      <c r="A221" s="4" t="s">
        <v>251</v>
      </c>
      <c r="B221" s="36">
        <f>SUMPRODUCT($B93:$F93,Input!$B$162:$F$162)</f>
        <v>0.35735787095017979</v>
      </c>
      <c r="C221" s="38">
        <f>B221</f>
        <v>0.35735787095017979</v>
      </c>
      <c r="D221" s="34">
        <f>Input!B204*(1-B221)</f>
        <v>0</v>
      </c>
      <c r="E221" s="34">
        <f>Input!C204*(1-B221)</f>
        <v>0</v>
      </c>
      <c r="F221" s="34">
        <f>Input!D204*(1-B221)</f>
        <v>0</v>
      </c>
      <c r="G221" s="34">
        <f>Input!E204*(1-C221)</f>
        <v>0</v>
      </c>
      <c r="H221" s="34">
        <f>Input!F204*(1-B221)</f>
        <v>0</v>
      </c>
      <c r="I221" s="34">
        <f>Input!G204*(1-B221)</f>
        <v>0</v>
      </c>
      <c r="J221" s="34">
        <f>Input!H204*(1-B221)</f>
        <v>0</v>
      </c>
      <c r="K221" s="17"/>
    </row>
    <row r="222" spans="1:11">
      <c r="A222" s="4" t="s">
        <v>252</v>
      </c>
      <c r="B222" s="36">
        <f>SUMPRODUCT($B94:$F94,Input!$B$162:$F$162)</f>
        <v>0.57341162484196806</v>
      </c>
      <c r="C222" s="38">
        <f>B222</f>
        <v>0.57341162484196806</v>
      </c>
      <c r="D222" s="34">
        <f>Input!B205*(1-B222)</f>
        <v>0</v>
      </c>
      <c r="E222" s="34">
        <f>Input!C205*(1-B222)</f>
        <v>0</v>
      </c>
      <c r="F222" s="34">
        <f>Input!D205*(1-B222)</f>
        <v>0</v>
      </c>
      <c r="G222" s="34">
        <f>Input!E205*(1-C222)</f>
        <v>0</v>
      </c>
      <c r="H222" s="34">
        <f>Input!F205*(1-B222)</f>
        <v>0</v>
      </c>
      <c r="I222" s="34">
        <f>Input!G205*(1-B222)</f>
        <v>0</v>
      </c>
      <c r="J222" s="34">
        <f>Input!H205*(1-B222)</f>
        <v>0</v>
      </c>
      <c r="K222" s="17"/>
    </row>
    <row r="223" spans="1:11">
      <c r="A223" s="27" t="s">
        <v>253</v>
      </c>
      <c r="K223" s="17"/>
    </row>
    <row r="224" spans="1:11">
      <c r="A224" s="4" t="s">
        <v>182</v>
      </c>
      <c r="B224" s="36">
        <f>SUMPRODUCT($B96:$F96,Input!$B$162:$F$162)</f>
        <v>0</v>
      </c>
      <c r="C224" s="38">
        <f>B224</f>
        <v>0</v>
      </c>
      <c r="D224" s="34">
        <f>Input!B207*(1-B224)</f>
        <v>1494625.6412496041</v>
      </c>
      <c r="E224" s="34">
        <f>Input!C207*(1-B224)</f>
        <v>0</v>
      </c>
      <c r="F224" s="34">
        <f>Input!D207*(1-B224)</f>
        <v>0</v>
      </c>
      <c r="G224" s="34">
        <f>Input!E207*(1-C224)</f>
        <v>121609.01092896175</v>
      </c>
      <c r="H224" s="34">
        <f>Input!F207*(1-B224)</f>
        <v>0</v>
      </c>
      <c r="I224" s="34">
        <f>Input!G207*(1-B224)</f>
        <v>0</v>
      </c>
      <c r="J224" s="34">
        <f>Input!H207*(1-B224)</f>
        <v>0</v>
      </c>
      <c r="K224" s="17"/>
    </row>
    <row r="225" spans="1:11">
      <c r="A225" s="4" t="s">
        <v>254</v>
      </c>
      <c r="B225" s="36">
        <f>SUMPRODUCT($B97:$F97,Input!$B$162:$F$162)</f>
        <v>0.35735787095017979</v>
      </c>
      <c r="C225" s="38">
        <f>B225</f>
        <v>0.35735787095017979</v>
      </c>
      <c r="D225" s="34">
        <f>Input!B208*(1-B225)</f>
        <v>3284.8337847698754</v>
      </c>
      <c r="E225" s="34">
        <f>Input!C208*(1-B225)</f>
        <v>0</v>
      </c>
      <c r="F225" s="34">
        <f>Input!D208*(1-B225)</f>
        <v>0</v>
      </c>
      <c r="G225" s="34">
        <f>Input!E208*(1-C225)</f>
        <v>398.75066181135543</v>
      </c>
      <c r="H225" s="34">
        <f>Input!F208*(1-B225)</f>
        <v>0</v>
      </c>
      <c r="I225" s="34">
        <f>Input!G208*(1-B225)</f>
        <v>0</v>
      </c>
      <c r="J225" s="34">
        <f>Input!H208*(1-B225)</f>
        <v>0</v>
      </c>
      <c r="K225" s="17"/>
    </row>
    <row r="226" spans="1:11">
      <c r="A226" s="4" t="s">
        <v>255</v>
      </c>
      <c r="B226" s="36">
        <f>SUMPRODUCT($B98:$F98,Input!$B$162:$F$162)</f>
        <v>0.57341162484196806</v>
      </c>
      <c r="C226" s="38">
        <f>B226</f>
        <v>0.57341162484196806</v>
      </c>
      <c r="D226" s="34">
        <f>Input!B209*(1-B226)</f>
        <v>3592.7141230540369</v>
      </c>
      <c r="E226" s="34">
        <f>Input!C209*(1-B226)</f>
        <v>0</v>
      </c>
      <c r="F226" s="34">
        <f>Input!D209*(1-B226)</f>
        <v>0</v>
      </c>
      <c r="G226" s="34">
        <f>Input!E209*(1-C226)</f>
        <v>268.95814282709603</v>
      </c>
      <c r="H226" s="34">
        <f>Input!F209*(1-B226)</f>
        <v>0</v>
      </c>
      <c r="I226" s="34">
        <f>Input!G209*(1-B226)</f>
        <v>0</v>
      </c>
      <c r="J226" s="34">
        <f>Input!H209*(1-B226)</f>
        <v>0</v>
      </c>
      <c r="K226" s="17"/>
    </row>
    <row r="227" spans="1:11">
      <c r="A227" s="27" t="s">
        <v>256</v>
      </c>
      <c r="K227" s="17"/>
    </row>
    <row r="228" spans="1:11">
      <c r="A228" s="4" t="s">
        <v>183</v>
      </c>
      <c r="B228" s="36">
        <f>SUMPRODUCT($B100:$F100,Input!$B$162:$F$162)</f>
        <v>0</v>
      </c>
      <c r="C228" s="38">
        <f>B228</f>
        <v>0</v>
      </c>
      <c r="D228" s="34">
        <f>Input!B211*(1-B228)</f>
        <v>531718.61429864506</v>
      </c>
      <c r="E228" s="34">
        <f>Input!C211*(1-B228)</f>
        <v>195607.56390048694</v>
      </c>
      <c r="F228" s="34">
        <f>Input!D211*(1-B228)</f>
        <v>0</v>
      </c>
      <c r="G228" s="34">
        <f>Input!E211*(1-C228)</f>
        <v>34183.400956284153</v>
      </c>
      <c r="H228" s="34">
        <f>Input!F211*(1-B228)</f>
        <v>0</v>
      </c>
      <c r="I228" s="34">
        <f>Input!G211*(1-B228)</f>
        <v>0</v>
      </c>
      <c r="J228" s="34">
        <f>Input!H211*(1-B228)</f>
        <v>0</v>
      </c>
      <c r="K228" s="17"/>
    </row>
    <row r="229" spans="1:11">
      <c r="A229" s="4" t="s">
        <v>257</v>
      </c>
      <c r="B229" s="36">
        <f>SUMPRODUCT($B101:$F101,Input!$B$162:$F$162)</f>
        <v>0.35735787095017979</v>
      </c>
      <c r="C229" s="38">
        <f>B229</f>
        <v>0.35735787095017979</v>
      </c>
      <c r="D229" s="34">
        <f>Input!B212*(1-B229)</f>
        <v>7.8894420002893364</v>
      </c>
      <c r="E229" s="34">
        <f>Input!C212*(1-B229)</f>
        <v>5.6261711792989129</v>
      </c>
      <c r="F229" s="34">
        <f>Input!D212*(1-B229)</f>
        <v>0</v>
      </c>
      <c r="G229" s="34">
        <f>Input!E212*(1-C229)</f>
        <v>3.8558527742989215</v>
      </c>
      <c r="H229" s="34">
        <f>Input!F212*(1-B229)</f>
        <v>0</v>
      </c>
      <c r="I229" s="34">
        <f>Input!G212*(1-B229)</f>
        <v>0</v>
      </c>
      <c r="J229" s="34">
        <f>Input!H212*(1-B229)</f>
        <v>0</v>
      </c>
      <c r="K229" s="17"/>
    </row>
    <row r="230" spans="1:11">
      <c r="A230" s="4" t="s">
        <v>258</v>
      </c>
      <c r="B230" s="36">
        <f>SUMPRODUCT($B102:$F102,Input!$B$162:$F$162)</f>
        <v>0.57341162484196806</v>
      </c>
      <c r="C230" s="38">
        <f>B230</f>
        <v>0.57341162484196806</v>
      </c>
      <c r="D230" s="34">
        <f>Input!B213*(1-B230)</f>
        <v>220.85085277227745</v>
      </c>
      <c r="E230" s="34">
        <f>Input!C213*(1-B230)</f>
        <v>115.98532026786357</v>
      </c>
      <c r="F230" s="34">
        <f>Input!D213*(1-B230)</f>
        <v>0</v>
      </c>
      <c r="G230" s="34">
        <f>Input!E213*(1-C230)</f>
        <v>7.2520023776865425</v>
      </c>
      <c r="H230" s="34">
        <f>Input!F213*(1-B230)</f>
        <v>0</v>
      </c>
      <c r="I230" s="34">
        <f>Input!G213*(1-B230)</f>
        <v>0</v>
      </c>
      <c r="J230" s="34">
        <f>Input!H213*(1-B230)</f>
        <v>0</v>
      </c>
      <c r="K230" s="17"/>
    </row>
    <row r="231" spans="1:11">
      <c r="A231" s="27" t="s">
        <v>259</v>
      </c>
      <c r="K231" s="17"/>
    </row>
    <row r="232" spans="1:11">
      <c r="A232" s="4" t="s">
        <v>227</v>
      </c>
      <c r="B232" s="36">
        <f>SUMPRODUCT($B104:$F104,Input!$B$162:$F$162)</f>
        <v>0</v>
      </c>
      <c r="C232" s="38">
        <f>B232</f>
        <v>0</v>
      </c>
      <c r="D232" s="34">
        <f>Input!B215*(1-B232)</f>
        <v>20242.629112942406</v>
      </c>
      <c r="E232" s="34">
        <f>Input!C215*(1-B232)</f>
        <v>0</v>
      </c>
      <c r="F232" s="34">
        <f>Input!D215*(1-B232)</f>
        <v>0</v>
      </c>
      <c r="G232" s="34">
        <f>Input!E215*(1-C232)</f>
        <v>3655</v>
      </c>
      <c r="H232" s="34">
        <f>Input!F215*(1-B232)</f>
        <v>0</v>
      </c>
      <c r="I232" s="34">
        <f>Input!G215*(1-B232)</f>
        <v>0</v>
      </c>
      <c r="J232" s="34">
        <f>Input!H215*(1-B232)</f>
        <v>0</v>
      </c>
      <c r="K232" s="17"/>
    </row>
    <row r="233" spans="1:11" ht="30">
      <c r="A233" s="4" t="s">
        <v>260</v>
      </c>
      <c r="B233" s="36">
        <f>SUMPRODUCT($B105:$F105,Input!$B$162:$F$162)</f>
        <v>0.35735787095017979</v>
      </c>
      <c r="C233" s="38">
        <f>B233</f>
        <v>0.35735787095017979</v>
      </c>
      <c r="D233" s="34">
        <f>Input!B216*(1-B233)</f>
        <v>0</v>
      </c>
      <c r="E233" s="34">
        <f>Input!C216*(1-B233)</f>
        <v>0</v>
      </c>
      <c r="F233" s="34">
        <f>Input!D216*(1-B233)</f>
        <v>0</v>
      </c>
      <c r="G233" s="34">
        <f>Input!E216*(1-C233)</f>
        <v>0</v>
      </c>
      <c r="H233" s="34">
        <f>Input!F216*(1-B233)</f>
        <v>0</v>
      </c>
      <c r="I233" s="34">
        <f>Input!G216*(1-B233)</f>
        <v>0</v>
      </c>
      <c r="J233" s="34">
        <f>Input!H216*(1-B233)</f>
        <v>0</v>
      </c>
      <c r="K233" s="17"/>
    </row>
    <row r="234" spans="1:11" ht="30">
      <c r="A234" s="4" t="s">
        <v>261</v>
      </c>
      <c r="B234" s="36">
        <f>SUMPRODUCT($B106:$F106,Input!$B$162:$F$162)</f>
        <v>0.57341162484196806</v>
      </c>
      <c r="C234" s="38">
        <f>B234</f>
        <v>0.57341162484196806</v>
      </c>
      <c r="D234" s="34">
        <f>Input!B217*(1-B234)</f>
        <v>0</v>
      </c>
      <c r="E234" s="34">
        <f>Input!C217*(1-B234)</f>
        <v>0</v>
      </c>
      <c r="F234" s="34">
        <f>Input!D217*(1-B234)</f>
        <v>0</v>
      </c>
      <c r="G234" s="34">
        <f>Input!E217*(1-C234)</f>
        <v>0</v>
      </c>
      <c r="H234" s="34">
        <f>Input!F217*(1-B234)</f>
        <v>0</v>
      </c>
      <c r="I234" s="34">
        <f>Input!G217*(1-B234)</f>
        <v>0</v>
      </c>
      <c r="J234" s="34">
        <f>Input!H217*(1-B234)</f>
        <v>0</v>
      </c>
      <c r="K234" s="17"/>
    </row>
    <row r="235" spans="1:11">
      <c r="A235" s="27" t="s">
        <v>262</v>
      </c>
      <c r="K235" s="17"/>
    </row>
    <row r="236" spans="1:11">
      <c r="A236" s="4" t="s">
        <v>184</v>
      </c>
      <c r="B236" s="36">
        <f>SUMPRODUCT($B108:$F108,Input!$B$162:$F$162)</f>
        <v>0</v>
      </c>
      <c r="C236" s="38">
        <f>B236</f>
        <v>0</v>
      </c>
      <c r="D236" s="34">
        <f>Input!B219*(1-B236)</f>
        <v>0.9060389580579935</v>
      </c>
      <c r="E236" s="34">
        <f>Input!C219*(1-B236)</f>
        <v>9.2104888817825303E-2</v>
      </c>
      <c r="F236" s="34">
        <f>Input!D219*(1-B236)</f>
        <v>0</v>
      </c>
      <c r="G236" s="34">
        <f>Input!E219*(1-C236)</f>
        <v>1E-3</v>
      </c>
      <c r="H236" s="34">
        <f>Input!F219*(1-B236)</f>
        <v>0</v>
      </c>
      <c r="I236" s="34">
        <f>Input!G219*(1-B236)</f>
        <v>0</v>
      </c>
      <c r="J236" s="34">
        <f>Input!H219*(1-B236)</f>
        <v>0</v>
      </c>
      <c r="K236" s="17"/>
    </row>
    <row r="237" spans="1:11">
      <c r="A237" s="4" t="s">
        <v>263</v>
      </c>
      <c r="B237" s="36">
        <f>SUMPRODUCT($B109:$F109,Input!$B$162:$F$162)</f>
        <v>0.35735787095017979</v>
      </c>
      <c r="C237" s="38">
        <f>B237</f>
        <v>0.35735787095017979</v>
      </c>
      <c r="D237" s="34">
        <f>Input!B220*(1-B237)</f>
        <v>67.048104945819091</v>
      </c>
      <c r="E237" s="34">
        <f>Input!C220*(1-B237)</f>
        <v>13.324541903718973</v>
      </c>
      <c r="F237" s="34">
        <f>Input!D220*(1-B237)</f>
        <v>0</v>
      </c>
      <c r="G237" s="34">
        <f>Input!E220*(1-C237)</f>
        <v>1.2852842580996404</v>
      </c>
      <c r="H237" s="34">
        <f>Input!F220*(1-B237)</f>
        <v>0</v>
      </c>
      <c r="I237" s="34">
        <f>Input!G220*(1-B237)</f>
        <v>0</v>
      </c>
      <c r="J237" s="34">
        <f>Input!H220*(1-B237)</f>
        <v>0</v>
      </c>
      <c r="K237" s="17"/>
    </row>
    <row r="238" spans="1:11">
      <c r="A238" s="4" t="s">
        <v>264</v>
      </c>
      <c r="B238" s="36">
        <f>SUMPRODUCT($B110:$F110,Input!$B$162:$F$162)</f>
        <v>0.57341162484196806</v>
      </c>
      <c r="C238" s="38">
        <f>B238</f>
        <v>0.57341162484196806</v>
      </c>
      <c r="D238" s="34">
        <f>Input!B221*(1-B238)</f>
        <v>0</v>
      </c>
      <c r="E238" s="34">
        <f>Input!C221*(1-B238)</f>
        <v>0</v>
      </c>
      <c r="F238" s="34">
        <f>Input!D221*(1-B238)</f>
        <v>0</v>
      </c>
      <c r="G238" s="34">
        <f>Input!E221*(1-C238)</f>
        <v>0</v>
      </c>
      <c r="H238" s="34">
        <f>Input!F221*(1-B238)</f>
        <v>0</v>
      </c>
      <c r="I238" s="34">
        <f>Input!G221*(1-B238)</f>
        <v>0</v>
      </c>
      <c r="J238" s="34">
        <f>Input!H221*(1-B238)</f>
        <v>0</v>
      </c>
      <c r="K238" s="17"/>
    </row>
    <row r="239" spans="1:11">
      <c r="A239" s="27" t="s">
        <v>265</v>
      </c>
      <c r="K239" s="17"/>
    </row>
    <row r="240" spans="1:11">
      <c r="A240" s="4" t="s">
        <v>185</v>
      </c>
      <c r="B240" s="36">
        <f>SUMPRODUCT($B112:$F112,Input!$B$162:$F$162)</f>
        <v>0</v>
      </c>
      <c r="C240" s="38">
        <f>B240</f>
        <v>0</v>
      </c>
      <c r="D240" s="34">
        <f>Input!B223*(1-B240)</f>
        <v>0.13596319903118673</v>
      </c>
      <c r="E240" s="34">
        <f>Input!C223*(1-B240)</f>
        <v>0.2880364513981673</v>
      </c>
      <c r="F240" s="34">
        <f>Input!D223*(1-B240)</f>
        <v>0</v>
      </c>
      <c r="G240" s="34">
        <f>Input!E223*(1-C240)</f>
        <v>1E-3</v>
      </c>
      <c r="H240" s="34">
        <f>Input!F223*(1-B240)</f>
        <v>0</v>
      </c>
      <c r="I240" s="34">
        <f>Input!G223*(1-B240)</f>
        <v>0</v>
      </c>
      <c r="J240" s="34">
        <f>Input!H223*(1-B240)</f>
        <v>0</v>
      </c>
      <c r="K240" s="17"/>
    </row>
    <row r="241" spans="1:11">
      <c r="A241" s="27" t="s">
        <v>266</v>
      </c>
      <c r="K241" s="17"/>
    </row>
    <row r="242" spans="1:11">
      <c r="A242" s="4" t="s">
        <v>205</v>
      </c>
      <c r="B242" s="36">
        <f>SUMPRODUCT($B114:$F114,Input!$B$162:$F$162)</f>
        <v>0</v>
      </c>
      <c r="C242" s="38">
        <f>B242</f>
        <v>0</v>
      </c>
      <c r="D242" s="34">
        <f>Input!B225*(1-B242)</f>
        <v>0.45301947902899675</v>
      </c>
      <c r="E242" s="34">
        <f>Input!C225*(1-B242)</f>
        <v>1.1537160889420643</v>
      </c>
      <c r="F242" s="34">
        <f>Input!D225*(1-B242)</f>
        <v>0</v>
      </c>
      <c r="G242" s="34">
        <f>Input!E225*(1-C242)</f>
        <v>1E-3</v>
      </c>
      <c r="H242" s="34">
        <f>Input!F225*(1-B242)</f>
        <v>0</v>
      </c>
      <c r="I242" s="34">
        <f>Input!G225*(1-B242)</f>
        <v>0</v>
      </c>
      <c r="J242" s="34">
        <f>Input!H225*(1-B242)</f>
        <v>0</v>
      </c>
      <c r="K242" s="17"/>
    </row>
    <row r="243" spans="1:11">
      <c r="A243" s="27" t="s">
        <v>267</v>
      </c>
      <c r="K243" s="17"/>
    </row>
    <row r="244" spans="1:11">
      <c r="A244" s="4" t="s">
        <v>186</v>
      </c>
      <c r="B244" s="36">
        <f>SUMPRODUCT($B116:$F116,Input!$B$162:$F$162)</f>
        <v>0</v>
      </c>
      <c r="C244" s="38">
        <f>B244</f>
        <v>0</v>
      </c>
      <c r="D244" s="34">
        <f>Input!B227*(1-B244)</f>
        <v>68.864270450400312</v>
      </c>
      <c r="E244" s="34">
        <f>Input!C227*(1-B244)</f>
        <v>206.59970904609159</v>
      </c>
      <c r="F244" s="34">
        <f>Input!D227*(1-B244)</f>
        <v>381.07054134295925</v>
      </c>
      <c r="G244" s="34">
        <f>Input!E227*(1-C244)</f>
        <v>339.80327868852459</v>
      </c>
      <c r="H244" s="34">
        <f>Input!F227*(1-B244)</f>
        <v>0</v>
      </c>
      <c r="I244" s="34">
        <f>Input!G227*(1-B244)</f>
        <v>0</v>
      </c>
      <c r="J244" s="34">
        <f>Input!H227*(1-B244)</f>
        <v>0</v>
      </c>
      <c r="K244" s="17"/>
    </row>
    <row r="245" spans="1:11">
      <c r="A245" s="4" t="s">
        <v>268</v>
      </c>
      <c r="B245" s="36">
        <f>SUMPRODUCT($B117:$F117,Input!$B$162:$F$162)</f>
        <v>0.35735787095017979</v>
      </c>
      <c r="C245" s="38">
        <f>B245</f>
        <v>0.35735787095017979</v>
      </c>
      <c r="D245" s="34">
        <f>Input!B228*(1-B245)</f>
        <v>0</v>
      </c>
      <c r="E245" s="34">
        <f>Input!C228*(1-B245)</f>
        <v>0</v>
      </c>
      <c r="F245" s="34">
        <f>Input!D228*(1-B245)</f>
        <v>0</v>
      </c>
      <c r="G245" s="34">
        <f>Input!E228*(1-C245)</f>
        <v>0</v>
      </c>
      <c r="H245" s="34">
        <f>Input!F228*(1-B245)</f>
        <v>0</v>
      </c>
      <c r="I245" s="34">
        <f>Input!G228*(1-B245)</f>
        <v>0</v>
      </c>
      <c r="J245" s="34">
        <f>Input!H228*(1-B245)</f>
        <v>0</v>
      </c>
      <c r="K245" s="17"/>
    </row>
    <row r="246" spans="1:11">
      <c r="A246" s="4" t="s">
        <v>269</v>
      </c>
      <c r="B246" s="36">
        <f>SUMPRODUCT($B118:$F118,Input!$B$162:$F$162)</f>
        <v>0.57341162484196806</v>
      </c>
      <c r="C246" s="38">
        <f>B246</f>
        <v>0.57341162484196806</v>
      </c>
      <c r="D246" s="34">
        <f>Input!B229*(1-B246)</f>
        <v>0</v>
      </c>
      <c r="E246" s="34">
        <f>Input!C229*(1-B246)</f>
        <v>0</v>
      </c>
      <c r="F246" s="34">
        <f>Input!D229*(1-B246)</f>
        <v>0</v>
      </c>
      <c r="G246" s="34">
        <f>Input!E229*(1-C246)</f>
        <v>0</v>
      </c>
      <c r="H246" s="34">
        <f>Input!F229*(1-B246)</f>
        <v>0</v>
      </c>
      <c r="I246" s="34">
        <f>Input!G229*(1-B246)</f>
        <v>0</v>
      </c>
      <c r="J246" s="34">
        <f>Input!H229*(1-B246)</f>
        <v>0</v>
      </c>
      <c r="K246" s="17"/>
    </row>
    <row r="247" spans="1:11">
      <c r="A247" s="27" t="s">
        <v>270</v>
      </c>
      <c r="K247" s="17"/>
    </row>
    <row r="248" spans="1:11">
      <c r="A248" s="4" t="s">
        <v>187</v>
      </c>
      <c r="B248" s="36">
        <f>SUMPRODUCT($B120:$F120,Input!$B$162:$F$162)</f>
        <v>0</v>
      </c>
      <c r="C248" s="38">
        <f>B248</f>
        <v>0</v>
      </c>
      <c r="D248" s="34">
        <f>Input!B231*(1-B248)</f>
        <v>22435.964946164946</v>
      </c>
      <c r="E248" s="34">
        <f>Input!C231*(1-B248)</f>
        <v>80597.104471233906</v>
      </c>
      <c r="F248" s="34">
        <f>Input!D231*(1-B248)</f>
        <v>113029.99064230964</v>
      </c>
      <c r="G248" s="34">
        <f>Input!E231*(1-C248)</f>
        <v>3574</v>
      </c>
      <c r="H248" s="34">
        <f>Input!F231*(1-B248)</f>
        <v>0</v>
      </c>
      <c r="I248" s="34">
        <f>Input!G231*(1-B248)</f>
        <v>0</v>
      </c>
      <c r="J248" s="34">
        <f>Input!H231*(1-B248)</f>
        <v>0</v>
      </c>
      <c r="K248" s="17"/>
    </row>
    <row r="249" spans="1:11">
      <c r="A249" s="4" t="s">
        <v>271</v>
      </c>
      <c r="B249" s="36">
        <f>SUMPRODUCT($B121:$F121,Input!$B$162:$F$162)</f>
        <v>0.35735787095017979</v>
      </c>
      <c r="C249" s="38">
        <f>B249</f>
        <v>0.35735787095017979</v>
      </c>
      <c r="D249" s="34">
        <f>Input!B232*(1-B249)</f>
        <v>0</v>
      </c>
      <c r="E249" s="34">
        <f>Input!C232*(1-B249)</f>
        <v>0</v>
      </c>
      <c r="F249" s="34">
        <f>Input!D232*(1-B249)</f>
        <v>0</v>
      </c>
      <c r="G249" s="34">
        <f>Input!E232*(1-C249)</f>
        <v>0</v>
      </c>
      <c r="H249" s="34">
        <f>Input!F232*(1-B249)</f>
        <v>0</v>
      </c>
      <c r="I249" s="34">
        <f>Input!G232*(1-B249)</f>
        <v>0</v>
      </c>
      <c r="J249" s="34">
        <f>Input!H232*(1-B249)</f>
        <v>0</v>
      </c>
      <c r="K249" s="17"/>
    </row>
    <row r="250" spans="1:11">
      <c r="A250" s="4" t="s">
        <v>272</v>
      </c>
      <c r="B250" s="36">
        <f>SUMPRODUCT($B122:$F122,Input!$B$162:$F$162)</f>
        <v>0.57341162484196806</v>
      </c>
      <c r="C250" s="38">
        <f>B250</f>
        <v>0.57341162484196806</v>
      </c>
      <c r="D250" s="34">
        <f>Input!B233*(1-B250)</f>
        <v>0</v>
      </c>
      <c r="E250" s="34">
        <f>Input!C233*(1-B250)</f>
        <v>0</v>
      </c>
      <c r="F250" s="34">
        <f>Input!D233*(1-B250)</f>
        <v>0</v>
      </c>
      <c r="G250" s="34">
        <f>Input!E233*(1-C250)</f>
        <v>0</v>
      </c>
      <c r="H250" s="34">
        <f>Input!F233*(1-B250)</f>
        <v>0</v>
      </c>
      <c r="I250" s="34">
        <f>Input!G233*(1-B250)</f>
        <v>0</v>
      </c>
      <c r="J250" s="34">
        <f>Input!H233*(1-B250)</f>
        <v>0</v>
      </c>
      <c r="K250" s="17"/>
    </row>
    <row r="251" spans="1:11">
      <c r="A251" s="27" t="s">
        <v>273</v>
      </c>
      <c r="K251" s="17"/>
    </row>
    <row r="252" spans="1:11">
      <c r="A252" s="4" t="s">
        <v>188</v>
      </c>
      <c r="B252" s="36">
        <f>SUMPRODUCT($B124:$F124,Input!$B$162:$F$162)</f>
        <v>0</v>
      </c>
      <c r="C252" s="38">
        <f>B252</f>
        <v>0</v>
      </c>
      <c r="D252" s="34">
        <f>Input!B235*(1-B252)</f>
        <v>259213.74498984459</v>
      </c>
      <c r="E252" s="34">
        <f>Input!C235*(1-B252)</f>
        <v>926903.1649810042</v>
      </c>
      <c r="F252" s="34">
        <f>Input!D235*(1-B252)</f>
        <v>1194700.3140897641</v>
      </c>
      <c r="G252" s="34">
        <f>Input!E235*(1-C252)</f>
        <v>12971.084699453551</v>
      </c>
      <c r="H252" s="34">
        <f>Input!F235*(1-B252)</f>
        <v>1247153.1998059845</v>
      </c>
      <c r="I252" s="34">
        <f>Input!G235*(1-B252)</f>
        <v>12471.531998059845</v>
      </c>
      <c r="J252" s="34">
        <f>Input!H235*(1-B252)</f>
        <v>199567.57750000001</v>
      </c>
      <c r="K252" s="17"/>
    </row>
    <row r="253" spans="1:11">
      <c r="A253" s="4" t="s">
        <v>274</v>
      </c>
      <c r="B253" s="36">
        <f>SUMPRODUCT($B125:$F125,Input!$B$162:$F$162)</f>
        <v>0.35735787095017979</v>
      </c>
      <c r="C253" s="38">
        <f>B253</f>
        <v>0.35735787095017979</v>
      </c>
      <c r="D253" s="34">
        <f>Input!B236*(1-B253)</f>
        <v>1222.7607354958695</v>
      </c>
      <c r="E253" s="34">
        <f>Input!C236*(1-B253)</f>
        <v>4222.9351146872959</v>
      </c>
      <c r="F253" s="34">
        <f>Input!D236*(1-B253)</f>
        <v>5459.5253540867479</v>
      </c>
      <c r="G253" s="34">
        <f>Input!E236*(1-C253)</f>
        <v>70.687122489856989</v>
      </c>
      <c r="H253" s="34">
        <f>Input!F236*(1-B253)</f>
        <v>4935.7223464811541</v>
      </c>
      <c r="I253" s="34">
        <f>Input!G236*(1-B253)</f>
        <v>49.357223464811547</v>
      </c>
      <c r="J253" s="34">
        <f>Input!H236*(1-B253)</f>
        <v>458.10641346575784</v>
      </c>
      <c r="K253" s="17"/>
    </row>
    <row r="254" spans="1:11">
      <c r="A254" s="4" t="s">
        <v>275</v>
      </c>
      <c r="B254" s="36">
        <f>SUMPRODUCT($B126:$F126,Input!$B$162:$F$162)</f>
        <v>0.57341162484196806</v>
      </c>
      <c r="C254" s="38">
        <f>B254</f>
        <v>0.57341162484196806</v>
      </c>
      <c r="D254" s="34">
        <f>Input!B237*(1-B254)</f>
        <v>5669.1635514265936</v>
      </c>
      <c r="E254" s="34">
        <f>Input!C237*(1-B254)</f>
        <v>19374.624335529235</v>
      </c>
      <c r="F254" s="34">
        <f>Input!D237*(1-B254)</f>
        <v>27346.68811368052</v>
      </c>
      <c r="G254" s="34">
        <f>Input!E237*(1-C254)</f>
        <v>142.68798378031855</v>
      </c>
      <c r="H254" s="34">
        <f>Input!F237*(1-B254)</f>
        <v>24402.522891590528</v>
      </c>
      <c r="I254" s="34">
        <f>Input!G237*(1-B254)</f>
        <v>244.02522891590527</v>
      </c>
      <c r="J254" s="34">
        <f>Input!H237*(1-B254)</f>
        <v>1313.4216087865664</v>
      </c>
      <c r="K254" s="17"/>
    </row>
    <row r="255" spans="1:11">
      <c r="A255" s="27" t="s">
        <v>276</v>
      </c>
      <c r="K255" s="17"/>
    </row>
    <row r="256" spans="1:11">
      <c r="A256" s="4" t="s">
        <v>189</v>
      </c>
      <c r="B256" s="36">
        <f>SUMPRODUCT($B128:$F128,Input!$B$162:$F$162)</f>
        <v>0</v>
      </c>
      <c r="C256" s="38">
        <f>B256</f>
        <v>0</v>
      </c>
      <c r="D256" s="34">
        <f>Input!B239*(1-B256)</f>
        <v>126109.07491128343</v>
      </c>
      <c r="E256" s="34">
        <f>Input!C239*(1-B256)</f>
        <v>462200.71542345866</v>
      </c>
      <c r="F256" s="34">
        <f>Input!D239*(1-B256)</f>
        <v>623163.71466057538</v>
      </c>
      <c r="G256" s="34">
        <f>Input!E239*(1-C256)</f>
        <v>2163.4890710382515</v>
      </c>
      <c r="H256" s="34">
        <f>Input!F239*(1-B256)</f>
        <v>650266.42703272018</v>
      </c>
      <c r="I256" s="34">
        <f>Input!G239*(1-B256)</f>
        <v>6502.6642703272018</v>
      </c>
      <c r="J256" s="34">
        <f>Input!H239*(1-B256)</f>
        <v>97083.844699999987</v>
      </c>
      <c r="K256" s="17"/>
    </row>
    <row r="257" spans="1:11">
      <c r="A257" s="4" t="s">
        <v>277</v>
      </c>
      <c r="B257" s="36">
        <f>SUMPRODUCT($B129:$F129,Input!$B$162:$F$162)</f>
        <v>0.32789446203727474</v>
      </c>
      <c r="C257" s="38">
        <f>B257</f>
        <v>0.32789446203727474</v>
      </c>
      <c r="D257" s="34">
        <f>Input!B240*(1-B257)</f>
        <v>908.19017154159519</v>
      </c>
      <c r="E257" s="34">
        <f>Input!C240*(1-B257)</f>
        <v>3019.7644611681953</v>
      </c>
      <c r="F257" s="34">
        <f>Input!D240*(1-B257)</f>
        <v>5343.607190796758</v>
      </c>
      <c r="G257" s="34">
        <f>Input!E240*(1-C257)</f>
        <v>6.7210553796272521</v>
      </c>
      <c r="H257" s="34">
        <f>Input!F240*(1-B257)</f>
        <v>4199.6991465207529</v>
      </c>
      <c r="I257" s="34">
        <f>Input!G240*(1-B257)</f>
        <v>41.996991465207536</v>
      </c>
      <c r="J257" s="34">
        <f>Input!H240*(1-B257)</f>
        <v>52.0323944324603</v>
      </c>
      <c r="K257" s="17"/>
    </row>
    <row r="258" spans="1:11">
      <c r="A258" s="27" t="s">
        <v>278</v>
      </c>
      <c r="K258" s="17"/>
    </row>
    <row r="259" spans="1:11">
      <c r="A259" s="4" t="s">
        <v>206</v>
      </c>
      <c r="B259" s="36">
        <f>SUMPRODUCT($B131:$F131,Input!$B$162:$F$162)</f>
        <v>0</v>
      </c>
      <c r="C259" s="38">
        <f>B259</f>
        <v>0</v>
      </c>
      <c r="D259" s="34">
        <f>Input!B242*(1-B259)</f>
        <v>457655.83787156374</v>
      </c>
      <c r="E259" s="34">
        <f>Input!C242*(1-B259)</f>
        <v>1565462.316532407</v>
      </c>
      <c r="F259" s="34">
        <f>Input!D242*(1-B259)</f>
        <v>2576162.9164043469</v>
      </c>
      <c r="G259" s="34">
        <f>Input!E242*(1-C259)</f>
        <v>2232.9262295081967</v>
      </c>
      <c r="H259" s="34">
        <f>Input!F242*(1-B259)</f>
        <v>1816038.3075647117</v>
      </c>
      <c r="I259" s="34">
        <f>Input!G242*(1-B259)</f>
        <v>18160.383075647118</v>
      </c>
      <c r="J259" s="34">
        <f>Input!H242*(1-B259)</f>
        <v>366046.35769999999</v>
      </c>
      <c r="K259" s="17"/>
    </row>
    <row r="260" spans="1:11">
      <c r="A260" s="4" t="s">
        <v>279</v>
      </c>
      <c r="B260" s="36">
        <f>SUMPRODUCT($B132:$F132,Input!$B$162:$F$162)</f>
        <v>0.20424557221785974</v>
      </c>
      <c r="C260" s="38">
        <f>B260</f>
        <v>0.20424557221785974</v>
      </c>
      <c r="D260" s="34">
        <f>Input!B243*(1-B260)</f>
        <v>2053.0694855411994</v>
      </c>
      <c r="E260" s="34">
        <f>Input!C243*(1-B260)</f>
        <v>6758.3355287648856</v>
      </c>
      <c r="F260" s="34">
        <f>Input!D243*(1-B260)</f>
        <v>13214.557269669765</v>
      </c>
      <c r="G260" s="34">
        <f>Input!E243*(1-C260)</f>
        <v>10.344807561167823</v>
      </c>
      <c r="H260" s="34">
        <f>Input!F243*(1-B260)</f>
        <v>14281.060923259982</v>
      </c>
      <c r="I260" s="34">
        <f>Input!G243*(1-B260)</f>
        <v>142.81060923259983</v>
      </c>
      <c r="J260" s="34">
        <f>Input!H243*(1-B260)</f>
        <v>71.98887921462466</v>
      </c>
      <c r="K260" s="17"/>
    </row>
    <row r="261" spans="1:11">
      <c r="A261" s="27" t="s">
        <v>280</v>
      </c>
      <c r="K261" s="17"/>
    </row>
    <row r="262" spans="1:11">
      <c r="A262" s="4" t="s">
        <v>228</v>
      </c>
      <c r="B262" s="36">
        <f>SUMPRODUCT($B134:$F134,Input!$B$162:$F$162)</f>
        <v>0</v>
      </c>
      <c r="C262" s="38">
        <f>B262</f>
        <v>0</v>
      </c>
      <c r="D262" s="34">
        <f>Input!B245*(1-B262)</f>
        <v>17466.3968856461</v>
      </c>
      <c r="E262" s="34">
        <f>Input!C245*(1-B262)</f>
        <v>0</v>
      </c>
      <c r="F262" s="34">
        <f>Input!D245*(1-B262)</f>
        <v>0</v>
      </c>
      <c r="G262" s="34">
        <f>Input!E245*(1-C262)</f>
        <v>203.50273224043715</v>
      </c>
      <c r="H262" s="34">
        <f>Input!F245*(1-B262)</f>
        <v>0</v>
      </c>
      <c r="I262" s="34">
        <f>Input!G245*(1-B262)</f>
        <v>0</v>
      </c>
      <c r="J262" s="34">
        <f>Input!H245*(1-B262)</f>
        <v>0</v>
      </c>
      <c r="K262" s="17"/>
    </row>
    <row r="263" spans="1:11">
      <c r="A263" s="4" t="s">
        <v>281</v>
      </c>
      <c r="B263" s="36">
        <f>SUMPRODUCT($B135:$F135,Input!$B$162:$F$162)</f>
        <v>0.35735787095017979</v>
      </c>
      <c r="C263" s="38">
        <f>B263</f>
        <v>0.35735787095017979</v>
      </c>
      <c r="D263" s="34">
        <f>Input!B246*(1-B263)</f>
        <v>0</v>
      </c>
      <c r="E263" s="34">
        <f>Input!C246*(1-B263)</f>
        <v>0</v>
      </c>
      <c r="F263" s="34">
        <f>Input!D246*(1-B263)</f>
        <v>0</v>
      </c>
      <c r="G263" s="34">
        <f>Input!E246*(1-C263)</f>
        <v>0</v>
      </c>
      <c r="H263" s="34">
        <f>Input!F246*(1-B263)</f>
        <v>0</v>
      </c>
      <c r="I263" s="34">
        <f>Input!G246*(1-B263)</f>
        <v>0</v>
      </c>
      <c r="J263" s="34">
        <f>Input!H246*(1-B263)</f>
        <v>0</v>
      </c>
      <c r="K263" s="17"/>
    </row>
    <row r="264" spans="1:11">
      <c r="A264" s="4" t="s">
        <v>282</v>
      </c>
      <c r="B264" s="36">
        <f>SUMPRODUCT($B136:$F136,Input!$B$162:$F$162)</f>
        <v>0.57341162484196806</v>
      </c>
      <c r="C264" s="38">
        <f>B264</f>
        <v>0.57341162484196806</v>
      </c>
      <c r="D264" s="34">
        <f>Input!B247*(1-B264)</f>
        <v>0</v>
      </c>
      <c r="E264" s="34">
        <f>Input!C247*(1-B264)</f>
        <v>0</v>
      </c>
      <c r="F264" s="34">
        <f>Input!D247*(1-B264)</f>
        <v>0</v>
      </c>
      <c r="G264" s="34">
        <f>Input!E247*(1-C264)</f>
        <v>0</v>
      </c>
      <c r="H264" s="34">
        <f>Input!F247*(1-B264)</f>
        <v>0</v>
      </c>
      <c r="I264" s="34">
        <f>Input!G247*(1-B264)</f>
        <v>0</v>
      </c>
      <c r="J264" s="34">
        <f>Input!H247*(1-B264)</f>
        <v>0</v>
      </c>
      <c r="K264" s="17"/>
    </row>
    <row r="265" spans="1:11">
      <c r="A265" s="27" t="s">
        <v>283</v>
      </c>
      <c r="K265" s="17"/>
    </row>
    <row r="266" spans="1:11">
      <c r="A266" s="4" t="s">
        <v>229</v>
      </c>
      <c r="B266" s="36">
        <f>SUMPRODUCT($B138:$F138,Input!$B$162:$F$162)</f>
        <v>0</v>
      </c>
      <c r="C266" s="38">
        <f>B266</f>
        <v>0</v>
      </c>
      <c r="D266" s="34">
        <f>Input!B249*(1-B266)</f>
        <v>9156.6311677309714</v>
      </c>
      <c r="E266" s="34">
        <f>Input!C249*(1-B266)</f>
        <v>0</v>
      </c>
      <c r="F266" s="34">
        <f>Input!D249*(1-B266)</f>
        <v>0</v>
      </c>
      <c r="G266" s="34">
        <f>Input!E249*(1-C266)</f>
        <v>326</v>
      </c>
      <c r="H266" s="34">
        <f>Input!F249*(1-B266)</f>
        <v>0</v>
      </c>
      <c r="I266" s="34">
        <f>Input!G249*(1-B266)</f>
        <v>0</v>
      </c>
      <c r="J266" s="34">
        <f>Input!H249*(1-B266)</f>
        <v>0</v>
      </c>
      <c r="K266" s="17"/>
    </row>
    <row r="267" spans="1:11">
      <c r="A267" s="4" t="s">
        <v>284</v>
      </c>
      <c r="B267" s="36">
        <f>SUMPRODUCT($B139:$F139,Input!$B$162:$F$162)</f>
        <v>0.35735787095017979</v>
      </c>
      <c r="C267" s="38">
        <f>B267</f>
        <v>0.35735787095017979</v>
      </c>
      <c r="D267" s="34">
        <f>Input!B250*(1-B267)</f>
        <v>139.80125818896892</v>
      </c>
      <c r="E267" s="34">
        <f>Input!C250*(1-B267)</f>
        <v>0</v>
      </c>
      <c r="F267" s="34">
        <f>Input!D250*(1-B267)</f>
        <v>0</v>
      </c>
      <c r="G267" s="34">
        <f>Input!E250*(1-C267)</f>
        <v>54.624580969234721</v>
      </c>
      <c r="H267" s="34">
        <f>Input!F250*(1-B267)</f>
        <v>0</v>
      </c>
      <c r="I267" s="34">
        <f>Input!G250*(1-B267)</f>
        <v>0</v>
      </c>
      <c r="J267" s="34">
        <f>Input!H250*(1-B267)</f>
        <v>0</v>
      </c>
      <c r="K267" s="17"/>
    </row>
    <row r="268" spans="1:11">
      <c r="A268" s="4" t="s">
        <v>285</v>
      </c>
      <c r="B268" s="36">
        <f>SUMPRODUCT($B140:$F140,Input!$B$162:$F$162)</f>
        <v>0.57341162484196806</v>
      </c>
      <c r="C268" s="38">
        <f>B268</f>
        <v>0.57341162484196806</v>
      </c>
      <c r="D268" s="34">
        <f>Input!B251*(1-B268)</f>
        <v>25.913049907778198</v>
      </c>
      <c r="E268" s="34">
        <f>Input!C251*(1-B268)</f>
        <v>0</v>
      </c>
      <c r="F268" s="34">
        <f>Input!D251*(1-B268)</f>
        <v>0</v>
      </c>
      <c r="G268" s="34">
        <f>Input!E251*(1-C268)</f>
        <v>2.9861186261062236</v>
      </c>
      <c r="H268" s="34">
        <f>Input!F251*(1-B268)</f>
        <v>0</v>
      </c>
      <c r="I268" s="34">
        <f>Input!G251*(1-B268)</f>
        <v>0</v>
      </c>
      <c r="J268" s="34">
        <f>Input!H251*(1-B268)</f>
        <v>0</v>
      </c>
      <c r="K268" s="17"/>
    </row>
    <row r="269" spans="1:11">
      <c r="A269" s="27" t="s">
        <v>286</v>
      </c>
      <c r="K269" s="17"/>
    </row>
    <row r="270" spans="1:11">
      <c r="A270" s="4" t="s">
        <v>230</v>
      </c>
      <c r="B270" s="36">
        <f>SUMPRODUCT($B142:$F142,Input!$B$162:$F$162)</f>
        <v>0</v>
      </c>
      <c r="C270" s="38">
        <f>B270</f>
        <v>0</v>
      </c>
      <c r="D270" s="34">
        <f>Input!B253*(1-B270)</f>
        <v>411.24693034888236</v>
      </c>
      <c r="E270" s="34">
        <f>Input!C253*(1-B270)</f>
        <v>0</v>
      </c>
      <c r="F270" s="34">
        <f>Input!D253*(1-B270)</f>
        <v>0</v>
      </c>
      <c r="G270" s="34">
        <f>Input!E253*(1-C270)</f>
        <v>8</v>
      </c>
      <c r="H270" s="34">
        <f>Input!F253*(1-B270)</f>
        <v>0</v>
      </c>
      <c r="I270" s="34">
        <f>Input!G253*(1-B270)</f>
        <v>0</v>
      </c>
      <c r="J270" s="34">
        <f>Input!H253*(1-B270)</f>
        <v>0</v>
      </c>
      <c r="K270" s="17"/>
    </row>
    <row r="271" spans="1:11">
      <c r="A271" s="4" t="s">
        <v>287</v>
      </c>
      <c r="B271" s="36">
        <f>SUMPRODUCT($B143:$F143,Input!$B$162:$F$162)</f>
        <v>0.35735787095017979</v>
      </c>
      <c r="C271" s="38">
        <f>B271</f>
        <v>0.35735787095017979</v>
      </c>
      <c r="D271" s="34">
        <f>Input!B254*(1-B271)</f>
        <v>0</v>
      </c>
      <c r="E271" s="34">
        <f>Input!C254*(1-B271)</f>
        <v>0</v>
      </c>
      <c r="F271" s="34">
        <f>Input!D254*(1-B271)</f>
        <v>0</v>
      </c>
      <c r="G271" s="34">
        <f>Input!E254*(1-C271)</f>
        <v>0</v>
      </c>
      <c r="H271" s="34">
        <f>Input!F254*(1-B271)</f>
        <v>0</v>
      </c>
      <c r="I271" s="34">
        <f>Input!G254*(1-B271)</f>
        <v>0</v>
      </c>
      <c r="J271" s="34">
        <f>Input!H254*(1-B271)</f>
        <v>0</v>
      </c>
      <c r="K271" s="17"/>
    </row>
    <row r="272" spans="1:11">
      <c r="A272" s="4" t="s">
        <v>288</v>
      </c>
      <c r="B272" s="36">
        <f>SUMPRODUCT($B144:$F144,Input!$B$162:$F$162)</f>
        <v>0.57341162484196806</v>
      </c>
      <c r="C272" s="38">
        <f>B272</f>
        <v>0.57341162484196806</v>
      </c>
      <c r="D272" s="34">
        <f>Input!B255*(1-B272)</f>
        <v>0</v>
      </c>
      <c r="E272" s="34">
        <f>Input!C255*(1-B272)</f>
        <v>0</v>
      </c>
      <c r="F272" s="34">
        <f>Input!D255*(1-B272)</f>
        <v>0</v>
      </c>
      <c r="G272" s="34">
        <f>Input!E255*(1-C272)</f>
        <v>0</v>
      </c>
      <c r="H272" s="34">
        <f>Input!F255*(1-B272)</f>
        <v>0</v>
      </c>
      <c r="I272" s="34">
        <f>Input!G255*(1-B272)</f>
        <v>0</v>
      </c>
      <c r="J272" s="34">
        <f>Input!H255*(1-B272)</f>
        <v>0</v>
      </c>
      <c r="K272" s="17"/>
    </row>
    <row r="273" spans="1:11">
      <c r="A273" s="27" t="s">
        <v>289</v>
      </c>
      <c r="K273" s="17"/>
    </row>
    <row r="274" spans="1:11">
      <c r="A274" s="4" t="s">
        <v>231</v>
      </c>
      <c r="B274" s="36">
        <f>SUMPRODUCT($B146:$F146,Input!$B$162:$F$162)</f>
        <v>0</v>
      </c>
      <c r="C274" s="38">
        <f>B274</f>
        <v>0</v>
      </c>
      <c r="D274" s="34">
        <f>Input!B257*(1-B274)</f>
        <v>5.1405866293610297E-2</v>
      </c>
      <c r="E274" s="34">
        <f>Input!C257*(1-B274)</f>
        <v>0</v>
      </c>
      <c r="F274" s="34">
        <f>Input!D257*(1-B274)</f>
        <v>0</v>
      </c>
      <c r="G274" s="34">
        <f>Input!E257*(1-C274)</f>
        <v>1E-3</v>
      </c>
      <c r="H274" s="34">
        <f>Input!F257*(1-B274)</f>
        <v>0</v>
      </c>
      <c r="I274" s="34">
        <f>Input!G257*(1-B274)</f>
        <v>0</v>
      </c>
      <c r="J274" s="34">
        <f>Input!H257*(1-B274)</f>
        <v>0</v>
      </c>
      <c r="K274" s="17"/>
    </row>
    <row r="275" spans="1:11">
      <c r="A275" s="4" t="s">
        <v>290</v>
      </c>
      <c r="B275" s="36">
        <f>SUMPRODUCT($B147:$F147,Input!$B$162:$F$162)</f>
        <v>0.35735787095017979</v>
      </c>
      <c r="C275" s="38">
        <f>B275</f>
        <v>0.35735787095017979</v>
      </c>
      <c r="D275" s="34">
        <f>Input!B258*(1-B275)</f>
        <v>0</v>
      </c>
      <c r="E275" s="34">
        <f>Input!C258*(1-B275)</f>
        <v>0</v>
      </c>
      <c r="F275" s="34">
        <f>Input!D258*(1-B275)</f>
        <v>0</v>
      </c>
      <c r="G275" s="34">
        <f>Input!E258*(1-C275)</f>
        <v>0</v>
      </c>
      <c r="H275" s="34">
        <f>Input!F258*(1-B275)</f>
        <v>0</v>
      </c>
      <c r="I275" s="34">
        <f>Input!G258*(1-B275)</f>
        <v>0</v>
      </c>
      <c r="J275" s="34">
        <f>Input!H258*(1-B275)</f>
        <v>0</v>
      </c>
      <c r="K275" s="17"/>
    </row>
    <row r="276" spans="1:11">
      <c r="A276" s="4" t="s">
        <v>291</v>
      </c>
      <c r="B276" s="36">
        <f>SUMPRODUCT($B148:$F148,Input!$B$162:$F$162)</f>
        <v>0.57341162484196806</v>
      </c>
      <c r="C276" s="38">
        <f>B276</f>
        <v>0.57341162484196806</v>
      </c>
      <c r="D276" s="34">
        <f>Input!B259*(1-B276)</f>
        <v>0</v>
      </c>
      <c r="E276" s="34">
        <f>Input!C259*(1-B276)</f>
        <v>0</v>
      </c>
      <c r="F276" s="34">
        <f>Input!D259*(1-B276)</f>
        <v>0</v>
      </c>
      <c r="G276" s="34">
        <f>Input!E259*(1-C276)</f>
        <v>0</v>
      </c>
      <c r="H276" s="34">
        <f>Input!F259*(1-B276)</f>
        <v>0</v>
      </c>
      <c r="I276" s="34">
        <f>Input!G259*(1-B276)</f>
        <v>0</v>
      </c>
      <c r="J276" s="34">
        <f>Input!H259*(1-B276)</f>
        <v>0</v>
      </c>
      <c r="K276" s="17"/>
    </row>
    <row r="277" spans="1:11">
      <c r="A277" s="27" t="s">
        <v>292</v>
      </c>
      <c r="K277" s="17"/>
    </row>
    <row r="278" spans="1:11">
      <c r="A278" s="4" t="s">
        <v>232</v>
      </c>
      <c r="B278" s="36">
        <f>SUMPRODUCT($B150:$F150,Input!$B$162:$F$162)</f>
        <v>0</v>
      </c>
      <c r="C278" s="38">
        <f>B278</f>
        <v>0</v>
      </c>
      <c r="D278" s="34">
        <f>Input!B261*(1-B278)</f>
        <v>10560.706473771854</v>
      </c>
      <c r="E278" s="34">
        <f>Input!C261*(1-B278)</f>
        <v>28387.518136671788</v>
      </c>
      <c r="F278" s="34">
        <f>Input!D261*(1-B278)</f>
        <v>176907.07056212696</v>
      </c>
      <c r="G278" s="34">
        <f>Input!E261*(1-C278)</f>
        <v>25</v>
      </c>
      <c r="H278" s="34">
        <f>Input!F261*(1-B278)</f>
        <v>0</v>
      </c>
      <c r="I278" s="34">
        <f>Input!G261*(1-B278)</f>
        <v>0</v>
      </c>
      <c r="J278" s="34">
        <f>Input!H261*(1-B278)</f>
        <v>0</v>
      </c>
      <c r="K278" s="17"/>
    </row>
    <row r="279" spans="1:11">
      <c r="A279" s="4" t="s">
        <v>293</v>
      </c>
      <c r="B279" s="36">
        <f>SUMPRODUCT($B151:$F151,Input!$B$162:$F$162)</f>
        <v>0.35735787095017979</v>
      </c>
      <c r="C279" s="38">
        <f>B279</f>
        <v>0.35735787095017979</v>
      </c>
      <c r="D279" s="34">
        <f>Input!B262*(1-B279)</f>
        <v>0</v>
      </c>
      <c r="E279" s="34">
        <f>Input!C262*(1-B279)</f>
        <v>0</v>
      </c>
      <c r="F279" s="34">
        <f>Input!D262*(1-B279)</f>
        <v>0</v>
      </c>
      <c r="G279" s="34">
        <f>Input!E262*(1-C279)</f>
        <v>0</v>
      </c>
      <c r="H279" s="34">
        <f>Input!F262*(1-B279)</f>
        <v>0</v>
      </c>
      <c r="I279" s="34">
        <f>Input!G262*(1-B279)</f>
        <v>0</v>
      </c>
      <c r="J279" s="34">
        <f>Input!H262*(1-B279)</f>
        <v>0</v>
      </c>
      <c r="K279" s="17"/>
    </row>
    <row r="280" spans="1:11">
      <c r="A280" s="4" t="s">
        <v>294</v>
      </c>
      <c r="B280" s="36">
        <f>SUMPRODUCT($B152:$F152,Input!$B$162:$F$162)</f>
        <v>0.57341162484196806</v>
      </c>
      <c r="C280" s="38">
        <f>B280</f>
        <v>0.57341162484196806</v>
      </c>
      <c r="D280" s="34">
        <f>Input!B263*(1-B280)</f>
        <v>0</v>
      </c>
      <c r="E280" s="34">
        <f>Input!C263*(1-B280)</f>
        <v>0</v>
      </c>
      <c r="F280" s="34">
        <f>Input!D263*(1-B280)</f>
        <v>0</v>
      </c>
      <c r="G280" s="34">
        <f>Input!E263*(1-C280)</f>
        <v>0</v>
      </c>
      <c r="H280" s="34">
        <f>Input!F263*(1-B280)</f>
        <v>0</v>
      </c>
      <c r="I280" s="34">
        <f>Input!G263*(1-B280)</f>
        <v>0</v>
      </c>
      <c r="J280" s="34">
        <f>Input!H263*(1-B280)</f>
        <v>0</v>
      </c>
      <c r="K280" s="17"/>
    </row>
    <row r="281" spans="1:11">
      <c r="A281" s="27" t="s">
        <v>295</v>
      </c>
      <c r="K281" s="17"/>
    </row>
    <row r="282" spans="1:11">
      <c r="A282" s="4" t="s">
        <v>190</v>
      </c>
      <c r="B282" s="36">
        <f>SUMPRODUCT($B154:$F154,Input!$B$162:$F$162)</f>
        <v>0</v>
      </c>
      <c r="C282" s="38">
        <f>B282</f>
        <v>0</v>
      </c>
      <c r="D282" s="34">
        <f>Input!B265*(1-B282)</f>
        <v>3259.869342874948</v>
      </c>
      <c r="E282" s="34">
        <f>Input!C265*(1-B282)</f>
        <v>0</v>
      </c>
      <c r="F282" s="34">
        <f>Input!D265*(1-B282)</f>
        <v>0</v>
      </c>
      <c r="G282" s="34">
        <f>Input!E265*(1-C282)</f>
        <v>270.06557377049182</v>
      </c>
      <c r="H282" s="34">
        <f>Input!F265*(1-B282)</f>
        <v>0</v>
      </c>
      <c r="I282" s="34">
        <f>Input!G265*(1-B282)</f>
        <v>0</v>
      </c>
      <c r="J282" s="34">
        <f>Input!H265*(1-B282)</f>
        <v>0</v>
      </c>
      <c r="K282" s="17"/>
    </row>
    <row r="283" spans="1:11">
      <c r="A283" s="4" t="s">
        <v>296</v>
      </c>
      <c r="B283" s="36">
        <f>SUMPRODUCT($B155:$F155,Input!$B$162:$F$162)</f>
        <v>0</v>
      </c>
      <c r="C283" s="37">
        <v>1</v>
      </c>
      <c r="D283" s="34">
        <f>Input!B266*(1-B283)</f>
        <v>0</v>
      </c>
      <c r="E283" s="34">
        <f>Input!C266*(1-B283)</f>
        <v>0</v>
      </c>
      <c r="F283" s="34">
        <f>Input!D266*(1-B283)</f>
        <v>0</v>
      </c>
      <c r="G283" s="34">
        <f>Input!E266*(1-C283)</f>
        <v>0</v>
      </c>
      <c r="H283" s="34">
        <f>Input!F266*(1-B283)</f>
        <v>0</v>
      </c>
      <c r="I283" s="34">
        <f>Input!G266*(1-B283)</f>
        <v>0</v>
      </c>
      <c r="J283" s="34">
        <f>Input!H266*(1-B283)</f>
        <v>0</v>
      </c>
      <c r="K283" s="17"/>
    </row>
    <row r="284" spans="1:11">
      <c r="A284" s="4" t="s">
        <v>297</v>
      </c>
      <c r="B284" s="36">
        <f>SUMPRODUCT($B156:$F156,Input!$B$162:$F$162)</f>
        <v>0</v>
      </c>
      <c r="C284" s="37">
        <v>1</v>
      </c>
      <c r="D284" s="34">
        <f>Input!B267*(1-B284)</f>
        <v>0</v>
      </c>
      <c r="E284" s="34">
        <f>Input!C267*(1-B284)</f>
        <v>0</v>
      </c>
      <c r="F284" s="34">
        <f>Input!D267*(1-B284)</f>
        <v>0</v>
      </c>
      <c r="G284" s="34">
        <f>Input!E267*(1-C284)</f>
        <v>0</v>
      </c>
      <c r="H284" s="34">
        <f>Input!F267*(1-B284)</f>
        <v>0</v>
      </c>
      <c r="I284" s="34">
        <f>Input!G267*(1-B284)</f>
        <v>0</v>
      </c>
      <c r="J284" s="34">
        <f>Input!H267*(1-B284)</f>
        <v>0</v>
      </c>
      <c r="K284" s="17"/>
    </row>
    <row r="285" spans="1:11">
      <c r="A285" s="27" t="s">
        <v>298</v>
      </c>
      <c r="K285" s="17"/>
    </row>
    <row r="286" spans="1:11">
      <c r="A286" s="4" t="s">
        <v>191</v>
      </c>
      <c r="B286" s="36">
        <f>SUMPRODUCT($B158:$F158,Input!$B$162:$F$162)</f>
        <v>0</v>
      </c>
      <c r="C286" s="38">
        <f>B286</f>
        <v>0</v>
      </c>
      <c r="D286" s="34">
        <f>Input!B269*(1-B286)</f>
        <v>0.95981427317991785</v>
      </c>
      <c r="E286" s="34">
        <f>Input!C269*(1-B286)</f>
        <v>0</v>
      </c>
      <c r="F286" s="34">
        <f>Input!D269*(1-B286)</f>
        <v>0</v>
      </c>
      <c r="G286" s="34">
        <f>Input!E269*(1-C286)</f>
        <v>0.01</v>
      </c>
      <c r="H286" s="34">
        <f>Input!F269*(1-B286)</f>
        <v>0</v>
      </c>
      <c r="I286" s="34">
        <f>Input!G269*(1-B286)</f>
        <v>0</v>
      </c>
      <c r="J286" s="34">
        <f>Input!H269*(1-B286)</f>
        <v>0</v>
      </c>
      <c r="K286" s="17"/>
    </row>
    <row r="287" spans="1:11">
      <c r="A287" s="4" t="s">
        <v>299</v>
      </c>
      <c r="B287" s="36">
        <f>SUMPRODUCT($B159:$F159,Input!$B$162:$F$162)</f>
        <v>0</v>
      </c>
      <c r="C287" s="37">
        <v>1</v>
      </c>
      <c r="D287" s="34">
        <f>Input!B270*(1-B287)</f>
        <v>0</v>
      </c>
      <c r="E287" s="34">
        <f>Input!C270*(1-B287)</f>
        <v>0</v>
      </c>
      <c r="F287" s="34">
        <f>Input!D270*(1-B287)</f>
        <v>0</v>
      </c>
      <c r="G287" s="34">
        <f>Input!E270*(1-C287)</f>
        <v>0</v>
      </c>
      <c r="H287" s="34">
        <f>Input!F270*(1-B287)</f>
        <v>0</v>
      </c>
      <c r="I287" s="34">
        <f>Input!G270*(1-B287)</f>
        <v>0</v>
      </c>
      <c r="J287" s="34">
        <f>Input!H270*(1-B287)</f>
        <v>0</v>
      </c>
      <c r="K287" s="17"/>
    </row>
    <row r="288" spans="1:11">
      <c r="A288" s="27" t="s">
        <v>300</v>
      </c>
      <c r="K288" s="17"/>
    </row>
    <row r="289" spans="1:11">
      <c r="A289" s="4" t="s">
        <v>192</v>
      </c>
      <c r="B289" s="36">
        <f>SUMPRODUCT($B161:$F161,Input!$B$162:$F$162)</f>
        <v>0</v>
      </c>
      <c r="C289" s="38">
        <f>B289</f>
        <v>0</v>
      </c>
      <c r="D289" s="34">
        <f>Input!B272*(1-B289)</f>
        <v>20683.735342690296</v>
      </c>
      <c r="E289" s="34">
        <f>Input!C272*(1-B289)</f>
        <v>0</v>
      </c>
      <c r="F289" s="34">
        <f>Input!D272*(1-B289)</f>
        <v>0</v>
      </c>
      <c r="G289" s="34">
        <f>Input!E272*(1-C289)</f>
        <v>215.49726775956285</v>
      </c>
      <c r="H289" s="34">
        <f>Input!F272*(1-B289)</f>
        <v>0</v>
      </c>
      <c r="I289" s="34">
        <f>Input!G272*(1-B289)</f>
        <v>0</v>
      </c>
      <c r="J289" s="34">
        <f>Input!H272*(1-B289)</f>
        <v>1784.4707000000001</v>
      </c>
      <c r="K289" s="17"/>
    </row>
    <row r="290" spans="1:11">
      <c r="A290" s="4" t="s">
        <v>301</v>
      </c>
      <c r="B290" s="36">
        <f>SUMPRODUCT($B162:$F162,Input!$B$162:$F$162)</f>
        <v>0</v>
      </c>
      <c r="C290" s="37">
        <v>1</v>
      </c>
      <c r="D290" s="34">
        <f>Input!B273*(1-B290)</f>
        <v>0</v>
      </c>
      <c r="E290" s="34">
        <f>Input!C273*(1-B290)</f>
        <v>0</v>
      </c>
      <c r="F290" s="34">
        <f>Input!D273*(1-B290)</f>
        <v>0</v>
      </c>
      <c r="G290" s="34">
        <f>Input!E273*(1-C290)</f>
        <v>0</v>
      </c>
      <c r="H290" s="34">
        <f>Input!F273*(1-B290)</f>
        <v>0</v>
      </c>
      <c r="I290" s="34">
        <f>Input!G273*(1-B290)</f>
        <v>0</v>
      </c>
      <c r="J290" s="34">
        <f>Input!H273*(1-B290)</f>
        <v>0</v>
      </c>
      <c r="K290" s="17"/>
    </row>
    <row r="291" spans="1:11">
      <c r="A291" s="4" t="s">
        <v>302</v>
      </c>
      <c r="B291" s="36">
        <f>SUMPRODUCT($B163:$F163,Input!$B$162:$F$162)</f>
        <v>0</v>
      </c>
      <c r="C291" s="37">
        <v>1</v>
      </c>
      <c r="D291" s="34">
        <f>Input!B274*(1-B291)</f>
        <v>0</v>
      </c>
      <c r="E291" s="34">
        <f>Input!C274*(1-B291)</f>
        <v>0</v>
      </c>
      <c r="F291" s="34">
        <f>Input!D274*(1-B291)</f>
        <v>0</v>
      </c>
      <c r="G291" s="34">
        <f>Input!E274*(1-C291)</f>
        <v>0</v>
      </c>
      <c r="H291" s="34">
        <f>Input!F274*(1-B291)</f>
        <v>0</v>
      </c>
      <c r="I291" s="34">
        <f>Input!G274*(1-B291)</f>
        <v>0</v>
      </c>
      <c r="J291" s="34">
        <f>Input!H274*(1-B291)</f>
        <v>0</v>
      </c>
      <c r="K291" s="17"/>
    </row>
    <row r="292" spans="1:11">
      <c r="A292" s="27" t="s">
        <v>303</v>
      </c>
      <c r="K292" s="17"/>
    </row>
    <row r="293" spans="1:11">
      <c r="A293" s="4" t="s">
        <v>193</v>
      </c>
      <c r="B293" s="36">
        <f>SUMPRODUCT($B165:$F165,Input!$B$162:$F$162)</f>
        <v>0</v>
      </c>
      <c r="C293" s="38">
        <f>B293</f>
        <v>0</v>
      </c>
      <c r="D293" s="34">
        <f>Input!B276*(1-B293)</f>
        <v>0</v>
      </c>
      <c r="E293" s="34">
        <f>Input!C276*(1-B293)</f>
        <v>0</v>
      </c>
      <c r="F293" s="34">
        <f>Input!D276*(1-B293)</f>
        <v>0</v>
      </c>
      <c r="G293" s="34">
        <f>Input!E276*(1-C293)</f>
        <v>0</v>
      </c>
      <c r="H293" s="34">
        <f>Input!F276*(1-B293)</f>
        <v>0</v>
      </c>
      <c r="I293" s="34">
        <f>Input!G276*(1-B293)</f>
        <v>0</v>
      </c>
      <c r="J293" s="34">
        <f>Input!H276*(1-B293)</f>
        <v>0</v>
      </c>
      <c r="K293" s="17"/>
    </row>
    <row r="294" spans="1:11">
      <c r="A294" s="27" t="s">
        <v>304</v>
      </c>
      <c r="K294" s="17"/>
    </row>
    <row r="295" spans="1:11">
      <c r="A295" s="4" t="s">
        <v>194</v>
      </c>
      <c r="B295" s="36">
        <f>SUMPRODUCT($B167:$F167,Input!$B$162:$F$162)</f>
        <v>0</v>
      </c>
      <c r="C295" s="38">
        <f>B295</f>
        <v>0</v>
      </c>
      <c r="D295" s="34">
        <f>Input!B278*(1-B295)</f>
        <v>502.12550455304932</v>
      </c>
      <c r="E295" s="34">
        <f>Input!C278*(1-B295)</f>
        <v>1708.4349222639935</v>
      </c>
      <c r="F295" s="34">
        <f>Input!D278*(1-B295)</f>
        <v>3787.8781708437768</v>
      </c>
      <c r="G295" s="34">
        <f>Input!E278*(1-C295)</f>
        <v>20</v>
      </c>
      <c r="H295" s="34">
        <f>Input!F278*(1-B295)</f>
        <v>0</v>
      </c>
      <c r="I295" s="34">
        <f>Input!G278*(1-B295)</f>
        <v>0</v>
      </c>
      <c r="J295" s="34">
        <f>Input!H278*(1-B295)</f>
        <v>829.10050000000001</v>
      </c>
      <c r="K295" s="17"/>
    </row>
    <row r="296" spans="1:11">
      <c r="A296" s="4" t="s">
        <v>305</v>
      </c>
      <c r="B296" s="36">
        <f>SUMPRODUCT($B168:$F168,Input!$B$162:$F$162)</f>
        <v>0</v>
      </c>
      <c r="C296" s="37">
        <v>1</v>
      </c>
      <c r="D296" s="34">
        <f>Input!B279*(1-B296)</f>
        <v>0</v>
      </c>
      <c r="E296" s="34">
        <f>Input!C279*(1-B296)</f>
        <v>0.193</v>
      </c>
      <c r="F296" s="34">
        <f>Input!D279*(1-B296)</f>
        <v>1.3911071428571429</v>
      </c>
      <c r="G296" s="34">
        <f>Input!E279*(1-C296)</f>
        <v>0</v>
      </c>
      <c r="H296" s="34">
        <f>Input!F279*(1-B296)</f>
        <v>0</v>
      </c>
      <c r="I296" s="34">
        <f>Input!G279*(1-B296)</f>
        <v>0</v>
      </c>
      <c r="J296" s="34">
        <f>Input!H279*(1-B296)</f>
        <v>0.95899999999999996</v>
      </c>
      <c r="K296" s="17"/>
    </row>
    <row r="297" spans="1:11">
      <c r="A297" s="4" t="s">
        <v>306</v>
      </c>
      <c r="B297" s="36">
        <f>SUMPRODUCT($B169:$F169,Input!$B$162:$F$162)</f>
        <v>0</v>
      </c>
      <c r="C297" s="37">
        <v>1</v>
      </c>
      <c r="D297" s="34">
        <f>Input!B280*(1-B297)</f>
        <v>0</v>
      </c>
      <c r="E297" s="34">
        <f>Input!C280*(1-B297)</f>
        <v>0</v>
      </c>
      <c r="F297" s="34">
        <f>Input!D280*(1-B297)</f>
        <v>0</v>
      </c>
      <c r="G297" s="34">
        <f>Input!E280*(1-C297)</f>
        <v>0</v>
      </c>
      <c r="H297" s="34">
        <f>Input!F280*(1-B297)</f>
        <v>0</v>
      </c>
      <c r="I297" s="34">
        <f>Input!G280*(1-B297)</f>
        <v>0</v>
      </c>
      <c r="J297" s="34">
        <f>Input!H280*(1-B297)</f>
        <v>0</v>
      </c>
      <c r="K297" s="17"/>
    </row>
    <row r="298" spans="1:11">
      <c r="A298" s="27" t="s">
        <v>307</v>
      </c>
      <c r="K298" s="17"/>
    </row>
    <row r="299" spans="1:11">
      <c r="A299" s="4" t="s">
        <v>195</v>
      </c>
      <c r="B299" s="36">
        <f>SUMPRODUCT($B171:$F171,Input!$B$162:$F$162)</f>
        <v>0</v>
      </c>
      <c r="C299" s="38">
        <f>B299</f>
        <v>0</v>
      </c>
      <c r="D299" s="34">
        <f>Input!B282*(1-B299)</f>
        <v>0</v>
      </c>
      <c r="E299" s="34">
        <f>Input!C282*(1-B299)</f>
        <v>0</v>
      </c>
      <c r="F299" s="34">
        <f>Input!D282*(1-B299)</f>
        <v>0</v>
      </c>
      <c r="G299" s="34">
        <f>Input!E282*(1-C299)</f>
        <v>0</v>
      </c>
      <c r="H299" s="34">
        <f>Input!F282*(1-B299)</f>
        <v>0</v>
      </c>
      <c r="I299" s="34">
        <f>Input!G282*(1-B299)</f>
        <v>0</v>
      </c>
      <c r="J299" s="34">
        <f>Input!H282*(1-B299)</f>
        <v>0</v>
      </c>
      <c r="K299" s="17"/>
    </row>
    <row r="300" spans="1:11">
      <c r="A300" s="27" t="s">
        <v>308</v>
      </c>
      <c r="K300" s="17"/>
    </row>
    <row r="301" spans="1:11">
      <c r="A301" s="4" t="s">
        <v>196</v>
      </c>
      <c r="B301" s="36">
        <f>SUMPRODUCT($B173:$F173,Input!$B$162:$F$162)</f>
        <v>0</v>
      </c>
      <c r="C301" s="38">
        <f>B301</f>
        <v>0</v>
      </c>
      <c r="D301" s="34">
        <f>Input!B284*(1-B301)</f>
        <v>4182.5823952552873</v>
      </c>
      <c r="E301" s="34">
        <f>Input!C284*(1-B301)</f>
        <v>0</v>
      </c>
      <c r="F301" s="34">
        <f>Input!D284*(1-B301)</f>
        <v>0</v>
      </c>
      <c r="G301" s="34">
        <f>Input!E284*(1-C301)</f>
        <v>50.497267759562838</v>
      </c>
      <c r="H301" s="34">
        <f>Input!F284*(1-B301)</f>
        <v>0</v>
      </c>
      <c r="I301" s="34">
        <f>Input!G284*(1-B301)</f>
        <v>0</v>
      </c>
      <c r="J301" s="34">
        <f>Input!H284*(1-B301)</f>
        <v>228.45760000000004</v>
      </c>
      <c r="K301" s="17"/>
    </row>
    <row r="302" spans="1:11">
      <c r="A302" s="4" t="s">
        <v>309</v>
      </c>
      <c r="B302" s="36">
        <f>SUMPRODUCT($B174:$F174,Input!$B$162:$F$162)</f>
        <v>0</v>
      </c>
      <c r="C302" s="37">
        <v>1</v>
      </c>
      <c r="D302" s="34">
        <f>Input!B285*(1-B302)</f>
        <v>0</v>
      </c>
      <c r="E302" s="34">
        <f>Input!C285*(1-B302)</f>
        <v>0</v>
      </c>
      <c r="F302" s="34">
        <f>Input!D285*(1-B302)</f>
        <v>0</v>
      </c>
      <c r="G302" s="34">
        <f>Input!E285*(1-C302)</f>
        <v>0</v>
      </c>
      <c r="H302" s="34">
        <f>Input!F285*(1-B302)</f>
        <v>0</v>
      </c>
      <c r="I302" s="34">
        <f>Input!G285*(1-B302)</f>
        <v>0</v>
      </c>
      <c r="J302" s="34">
        <f>Input!H285*(1-B302)</f>
        <v>0</v>
      </c>
      <c r="K302" s="17"/>
    </row>
    <row r="303" spans="1:11">
      <c r="A303" s="27" t="s">
        <v>310</v>
      </c>
      <c r="K303" s="17"/>
    </row>
    <row r="304" spans="1:11">
      <c r="A304" s="4" t="s">
        <v>197</v>
      </c>
      <c r="B304" s="36">
        <f>SUMPRODUCT($B176:$F176,Input!$B$162:$F$162)</f>
        <v>0</v>
      </c>
      <c r="C304" s="38">
        <f>B304</f>
        <v>0</v>
      </c>
      <c r="D304" s="34">
        <f>Input!B287*(1-B304)</f>
        <v>0</v>
      </c>
      <c r="E304" s="34">
        <f>Input!C287*(1-B304)</f>
        <v>0</v>
      </c>
      <c r="F304" s="34">
        <f>Input!D287*(1-B304)</f>
        <v>0</v>
      </c>
      <c r="G304" s="34">
        <f>Input!E287*(1-C304)</f>
        <v>0</v>
      </c>
      <c r="H304" s="34">
        <f>Input!F287*(1-B304)</f>
        <v>0</v>
      </c>
      <c r="I304" s="34">
        <f>Input!G287*(1-B304)</f>
        <v>0</v>
      </c>
      <c r="J304" s="34">
        <f>Input!H287*(1-B304)</f>
        <v>0</v>
      </c>
      <c r="K304" s="17"/>
    </row>
    <row r="305" spans="1:11">
      <c r="A305" s="27" t="s">
        <v>311</v>
      </c>
      <c r="K305" s="17"/>
    </row>
    <row r="306" spans="1:11">
      <c r="A306" s="4" t="s">
        <v>198</v>
      </c>
      <c r="B306" s="36">
        <f>SUMPRODUCT($B178:$F178,Input!$B$162:$F$162)</f>
        <v>0</v>
      </c>
      <c r="C306" s="38">
        <f>B306</f>
        <v>0</v>
      </c>
      <c r="D306" s="34">
        <f>Input!B289*(1-B306)</f>
        <v>158.87000909090909</v>
      </c>
      <c r="E306" s="34">
        <f>Input!C289*(1-B306)</f>
        <v>430.70374155844155</v>
      </c>
      <c r="F306" s="34">
        <f>Input!D289*(1-B306)</f>
        <v>1007.8770038961039</v>
      </c>
      <c r="G306" s="34">
        <f>Input!E289*(1-C306)</f>
        <v>12</v>
      </c>
      <c r="H306" s="34">
        <f>Input!F289*(1-B306)</f>
        <v>0</v>
      </c>
      <c r="I306" s="34">
        <f>Input!G289*(1-B306)</f>
        <v>0</v>
      </c>
      <c r="J306" s="34">
        <f>Input!H289*(1-B306)</f>
        <v>227.47309999999999</v>
      </c>
      <c r="K306" s="17"/>
    </row>
    <row r="307" spans="1:11">
      <c r="A307" s="4" t="s">
        <v>312</v>
      </c>
      <c r="B307" s="36">
        <f>SUMPRODUCT($B179:$F179,Input!$B$162:$F$162)</f>
        <v>0</v>
      </c>
      <c r="C307" s="37">
        <v>1</v>
      </c>
      <c r="D307" s="34">
        <f>Input!B290*(1-B307)</f>
        <v>0</v>
      </c>
      <c r="E307" s="34">
        <f>Input!C290*(1-B307)</f>
        <v>0</v>
      </c>
      <c r="F307" s="34">
        <f>Input!D290*(1-B307)</f>
        <v>0</v>
      </c>
      <c r="G307" s="34">
        <f>Input!E290*(1-C307)</f>
        <v>0</v>
      </c>
      <c r="H307" s="34">
        <f>Input!F290*(1-B307)</f>
        <v>0</v>
      </c>
      <c r="I307" s="34">
        <f>Input!G290*(1-B307)</f>
        <v>0</v>
      </c>
      <c r="J307" s="34">
        <f>Input!H290*(1-B307)</f>
        <v>0</v>
      </c>
      <c r="K307" s="17"/>
    </row>
    <row r="308" spans="1:11">
      <c r="A308" s="27" t="s">
        <v>313</v>
      </c>
      <c r="K308" s="17"/>
    </row>
    <row r="309" spans="1:11">
      <c r="A309" s="4" t="s">
        <v>199</v>
      </c>
      <c r="B309" s="36">
        <f>SUMPRODUCT($B181:$F181,Input!$B$162:$F$162)</f>
        <v>0</v>
      </c>
      <c r="C309" s="38">
        <f>B309</f>
        <v>0</v>
      </c>
      <c r="D309" s="34">
        <f>Input!B292*(1-B309)</f>
        <v>0</v>
      </c>
      <c r="E309" s="34">
        <f>Input!C292*(1-B309)</f>
        <v>0</v>
      </c>
      <c r="F309" s="34">
        <f>Input!D292*(1-B309)</f>
        <v>0</v>
      </c>
      <c r="G309" s="34">
        <f>Input!E292*(1-C309)</f>
        <v>0</v>
      </c>
      <c r="H309" s="34">
        <f>Input!F292*(1-B309)</f>
        <v>0</v>
      </c>
      <c r="I309" s="34">
        <f>Input!G292*(1-B309)</f>
        <v>0</v>
      </c>
      <c r="J309" s="34">
        <f>Input!H292*(1-B309)</f>
        <v>0</v>
      </c>
      <c r="K309" s="17"/>
    </row>
    <row r="310" spans="1:11">
      <c r="A310" s="27" t="s">
        <v>314</v>
      </c>
      <c r="K310" s="17"/>
    </row>
    <row r="311" spans="1:11">
      <c r="A311" s="4" t="s">
        <v>207</v>
      </c>
      <c r="B311" s="36">
        <f>SUMPRODUCT($B183:$F183,Input!$B$162:$F$162)</f>
        <v>0</v>
      </c>
      <c r="C311" s="38">
        <f>B311</f>
        <v>0</v>
      </c>
      <c r="D311" s="34">
        <f>Input!B294*(1-B311)</f>
        <v>405655.95821367676</v>
      </c>
      <c r="E311" s="34">
        <f>Input!C294*(1-B311)</f>
        <v>0</v>
      </c>
      <c r="F311" s="34">
        <f>Input!D294*(1-B311)</f>
        <v>0</v>
      </c>
      <c r="G311" s="34">
        <f>Input!E294*(1-C311)</f>
        <v>186.99453551912569</v>
      </c>
      <c r="H311" s="34">
        <f>Input!F294*(1-B311)</f>
        <v>0</v>
      </c>
      <c r="I311" s="34">
        <f>Input!G294*(1-B311)</f>
        <v>0</v>
      </c>
      <c r="J311" s="34">
        <f>Input!H294*(1-B311)</f>
        <v>9680.9220000000005</v>
      </c>
      <c r="K311" s="17"/>
    </row>
    <row r="312" spans="1:11">
      <c r="A312" s="4" t="s">
        <v>315</v>
      </c>
      <c r="B312" s="36">
        <f>SUMPRODUCT($B184:$F184,Input!$B$162:$F$162)</f>
        <v>0</v>
      </c>
      <c r="C312" s="37">
        <v>1</v>
      </c>
      <c r="D312" s="34">
        <f>Input!B295*(1-B312)</f>
        <v>0</v>
      </c>
      <c r="E312" s="34">
        <f>Input!C295*(1-B312)</f>
        <v>0</v>
      </c>
      <c r="F312" s="34">
        <f>Input!D295*(1-B312)</f>
        <v>0</v>
      </c>
      <c r="G312" s="34">
        <f>Input!E295*(1-C312)</f>
        <v>0</v>
      </c>
      <c r="H312" s="34">
        <f>Input!F295*(1-B312)</f>
        <v>0</v>
      </c>
      <c r="I312" s="34">
        <f>Input!G295*(1-B312)</f>
        <v>0</v>
      </c>
      <c r="J312" s="34">
        <f>Input!H295*(1-B312)</f>
        <v>0</v>
      </c>
      <c r="K312" s="17"/>
    </row>
    <row r="313" spans="1:11">
      <c r="A313" s="27" t="s">
        <v>316</v>
      </c>
      <c r="K313" s="17"/>
    </row>
    <row r="314" spans="1:11">
      <c r="A314" s="4" t="s">
        <v>208</v>
      </c>
      <c r="B314" s="36">
        <f>SUMPRODUCT($B186:$F186,Input!$B$162:$F$162)</f>
        <v>0</v>
      </c>
      <c r="C314" s="38">
        <f>B314</f>
        <v>0</v>
      </c>
      <c r="D314" s="34">
        <f>Input!B297*(1-B314)</f>
        <v>0</v>
      </c>
      <c r="E314" s="34">
        <f>Input!C297*(1-B314)</f>
        <v>0</v>
      </c>
      <c r="F314" s="34">
        <f>Input!D297*(1-B314)</f>
        <v>0</v>
      </c>
      <c r="G314" s="34">
        <f>Input!E297*(1-C314)</f>
        <v>0</v>
      </c>
      <c r="H314" s="34">
        <f>Input!F297*(1-B314)</f>
        <v>0</v>
      </c>
      <c r="I314" s="34">
        <f>Input!G297*(1-B314)</f>
        <v>0</v>
      </c>
      <c r="J314" s="34">
        <f>Input!H297*(1-B314)</f>
        <v>0</v>
      </c>
      <c r="K314" s="17"/>
    </row>
    <row r="315" spans="1:11">
      <c r="A315" s="27" t="s">
        <v>317</v>
      </c>
      <c r="K315" s="17"/>
    </row>
    <row r="316" spans="1:11">
      <c r="A316" s="4" t="s">
        <v>209</v>
      </c>
      <c r="B316" s="36">
        <f>SUMPRODUCT($B188:$F188,Input!$B$162:$F$162)</f>
        <v>0</v>
      </c>
      <c r="C316" s="38">
        <f>B316</f>
        <v>0</v>
      </c>
      <c r="D316" s="34">
        <f>Input!B299*(1-B316)</f>
        <v>53031.032570626296</v>
      </c>
      <c r="E316" s="34">
        <f>Input!C299*(1-B316)</f>
        <v>138554.41737676441</v>
      </c>
      <c r="F316" s="34">
        <f>Input!D299*(1-B316)</f>
        <v>277588.80488136888</v>
      </c>
      <c r="G316" s="34">
        <f>Input!E299*(1-C316)</f>
        <v>139.49726775956285</v>
      </c>
      <c r="H316" s="34">
        <f>Input!F299*(1-B316)</f>
        <v>0</v>
      </c>
      <c r="I316" s="34">
        <f>Input!G299*(1-B316)</f>
        <v>0</v>
      </c>
      <c r="J316" s="34">
        <f>Input!H299*(1-B316)</f>
        <v>20239.200199999999</v>
      </c>
      <c r="K316" s="17"/>
    </row>
    <row r="317" spans="1:11">
      <c r="A317" s="4" t="s">
        <v>318</v>
      </c>
      <c r="B317" s="36">
        <f>SUMPRODUCT($B189:$F189,Input!$B$162:$F$162)</f>
        <v>0</v>
      </c>
      <c r="C317" s="37">
        <v>1</v>
      </c>
      <c r="D317" s="34">
        <f>Input!B300*(1-B317)</f>
        <v>0</v>
      </c>
      <c r="E317" s="34">
        <f>Input!C300*(1-B317)</f>
        <v>0</v>
      </c>
      <c r="F317" s="34">
        <f>Input!D300*(1-B317)</f>
        <v>0</v>
      </c>
      <c r="G317" s="34">
        <f>Input!E300*(1-C317)</f>
        <v>0</v>
      </c>
      <c r="H317" s="34">
        <f>Input!F300*(1-B317)</f>
        <v>0</v>
      </c>
      <c r="I317" s="34">
        <f>Input!G300*(1-B317)</f>
        <v>0</v>
      </c>
      <c r="J317" s="34">
        <f>Input!H300*(1-B317)</f>
        <v>0</v>
      </c>
      <c r="K317" s="17"/>
    </row>
    <row r="318" spans="1:11">
      <c r="A318" s="27" t="s">
        <v>319</v>
      </c>
      <c r="K318" s="17"/>
    </row>
    <row r="319" spans="1:11">
      <c r="A319" s="4" t="s">
        <v>210</v>
      </c>
      <c r="B319" s="36">
        <f>SUMPRODUCT($B191:$F191,Input!$B$162:$F$162)</f>
        <v>0</v>
      </c>
      <c r="C319" s="38">
        <f>B319</f>
        <v>0</v>
      </c>
      <c r="D319" s="34">
        <f>Input!B302*(1-B319)</f>
        <v>0</v>
      </c>
      <c r="E319" s="34">
        <f>Input!C302*(1-B319)</f>
        <v>0</v>
      </c>
      <c r="F319" s="34">
        <f>Input!D302*(1-B319)</f>
        <v>0</v>
      </c>
      <c r="G319" s="34">
        <f>Input!E302*(1-C319)</f>
        <v>0</v>
      </c>
      <c r="H319" s="34">
        <f>Input!F302*(1-B319)</f>
        <v>0</v>
      </c>
      <c r="I319" s="34">
        <f>Input!G302*(1-B319)</f>
        <v>0</v>
      </c>
      <c r="J319" s="34">
        <f>Input!H302*(1-B319)</f>
        <v>0</v>
      </c>
      <c r="K319" s="17"/>
    </row>
    <row r="321" spans="1:9" ht="21" customHeight="1">
      <c r="A321" s="1" t="s">
        <v>558</v>
      </c>
    </row>
    <row r="322" spans="1:9">
      <c r="A322" s="2" t="s">
        <v>379</v>
      </c>
    </row>
    <row r="323" spans="1:9">
      <c r="A323" s="29" t="s">
        <v>559</v>
      </c>
    </row>
    <row r="324" spans="1:9">
      <c r="A324" s="29" t="s">
        <v>560</v>
      </c>
    </row>
    <row r="325" spans="1:9">
      <c r="A325" s="29" t="s">
        <v>561</v>
      </c>
    </row>
    <row r="326" spans="1:9">
      <c r="A326" s="29" t="s">
        <v>562</v>
      </c>
    </row>
    <row r="327" spans="1:9">
      <c r="A327" s="29" t="s">
        <v>563</v>
      </c>
    </row>
    <row r="328" spans="1:9">
      <c r="A328" s="29" t="s">
        <v>564</v>
      </c>
    </row>
    <row r="329" spans="1:9">
      <c r="A329" s="29" t="s">
        <v>565</v>
      </c>
    </row>
    <row r="330" spans="1:9">
      <c r="A330" s="30" t="s">
        <v>382</v>
      </c>
      <c r="B330" s="30" t="s">
        <v>513</v>
      </c>
      <c r="C330" s="30" t="s">
        <v>513</v>
      </c>
      <c r="D330" s="30" t="s">
        <v>513</v>
      </c>
      <c r="E330" s="30" t="s">
        <v>513</v>
      </c>
      <c r="F330" s="30" t="s">
        <v>513</v>
      </c>
      <c r="G330" s="30" t="s">
        <v>513</v>
      </c>
      <c r="H330" s="30" t="s">
        <v>513</v>
      </c>
    </row>
    <row r="331" spans="1:9">
      <c r="A331" s="30" t="s">
        <v>385</v>
      </c>
      <c r="B331" s="30" t="s">
        <v>566</v>
      </c>
      <c r="C331" s="30" t="s">
        <v>567</v>
      </c>
      <c r="D331" s="30" t="s">
        <v>568</v>
      </c>
      <c r="E331" s="30" t="s">
        <v>569</v>
      </c>
      <c r="F331" s="30" t="s">
        <v>515</v>
      </c>
      <c r="G331" s="30" t="s">
        <v>570</v>
      </c>
      <c r="H331" s="30" t="s">
        <v>571</v>
      </c>
    </row>
    <row r="333" spans="1:9" ht="30">
      <c r="B333" s="15" t="s">
        <v>237</v>
      </c>
      <c r="C333" s="15" t="s">
        <v>238</v>
      </c>
      <c r="D333" s="15" t="s">
        <v>239</v>
      </c>
      <c r="E333" s="15" t="s">
        <v>240</v>
      </c>
      <c r="F333" s="15" t="s">
        <v>241</v>
      </c>
      <c r="G333" s="15" t="s">
        <v>242</v>
      </c>
      <c r="H333" s="15" t="s">
        <v>243</v>
      </c>
    </row>
    <row r="334" spans="1:9">
      <c r="A334" s="4" t="s">
        <v>180</v>
      </c>
      <c r="B334" s="39">
        <f t="shared" ref="B334:H334" si="0">SUM(D$212:D$214)</f>
        <v>6545364.9635519525</v>
      </c>
      <c r="C334" s="39">
        <f t="shared" si="0"/>
        <v>0</v>
      </c>
      <c r="D334" s="39">
        <f t="shared" si="0"/>
        <v>0</v>
      </c>
      <c r="E334" s="39">
        <f t="shared" si="0"/>
        <v>2065133.6971907238</v>
      </c>
      <c r="F334" s="39">
        <f t="shared" si="0"/>
        <v>0</v>
      </c>
      <c r="G334" s="39">
        <f t="shared" si="0"/>
        <v>0</v>
      </c>
      <c r="H334" s="39">
        <f t="shared" si="0"/>
        <v>0</v>
      </c>
      <c r="I334" s="17"/>
    </row>
    <row r="335" spans="1:9">
      <c r="A335" s="4" t="s">
        <v>181</v>
      </c>
      <c r="B335" s="39">
        <f t="shared" ref="B335:H335" si="1">SUM(D$216:D$218)</f>
        <v>471567.06951320573</v>
      </c>
      <c r="C335" s="39">
        <f t="shared" si="1"/>
        <v>467293.58719008288</v>
      </c>
      <c r="D335" s="39">
        <f t="shared" si="1"/>
        <v>0</v>
      </c>
      <c r="E335" s="39">
        <f t="shared" si="1"/>
        <v>179230.22544160407</v>
      </c>
      <c r="F335" s="39">
        <f t="shared" si="1"/>
        <v>0</v>
      </c>
      <c r="G335" s="39">
        <f t="shared" si="1"/>
        <v>0</v>
      </c>
      <c r="H335" s="39">
        <f t="shared" si="1"/>
        <v>0</v>
      </c>
      <c r="I335" s="17"/>
    </row>
    <row r="336" spans="1:9">
      <c r="A336" s="4" t="s">
        <v>226</v>
      </c>
      <c r="B336" s="39">
        <f t="shared" ref="B336:H336" si="2">SUM(D$220:D$222)</f>
        <v>14279.502094378502</v>
      </c>
      <c r="C336" s="39">
        <f t="shared" si="2"/>
        <v>0</v>
      </c>
      <c r="D336" s="39">
        <f t="shared" si="2"/>
        <v>0</v>
      </c>
      <c r="E336" s="39">
        <f t="shared" si="2"/>
        <v>4270</v>
      </c>
      <c r="F336" s="39">
        <f t="shared" si="2"/>
        <v>0</v>
      </c>
      <c r="G336" s="39">
        <f t="shared" si="2"/>
        <v>0</v>
      </c>
      <c r="H336" s="39">
        <f t="shared" si="2"/>
        <v>0</v>
      </c>
      <c r="I336" s="17"/>
    </row>
    <row r="337" spans="1:9">
      <c r="A337" s="4" t="s">
        <v>182</v>
      </c>
      <c r="B337" s="39">
        <f t="shared" ref="B337:H337" si="3">SUM(D$224:D$226)</f>
        <v>1501503.189157428</v>
      </c>
      <c r="C337" s="39">
        <f t="shared" si="3"/>
        <v>0</v>
      </c>
      <c r="D337" s="39">
        <f t="shared" si="3"/>
        <v>0</v>
      </c>
      <c r="E337" s="39">
        <f t="shared" si="3"/>
        <v>122276.7197336002</v>
      </c>
      <c r="F337" s="39">
        <f t="shared" si="3"/>
        <v>0</v>
      </c>
      <c r="G337" s="39">
        <f t="shared" si="3"/>
        <v>0</v>
      </c>
      <c r="H337" s="39">
        <f t="shared" si="3"/>
        <v>0</v>
      </c>
      <c r="I337" s="17"/>
    </row>
    <row r="338" spans="1:9">
      <c r="A338" s="4" t="s">
        <v>183</v>
      </c>
      <c r="B338" s="39">
        <f t="shared" ref="B338:H338" si="4">SUM(D$228:D$230)</f>
        <v>531947.35459341761</v>
      </c>
      <c r="C338" s="39">
        <f t="shared" si="4"/>
        <v>195729.17539193408</v>
      </c>
      <c r="D338" s="39">
        <f t="shared" si="4"/>
        <v>0</v>
      </c>
      <c r="E338" s="39">
        <f t="shared" si="4"/>
        <v>34194.508811436142</v>
      </c>
      <c r="F338" s="39">
        <f t="shared" si="4"/>
        <v>0</v>
      </c>
      <c r="G338" s="39">
        <f t="shared" si="4"/>
        <v>0</v>
      </c>
      <c r="H338" s="39">
        <f t="shared" si="4"/>
        <v>0</v>
      </c>
      <c r="I338" s="17"/>
    </row>
    <row r="339" spans="1:9">
      <c r="A339" s="4" t="s">
        <v>227</v>
      </c>
      <c r="B339" s="39">
        <f t="shared" ref="B339:H339" si="5">SUM(D$232:D$234)</f>
        <v>20242.629112942406</v>
      </c>
      <c r="C339" s="39">
        <f t="shared" si="5"/>
        <v>0</v>
      </c>
      <c r="D339" s="39">
        <f t="shared" si="5"/>
        <v>0</v>
      </c>
      <c r="E339" s="39">
        <f t="shared" si="5"/>
        <v>3655</v>
      </c>
      <c r="F339" s="39">
        <f t="shared" si="5"/>
        <v>0</v>
      </c>
      <c r="G339" s="39">
        <f t="shared" si="5"/>
        <v>0</v>
      </c>
      <c r="H339" s="39">
        <f t="shared" si="5"/>
        <v>0</v>
      </c>
      <c r="I339" s="17"/>
    </row>
    <row r="340" spans="1:9">
      <c r="A340" s="4" t="s">
        <v>184</v>
      </c>
      <c r="B340" s="39">
        <f t="shared" ref="B340:H340" si="6">SUM(D$236:D$238)</f>
        <v>67.954143903877082</v>
      </c>
      <c r="C340" s="39">
        <f t="shared" si="6"/>
        <v>13.416646792536799</v>
      </c>
      <c r="D340" s="39">
        <f t="shared" si="6"/>
        <v>0</v>
      </c>
      <c r="E340" s="39">
        <f t="shared" si="6"/>
        <v>1.2862842580996403</v>
      </c>
      <c r="F340" s="39">
        <f t="shared" si="6"/>
        <v>0</v>
      </c>
      <c r="G340" s="39">
        <f t="shared" si="6"/>
        <v>0</v>
      </c>
      <c r="H340" s="39">
        <f t="shared" si="6"/>
        <v>0</v>
      </c>
      <c r="I340" s="17"/>
    </row>
    <row r="341" spans="1:9">
      <c r="A341" s="4" t="s">
        <v>185</v>
      </c>
      <c r="B341" s="39">
        <f t="shared" ref="B341:H341" si="7">SUM(D$240:D$240)</f>
        <v>0.13596319903118673</v>
      </c>
      <c r="C341" s="39">
        <f t="shared" si="7"/>
        <v>0.2880364513981673</v>
      </c>
      <c r="D341" s="39">
        <f t="shared" si="7"/>
        <v>0</v>
      </c>
      <c r="E341" s="39">
        <f t="shared" si="7"/>
        <v>1E-3</v>
      </c>
      <c r="F341" s="39">
        <f t="shared" si="7"/>
        <v>0</v>
      </c>
      <c r="G341" s="39">
        <f t="shared" si="7"/>
        <v>0</v>
      </c>
      <c r="H341" s="39">
        <f t="shared" si="7"/>
        <v>0</v>
      </c>
      <c r="I341" s="17"/>
    </row>
    <row r="342" spans="1:9">
      <c r="A342" s="4" t="s">
        <v>205</v>
      </c>
      <c r="B342" s="39">
        <f t="shared" ref="B342:H342" si="8">SUM(D$242:D$242)</f>
        <v>0.45301947902899675</v>
      </c>
      <c r="C342" s="39">
        <f t="shared" si="8"/>
        <v>1.1537160889420643</v>
      </c>
      <c r="D342" s="39">
        <f t="shared" si="8"/>
        <v>0</v>
      </c>
      <c r="E342" s="39">
        <f t="shared" si="8"/>
        <v>1E-3</v>
      </c>
      <c r="F342" s="39">
        <f t="shared" si="8"/>
        <v>0</v>
      </c>
      <c r="G342" s="39">
        <f t="shared" si="8"/>
        <v>0</v>
      </c>
      <c r="H342" s="39">
        <f t="shared" si="8"/>
        <v>0</v>
      </c>
      <c r="I342" s="17"/>
    </row>
    <row r="343" spans="1:9">
      <c r="A343" s="4" t="s">
        <v>186</v>
      </c>
      <c r="B343" s="39">
        <f t="shared" ref="B343:H343" si="9">SUM(D$244:D$246)</f>
        <v>68.864270450400312</v>
      </c>
      <c r="C343" s="39">
        <f t="shared" si="9"/>
        <v>206.59970904609159</v>
      </c>
      <c r="D343" s="39">
        <f t="shared" si="9"/>
        <v>381.07054134295925</v>
      </c>
      <c r="E343" s="39">
        <f t="shared" si="9"/>
        <v>339.80327868852459</v>
      </c>
      <c r="F343" s="39">
        <f t="shared" si="9"/>
        <v>0</v>
      </c>
      <c r="G343" s="39">
        <f t="shared" si="9"/>
        <v>0</v>
      </c>
      <c r="H343" s="39">
        <f t="shared" si="9"/>
        <v>0</v>
      </c>
      <c r="I343" s="17"/>
    </row>
    <row r="344" spans="1:9">
      <c r="A344" s="4" t="s">
        <v>187</v>
      </c>
      <c r="B344" s="39">
        <f t="shared" ref="B344:H344" si="10">SUM(D$248:D$250)</f>
        <v>22435.964946164946</v>
      </c>
      <c r="C344" s="39">
        <f t="shared" si="10"/>
        <v>80597.104471233906</v>
      </c>
      <c r="D344" s="39">
        <f t="shared" si="10"/>
        <v>113029.99064230964</v>
      </c>
      <c r="E344" s="39">
        <f t="shared" si="10"/>
        <v>3574</v>
      </c>
      <c r="F344" s="39">
        <f t="shared" si="10"/>
        <v>0</v>
      </c>
      <c r="G344" s="39">
        <f t="shared" si="10"/>
        <v>0</v>
      </c>
      <c r="H344" s="39">
        <f t="shared" si="10"/>
        <v>0</v>
      </c>
      <c r="I344" s="17"/>
    </row>
    <row r="345" spans="1:9">
      <c r="A345" s="4" t="s">
        <v>188</v>
      </c>
      <c r="B345" s="39">
        <f t="shared" ref="B345:H345" si="11">SUM(D$252:D$254)</f>
        <v>266105.66927676706</v>
      </c>
      <c r="C345" s="39">
        <f t="shared" si="11"/>
        <v>950500.72443122079</v>
      </c>
      <c r="D345" s="39">
        <f t="shared" si="11"/>
        <v>1227506.5275575314</v>
      </c>
      <c r="E345" s="39">
        <f t="shared" si="11"/>
        <v>13184.459805723727</v>
      </c>
      <c r="F345" s="39">
        <f t="shared" si="11"/>
        <v>1276491.4450440563</v>
      </c>
      <c r="G345" s="39">
        <f t="shared" si="11"/>
        <v>12764.914450440561</v>
      </c>
      <c r="H345" s="39">
        <f t="shared" si="11"/>
        <v>201339.10552225233</v>
      </c>
      <c r="I345" s="17"/>
    </row>
    <row r="346" spans="1:9">
      <c r="A346" s="4" t="s">
        <v>189</v>
      </c>
      <c r="B346" s="39">
        <f t="shared" ref="B346:H346" si="12">SUM(D$256:D$257)</f>
        <v>127017.26508282503</v>
      </c>
      <c r="C346" s="39">
        <f t="shared" si="12"/>
        <v>465220.47988462687</v>
      </c>
      <c r="D346" s="39">
        <f t="shared" si="12"/>
        <v>628507.32185137214</v>
      </c>
      <c r="E346" s="39">
        <f t="shared" si="12"/>
        <v>2170.2101264178787</v>
      </c>
      <c r="F346" s="39">
        <f t="shared" si="12"/>
        <v>654466.12617924088</v>
      </c>
      <c r="G346" s="39">
        <f t="shared" si="12"/>
        <v>6544.6612617924093</v>
      </c>
      <c r="H346" s="39">
        <f t="shared" si="12"/>
        <v>97135.87709443245</v>
      </c>
      <c r="I346" s="17"/>
    </row>
    <row r="347" spans="1:9">
      <c r="A347" s="4" t="s">
        <v>206</v>
      </c>
      <c r="B347" s="39">
        <f t="shared" ref="B347:H347" si="13">SUM(D$259:D$260)</f>
        <v>459708.90735710494</v>
      </c>
      <c r="C347" s="39">
        <f t="shared" si="13"/>
        <v>1572220.6520611718</v>
      </c>
      <c r="D347" s="39">
        <f t="shared" si="13"/>
        <v>2589377.4736740165</v>
      </c>
      <c r="E347" s="39">
        <f t="shared" si="13"/>
        <v>2243.2710370693644</v>
      </c>
      <c r="F347" s="39">
        <f t="shared" si="13"/>
        <v>1830319.3684879716</v>
      </c>
      <c r="G347" s="39">
        <f t="shared" si="13"/>
        <v>18303.19368487972</v>
      </c>
      <c r="H347" s="39">
        <f t="shared" si="13"/>
        <v>366118.34657921462</v>
      </c>
      <c r="I347" s="17"/>
    </row>
    <row r="348" spans="1:9">
      <c r="A348" s="4" t="s">
        <v>228</v>
      </c>
      <c r="B348" s="39">
        <f t="shared" ref="B348:H348" si="14">SUM(D$262:D$264)</f>
        <v>17466.3968856461</v>
      </c>
      <c r="C348" s="39">
        <f t="shared" si="14"/>
        <v>0</v>
      </c>
      <c r="D348" s="39">
        <f t="shared" si="14"/>
        <v>0</v>
      </c>
      <c r="E348" s="39">
        <f t="shared" si="14"/>
        <v>203.50273224043715</v>
      </c>
      <c r="F348" s="39">
        <f t="shared" si="14"/>
        <v>0</v>
      </c>
      <c r="G348" s="39">
        <f t="shared" si="14"/>
        <v>0</v>
      </c>
      <c r="H348" s="39">
        <f t="shared" si="14"/>
        <v>0</v>
      </c>
      <c r="I348" s="17"/>
    </row>
    <row r="349" spans="1:9">
      <c r="A349" s="4" t="s">
        <v>229</v>
      </c>
      <c r="B349" s="39">
        <f t="shared" ref="B349:H349" si="15">SUM(D$266:D$268)</f>
        <v>9322.3454758277185</v>
      </c>
      <c r="C349" s="39">
        <f t="shared" si="15"/>
        <v>0</v>
      </c>
      <c r="D349" s="39">
        <f t="shared" si="15"/>
        <v>0</v>
      </c>
      <c r="E349" s="39">
        <f t="shared" si="15"/>
        <v>383.61069959534098</v>
      </c>
      <c r="F349" s="39">
        <f t="shared" si="15"/>
        <v>0</v>
      </c>
      <c r="G349" s="39">
        <f t="shared" si="15"/>
        <v>0</v>
      </c>
      <c r="H349" s="39">
        <f t="shared" si="15"/>
        <v>0</v>
      </c>
      <c r="I349" s="17"/>
    </row>
    <row r="350" spans="1:9">
      <c r="A350" s="4" t="s">
        <v>230</v>
      </c>
      <c r="B350" s="39">
        <f t="shared" ref="B350:H350" si="16">SUM(D$270:D$272)</f>
        <v>411.24693034888236</v>
      </c>
      <c r="C350" s="39">
        <f t="shared" si="16"/>
        <v>0</v>
      </c>
      <c r="D350" s="39">
        <f t="shared" si="16"/>
        <v>0</v>
      </c>
      <c r="E350" s="39">
        <f t="shared" si="16"/>
        <v>8</v>
      </c>
      <c r="F350" s="39">
        <f t="shared" si="16"/>
        <v>0</v>
      </c>
      <c r="G350" s="39">
        <f t="shared" si="16"/>
        <v>0</v>
      </c>
      <c r="H350" s="39">
        <f t="shared" si="16"/>
        <v>0</v>
      </c>
      <c r="I350" s="17"/>
    </row>
    <row r="351" spans="1:9">
      <c r="A351" s="4" t="s">
        <v>231</v>
      </c>
      <c r="B351" s="39">
        <f t="shared" ref="B351:H351" si="17">SUM(D$274:D$276)</f>
        <v>5.1405866293610297E-2</v>
      </c>
      <c r="C351" s="39">
        <f t="shared" si="17"/>
        <v>0</v>
      </c>
      <c r="D351" s="39">
        <f t="shared" si="17"/>
        <v>0</v>
      </c>
      <c r="E351" s="39">
        <f t="shared" si="17"/>
        <v>1E-3</v>
      </c>
      <c r="F351" s="39">
        <f t="shared" si="17"/>
        <v>0</v>
      </c>
      <c r="G351" s="39">
        <f t="shared" si="17"/>
        <v>0</v>
      </c>
      <c r="H351" s="39">
        <f t="shared" si="17"/>
        <v>0</v>
      </c>
      <c r="I351" s="17"/>
    </row>
    <row r="352" spans="1:9">
      <c r="A352" s="4" t="s">
        <v>232</v>
      </c>
      <c r="B352" s="39">
        <f t="shared" ref="B352:H352" si="18">SUM(D$278:D$280)</f>
        <v>10560.706473771854</v>
      </c>
      <c r="C352" s="39">
        <f t="shared" si="18"/>
        <v>28387.518136671788</v>
      </c>
      <c r="D352" s="39">
        <f t="shared" si="18"/>
        <v>176907.07056212696</v>
      </c>
      <c r="E352" s="39">
        <f t="shared" si="18"/>
        <v>25</v>
      </c>
      <c r="F352" s="39">
        <f t="shared" si="18"/>
        <v>0</v>
      </c>
      <c r="G352" s="39">
        <f t="shared" si="18"/>
        <v>0</v>
      </c>
      <c r="H352" s="39">
        <f t="shared" si="18"/>
        <v>0</v>
      </c>
      <c r="I352" s="17"/>
    </row>
    <row r="353" spans="1:9">
      <c r="A353" s="4" t="s">
        <v>190</v>
      </c>
      <c r="B353" s="39">
        <f t="shared" ref="B353:H353" si="19">SUM(D$282:D$284)</f>
        <v>3259.869342874948</v>
      </c>
      <c r="C353" s="39">
        <f t="shared" si="19"/>
        <v>0</v>
      </c>
      <c r="D353" s="39">
        <f t="shared" si="19"/>
        <v>0</v>
      </c>
      <c r="E353" s="39">
        <f t="shared" si="19"/>
        <v>270.06557377049182</v>
      </c>
      <c r="F353" s="39">
        <f t="shared" si="19"/>
        <v>0</v>
      </c>
      <c r="G353" s="39">
        <f t="shared" si="19"/>
        <v>0</v>
      </c>
      <c r="H353" s="39">
        <f t="shared" si="19"/>
        <v>0</v>
      </c>
      <c r="I353" s="17"/>
    </row>
    <row r="354" spans="1:9">
      <c r="A354" s="4" t="s">
        <v>191</v>
      </c>
      <c r="B354" s="39">
        <f t="shared" ref="B354:H354" si="20">SUM(D$286:D$287)</f>
        <v>0.95981427317991785</v>
      </c>
      <c r="C354" s="39">
        <f t="shared" si="20"/>
        <v>0</v>
      </c>
      <c r="D354" s="39">
        <f t="shared" si="20"/>
        <v>0</v>
      </c>
      <c r="E354" s="39">
        <f t="shared" si="20"/>
        <v>0.01</v>
      </c>
      <c r="F354" s="39">
        <f t="shared" si="20"/>
        <v>0</v>
      </c>
      <c r="G354" s="39">
        <f t="shared" si="20"/>
        <v>0</v>
      </c>
      <c r="H354" s="39">
        <f t="shared" si="20"/>
        <v>0</v>
      </c>
      <c r="I354" s="17"/>
    </row>
    <row r="355" spans="1:9">
      <c r="A355" s="4" t="s">
        <v>192</v>
      </c>
      <c r="B355" s="39">
        <f t="shared" ref="B355:H355" si="21">SUM(D$289:D$291)</f>
        <v>20683.735342690296</v>
      </c>
      <c r="C355" s="39">
        <f t="shared" si="21"/>
        <v>0</v>
      </c>
      <c r="D355" s="39">
        <f t="shared" si="21"/>
        <v>0</v>
      </c>
      <c r="E355" s="39">
        <f t="shared" si="21"/>
        <v>215.49726775956285</v>
      </c>
      <c r="F355" s="39">
        <f t="shared" si="21"/>
        <v>0</v>
      </c>
      <c r="G355" s="39">
        <f t="shared" si="21"/>
        <v>0</v>
      </c>
      <c r="H355" s="39">
        <f t="shared" si="21"/>
        <v>1784.4707000000001</v>
      </c>
      <c r="I355" s="17"/>
    </row>
    <row r="356" spans="1:9">
      <c r="A356" s="4" t="s">
        <v>193</v>
      </c>
      <c r="B356" s="39">
        <f t="shared" ref="B356:H356" si="22">SUM(D$293:D$293)</f>
        <v>0</v>
      </c>
      <c r="C356" s="39">
        <f t="shared" si="22"/>
        <v>0</v>
      </c>
      <c r="D356" s="39">
        <f t="shared" si="22"/>
        <v>0</v>
      </c>
      <c r="E356" s="39">
        <f t="shared" si="22"/>
        <v>0</v>
      </c>
      <c r="F356" s="39">
        <f t="shared" si="22"/>
        <v>0</v>
      </c>
      <c r="G356" s="39">
        <f t="shared" si="22"/>
        <v>0</v>
      </c>
      <c r="H356" s="39">
        <f t="shared" si="22"/>
        <v>0</v>
      </c>
      <c r="I356" s="17"/>
    </row>
    <row r="357" spans="1:9">
      <c r="A357" s="4" t="s">
        <v>194</v>
      </c>
      <c r="B357" s="39">
        <f t="shared" ref="B357:H357" si="23">SUM(D$295:D$297)</f>
        <v>502.12550455304932</v>
      </c>
      <c r="C357" s="39">
        <f t="shared" si="23"/>
        <v>1708.6279222639935</v>
      </c>
      <c r="D357" s="39">
        <f t="shared" si="23"/>
        <v>3789.2692779866338</v>
      </c>
      <c r="E357" s="39">
        <f t="shared" si="23"/>
        <v>20</v>
      </c>
      <c r="F357" s="39">
        <f t="shared" si="23"/>
        <v>0</v>
      </c>
      <c r="G357" s="39">
        <f t="shared" si="23"/>
        <v>0</v>
      </c>
      <c r="H357" s="39">
        <f t="shared" si="23"/>
        <v>830.05949999999996</v>
      </c>
      <c r="I357" s="17"/>
    </row>
    <row r="358" spans="1:9">
      <c r="A358" s="4" t="s">
        <v>195</v>
      </c>
      <c r="B358" s="39">
        <f t="shared" ref="B358:H358" si="24">SUM(D$299:D$299)</f>
        <v>0</v>
      </c>
      <c r="C358" s="39">
        <f t="shared" si="24"/>
        <v>0</v>
      </c>
      <c r="D358" s="39">
        <f t="shared" si="24"/>
        <v>0</v>
      </c>
      <c r="E358" s="39">
        <f t="shared" si="24"/>
        <v>0</v>
      </c>
      <c r="F358" s="39">
        <f t="shared" si="24"/>
        <v>0</v>
      </c>
      <c r="G358" s="39">
        <f t="shared" si="24"/>
        <v>0</v>
      </c>
      <c r="H358" s="39">
        <f t="shared" si="24"/>
        <v>0</v>
      </c>
      <c r="I358" s="17"/>
    </row>
    <row r="359" spans="1:9">
      <c r="A359" s="4" t="s">
        <v>196</v>
      </c>
      <c r="B359" s="39">
        <f t="shared" ref="B359:H359" si="25">SUM(D$301:D$302)</f>
        <v>4182.5823952552873</v>
      </c>
      <c r="C359" s="39">
        <f t="shared" si="25"/>
        <v>0</v>
      </c>
      <c r="D359" s="39">
        <f t="shared" si="25"/>
        <v>0</v>
      </c>
      <c r="E359" s="39">
        <f t="shared" si="25"/>
        <v>50.497267759562838</v>
      </c>
      <c r="F359" s="39">
        <f t="shared" si="25"/>
        <v>0</v>
      </c>
      <c r="G359" s="39">
        <f t="shared" si="25"/>
        <v>0</v>
      </c>
      <c r="H359" s="39">
        <f t="shared" si="25"/>
        <v>228.45760000000004</v>
      </c>
      <c r="I359" s="17"/>
    </row>
    <row r="360" spans="1:9">
      <c r="A360" s="4" t="s">
        <v>197</v>
      </c>
      <c r="B360" s="39">
        <f t="shared" ref="B360:H360" si="26">SUM(D$304:D$304)</f>
        <v>0</v>
      </c>
      <c r="C360" s="39">
        <f t="shared" si="26"/>
        <v>0</v>
      </c>
      <c r="D360" s="39">
        <f t="shared" si="26"/>
        <v>0</v>
      </c>
      <c r="E360" s="39">
        <f t="shared" si="26"/>
        <v>0</v>
      </c>
      <c r="F360" s="39">
        <f t="shared" si="26"/>
        <v>0</v>
      </c>
      <c r="G360" s="39">
        <f t="shared" si="26"/>
        <v>0</v>
      </c>
      <c r="H360" s="39">
        <f t="shared" si="26"/>
        <v>0</v>
      </c>
      <c r="I360" s="17"/>
    </row>
    <row r="361" spans="1:9">
      <c r="A361" s="4" t="s">
        <v>198</v>
      </c>
      <c r="B361" s="39">
        <f t="shared" ref="B361:H361" si="27">SUM(D$306:D$307)</f>
        <v>158.87000909090909</v>
      </c>
      <c r="C361" s="39">
        <f t="shared" si="27"/>
        <v>430.70374155844155</v>
      </c>
      <c r="D361" s="39">
        <f t="shared" si="27"/>
        <v>1007.8770038961039</v>
      </c>
      <c r="E361" s="39">
        <f t="shared" si="27"/>
        <v>12</v>
      </c>
      <c r="F361" s="39">
        <f t="shared" si="27"/>
        <v>0</v>
      </c>
      <c r="G361" s="39">
        <f t="shared" si="27"/>
        <v>0</v>
      </c>
      <c r="H361" s="39">
        <f t="shared" si="27"/>
        <v>227.47309999999999</v>
      </c>
      <c r="I361" s="17"/>
    </row>
    <row r="362" spans="1:9">
      <c r="A362" s="4" t="s">
        <v>199</v>
      </c>
      <c r="B362" s="39">
        <f t="shared" ref="B362:H362" si="28">SUM(D$309:D$309)</f>
        <v>0</v>
      </c>
      <c r="C362" s="39">
        <f t="shared" si="28"/>
        <v>0</v>
      </c>
      <c r="D362" s="39">
        <f t="shared" si="28"/>
        <v>0</v>
      </c>
      <c r="E362" s="39">
        <f t="shared" si="28"/>
        <v>0</v>
      </c>
      <c r="F362" s="39">
        <f t="shared" si="28"/>
        <v>0</v>
      </c>
      <c r="G362" s="39">
        <f t="shared" si="28"/>
        <v>0</v>
      </c>
      <c r="H362" s="39">
        <f t="shared" si="28"/>
        <v>0</v>
      </c>
      <c r="I362" s="17"/>
    </row>
    <row r="363" spans="1:9">
      <c r="A363" s="4" t="s">
        <v>207</v>
      </c>
      <c r="B363" s="39">
        <f t="shared" ref="B363:H363" si="29">SUM(D$311:D$312)</f>
        <v>405655.95821367676</v>
      </c>
      <c r="C363" s="39">
        <f t="shared" si="29"/>
        <v>0</v>
      </c>
      <c r="D363" s="39">
        <f t="shared" si="29"/>
        <v>0</v>
      </c>
      <c r="E363" s="39">
        <f t="shared" si="29"/>
        <v>186.99453551912569</v>
      </c>
      <c r="F363" s="39">
        <f t="shared" si="29"/>
        <v>0</v>
      </c>
      <c r="G363" s="39">
        <f t="shared" si="29"/>
        <v>0</v>
      </c>
      <c r="H363" s="39">
        <f t="shared" si="29"/>
        <v>9680.9220000000005</v>
      </c>
      <c r="I363" s="17"/>
    </row>
    <row r="364" spans="1:9">
      <c r="A364" s="4" t="s">
        <v>208</v>
      </c>
      <c r="B364" s="39">
        <f t="shared" ref="B364:H364" si="30">SUM(D$314:D$314)</f>
        <v>0</v>
      </c>
      <c r="C364" s="39">
        <f t="shared" si="30"/>
        <v>0</v>
      </c>
      <c r="D364" s="39">
        <f t="shared" si="30"/>
        <v>0</v>
      </c>
      <c r="E364" s="39">
        <f t="shared" si="30"/>
        <v>0</v>
      </c>
      <c r="F364" s="39">
        <f t="shared" si="30"/>
        <v>0</v>
      </c>
      <c r="G364" s="39">
        <f t="shared" si="30"/>
        <v>0</v>
      </c>
      <c r="H364" s="39">
        <f t="shared" si="30"/>
        <v>0</v>
      </c>
      <c r="I364" s="17"/>
    </row>
    <row r="365" spans="1:9">
      <c r="A365" s="4" t="s">
        <v>209</v>
      </c>
      <c r="B365" s="39">
        <f t="shared" ref="B365:H365" si="31">SUM(D$316:D$317)</f>
        <v>53031.032570626296</v>
      </c>
      <c r="C365" s="39">
        <f t="shared" si="31"/>
        <v>138554.41737676441</v>
      </c>
      <c r="D365" s="39">
        <f t="shared" si="31"/>
        <v>277588.80488136888</v>
      </c>
      <c r="E365" s="39">
        <f t="shared" si="31"/>
        <v>139.49726775956285</v>
      </c>
      <c r="F365" s="39">
        <f t="shared" si="31"/>
        <v>0</v>
      </c>
      <c r="G365" s="39">
        <f t="shared" si="31"/>
        <v>0</v>
      </c>
      <c r="H365" s="39">
        <f t="shared" si="31"/>
        <v>20239.200199999999</v>
      </c>
      <c r="I365" s="17"/>
    </row>
    <row r="366" spans="1:9">
      <c r="A366" s="4" t="s">
        <v>210</v>
      </c>
      <c r="B366" s="39">
        <f t="shared" ref="B366:H366" si="32">SUM(D$319:D$319)</f>
        <v>0</v>
      </c>
      <c r="C366" s="39">
        <f t="shared" si="32"/>
        <v>0</v>
      </c>
      <c r="D366" s="39">
        <f t="shared" si="32"/>
        <v>0</v>
      </c>
      <c r="E366" s="39">
        <f t="shared" si="32"/>
        <v>0</v>
      </c>
      <c r="F366" s="39">
        <f t="shared" si="32"/>
        <v>0</v>
      </c>
      <c r="G366" s="39">
        <f t="shared" si="32"/>
        <v>0</v>
      </c>
      <c r="H366" s="39">
        <f t="shared" si="32"/>
        <v>0</v>
      </c>
      <c r="I366" s="17"/>
    </row>
  </sheetData>
  <sheetProtection sheet="1" objects="1" scenarios="1"/>
  <hyperlinks>
    <hyperlink ref="A14" location="'Input'!B167" display="x1 = 1041. Coincidence factor to system maximum load for each type of demand user (in Load profile data for demand users)"/>
    <hyperlink ref="A15" location="'Input'!C167" display="x2 = 1041. Load factor for each type of demand user (in Load profile data for demand users)"/>
    <hyperlink ref="A41" location="'Loads'!B18" display="x1 = 2301. Demand coefficient (load at time of system maximum load divided by average load)"/>
    <hyperlink ref="A195" location="'Loads'!B82" display="x1 = 2303. Discount map"/>
    <hyperlink ref="A196" location="'Input'!B161" display="x2 = 1037. Embedded network (LDNO) discounts"/>
    <hyperlink ref="A198" location="'Loads'!B210" display="x4 = Discount for each tariff (except for fixed charges) (in LDNO discounts and volumes adjusted for discount)"/>
    <hyperlink ref="A199" location="'Input'!B193" display="x5 = 1053. Rate 1 units (MWh) by tariff (in Volume forecasts for the charging year)"/>
    <hyperlink ref="A200" location="'Input'!C193" display="x6 = 1053. Rate 2 units (MWh) by tariff (in Volume forecasts for the charging year)"/>
    <hyperlink ref="A201" location="'Input'!D193" display="x7 = 1053. Rate 3 units (MWh) by tariff (in Volume forecasts for the charging year)"/>
    <hyperlink ref="A202" location="'Input'!E193" display="x8 = 1053. MPANs by tariff (in Volume forecasts for the charging year)"/>
    <hyperlink ref="A203" location="'Loads'!C210" display="x9 = Discount for each tariff for fixed charges only (in LDNO discounts and volumes adjusted for discount)"/>
    <hyperlink ref="A204" location="'Input'!F193" display="x10 = 1053. Import capacity (kVA) by tariff (in Volume forecasts for the charging year)"/>
    <hyperlink ref="A205" location="'Input'!G193" display="x11 = 1053. Exceeded capacity (kVA) by tariff (in Volume forecasts for the charging year)"/>
    <hyperlink ref="A206" location="'Input'!H193" display="x12 = 1053. Reactive power units (MVArh) by tariff (in Volume forecasts for the charging year)"/>
    <hyperlink ref="A323" location="'Loads'!D210" display="x1 = 2304. Rate 1 units (MWh) (in LDNO discounts and volumes adjusted for discount)"/>
    <hyperlink ref="A324" location="'Loads'!E210" display="x2 = 2304. Rate 2 units (MWh) (in LDNO discounts and volumes adjusted for discount)"/>
    <hyperlink ref="A325" location="'Loads'!F210" display="x3 = 2304. Rate 3 units (MWh) (in LDNO discounts and volumes adjusted for discount)"/>
    <hyperlink ref="A326" location="'Loads'!G210" display="x4 = 2304. MPANs (in LDNO discounts and volumes adjusted for discount)"/>
    <hyperlink ref="A327" location="'Loads'!H210" display="x5 = 2304. Import capacity (kVA) (in LDNO discounts and volumes adjusted for discount)"/>
    <hyperlink ref="A328" location="'Loads'!I210" display="x6 = 2304. Exceeded capacity (kVA) (in LDNO discounts and volumes adjusted for discount)"/>
    <hyperlink ref="A329" location="'Loads'!J210" display="x7 = 2304. Reactive power units (MVArh) (in LDNO discounts and volumes adjusted for discount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951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50.7109375" customWidth="1"/>
    <col min="2" max="251" width="16.7109375" customWidth="1"/>
  </cols>
  <sheetData>
    <row r="1" spans="1:6" ht="21" customHeight="1">
      <c r="A1" s="1" t="str">
        <f>"Load characteristics for multiple unit rates for "&amp;Input!B7&amp;" in "&amp;Input!C7&amp;" ("&amp;Input!D7&amp;")"</f>
        <v>Load characteristics for multiple unit rates for Electricity North West in 2019/20 (Version 1)</v>
      </c>
    </row>
    <row r="3" spans="1:6" ht="21" customHeight="1">
      <c r="A3" s="1" t="s">
        <v>572</v>
      </c>
    </row>
    <row r="4" spans="1:6">
      <c r="A4" s="2" t="s">
        <v>379</v>
      </c>
    </row>
    <row r="5" spans="1:6">
      <c r="A5" s="29" t="s">
        <v>573</v>
      </c>
    </row>
    <row r="6" spans="1:6">
      <c r="A6" s="29" t="s">
        <v>574</v>
      </c>
    </row>
    <row r="7" spans="1:6">
      <c r="A7" s="29" t="s">
        <v>575</v>
      </c>
    </row>
    <row r="8" spans="1:6">
      <c r="A8" s="30" t="s">
        <v>382</v>
      </c>
      <c r="B8" s="30" t="s">
        <v>513</v>
      </c>
      <c r="C8" s="30" t="s">
        <v>512</v>
      </c>
      <c r="D8" s="30"/>
      <c r="E8" s="30"/>
    </row>
    <row r="9" spans="1:6">
      <c r="A9" s="30" t="s">
        <v>385</v>
      </c>
      <c r="B9" s="30" t="s">
        <v>566</v>
      </c>
      <c r="C9" s="30" t="s">
        <v>576</v>
      </c>
      <c r="D9" s="30"/>
      <c r="E9" s="30"/>
    </row>
    <row r="11" spans="1:6" ht="30">
      <c r="C11" s="28" t="s">
        <v>578</v>
      </c>
      <c r="D11" s="28"/>
      <c r="E11" s="28"/>
    </row>
    <row r="12" spans="1:6">
      <c r="B12" s="15" t="s">
        <v>577</v>
      </c>
      <c r="C12" s="15" t="s">
        <v>346</v>
      </c>
      <c r="D12" s="15" t="s">
        <v>347</v>
      </c>
      <c r="E12" s="15" t="s">
        <v>348</v>
      </c>
    </row>
    <row r="13" spans="1:6" ht="30">
      <c r="A13" s="4" t="s">
        <v>579</v>
      </c>
      <c r="B13" s="40">
        <f>SUM(Input!$B368:$D368)</f>
        <v>8784</v>
      </c>
      <c r="C13" s="40">
        <f>Input!B368*24*Input!$F60/$B13</f>
        <v>786</v>
      </c>
      <c r="D13" s="40">
        <f>Input!C368*24*Input!$F60/$B13</f>
        <v>2539</v>
      </c>
      <c r="E13" s="40">
        <f>Input!D368*24*Input!$F60/$B13</f>
        <v>5459</v>
      </c>
      <c r="F13" s="17"/>
    </row>
    <row r="15" spans="1:6" ht="21" customHeight="1">
      <c r="A15" s="1" t="s">
        <v>580</v>
      </c>
    </row>
    <row r="16" spans="1:6">
      <c r="A16" s="2" t="s">
        <v>379</v>
      </c>
    </row>
    <row r="17" spans="1:6">
      <c r="A17" s="29" t="s">
        <v>581</v>
      </c>
    </row>
    <row r="18" spans="1:6">
      <c r="A18" s="29" t="s">
        <v>582</v>
      </c>
    </row>
    <row r="19" spans="1:6">
      <c r="A19" s="29" t="s">
        <v>583</v>
      </c>
    </row>
    <row r="20" spans="1:6">
      <c r="A20" s="29" t="s">
        <v>584</v>
      </c>
    </row>
    <row r="21" spans="1:6">
      <c r="A21" s="30" t="s">
        <v>382</v>
      </c>
      <c r="B21" s="30" t="s">
        <v>513</v>
      </c>
      <c r="C21" s="30" t="s">
        <v>512</v>
      </c>
      <c r="D21" s="30"/>
      <c r="E21" s="30"/>
    </row>
    <row r="22" spans="1:6">
      <c r="A22" s="30" t="s">
        <v>385</v>
      </c>
      <c r="B22" s="30" t="s">
        <v>566</v>
      </c>
      <c r="C22" s="30" t="s">
        <v>585</v>
      </c>
      <c r="D22" s="30"/>
      <c r="E22" s="30"/>
    </row>
    <row r="24" spans="1:6" ht="30">
      <c r="C24" s="28" t="s">
        <v>587</v>
      </c>
      <c r="D24" s="28"/>
      <c r="E24" s="28"/>
    </row>
    <row r="25" spans="1:6">
      <c r="B25" s="15" t="s">
        <v>586</v>
      </c>
      <c r="C25" s="15" t="s">
        <v>346</v>
      </c>
      <c r="D25" s="15" t="s">
        <v>347</v>
      </c>
      <c r="E25" s="15" t="s">
        <v>348</v>
      </c>
    </row>
    <row r="26" spans="1:6">
      <c r="A26" s="4" t="s">
        <v>180</v>
      </c>
      <c r="B26" s="36">
        <f>SUM(Input!$B329:$D329)</f>
        <v>1</v>
      </c>
      <c r="C26" s="36">
        <f>IF($B26,Input!B329/$B26,C$13/Input!$F$60/24)</f>
        <v>0.12613777717892058</v>
      </c>
      <c r="D26" s="36">
        <f>IF($B26,Input!C329/$B26,D$13/Input!$F$60/24)</f>
        <v>0.3324584778691318</v>
      </c>
      <c r="E26" s="36">
        <f>IF($B26,Input!D329/$B26,E$13/Input!$F$60/24)</f>
        <v>0.54140374495194765</v>
      </c>
      <c r="F26" s="17"/>
    </row>
    <row r="27" spans="1:6">
      <c r="A27" s="4" t="s">
        <v>181</v>
      </c>
      <c r="B27" s="36">
        <f>SUM(Input!$B330:$D330)</f>
        <v>0.99999999999999989</v>
      </c>
      <c r="C27" s="36">
        <f>IF($B27,Input!B330/$B27,C$13/Input!$F$60/24)</f>
        <v>0.1382140565866361</v>
      </c>
      <c r="D27" s="36">
        <f>IF($B27,Input!C330/$B27,D$13/Input!$F$60/24)</f>
        <v>0.35627914141456485</v>
      </c>
      <c r="E27" s="36">
        <f>IF($B27,Input!D330/$B27,E$13/Input!$F$60/24)</f>
        <v>0.50550680199879916</v>
      </c>
      <c r="F27" s="17"/>
    </row>
    <row r="28" spans="1:6">
      <c r="A28" s="4" t="s">
        <v>226</v>
      </c>
      <c r="B28" s="36">
        <f>SUM(Input!$B331:$D331)</f>
        <v>1</v>
      </c>
      <c r="C28" s="36">
        <f>IF($B28,Input!B331/$B28,C$13/Input!$F$60/24)</f>
        <v>5.7160535159845169E-3</v>
      </c>
      <c r="D28" s="36">
        <f>IF($B28,Input!C331/$B28,D$13/Input!$F$60/24)</f>
        <v>9.4868551845660287E-2</v>
      </c>
      <c r="E28" s="36">
        <f>IF($B28,Input!D331/$B28,E$13/Input!$F$60/24)</f>
        <v>0.89941539463835518</v>
      </c>
      <c r="F28" s="17"/>
    </row>
    <row r="29" spans="1:6">
      <c r="A29" s="4" t="s">
        <v>182</v>
      </c>
      <c r="B29" s="36">
        <f>SUM(Input!$B332:$D332)</f>
        <v>1</v>
      </c>
      <c r="C29" s="36">
        <f>IF($B29,Input!B332/$B29,C$13/Input!$F$60/24)</f>
        <v>0.10949251869436995</v>
      </c>
      <c r="D29" s="36">
        <f>IF($B29,Input!C332/$B29,D$13/Input!$F$60/24)</f>
        <v>0.44288181172873092</v>
      </c>
      <c r="E29" s="36">
        <f>IF($B29,Input!D332/$B29,E$13/Input!$F$60/24)</f>
        <v>0.44762566957689914</v>
      </c>
      <c r="F29" s="17"/>
    </row>
    <row r="30" spans="1:6">
      <c r="A30" s="4" t="s">
        <v>183</v>
      </c>
      <c r="B30" s="36">
        <f>SUM(Input!$B333:$D333)</f>
        <v>1</v>
      </c>
      <c r="C30" s="36">
        <f>IF($B30,Input!B333/$B30,C$13/Input!$F$60/24)</f>
        <v>0.12492329706374804</v>
      </c>
      <c r="D30" s="36">
        <f>IF($B30,Input!C333/$B30,D$13/Input!$F$60/24)</f>
        <v>0.45984399148208355</v>
      </c>
      <c r="E30" s="36">
        <f>IF($B30,Input!D333/$B30,E$13/Input!$F$60/24)</f>
        <v>0.41523271145416835</v>
      </c>
      <c r="F30" s="17"/>
    </row>
    <row r="31" spans="1:6">
      <c r="A31" s="4" t="s">
        <v>227</v>
      </c>
      <c r="B31" s="36">
        <f>SUM(Input!$B334:$D334)</f>
        <v>0.99999999999999989</v>
      </c>
      <c r="C31" s="36">
        <f>IF($B31,Input!B334/$B31,C$13/Input!$F$60/24)</f>
        <v>1.7573774807996575E-3</v>
      </c>
      <c r="D31" s="36">
        <f>IF($B31,Input!C334/$B31,D$13/Input!$F$60/24)</f>
        <v>5.2708020558987496E-2</v>
      </c>
      <c r="E31" s="36">
        <f>IF($B31,Input!D334/$B31,E$13/Input!$F$60/24)</f>
        <v>0.94553460196021288</v>
      </c>
      <c r="F31" s="17"/>
    </row>
    <row r="32" spans="1:6">
      <c r="A32" s="4" t="s">
        <v>184</v>
      </c>
      <c r="B32" s="36">
        <f>SUM(Input!$B335:$D335)</f>
        <v>0.99999999999999989</v>
      </c>
      <c r="C32" s="36">
        <f>IF($B32,Input!B335/$B32,C$13/Input!$F$60/24)</f>
        <v>0.13557627830321117</v>
      </c>
      <c r="D32" s="36">
        <f>IF($B32,Input!C335/$B32,D$13/Input!$F$60/24)</f>
        <v>0.48091574438128892</v>
      </c>
      <c r="E32" s="36">
        <f>IF($B32,Input!D335/$B32,E$13/Input!$F$60/24)</f>
        <v>0.38350797731549996</v>
      </c>
      <c r="F32" s="17"/>
    </row>
    <row r="33" spans="1:6">
      <c r="A33" s="4" t="s">
        <v>185</v>
      </c>
      <c r="B33" s="36">
        <f>SUM(Input!$B336:$D336)</f>
        <v>1</v>
      </c>
      <c r="C33" s="36">
        <f>IF($B33,Input!B336/$B33,C$13/Input!$F$60/24)</f>
        <v>0.1341934369921246</v>
      </c>
      <c r="D33" s="36">
        <f>IF($B33,Input!C336/$B33,D$13/Input!$F$60/24)</f>
        <v>0.47994324407412897</v>
      </c>
      <c r="E33" s="36">
        <f>IF($B33,Input!D336/$B33,E$13/Input!$F$60/24)</f>
        <v>0.38586331893374642</v>
      </c>
      <c r="F33" s="17"/>
    </row>
    <row r="34" spans="1:6">
      <c r="A34" s="4" t="s">
        <v>205</v>
      </c>
      <c r="B34" s="36">
        <f>SUM(Input!$B337:$D337)</f>
        <v>1</v>
      </c>
      <c r="C34" s="36">
        <f>IF($B34,Input!B337/$B34,C$13/Input!$F$60/24)</f>
        <v>0.13314633890485125</v>
      </c>
      <c r="D34" s="36">
        <f>IF($B34,Input!C337/$B34,D$13/Input!$F$60/24)</f>
        <v>0.48701734913086331</v>
      </c>
      <c r="E34" s="36">
        <f>IF($B34,Input!D337/$B34,E$13/Input!$F$60/24)</f>
        <v>0.37983631196428552</v>
      </c>
      <c r="F34" s="17"/>
    </row>
    <row r="36" spans="1:6" ht="21" customHeight="1">
      <c r="A36" s="1" t="s">
        <v>588</v>
      </c>
    </row>
    <row r="37" spans="1:6">
      <c r="A37" s="2" t="s">
        <v>379</v>
      </c>
    </row>
    <row r="38" spans="1:6">
      <c r="A38" s="29" t="s">
        <v>589</v>
      </c>
    </row>
    <row r="39" spans="1:6">
      <c r="A39" s="2" t="s">
        <v>590</v>
      </c>
    </row>
    <row r="40" spans="1:6">
      <c r="A40" s="2" t="s">
        <v>397</v>
      </c>
    </row>
    <row r="42" spans="1:6">
      <c r="B42" s="15" t="s">
        <v>346</v>
      </c>
      <c r="C42" s="15" t="s">
        <v>347</v>
      </c>
      <c r="D42" s="15" t="s">
        <v>348</v>
      </c>
    </row>
    <row r="43" spans="1:6">
      <c r="A43" s="4" t="s">
        <v>180</v>
      </c>
      <c r="B43" s="38">
        <f>C$26</f>
        <v>0.12613777717892058</v>
      </c>
      <c r="C43" s="38">
        <f>D$26</f>
        <v>0.3324584778691318</v>
      </c>
      <c r="D43" s="38">
        <f>E$26</f>
        <v>0.54140374495194765</v>
      </c>
      <c r="E43" s="17"/>
    </row>
    <row r="44" spans="1:6">
      <c r="A44" s="4" t="s">
        <v>181</v>
      </c>
      <c r="B44" s="38">
        <f>C$27</f>
        <v>0.1382140565866361</v>
      </c>
      <c r="C44" s="38">
        <f>D$27</f>
        <v>0.35627914141456485</v>
      </c>
      <c r="D44" s="38">
        <f>E$27</f>
        <v>0.50550680199879916</v>
      </c>
      <c r="E44" s="17"/>
    </row>
    <row r="45" spans="1:6">
      <c r="A45" s="4" t="s">
        <v>226</v>
      </c>
      <c r="B45" s="38">
        <f>C$28</f>
        <v>5.7160535159845169E-3</v>
      </c>
      <c r="C45" s="38">
        <f>D$28</f>
        <v>9.4868551845660287E-2</v>
      </c>
      <c r="D45" s="38">
        <f>E$28</f>
        <v>0.89941539463835518</v>
      </c>
      <c r="E45" s="17"/>
    </row>
    <row r="46" spans="1:6">
      <c r="A46" s="4" t="s">
        <v>182</v>
      </c>
      <c r="B46" s="38">
        <f>C$29</f>
        <v>0.10949251869436995</v>
      </c>
      <c r="C46" s="38">
        <f>D$29</f>
        <v>0.44288181172873092</v>
      </c>
      <c r="D46" s="38">
        <f>E$29</f>
        <v>0.44762566957689914</v>
      </c>
      <c r="E46" s="17"/>
    </row>
    <row r="47" spans="1:6">
      <c r="A47" s="4" t="s">
        <v>183</v>
      </c>
      <c r="B47" s="38">
        <f>C$30</f>
        <v>0.12492329706374804</v>
      </c>
      <c r="C47" s="38">
        <f>D$30</f>
        <v>0.45984399148208355</v>
      </c>
      <c r="D47" s="38">
        <f>E$30</f>
        <v>0.41523271145416835</v>
      </c>
      <c r="E47" s="17"/>
    </row>
    <row r="48" spans="1:6">
      <c r="A48" s="4" t="s">
        <v>227</v>
      </c>
      <c r="B48" s="38">
        <f>C$31</f>
        <v>1.7573774807996575E-3</v>
      </c>
      <c r="C48" s="38">
        <f>D$31</f>
        <v>5.2708020558987496E-2</v>
      </c>
      <c r="D48" s="38">
        <f>E$31</f>
        <v>0.94553460196021288</v>
      </c>
      <c r="E48" s="17"/>
    </row>
    <row r="49" spans="1:5">
      <c r="A49" s="4" t="s">
        <v>184</v>
      </c>
      <c r="B49" s="38">
        <f>C$32</f>
        <v>0.13557627830321117</v>
      </c>
      <c r="C49" s="38">
        <f>D$32</f>
        <v>0.48091574438128892</v>
      </c>
      <c r="D49" s="38">
        <f>E$32</f>
        <v>0.38350797731549996</v>
      </c>
      <c r="E49" s="17"/>
    </row>
    <row r="50" spans="1:5">
      <c r="A50" s="4" t="s">
        <v>185</v>
      </c>
      <c r="B50" s="38">
        <f>C$33</f>
        <v>0.1341934369921246</v>
      </c>
      <c r="C50" s="38">
        <f>D$33</f>
        <v>0.47994324407412897</v>
      </c>
      <c r="D50" s="38">
        <f>E$33</f>
        <v>0.38586331893374642</v>
      </c>
      <c r="E50" s="17"/>
    </row>
    <row r="51" spans="1:5">
      <c r="A51" s="4" t="s">
        <v>205</v>
      </c>
      <c r="B51" s="38">
        <f>C$34</f>
        <v>0.13314633890485125</v>
      </c>
      <c r="C51" s="38">
        <f>D$34</f>
        <v>0.48701734913086331</v>
      </c>
      <c r="D51" s="38">
        <f>E$34</f>
        <v>0.37983631196428552</v>
      </c>
      <c r="E51" s="17"/>
    </row>
    <row r="52" spans="1:5">
      <c r="A52" s="4" t="s">
        <v>186</v>
      </c>
      <c r="B52" s="37">
        <v>1</v>
      </c>
      <c r="C52" s="37">
        <v>0</v>
      </c>
      <c r="D52" s="37">
        <v>0</v>
      </c>
      <c r="E52" s="17"/>
    </row>
    <row r="53" spans="1:5">
      <c r="A53" s="4" t="s">
        <v>187</v>
      </c>
      <c r="B53" s="37">
        <v>1</v>
      </c>
      <c r="C53" s="37">
        <v>0</v>
      </c>
      <c r="D53" s="37">
        <v>0</v>
      </c>
      <c r="E53" s="17"/>
    </row>
    <row r="54" spans="1:5">
      <c r="A54" s="4" t="s">
        <v>188</v>
      </c>
      <c r="B54" s="37">
        <v>1</v>
      </c>
      <c r="C54" s="37">
        <v>0</v>
      </c>
      <c r="D54" s="37">
        <v>0</v>
      </c>
      <c r="E54" s="17"/>
    </row>
    <row r="55" spans="1:5">
      <c r="A55" s="4" t="s">
        <v>189</v>
      </c>
      <c r="B55" s="37">
        <v>1</v>
      </c>
      <c r="C55" s="37">
        <v>0</v>
      </c>
      <c r="D55" s="37">
        <v>0</v>
      </c>
      <c r="E55" s="17"/>
    </row>
    <row r="56" spans="1:5">
      <c r="A56" s="4" t="s">
        <v>206</v>
      </c>
      <c r="B56" s="37">
        <v>1</v>
      </c>
      <c r="C56" s="37">
        <v>0</v>
      </c>
      <c r="D56" s="37">
        <v>0</v>
      </c>
      <c r="E56" s="17"/>
    </row>
    <row r="57" spans="1:5">
      <c r="A57" s="4" t="s">
        <v>194</v>
      </c>
      <c r="B57" s="37">
        <v>1</v>
      </c>
      <c r="C57" s="37">
        <v>0</v>
      </c>
      <c r="D57" s="37">
        <v>0</v>
      </c>
      <c r="E57" s="17"/>
    </row>
    <row r="58" spans="1:5">
      <c r="A58" s="4" t="s">
        <v>195</v>
      </c>
      <c r="B58" s="37">
        <v>1</v>
      </c>
      <c r="C58" s="37">
        <v>0</v>
      </c>
      <c r="D58" s="37">
        <v>0</v>
      </c>
      <c r="E58" s="17"/>
    </row>
    <row r="59" spans="1:5">
      <c r="A59" s="4" t="s">
        <v>198</v>
      </c>
      <c r="B59" s="37">
        <v>1</v>
      </c>
      <c r="C59" s="37">
        <v>0</v>
      </c>
      <c r="D59" s="37">
        <v>0</v>
      </c>
      <c r="E59" s="17"/>
    </row>
    <row r="60" spans="1:5">
      <c r="A60" s="4" t="s">
        <v>199</v>
      </c>
      <c r="B60" s="37">
        <v>1</v>
      </c>
      <c r="C60" s="37">
        <v>0</v>
      </c>
      <c r="D60" s="37">
        <v>0</v>
      </c>
      <c r="E60" s="17"/>
    </row>
    <row r="61" spans="1:5">
      <c r="A61" s="4" t="s">
        <v>209</v>
      </c>
      <c r="B61" s="37">
        <v>1</v>
      </c>
      <c r="C61" s="37">
        <v>0</v>
      </c>
      <c r="D61" s="37">
        <v>0</v>
      </c>
      <c r="E61" s="17"/>
    </row>
    <row r="62" spans="1:5">
      <c r="A62" s="4" t="s">
        <v>210</v>
      </c>
      <c r="B62" s="37">
        <v>1</v>
      </c>
      <c r="C62" s="37">
        <v>0</v>
      </c>
      <c r="D62" s="37">
        <v>0</v>
      </c>
      <c r="E62" s="17"/>
    </row>
    <row r="64" spans="1:5" ht="21" customHeight="1">
      <c r="A64" s="1" t="s">
        <v>591</v>
      </c>
    </row>
    <row r="65" spans="1:6">
      <c r="A65" s="2" t="s">
        <v>379</v>
      </c>
    </row>
    <row r="66" spans="1:6">
      <c r="A66" s="29" t="s">
        <v>592</v>
      </c>
    </row>
    <row r="67" spans="1:6">
      <c r="A67" s="29" t="s">
        <v>593</v>
      </c>
    </row>
    <row r="68" spans="1:6">
      <c r="A68" s="29" t="s">
        <v>583</v>
      </c>
    </row>
    <row r="69" spans="1:6">
      <c r="A69" s="29" t="s">
        <v>584</v>
      </c>
    </row>
    <row r="70" spans="1:6">
      <c r="A70" s="30" t="s">
        <v>382</v>
      </c>
      <c r="B70" s="30" t="s">
        <v>513</v>
      </c>
      <c r="C70" s="30" t="s">
        <v>512</v>
      </c>
      <c r="D70" s="30"/>
      <c r="E70" s="30"/>
    </row>
    <row r="71" spans="1:6">
      <c r="A71" s="30" t="s">
        <v>385</v>
      </c>
      <c r="B71" s="30" t="s">
        <v>566</v>
      </c>
      <c r="C71" s="30" t="s">
        <v>585</v>
      </c>
      <c r="D71" s="30"/>
      <c r="E71" s="30"/>
    </row>
    <row r="73" spans="1:6" ht="30">
      <c r="C73" s="28" t="s">
        <v>594</v>
      </c>
      <c r="D73" s="28"/>
      <c r="E73" s="28"/>
    </row>
    <row r="74" spans="1:6">
      <c r="B74" s="15" t="s">
        <v>586</v>
      </c>
      <c r="C74" s="15" t="s">
        <v>346</v>
      </c>
      <c r="D74" s="15" t="s">
        <v>347</v>
      </c>
      <c r="E74" s="15" t="s">
        <v>348</v>
      </c>
    </row>
    <row r="75" spans="1:6">
      <c r="A75" s="4" t="s">
        <v>181</v>
      </c>
      <c r="B75" s="36">
        <f>SUM(Input!$B342:$D342)</f>
        <v>1</v>
      </c>
      <c r="C75" s="36">
        <f>IF($B75,Input!B342/$B75,C$13/Input!$F$60/24)</f>
        <v>0</v>
      </c>
      <c r="D75" s="36">
        <f>IF($B75,Input!C342/$B75,D$13/Input!$F$60/24)</f>
        <v>0</v>
      </c>
      <c r="E75" s="36">
        <f>IF($B75,Input!D342/$B75,E$13/Input!$F$60/24)</f>
        <v>1</v>
      </c>
      <c r="F75" s="17"/>
    </row>
    <row r="76" spans="1:6">
      <c r="A76" s="4" t="s">
        <v>183</v>
      </c>
      <c r="B76" s="36">
        <f>SUM(Input!$B343:$D343)</f>
        <v>1</v>
      </c>
      <c r="C76" s="36">
        <f>IF($B76,Input!B343/$B76,C$13/Input!$F$60/24)</f>
        <v>0</v>
      </c>
      <c r="D76" s="36">
        <f>IF($B76,Input!C343/$B76,D$13/Input!$F$60/24)</f>
        <v>0</v>
      </c>
      <c r="E76" s="36">
        <f>IF($B76,Input!D343/$B76,E$13/Input!$F$60/24)</f>
        <v>1</v>
      </c>
      <c r="F76" s="17"/>
    </row>
    <row r="77" spans="1:6">
      <c r="A77" s="4" t="s">
        <v>184</v>
      </c>
      <c r="B77" s="36">
        <f>SUM(Input!$B344:$D344)</f>
        <v>1</v>
      </c>
      <c r="C77" s="36">
        <f>IF($B77,Input!B344/$B77,C$13/Input!$F$60/24)</f>
        <v>0</v>
      </c>
      <c r="D77" s="36">
        <f>IF($B77,Input!C344/$B77,D$13/Input!$F$60/24)</f>
        <v>0</v>
      </c>
      <c r="E77" s="36">
        <f>IF($B77,Input!D344/$B77,E$13/Input!$F$60/24)</f>
        <v>1</v>
      </c>
      <c r="F77" s="17"/>
    </row>
    <row r="78" spans="1:6">
      <c r="A78" s="4" t="s">
        <v>185</v>
      </c>
      <c r="B78" s="36">
        <f>SUM(Input!$B345:$D345)</f>
        <v>1</v>
      </c>
      <c r="C78" s="36">
        <f>IF($B78,Input!B345/$B78,C$13/Input!$F$60/24)</f>
        <v>0</v>
      </c>
      <c r="D78" s="36">
        <f>IF($B78,Input!C345/$B78,D$13/Input!$F$60/24)</f>
        <v>0</v>
      </c>
      <c r="E78" s="36">
        <f>IF($B78,Input!D345/$B78,E$13/Input!$F$60/24)</f>
        <v>1</v>
      </c>
      <c r="F78" s="17"/>
    </row>
    <row r="79" spans="1:6">
      <c r="A79" s="4" t="s">
        <v>205</v>
      </c>
      <c r="B79" s="36">
        <f>SUM(Input!$B346:$D346)</f>
        <v>1</v>
      </c>
      <c r="C79" s="36">
        <f>IF($B79,Input!B346/$B79,C$13/Input!$F$60/24)</f>
        <v>0</v>
      </c>
      <c r="D79" s="36">
        <f>IF($B79,Input!C346/$B79,D$13/Input!$F$60/24)</f>
        <v>0</v>
      </c>
      <c r="E79" s="36">
        <f>IF($B79,Input!D346/$B79,E$13/Input!$F$60/24)</f>
        <v>1</v>
      </c>
      <c r="F79" s="17"/>
    </row>
    <row r="81" spans="1:5" ht="21" customHeight="1">
      <c r="A81" s="1" t="s">
        <v>595</v>
      </c>
    </row>
    <row r="82" spans="1:5">
      <c r="A82" s="2" t="s">
        <v>379</v>
      </c>
    </row>
    <row r="83" spans="1:5">
      <c r="A83" s="29" t="s">
        <v>596</v>
      </c>
    </row>
    <row r="84" spans="1:5">
      <c r="A84" s="2" t="s">
        <v>597</v>
      </c>
    </row>
    <row r="85" spans="1:5">
      <c r="A85" s="2" t="s">
        <v>397</v>
      </c>
    </row>
    <row r="87" spans="1:5">
      <c r="B87" s="15" t="s">
        <v>346</v>
      </c>
      <c r="C87" s="15" t="s">
        <v>347</v>
      </c>
      <c r="D87" s="15" t="s">
        <v>348</v>
      </c>
    </row>
    <row r="88" spans="1:5">
      <c r="A88" s="4" t="s">
        <v>181</v>
      </c>
      <c r="B88" s="38">
        <f>C$75</f>
        <v>0</v>
      </c>
      <c r="C88" s="38">
        <f>D$75</f>
        <v>0</v>
      </c>
      <c r="D88" s="38">
        <f>E$75</f>
        <v>1</v>
      </c>
      <c r="E88" s="17"/>
    </row>
    <row r="89" spans="1:5">
      <c r="A89" s="4" t="s">
        <v>183</v>
      </c>
      <c r="B89" s="38">
        <f>C$76</f>
        <v>0</v>
      </c>
      <c r="C89" s="38">
        <f>D$76</f>
        <v>0</v>
      </c>
      <c r="D89" s="38">
        <f>E$76</f>
        <v>1</v>
      </c>
      <c r="E89" s="17"/>
    </row>
    <row r="90" spans="1:5">
      <c r="A90" s="4" t="s">
        <v>184</v>
      </c>
      <c r="B90" s="38">
        <f>C$77</f>
        <v>0</v>
      </c>
      <c r="C90" s="38">
        <f>D$77</f>
        <v>0</v>
      </c>
      <c r="D90" s="38">
        <f>E$77</f>
        <v>1</v>
      </c>
      <c r="E90" s="17"/>
    </row>
    <row r="91" spans="1:5">
      <c r="A91" s="4" t="s">
        <v>185</v>
      </c>
      <c r="B91" s="38">
        <f>C$78</f>
        <v>0</v>
      </c>
      <c r="C91" s="38">
        <f>D$78</f>
        <v>0</v>
      </c>
      <c r="D91" s="38">
        <f>E$78</f>
        <v>1</v>
      </c>
      <c r="E91" s="17"/>
    </row>
    <row r="92" spans="1:5">
      <c r="A92" s="4" t="s">
        <v>205</v>
      </c>
      <c r="B92" s="38">
        <f>C$79</f>
        <v>0</v>
      </c>
      <c r="C92" s="38">
        <f>D$79</f>
        <v>0</v>
      </c>
      <c r="D92" s="38">
        <f>E$79</f>
        <v>1</v>
      </c>
      <c r="E92" s="17"/>
    </row>
    <row r="93" spans="1:5">
      <c r="A93" s="4" t="s">
        <v>186</v>
      </c>
      <c r="B93" s="37">
        <v>0</v>
      </c>
      <c r="C93" s="37">
        <v>1</v>
      </c>
      <c r="D93" s="37">
        <v>0</v>
      </c>
      <c r="E93" s="17"/>
    </row>
    <row r="94" spans="1:5">
      <c r="A94" s="4" t="s">
        <v>187</v>
      </c>
      <c r="B94" s="37">
        <v>0</v>
      </c>
      <c r="C94" s="37">
        <v>1</v>
      </c>
      <c r="D94" s="37">
        <v>0</v>
      </c>
      <c r="E94" s="17"/>
    </row>
    <row r="95" spans="1:5">
      <c r="A95" s="4" t="s">
        <v>188</v>
      </c>
      <c r="B95" s="37">
        <v>0</v>
      </c>
      <c r="C95" s="37">
        <v>1</v>
      </c>
      <c r="D95" s="37">
        <v>0</v>
      </c>
      <c r="E95" s="17"/>
    </row>
    <row r="96" spans="1:5">
      <c r="A96" s="4" t="s">
        <v>189</v>
      </c>
      <c r="B96" s="37">
        <v>0</v>
      </c>
      <c r="C96" s="37">
        <v>1</v>
      </c>
      <c r="D96" s="37">
        <v>0</v>
      </c>
      <c r="E96" s="17"/>
    </row>
    <row r="97" spans="1:5">
      <c r="A97" s="4" t="s">
        <v>206</v>
      </c>
      <c r="B97" s="37">
        <v>0</v>
      </c>
      <c r="C97" s="37">
        <v>1</v>
      </c>
      <c r="D97" s="37">
        <v>0</v>
      </c>
      <c r="E97" s="17"/>
    </row>
    <row r="98" spans="1:5">
      <c r="A98" s="4" t="s">
        <v>194</v>
      </c>
      <c r="B98" s="37">
        <v>0</v>
      </c>
      <c r="C98" s="37">
        <v>1</v>
      </c>
      <c r="D98" s="37">
        <v>0</v>
      </c>
      <c r="E98" s="17"/>
    </row>
    <row r="99" spans="1:5">
      <c r="A99" s="4" t="s">
        <v>195</v>
      </c>
      <c r="B99" s="37">
        <v>0</v>
      </c>
      <c r="C99" s="37">
        <v>1</v>
      </c>
      <c r="D99" s="37">
        <v>0</v>
      </c>
      <c r="E99" s="17"/>
    </row>
    <row r="100" spans="1:5">
      <c r="A100" s="4" t="s">
        <v>198</v>
      </c>
      <c r="B100" s="37">
        <v>0</v>
      </c>
      <c r="C100" s="37">
        <v>1</v>
      </c>
      <c r="D100" s="37">
        <v>0</v>
      </c>
      <c r="E100" s="17"/>
    </row>
    <row r="101" spans="1:5">
      <c r="A101" s="4" t="s">
        <v>199</v>
      </c>
      <c r="B101" s="37">
        <v>0</v>
      </c>
      <c r="C101" s="37">
        <v>1</v>
      </c>
      <c r="D101" s="37">
        <v>0</v>
      </c>
      <c r="E101" s="17"/>
    </row>
    <row r="102" spans="1:5">
      <c r="A102" s="4" t="s">
        <v>209</v>
      </c>
      <c r="B102" s="37">
        <v>0</v>
      </c>
      <c r="C102" s="37">
        <v>1</v>
      </c>
      <c r="D102" s="37">
        <v>0</v>
      </c>
      <c r="E102" s="17"/>
    </row>
    <row r="103" spans="1:5">
      <c r="A103" s="4" t="s">
        <v>210</v>
      </c>
      <c r="B103" s="37">
        <v>0</v>
      </c>
      <c r="C103" s="37">
        <v>1</v>
      </c>
      <c r="D103" s="37">
        <v>0</v>
      </c>
      <c r="E103" s="17"/>
    </row>
    <row r="105" spans="1:5" ht="21" customHeight="1">
      <c r="A105" s="1" t="s">
        <v>598</v>
      </c>
    </row>
    <row r="107" spans="1:5">
      <c r="B107" s="15" t="s">
        <v>346</v>
      </c>
      <c r="C107" s="15" t="s">
        <v>347</v>
      </c>
      <c r="D107" s="15" t="s">
        <v>348</v>
      </c>
    </row>
    <row r="108" spans="1:5">
      <c r="A108" s="4" t="s">
        <v>186</v>
      </c>
      <c r="B108" s="37">
        <v>0</v>
      </c>
      <c r="C108" s="37">
        <v>0</v>
      </c>
      <c r="D108" s="37">
        <v>1</v>
      </c>
      <c r="E108" s="17"/>
    </row>
    <row r="109" spans="1:5">
      <c r="A109" s="4" t="s">
        <v>187</v>
      </c>
      <c r="B109" s="37">
        <v>0</v>
      </c>
      <c r="C109" s="37">
        <v>0</v>
      </c>
      <c r="D109" s="37">
        <v>1</v>
      </c>
      <c r="E109" s="17"/>
    </row>
    <row r="110" spans="1:5">
      <c r="A110" s="4" t="s">
        <v>188</v>
      </c>
      <c r="B110" s="37">
        <v>0</v>
      </c>
      <c r="C110" s="37">
        <v>0</v>
      </c>
      <c r="D110" s="37">
        <v>1</v>
      </c>
      <c r="E110" s="17"/>
    </row>
    <row r="111" spans="1:5">
      <c r="A111" s="4" t="s">
        <v>189</v>
      </c>
      <c r="B111" s="37">
        <v>0</v>
      </c>
      <c r="C111" s="37">
        <v>0</v>
      </c>
      <c r="D111" s="37">
        <v>1</v>
      </c>
      <c r="E111" s="17"/>
    </row>
    <row r="112" spans="1:5">
      <c r="A112" s="4" t="s">
        <v>206</v>
      </c>
      <c r="B112" s="37">
        <v>0</v>
      </c>
      <c r="C112" s="37">
        <v>0</v>
      </c>
      <c r="D112" s="37">
        <v>1</v>
      </c>
      <c r="E112" s="17"/>
    </row>
    <row r="113" spans="1:5">
      <c r="A113" s="4" t="s">
        <v>194</v>
      </c>
      <c r="B113" s="37">
        <v>0</v>
      </c>
      <c r="C113" s="37">
        <v>0</v>
      </c>
      <c r="D113" s="37">
        <v>1</v>
      </c>
      <c r="E113" s="17"/>
    </row>
    <row r="114" spans="1:5">
      <c r="A114" s="4" t="s">
        <v>195</v>
      </c>
      <c r="B114" s="37">
        <v>0</v>
      </c>
      <c r="C114" s="37">
        <v>0</v>
      </c>
      <c r="D114" s="37">
        <v>1</v>
      </c>
      <c r="E114" s="17"/>
    </row>
    <row r="115" spans="1:5">
      <c r="A115" s="4" t="s">
        <v>198</v>
      </c>
      <c r="B115" s="37">
        <v>0</v>
      </c>
      <c r="C115" s="37">
        <v>0</v>
      </c>
      <c r="D115" s="37">
        <v>1</v>
      </c>
      <c r="E115" s="17"/>
    </row>
    <row r="116" spans="1:5">
      <c r="A116" s="4" t="s">
        <v>199</v>
      </c>
      <c r="B116" s="37">
        <v>0</v>
      </c>
      <c r="C116" s="37">
        <v>0</v>
      </c>
      <c r="D116" s="37">
        <v>1</v>
      </c>
      <c r="E116" s="17"/>
    </row>
    <row r="117" spans="1:5">
      <c r="A117" s="4" t="s">
        <v>209</v>
      </c>
      <c r="B117" s="37">
        <v>0</v>
      </c>
      <c r="C117" s="37">
        <v>0</v>
      </c>
      <c r="D117" s="37">
        <v>1</v>
      </c>
      <c r="E117" s="17"/>
    </row>
    <row r="118" spans="1:5">
      <c r="A118" s="4" t="s">
        <v>210</v>
      </c>
      <c r="B118" s="37">
        <v>0</v>
      </c>
      <c r="C118" s="37">
        <v>0</v>
      </c>
      <c r="D118" s="37">
        <v>1</v>
      </c>
      <c r="E118" s="17"/>
    </row>
    <row r="120" spans="1:5" ht="21" customHeight="1">
      <c r="A120" s="1" t="s">
        <v>599</v>
      </c>
    </row>
    <row r="121" spans="1:5">
      <c r="A121" s="2" t="s">
        <v>379</v>
      </c>
    </row>
    <row r="122" spans="1:5">
      <c r="A122" s="29" t="s">
        <v>600</v>
      </c>
    </row>
    <row r="123" spans="1:5">
      <c r="A123" s="29" t="s">
        <v>601</v>
      </c>
    </row>
    <row r="124" spans="1:5">
      <c r="A124" s="29" t="s">
        <v>602</v>
      </c>
    </row>
    <row r="125" spans="1:5">
      <c r="A125" s="2" t="s">
        <v>603</v>
      </c>
    </row>
    <row r="127" spans="1:5">
      <c r="B127" s="15" t="s">
        <v>604</v>
      </c>
    </row>
    <row r="128" spans="1:5">
      <c r="A128" s="4" t="s">
        <v>180</v>
      </c>
      <c r="B128" s="39">
        <f>Loads!B334+Loads!C334+Loads!D334</f>
        <v>6545364.9635519525</v>
      </c>
      <c r="C128" s="17"/>
    </row>
    <row r="129" spans="1:3">
      <c r="A129" s="4" t="s">
        <v>181</v>
      </c>
      <c r="B129" s="39">
        <f>Loads!B335+Loads!C335+Loads!D335</f>
        <v>938860.65670328867</v>
      </c>
      <c r="C129" s="17"/>
    </row>
    <row r="130" spans="1:3">
      <c r="A130" s="4" t="s">
        <v>226</v>
      </c>
      <c r="B130" s="39">
        <f>Loads!B336+Loads!C336+Loads!D336</f>
        <v>14279.502094378502</v>
      </c>
      <c r="C130" s="17"/>
    </row>
    <row r="131" spans="1:3">
      <c r="A131" s="4" t="s">
        <v>182</v>
      </c>
      <c r="B131" s="39">
        <f>Loads!B337+Loads!C337+Loads!D337</f>
        <v>1501503.189157428</v>
      </c>
      <c r="C131" s="17"/>
    </row>
    <row r="132" spans="1:3">
      <c r="A132" s="4" t="s">
        <v>183</v>
      </c>
      <c r="B132" s="39">
        <f>Loads!B338+Loads!C338+Loads!D338</f>
        <v>727676.52998535172</v>
      </c>
      <c r="C132" s="17"/>
    </row>
    <row r="133" spans="1:3">
      <c r="A133" s="4" t="s">
        <v>227</v>
      </c>
      <c r="B133" s="39">
        <f>Loads!B339+Loads!C339+Loads!D339</f>
        <v>20242.629112942406</v>
      </c>
      <c r="C133" s="17"/>
    </row>
    <row r="134" spans="1:3">
      <c r="A134" s="4" t="s">
        <v>184</v>
      </c>
      <c r="B134" s="39">
        <f>Loads!B340+Loads!C340+Loads!D340</f>
        <v>81.370790696413877</v>
      </c>
      <c r="C134" s="17"/>
    </row>
    <row r="135" spans="1:3">
      <c r="A135" s="4" t="s">
        <v>185</v>
      </c>
      <c r="B135" s="39">
        <f>Loads!B341+Loads!C341+Loads!D341</f>
        <v>0.42399965042935406</v>
      </c>
      <c r="C135" s="17"/>
    </row>
    <row r="136" spans="1:3">
      <c r="A136" s="4" t="s">
        <v>205</v>
      </c>
      <c r="B136" s="39">
        <f>Loads!B342+Loads!C342+Loads!D342</f>
        <v>1.6067355679710611</v>
      </c>
      <c r="C136" s="17"/>
    </row>
    <row r="137" spans="1:3">
      <c r="A137" s="4" t="s">
        <v>186</v>
      </c>
      <c r="B137" s="39">
        <f>Loads!B343+Loads!C343+Loads!D343</f>
        <v>656.53452083945115</v>
      </c>
      <c r="C137" s="17"/>
    </row>
    <row r="138" spans="1:3">
      <c r="A138" s="4" t="s">
        <v>187</v>
      </c>
      <c r="B138" s="39">
        <f>Loads!B344+Loads!C344+Loads!D344</f>
        <v>216063.06005970848</v>
      </c>
      <c r="C138" s="17"/>
    </row>
    <row r="139" spans="1:3">
      <c r="A139" s="4" t="s">
        <v>188</v>
      </c>
      <c r="B139" s="39">
        <f>Loads!B345+Loads!C345+Loads!D345</f>
        <v>2444112.9212655192</v>
      </c>
      <c r="C139" s="17"/>
    </row>
    <row r="140" spans="1:3">
      <c r="A140" s="4" t="s">
        <v>189</v>
      </c>
      <c r="B140" s="39">
        <f>Loads!B346+Loads!C346+Loads!D346</f>
        <v>1220745.066818824</v>
      </c>
      <c r="C140" s="17"/>
    </row>
    <row r="141" spans="1:3">
      <c r="A141" s="4" t="s">
        <v>206</v>
      </c>
      <c r="B141" s="39">
        <f>Loads!B347+Loads!C347+Loads!D347</f>
        <v>4621307.0330922939</v>
      </c>
      <c r="C141" s="17"/>
    </row>
    <row r="142" spans="1:3">
      <c r="A142" s="4" t="s">
        <v>228</v>
      </c>
      <c r="B142" s="39">
        <f>Loads!B348+Loads!C348+Loads!D348</f>
        <v>17466.3968856461</v>
      </c>
      <c r="C142" s="17"/>
    </row>
    <row r="143" spans="1:3">
      <c r="A143" s="4" t="s">
        <v>229</v>
      </c>
      <c r="B143" s="39">
        <f>Loads!B349+Loads!C349+Loads!D349</f>
        <v>9322.3454758277185</v>
      </c>
      <c r="C143" s="17"/>
    </row>
    <row r="144" spans="1:3">
      <c r="A144" s="4" t="s">
        <v>230</v>
      </c>
      <c r="B144" s="39">
        <f>Loads!B350+Loads!C350+Loads!D350</f>
        <v>411.24693034888236</v>
      </c>
      <c r="C144" s="17"/>
    </row>
    <row r="145" spans="1:3">
      <c r="A145" s="4" t="s">
        <v>231</v>
      </c>
      <c r="B145" s="39">
        <f>Loads!B351+Loads!C351+Loads!D351</f>
        <v>5.1405866293610297E-2</v>
      </c>
      <c r="C145" s="17"/>
    </row>
    <row r="146" spans="1:3">
      <c r="A146" s="4" t="s">
        <v>232</v>
      </c>
      <c r="B146" s="39">
        <f>Loads!B352+Loads!C352+Loads!D352</f>
        <v>215855.29517257059</v>
      </c>
      <c r="C146" s="17"/>
    </row>
    <row r="147" spans="1:3">
      <c r="A147" s="4" t="s">
        <v>190</v>
      </c>
      <c r="B147" s="39">
        <f>Loads!B353+Loads!C353+Loads!D353</f>
        <v>3259.869342874948</v>
      </c>
      <c r="C147" s="17"/>
    </row>
    <row r="148" spans="1:3">
      <c r="A148" s="4" t="s">
        <v>191</v>
      </c>
      <c r="B148" s="39">
        <f>Loads!B354+Loads!C354+Loads!D354</f>
        <v>0.95981427317991785</v>
      </c>
      <c r="C148" s="17"/>
    </row>
    <row r="149" spans="1:3">
      <c r="A149" s="4" t="s">
        <v>192</v>
      </c>
      <c r="B149" s="39">
        <f>Loads!B355+Loads!C355+Loads!D355</f>
        <v>20683.735342690296</v>
      </c>
      <c r="C149" s="17"/>
    </row>
    <row r="150" spans="1:3">
      <c r="A150" s="4" t="s">
        <v>193</v>
      </c>
      <c r="B150" s="39">
        <f>Loads!B356+Loads!C356+Loads!D356</f>
        <v>0</v>
      </c>
      <c r="C150" s="17"/>
    </row>
    <row r="151" spans="1:3">
      <c r="A151" s="4" t="s">
        <v>194</v>
      </c>
      <c r="B151" s="39">
        <f>Loads!B357+Loads!C357+Loads!D357</f>
        <v>6000.0227048036768</v>
      </c>
      <c r="C151" s="17"/>
    </row>
    <row r="152" spans="1:3">
      <c r="A152" s="4" t="s">
        <v>195</v>
      </c>
      <c r="B152" s="39">
        <f>Loads!B358+Loads!C358+Loads!D358</f>
        <v>0</v>
      </c>
      <c r="C152" s="17"/>
    </row>
    <row r="153" spans="1:3">
      <c r="A153" s="4" t="s">
        <v>196</v>
      </c>
      <c r="B153" s="39">
        <f>Loads!B359+Loads!C359+Loads!D359</f>
        <v>4182.5823952552873</v>
      </c>
      <c r="C153" s="17"/>
    </row>
    <row r="154" spans="1:3">
      <c r="A154" s="4" t="s">
        <v>197</v>
      </c>
      <c r="B154" s="39">
        <f>Loads!B360+Loads!C360+Loads!D360</f>
        <v>0</v>
      </c>
      <c r="C154" s="17"/>
    </row>
    <row r="155" spans="1:3">
      <c r="A155" s="4" t="s">
        <v>198</v>
      </c>
      <c r="B155" s="39">
        <f>Loads!B361+Loads!C361+Loads!D361</f>
        <v>1597.4507545454544</v>
      </c>
      <c r="C155" s="17"/>
    </row>
    <row r="156" spans="1:3">
      <c r="A156" s="4" t="s">
        <v>199</v>
      </c>
      <c r="B156" s="39">
        <f>Loads!B362+Loads!C362+Loads!D362</f>
        <v>0</v>
      </c>
      <c r="C156" s="17"/>
    </row>
    <row r="157" spans="1:3">
      <c r="A157" s="4" t="s">
        <v>207</v>
      </c>
      <c r="B157" s="39">
        <f>Loads!B363+Loads!C363+Loads!D363</f>
        <v>405655.95821367676</v>
      </c>
      <c r="C157" s="17"/>
    </row>
    <row r="158" spans="1:3">
      <c r="A158" s="4" t="s">
        <v>208</v>
      </c>
      <c r="B158" s="39">
        <f>Loads!B364+Loads!C364+Loads!D364</f>
        <v>0</v>
      </c>
      <c r="C158" s="17"/>
    </row>
    <row r="159" spans="1:3">
      <c r="A159" s="4" t="s">
        <v>209</v>
      </c>
      <c r="B159" s="39">
        <f>Loads!B365+Loads!C365+Loads!D365</f>
        <v>469174.25482875959</v>
      </c>
      <c r="C159" s="17"/>
    </row>
    <row r="160" spans="1:3">
      <c r="A160" s="4" t="s">
        <v>210</v>
      </c>
      <c r="B160" s="39">
        <f>Loads!B366+Loads!C366+Loads!D366</f>
        <v>0</v>
      </c>
      <c r="C160" s="17"/>
    </row>
    <row r="162" spans="1:6" ht="21" customHeight="1">
      <c r="A162" s="1" t="s">
        <v>605</v>
      </c>
    </row>
    <row r="163" spans="1:6">
      <c r="A163" s="2" t="s">
        <v>379</v>
      </c>
    </row>
    <row r="164" spans="1:6">
      <c r="A164" s="29" t="s">
        <v>606</v>
      </c>
    </row>
    <row r="165" spans="1:6">
      <c r="A165" s="29" t="s">
        <v>607</v>
      </c>
    </row>
    <row r="166" spans="1:6">
      <c r="A166" s="29" t="s">
        <v>608</v>
      </c>
    </row>
    <row r="167" spans="1:6">
      <c r="A167" s="29" t="s">
        <v>609</v>
      </c>
    </row>
    <row r="168" spans="1:6">
      <c r="A168" s="29" t="s">
        <v>610</v>
      </c>
    </row>
    <row r="169" spans="1:6">
      <c r="A169" s="29" t="s">
        <v>611</v>
      </c>
    </row>
    <row r="170" spans="1:6">
      <c r="A170" s="30" t="s">
        <v>382</v>
      </c>
      <c r="B170" s="30" t="s">
        <v>512</v>
      </c>
      <c r="C170" s="30"/>
      <c r="D170" s="30"/>
      <c r="E170" s="30" t="s">
        <v>512</v>
      </c>
    </row>
    <row r="171" spans="1:6" ht="30">
      <c r="A171" s="30" t="s">
        <v>385</v>
      </c>
      <c r="B171" s="30" t="s">
        <v>612</v>
      </c>
      <c r="C171" s="30"/>
      <c r="D171" s="30"/>
      <c r="E171" s="30" t="s">
        <v>613</v>
      </c>
    </row>
    <row r="173" spans="1:6" ht="30">
      <c r="B173" s="28" t="s">
        <v>614</v>
      </c>
      <c r="C173" s="28"/>
      <c r="D173" s="28"/>
    </row>
    <row r="174" spans="1:6" ht="45">
      <c r="B174" s="15" t="s">
        <v>346</v>
      </c>
      <c r="C174" s="15" t="s">
        <v>347</v>
      </c>
      <c r="D174" s="15" t="s">
        <v>348</v>
      </c>
      <c r="E174" s="15" t="s">
        <v>615</v>
      </c>
    </row>
    <row r="175" spans="1:6">
      <c r="A175" s="4" t="s">
        <v>180</v>
      </c>
      <c r="B175" s="36">
        <f>IF($B$128&gt;0,(Loads!$B$334*B$43)/$B$128,0)</f>
        <v>0.12613777717892058</v>
      </c>
      <c r="C175" s="36">
        <f>IF($B$128&gt;0,(Loads!$B$334*C$43)/$B$128,0)</f>
        <v>0.3324584778691318</v>
      </c>
      <c r="D175" s="36">
        <f>IF($B$128&gt;0,(Loads!$B$334*D$43)/$B$128,0)</f>
        <v>0.54140374495194765</v>
      </c>
      <c r="E175" s="34">
        <f>IF($C$13&gt;0,$B175*Input!$F$60*24/$C$13,0)</f>
        <v>1.409661876259082</v>
      </c>
      <c r="F175" s="17"/>
    </row>
    <row r="176" spans="1:6">
      <c r="A176" s="4" t="s">
        <v>182</v>
      </c>
      <c r="B176" s="36">
        <f>IF($B$131&gt;0,(Loads!$B$337*B$46)/$B$131,0)</f>
        <v>0.10949251869436995</v>
      </c>
      <c r="C176" s="36">
        <f>IF($B$131&gt;0,(Loads!$B$337*C$46)/$B$131,0)</f>
        <v>0.44288181172873092</v>
      </c>
      <c r="D176" s="36">
        <f>IF($B$131&gt;0,(Loads!$B$337*D$46)/$B$131,0)</f>
        <v>0.44762566957689914</v>
      </c>
      <c r="E176" s="34">
        <f>IF($C$13&gt;0,$B176*Input!$F$60*24/$C$13,0)</f>
        <v>1.2236415829660885</v>
      </c>
      <c r="F176" s="17"/>
    </row>
    <row r="178" spans="1:5" ht="21" customHeight="1">
      <c r="A178" s="1" t="s">
        <v>616</v>
      </c>
    </row>
    <row r="179" spans="1:5">
      <c r="A179" s="2" t="s">
        <v>379</v>
      </c>
    </row>
    <row r="180" spans="1:5">
      <c r="A180" s="29" t="s">
        <v>606</v>
      </c>
    </row>
    <row r="181" spans="1:5">
      <c r="A181" s="29" t="s">
        <v>607</v>
      </c>
    </row>
    <row r="182" spans="1:5">
      <c r="A182" s="29" t="s">
        <v>608</v>
      </c>
    </row>
    <row r="183" spans="1:5">
      <c r="A183" s="29" t="s">
        <v>617</v>
      </c>
    </row>
    <row r="184" spans="1:5">
      <c r="A184" s="29" t="s">
        <v>618</v>
      </c>
    </row>
    <row r="185" spans="1:5">
      <c r="A185" s="29" t="s">
        <v>619</v>
      </c>
    </row>
    <row r="186" spans="1:5">
      <c r="A186" s="29" t="s">
        <v>620</v>
      </c>
    </row>
    <row r="187" spans="1:5">
      <c r="A187" s="29" t="s">
        <v>621</v>
      </c>
    </row>
    <row r="188" spans="1:5">
      <c r="A188" s="30" t="s">
        <v>382</v>
      </c>
      <c r="B188" s="30" t="s">
        <v>512</v>
      </c>
      <c r="C188" s="30"/>
      <c r="D188" s="30"/>
      <c r="E188" s="30" t="s">
        <v>512</v>
      </c>
    </row>
    <row r="189" spans="1:5" ht="30">
      <c r="A189" s="30" t="s">
        <v>385</v>
      </c>
      <c r="B189" s="30" t="s">
        <v>622</v>
      </c>
      <c r="C189" s="30"/>
      <c r="D189" s="30"/>
      <c r="E189" s="30" t="s">
        <v>623</v>
      </c>
    </row>
    <row r="191" spans="1:5" ht="30">
      <c r="B191" s="28" t="s">
        <v>624</v>
      </c>
      <c r="C191" s="28"/>
      <c r="D191" s="28"/>
    </row>
    <row r="192" spans="1:5" ht="45">
      <c r="B192" s="15" t="s">
        <v>346</v>
      </c>
      <c r="C192" s="15" t="s">
        <v>347</v>
      </c>
      <c r="D192" s="15" t="s">
        <v>348</v>
      </c>
      <c r="E192" s="15" t="s">
        <v>625</v>
      </c>
    </row>
    <row r="193" spans="1:6">
      <c r="A193" s="4" t="s">
        <v>181</v>
      </c>
      <c r="B193" s="36">
        <f>IF($B$129&gt;0,(Loads!$B$335*B$44+Loads!$C$335*B$88)/$B$129,0)</f>
        <v>6.9421587926535674E-2</v>
      </c>
      <c r="C193" s="36">
        <f>IF($B$129&gt;0,(Loads!$B$335*C$44+Loads!$C$335*C$88)/$B$129,0)</f>
        <v>0.17895042192469246</v>
      </c>
      <c r="D193" s="36">
        <f>IF($B$129&gt;0,(Loads!$B$335*D$44+Loads!$C$335*D$88)/$B$129,0)</f>
        <v>0.75162799014877191</v>
      </c>
      <c r="E193" s="34">
        <f>IF($C$13&gt;0,$B193*Input!$F$60*24/$C$13,0)</f>
        <v>0.77582599026296373</v>
      </c>
      <c r="F193" s="17"/>
    </row>
    <row r="194" spans="1:6">
      <c r="A194" s="4" t="s">
        <v>183</v>
      </c>
      <c r="B194" s="36">
        <f>IF($B$132&gt;0,(Loads!$B$338*B$47+Loads!$C$338*B$89)/$B$132,0)</f>
        <v>9.1321644524506126E-2</v>
      </c>
      <c r="C194" s="36">
        <f>IF($B$132&gt;0,(Loads!$B$338*C$47+Loads!$C$338*C$89)/$B$132,0)</f>
        <v>0.33615594940171634</v>
      </c>
      <c r="D194" s="36">
        <f>IF($B$132&gt;0,(Loads!$B$338*D$47+Loads!$C$338*D$89)/$B$132,0)</f>
        <v>0.57252240607377747</v>
      </c>
      <c r="E194" s="34">
        <f>IF($C$13&gt;0,$B194*Input!$F$60*24/$C$13,0)</f>
        <v>1.0205716609456259</v>
      </c>
      <c r="F194" s="17"/>
    </row>
    <row r="195" spans="1:6">
      <c r="A195" s="4" t="s">
        <v>184</v>
      </c>
      <c r="B195" s="36">
        <f>IF($B$134&gt;0,(Loads!$B$340*B$49+Loads!$C$340*B$90)/$B$134,0)</f>
        <v>0.11322207695069783</v>
      </c>
      <c r="C195" s="36">
        <f>IF($B$134&gt;0,(Loads!$B$340*C$49+Loads!$C$340*C$90)/$B$134,0)</f>
        <v>0.40162099224588871</v>
      </c>
      <c r="D195" s="36">
        <f>IF($B$134&gt;0,(Loads!$B$340*D$49+Loads!$C$340*D$90)/$B$134,0)</f>
        <v>0.48515693080341349</v>
      </c>
      <c r="E195" s="34">
        <f>IF($C$13&gt;0,$B195*Input!$F$60*24/$C$13,0)</f>
        <v>1.2653215317238293</v>
      </c>
      <c r="F195" s="17"/>
    </row>
    <row r="196" spans="1:6">
      <c r="A196" s="4" t="s">
        <v>185</v>
      </c>
      <c r="B196" s="36">
        <f>IF($B$135&gt;0,(Loads!$B$341*B$50+Loads!$C$341*B$91)/$B$135,0)</f>
        <v>4.3031566096725496E-2</v>
      </c>
      <c r="C196" s="36">
        <f>IF($B$135&gt;0,(Loads!$B$341*C$50+Loads!$C$341*C$91)/$B$135,0)</f>
        <v>0.15390252975832774</v>
      </c>
      <c r="D196" s="36">
        <f>IF($B$135&gt;0,(Loads!$B$341*D$50+Loads!$C$341*D$91)/$B$135,0)</f>
        <v>0.80306590414494672</v>
      </c>
      <c r="E196" s="34">
        <f>IF($C$13&gt;0,$B196*Input!$F$60*24/$C$13,0)</f>
        <v>0.48090238752371089</v>
      </c>
      <c r="F196" s="17"/>
    </row>
    <row r="197" spans="1:6">
      <c r="A197" s="4" t="s">
        <v>205</v>
      </c>
      <c r="B197" s="36">
        <f>IF($B$136&gt;0,(Loads!$B$342*B$51+Loads!$C$342*B$92)/$B$136,0)</f>
        <v>3.7540642211251737E-2</v>
      </c>
      <c r="C197" s="36">
        <f>IF($B$136&gt;0,(Loads!$B$342*C$51+Loads!$C$342*C$92)/$B$136,0)</f>
        <v>0.1373146584785882</v>
      </c>
      <c r="D197" s="36">
        <f>IF($B$136&gt;0,(Loads!$B$342*D$51+Loads!$C$342*D$92)/$B$136,0)</f>
        <v>0.8251446993101601</v>
      </c>
      <c r="E197" s="34">
        <f>IF($C$13&gt;0,$B197*Input!$F$60*24/$C$13,0)</f>
        <v>0.41953816944482858</v>
      </c>
      <c r="F197" s="17"/>
    </row>
    <row r="199" spans="1:6" ht="21" customHeight="1">
      <c r="A199" s="1" t="s">
        <v>626</v>
      </c>
    </row>
    <row r="200" spans="1:6">
      <c r="A200" s="2" t="s">
        <v>379</v>
      </c>
    </row>
    <row r="201" spans="1:6">
      <c r="A201" s="29" t="s">
        <v>606</v>
      </c>
    </row>
    <row r="202" spans="1:6">
      <c r="A202" s="29" t="s">
        <v>607</v>
      </c>
    </row>
    <row r="203" spans="1:6">
      <c r="A203" s="29" t="s">
        <v>608</v>
      </c>
    </row>
    <row r="204" spans="1:6">
      <c r="A204" s="29" t="s">
        <v>617</v>
      </c>
    </row>
    <row r="205" spans="1:6">
      <c r="A205" s="29" t="s">
        <v>618</v>
      </c>
    </row>
    <row r="206" spans="1:6">
      <c r="A206" s="29" t="s">
        <v>627</v>
      </c>
    </row>
    <row r="207" spans="1:6">
      <c r="A207" s="29" t="s">
        <v>628</v>
      </c>
    </row>
    <row r="208" spans="1:6">
      <c r="A208" s="29" t="s">
        <v>629</v>
      </c>
    </row>
    <row r="209" spans="1:6">
      <c r="A209" s="29" t="s">
        <v>630</v>
      </c>
    </row>
    <row r="210" spans="1:6">
      <c r="A210" s="29" t="s">
        <v>631</v>
      </c>
    </row>
    <row r="211" spans="1:6">
      <c r="A211" s="30" t="s">
        <v>382</v>
      </c>
      <c r="B211" s="30" t="s">
        <v>512</v>
      </c>
      <c r="C211" s="30"/>
      <c r="D211" s="30"/>
      <c r="E211" s="30" t="s">
        <v>512</v>
      </c>
    </row>
    <row r="212" spans="1:6" ht="30">
      <c r="A212" s="30" t="s">
        <v>385</v>
      </c>
      <c r="B212" s="30" t="s">
        <v>632</v>
      </c>
      <c r="C212" s="30"/>
      <c r="D212" s="30"/>
      <c r="E212" s="30" t="s">
        <v>633</v>
      </c>
    </row>
    <row r="214" spans="1:6" ht="30">
      <c r="B214" s="28" t="s">
        <v>634</v>
      </c>
      <c r="C214" s="28"/>
      <c r="D214" s="28"/>
    </row>
    <row r="215" spans="1:6" ht="45">
      <c r="B215" s="15" t="s">
        <v>346</v>
      </c>
      <c r="C215" s="15" t="s">
        <v>347</v>
      </c>
      <c r="D215" s="15" t="s">
        <v>348</v>
      </c>
      <c r="E215" s="15" t="s">
        <v>635</v>
      </c>
    </row>
    <row r="216" spans="1:6">
      <c r="A216" s="4" t="s">
        <v>186</v>
      </c>
      <c r="B216" s="36">
        <f>IF($B$137&gt;0,(Loads!$B$343*B$52+Loads!$C$343*B$93+Loads!$D$343*B$108)/$B$137,0)</f>
        <v>0.10489055527857059</v>
      </c>
      <c r="C216" s="36">
        <f>IF($B$137&gt;0,(Loads!$B$343*C$52+Loads!$C$343*C$93+Loads!$D$343*C$108)/$B$137,0)</f>
        <v>0.31468217205384919</v>
      </c>
      <c r="D216" s="36">
        <f>IF($B$137&gt;0,(Loads!$B$343*D$52+Loads!$C$343*D$93+Loads!$D$343*D$108)/$B$137,0)</f>
        <v>0.58042727266758021</v>
      </c>
      <c r="E216" s="34">
        <f>IF($C$13&gt;0,$B216*Input!$F$60*24/$C$13,0)</f>
        <v>1.1722120070826514</v>
      </c>
      <c r="F216" s="17"/>
    </row>
    <row r="217" spans="1:6">
      <c r="A217" s="4" t="s">
        <v>187</v>
      </c>
      <c r="B217" s="36">
        <f>IF($B$138&gt;0,(Loads!$B$344*B$53+Loads!$C$344*B$94+Loads!$D$344*B$109)/$B$138,0)</f>
        <v>0.10383989257564354</v>
      </c>
      <c r="C217" s="36">
        <f>IF($B$138&gt;0,(Loads!$B$344*C$53+Loads!$C$344*C$94+Loads!$D$344*C$109)/$B$138,0)</f>
        <v>0.37302583999764283</v>
      </c>
      <c r="D217" s="36">
        <f>IF($B$138&gt;0,(Loads!$B$344*D$53+Loads!$C$344*D$94+Loads!$D$344*D$109)/$B$138,0)</f>
        <v>0.52313426742671365</v>
      </c>
      <c r="E217" s="34">
        <f>IF($C$13&gt;0,$B217*Input!$F$60*24/$C$13,0)</f>
        <v>1.1604702498529933</v>
      </c>
      <c r="F217" s="17"/>
    </row>
    <row r="218" spans="1:6">
      <c r="A218" s="4" t="s">
        <v>188</v>
      </c>
      <c r="B218" s="36">
        <f>IF($B$139&gt;0,(Loads!$B$345*B$54+Loads!$C$345*B$95+Loads!$D$345*B$110)/$B$139,0)</f>
        <v>0.10887617628525206</v>
      </c>
      <c r="C218" s="36">
        <f>IF($B$139&gt;0,(Loads!$B$345*C$54+Loads!$C$345*C$95+Loads!$D$345*C$110)/$B$139,0)</f>
        <v>0.3888939484592504</v>
      </c>
      <c r="D218" s="36">
        <f>IF($B$139&gt;0,(Loads!$B$345*D$54+Loads!$C$345*D$95+Loads!$D$345*D$110)/$B$139,0)</f>
        <v>0.50222987525549756</v>
      </c>
      <c r="E218" s="34">
        <f>IF($C$13&gt;0,$B218*Input!$F$60*24/$C$13,0)</f>
        <v>1.2167536036764046</v>
      </c>
      <c r="F218" s="17"/>
    </row>
    <row r="219" spans="1:6">
      <c r="A219" s="4" t="s">
        <v>189</v>
      </c>
      <c r="B219" s="36">
        <f>IF($B$140&gt;0,(Loads!$B$346*B$55+Loads!$C$346*B$96+Loads!$D$346*B$111)/$B$140,0)</f>
        <v>0.1040489685646022</v>
      </c>
      <c r="C219" s="36">
        <f>IF($B$140&gt;0,(Loads!$B$346*C$55+Loads!$C$346*C$96+Loads!$D$346*C$111)/$B$140,0)</f>
        <v>0.38109552316026046</v>
      </c>
      <c r="D219" s="36">
        <f>IF($B$140&gt;0,(Loads!$B$346*D$55+Loads!$C$346*D$96+Loads!$D$346*D$111)/$B$140,0)</f>
        <v>0.51485550827513737</v>
      </c>
      <c r="E219" s="34">
        <f>IF($C$13&gt;0,$B219*Input!$F$60*24/$C$13,0)</f>
        <v>1.1628067937296003</v>
      </c>
      <c r="F219" s="17"/>
    </row>
    <row r="220" spans="1:6">
      <c r="A220" s="4" t="s">
        <v>206</v>
      </c>
      <c r="B220" s="36">
        <f>IF($B$141&gt;0,(Loads!$B$347*B$56+Loads!$C$347*B$97+Loads!$D$347*B$112)/$B$141,0)</f>
        <v>9.9475949999690033E-2</v>
      </c>
      <c r="C220" s="36">
        <f>IF($B$141&gt;0,(Loads!$B$347*C$56+Loads!$C$347*C$97+Loads!$D$347*C$112)/$B$141,0)</f>
        <v>0.34021125209876796</v>
      </c>
      <c r="D220" s="36">
        <f>IF($B$141&gt;0,(Loads!$B$347*D$56+Loads!$C$347*D$97+Loads!$D$347*D$112)/$B$141,0)</f>
        <v>0.56031279790154187</v>
      </c>
      <c r="E220" s="34">
        <f>IF($C$13&gt;0,$B220*Input!$F$60*24/$C$13,0)</f>
        <v>1.1117006931263067</v>
      </c>
      <c r="F220" s="17"/>
    </row>
    <row r="222" spans="1:6" ht="21" customHeight="1">
      <c r="A222" s="1" t="s">
        <v>636</v>
      </c>
    </row>
    <row r="223" spans="1:6">
      <c r="A223" s="2" t="s">
        <v>379</v>
      </c>
    </row>
    <row r="224" spans="1:6">
      <c r="A224" s="29" t="s">
        <v>637</v>
      </c>
    </row>
    <row r="225" spans="1:4">
      <c r="A225" s="29" t="s">
        <v>638</v>
      </c>
    </row>
    <row r="226" spans="1:4">
      <c r="A226" s="29" t="s">
        <v>639</v>
      </c>
    </row>
    <row r="227" spans="1:4">
      <c r="A227" s="29" t="s">
        <v>640</v>
      </c>
    </row>
    <row r="228" spans="1:4">
      <c r="A228" s="29" t="s">
        <v>641</v>
      </c>
    </row>
    <row r="229" spans="1:4">
      <c r="A229" s="30" t="s">
        <v>382</v>
      </c>
      <c r="B229" s="30" t="s">
        <v>547</v>
      </c>
      <c r="C229" s="30" t="s">
        <v>512</v>
      </c>
    </row>
    <row r="230" spans="1:4" ht="30">
      <c r="A230" s="30" t="s">
        <v>385</v>
      </c>
      <c r="B230" s="30" t="s">
        <v>642</v>
      </c>
      <c r="C230" s="30" t="s">
        <v>643</v>
      </c>
    </row>
    <row r="232" spans="1:4" ht="75">
      <c r="B232" s="15" t="s">
        <v>644</v>
      </c>
      <c r="C232" s="15" t="s">
        <v>645</v>
      </c>
    </row>
    <row r="233" spans="1:4">
      <c r="A233" s="4" t="s">
        <v>180</v>
      </c>
      <c r="B233" s="35">
        <f>E$175</f>
        <v>1.409661876259082</v>
      </c>
      <c r="C233" s="34">
        <f>IF($B233&lt;&gt;0,Loads!B$46/$B233,IF(Loads!B$46&lt;0,-1,1))</f>
        <v>1.4429886830329446</v>
      </c>
      <c r="D233" s="17"/>
    </row>
    <row r="234" spans="1:4">
      <c r="A234" s="4" t="s">
        <v>181</v>
      </c>
      <c r="B234" s="35">
        <f>E$193</f>
        <v>0.77582599026296373</v>
      </c>
      <c r="C234" s="34">
        <f>IF($B234&lt;&gt;0,Loads!B$47/$B234,IF(Loads!B$47&lt;0,-1,1))</f>
        <v>1.6327210297572319</v>
      </c>
      <c r="D234" s="17"/>
    </row>
    <row r="235" spans="1:4">
      <c r="A235" s="4" t="s">
        <v>226</v>
      </c>
      <c r="B235" s="10"/>
      <c r="C235" s="34">
        <f>IF($B235&lt;&gt;0,Loads!B$48/$B235,IF(Loads!B$48&lt;0,-1,1))</f>
        <v>1</v>
      </c>
      <c r="D235" s="17"/>
    </row>
    <row r="236" spans="1:4">
      <c r="A236" s="4" t="s">
        <v>182</v>
      </c>
      <c r="B236" s="35">
        <f>E$176</f>
        <v>1.2236415829660885</v>
      </c>
      <c r="C236" s="34">
        <f>IF($B236&lt;&gt;0,Loads!B$49/$B236,IF(Loads!B$49&lt;0,-1,1))</f>
        <v>1.3363558185460349</v>
      </c>
      <c r="D236" s="17"/>
    </row>
    <row r="237" spans="1:4">
      <c r="A237" s="4" t="s">
        <v>183</v>
      </c>
      <c r="B237" s="35">
        <f>E$194</f>
        <v>1.0205716609456259</v>
      </c>
      <c r="C237" s="34">
        <f>IF($B237&lt;&gt;0,Loads!B$50/$B237,IF(Loads!B$50&lt;0,-1,1))</f>
        <v>1.2970446675849303</v>
      </c>
      <c r="D237" s="17"/>
    </row>
    <row r="238" spans="1:4">
      <c r="A238" s="4" t="s">
        <v>227</v>
      </c>
      <c r="B238" s="10"/>
      <c r="C238" s="34">
        <f>IF($B238&lt;&gt;0,Loads!B$51/$B238,IF(Loads!B$51&lt;0,-1,1))</f>
        <v>1</v>
      </c>
      <c r="D238" s="17"/>
    </row>
    <row r="239" spans="1:4">
      <c r="A239" s="4" t="s">
        <v>184</v>
      </c>
      <c r="B239" s="35">
        <f>E$195</f>
        <v>1.2653215317238293</v>
      </c>
      <c r="C239" s="34">
        <f>IF($B239&lt;&gt;0,Loads!B$52/$B239,IF(Loads!B$52&lt;0,-1,1))</f>
        <v>1.1148753172906043</v>
      </c>
      <c r="D239" s="17"/>
    </row>
    <row r="240" spans="1:4">
      <c r="A240" s="4" t="s">
        <v>185</v>
      </c>
      <c r="B240" s="35">
        <f>E$196</f>
        <v>0.48090238752371089</v>
      </c>
      <c r="C240" s="34">
        <f>IF($B240&lt;&gt;0,Loads!B$53/$B240,IF(Loads!B$53&lt;0,-1,1))</f>
        <v>2.9258280624275268</v>
      </c>
      <c r="D240" s="17"/>
    </row>
    <row r="241" spans="1:4">
      <c r="A241" s="4" t="s">
        <v>205</v>
      </c>
      <c r="B241" s="35">
        <f>E$197</f>
        <v>0.41953816944482858</v>
      </c>
      <c r="C241" s="34">
        <f>IF($B241&lt;&gt;0,Loads!B$54/$B241,IF(Loads!B$54&lt;0,-1,1))</f>
        <v>3.5665448233691204</v>
      </c>
      <c r="D241" s="17"/>
    </row>
    <row r="242" spans="1:4">
      <c r="A242" s="4" t="s">
        <v>186</v>
      </c>
      <c r="B242" s="35">
        <f>E$216</f>
        <v>1.1722120070826514</v>
      </c>
      <c r="C242" s="34">
        <f>IF($B242&lt;&gt;0,Loads!B$55/$B242,IF(Loads!B$55&lt;0,-1,1))</f>
        <v>1.7352886014256792</v>
      </c>
      <c r="D242" s="17"/>
    </row>
    <row r="243" spans="1:4">
      <c r="A243" s="4" t="s">
        <v>187</v>
      </c>
      <c r="B243" s="35">
        <f>E$217</f>
        <v>1.1604702498529933</v>
      </c>
      <c r="C243" s="34">
        <f>IF($B243&lt;&gt;0,Loads!B$56/$B243,IF(Loads!B$56&lt;0,-1,1))</f>
        <v>1.4091016546255799</v>
      </c>
      <c r="D243" s="17"/>
    </row>
    <row r="244" spans="1:4">
      <c r="A244" s="4" t="s">
        <v>188</v>
      </c>
      <c r="B244" s="35">
        <f>E$218</f>
        <v>1.2167536036764046</v>
      </c>
      <c r="C244" s="34">
        <f>IF($B244&lt;&gt;0,Loads!B$57/$B244,IF(Loads!B$57&lt;0,-1,1))</f>
        <v>1.1946430880382566</v>
      </c>
      <c r="D244" s="17"/>
    </row>
    <row r="245" spans="1:4">
      <c r="A245" s="4" t="s">
        <v>189</v>
      </c>
      <c r="B245" s="35">
        <f>E$219</f>
        <v>1.1628067937296003</v>
      </c>
      <c r="C245" s="34">
        <f>IF($B245&lt;&gt;0,Loads!B$58/$B245,IF(Loads!B$58&lt;0,-1,1))</f>
        <v>1.1719005393228634</v>
      </c>
      <c r="D245" s="17"/>
    </row>
    <row r="246" spans="1:4">
      <c r="A246" s="4" t="s">
        <v>206</v>
      </c>
      <c r="B246" s="35">
        <f>E$220</f>
        <v>1.1117006931263067</v>
      </c>
      <c r="C246" s="34">
        <f>IF($B246&lt;&gt;0,Loads!B$59/$B246,IF(Loads!B$59&lt;0,-1,1))</f>
        <v>1.0631187881284281</v>
      </c>
      <c r="D246" s="17"/>
    </row>
    <row r="247" spans="1:4">
      <c r="A247" s="4" t="s">
        <v>194</v>
      </c>
      <c r="B247" s="10"/>
      <c r="C247" s="34">
        <f>IF($B247&lt;&gt;0,Loads!B$69/$B247,IF(Loads!B$69&lt;0,-1,1))</f>
        <v>-1</v>
      </c>
      <c r="D247" s="17"/>
    </row>
    <row r="248" spans="1:4">
      <c r="A248" s="4" t="s">
        <v>195</v>
      </c>
      <c r="B248" s="10"/>
      <c r="C248" s="34">
        <f>IF($B248&lt;&gt;0,Loads!B$70/$B248,IF(Loads!B$70&lt;0,-1,1))</f>
        <v>-1</v>
      </c>
      <c r="D248" s="17"/>
    </row>
    <row r="249" spans="1:4">
      <c r="A249" s="4" t="s">
        <v>198</v>
      </c>
      <c r="B249" s="10"/>
      <c r="C249" s="34">
        <f>IF($B249&lt;&gt;0,Loads!B$73/$B249,IF(Loads!B$73&lt;0,-1,1))</f>
        <v>-1</v>
      </c>
      <c r="D249" s="17"/>
    </row>
    <row r="250" spans="1:4">
      <c r="A250" s="4" t="s">
        <v>199</v>
      </c>
      <c r="B250" s="10"/>
      <c r="C250" s="34">
        <f>IF($B250&lt;&gt;0,Loads!B$74/$B250,IF(Loads!B$74&lt;0,-1,1))</f>
        <v>-1</v>
      </c>
      <c r="D250" s="17"/>
    </row>
    <row r="251" spans="1:4">
      <c r="A251" s="4" t="s">
        <v>209</v>
      </c>
      <c r="B251" s="10"/>
      <c r="C251" s="34">
        <f>IF($B251&lt;&gt;0,Loads!B$77/$B251,IF(Loads!B$77&lt;0,-1,1))</f>
        <v>-1</v>
      </c>
      <c r="D251" s="17"/>
    </row>
    <row r="252" spans="1:4">
      <c r="A252" s="4" t="s">
        <v>210</v>
      </c>
      <c r="B252" s="10"/>
      <c r="C252" s="34">
        <f>IF($B252&lt;&gt;0,Loads!B$78/$B252,IF(Loads!B$78&lt;0,-1,1))</f>
        <v>-1</v>
      </c>
      <c r="D252" s="17"/>
    </row>
    <row r="254" spans="1:4" ht="21" customHeight="1">
      <c r="A254" s="1" t="s">
        <v>646</v>
      </c>
    </row>
    <row r="255" spans="1:4">
      <c r="A255" s="2" t="s">
        <v>379</v>
      </c>
    </row>
    <row r="256" spans="1:4">
      <c r="A256" s="29" t="s">
        <v>647</v>
      </c>
    </row>
    <row r="257" spans="1:6">
      <c r="A257" s="29" t="s">
        <v>648</v>
      </c>
    </row>
    <row r="258" spans="1:6">
      <c r="A258" s="29" t="s">
        <v>649</v>
      </c>
    </row>
    <row r="259" spans="1:6">
      <c r="A259" s="29" t="s">
        <v>650</v>
      </c>
    </row>
    <row r="260" spans="1:6">
      <c r="A260" s="30" t="s">
        <v>382</v>
      </c>
      <c r="B260" s="30" t="s">
        <v>513</v>
      </c>
      <c r="C260" s="30" t="s">
        <v>512</v>
      </c>
      <c r="D260" s="30"/>
      <c r="E260" s="30"/>
    </row>
    <row r="261" spans="1:6">
      <c r="A261" s="30" t="s">
        <v>385</v>
      </c>
      <c r="B261" s="30" t="s">
        <v>566</v>
      </c>
      <c r="C261" s="30" t="s">
        <v>651</v>
      </c>
      <c r="D261" s="30"/>
      <c r="E261" s="30"/>
    </row>
    <row r="263" spans="1:6">
      <c r="C263" s="28" t="s">
        <v>653</v>
      </c>
      <c r="D263" s="28"/>
      <c r="E263" s="28"/>
    </row>
    <row r="264" spans="1:6" ht="30">
      <c r="B264" s="15" t="s">
        <v>652</v>
      </c>
      <c r="C264" s="15" t="s">
        <v>346</v>
      </c>
      <c r="D264" s="15" t="s">
        <v>347</v>
      </c>
      <c r="E264" s="15" t="s">
        <v>348</v>
      </c>
    </row>
    <row r="265" spans="1:6">
      <c r="A265" s="4" t="s">
        <v>148</v>
      </c>
      <c r="B265" s="36">
        <f>SUM(Input!$B375:$D375)</f>
        <v>1</v>
      </c>
      <c r="C265" s="36">
        <f>IF($B265,Input!B375/$B265,Input!B$368/$B$13)</f>
        <v>0.86783625730994152</v>
      </c>
      <c r="D265" s="36">
        <f>IF($B265,Input!C375/$B265,Input!C$368/$B$13)</f>
        <v>0.11461988304093566</v>
      </c>
      <c r="E265" s="36">
        <f>IF($B265,Input!D375/$B265,Input!D$368/$B$13)</f>
        <v>1.7543859649122806E-2</v>
      </c>
      <c r="F265" s="17"/>
    </row>
    <row r="266" spans="1:6">
      <c r="A266" s="4" t="s">
        <v>149</v>
      </c>
      <c r="B266" s="36">
        <f>SUM(Input!$B376:$D376)</f>
        <v>0.99999999999999989</v>
      </c>
      <c r="C266" s="36">
        <f>IF($B266,Input!B376/$B266,Input!B$368/$B$13)</f>
        <v>0.66828522504892374</v>
      </c>
      <c r="D266" s="36">
        <f>IF($B266,Input!C376/$B266,Input!C$368/$B$13)</f>
        <v>0.2499551532941944</v>
      </c>
      <c r="E266" s="36">
        <f>IF($B266,Input!D376/$B266,Input!D$368/$B$13)</f>
        <v>8.1759621656881942E-2</v>
      </c>
      <c r="F266" s="17"/>
    </row>
    <row r="267" spans="1:6">
      <c r="A267" s="4" t="s">
        <v>150</v>
      </c>
      <c r="B267" s="36">
        <f>SUM(Input!$B377:$D377)</f>
        <v>0.99999999999999989</v>
      </c>
      <c r="C267" s="36">
        <f>IF($B267,Input!B377/$B267,Input!B$368/$B$13)</f>
        <v>0.66828522504892374</v>
      </c>
      <c r="D267" s="36">
        <f>IF($B267,Input!C377/$B267,Input!C$368/$B$13)</f>
        <v>0.2499551532941944</v>
      </c>
      <c r="E267" s="36">
        <f>IF($B267,Input!D377/$B267,Input!D$368/$B$13)</f>
        <v>8.1759621656881942E-2</v>
      </c>
      <c r="F267" s="17"/>
    </row>
    <row r="268" spans="1:6">
      <c r="A268" s="4" t="s">
        <v>151</v>
      </c>
      <c r="B268" s="36">
        <f>SUM(Input!$B378:$D378)</f>
        <v>1</v>
      </c>
      <c r="C268" s="36">
        <f>IF($B268,Input!B378/$B268,Input!B$368/$B$13)</f>
        <v>0.5635950837014011</v>
      </c>
      <c r="D268" s="36">
        <f>IF($B268,Input!C378/$B268,Input!C$368/$B$13)</f>
        <v>0.35223729701351925</v>
      </c>
      <c r="E268" s="36">
        <f>IF($B268,Input!D378/$B268,Input!D$368/$B$13)</f>
        <v>8.4167619285079695E-2</v>
      </c>
      <c r="F268" s="17"/>
    </row>
    <row r="269" spans="1:6">
      <c r="A269" s="4" t="s">
        <v>152</v>
      </c>
      <c r="B269" s="36">
        <f>SUM(Input!$B379:$D379)</f>
        <v>1</v>
      </c>
      <c r="C269" s="36">
        <f>IF($B269,Input!B379/$B269,Input!B$368/$B$13)</f>
        <v>0.5635950837014011</v>
      </c>
      <c r="D269" s="36">
        <f>IF($B269,Input!C379/$B269,Input!C$368/$B$13)</f>
        <v>0.35223729701351925</v>
      </c>
      <c r="E269" s="36">
        <f>IF($B269,Input!D379/$B269,Input!D$368/$B$13)</f>
        <v>8.4167619285079695E-2</v>
      </c>
      <c r="F269" s="17"/>
    </row>
    <row r="270" spans="1:6">
      <c r="A270" s="4" t="s">
        <v>157</v>
      </c>
      <c r="B270" s="36">
        <f>SUM(Input!$B380:$D380)</f>
        <v>0</v>
      </c>
      <c r="C270" s="36">
        <f>IF($B270,Input!B380/$B270,Input!B$368/$B$13)</f>
        <v>8.9480874316939893E-2</v>
      </c>
      <c r="D270" s="36">
        <f>IF($B270,Input!C380/$B270,Input!C$368/$B$13)</f>
        <v>0.28904826958105645</v>
      </c>
      <c r="E270" s="36">
        <f>IF($B270,Input!D380/$B270,Input!D$368/$B$13)</f>
        <v>0.62147085610200359</v>
      </c>
      <c r="F270" s="17"/>
    </row>
    <row r="271" spans="1:6">
      <c r="A271" s="4" t="s">
        <v>153</v>
      </c>
      <c r="B271" s="36">
        <f>SUM(Input!$B381:$D381)</f>
        <v>1</v>
      </c>
      <c r="C271" s="36">
        <f>IF($B271,Input!B381/$B271,Input!B$368/$B$13)</f>
        <v>0.5635950837014011</v>
      </c>
      <c r="D271" s="36">
        <f>IF($B271,Input!C381/$B271,Input!C$368/$B$13)</f>
        <v>0.35223729701351925</v>
      </c>
      <c r="E271" s="36">
        <f>IF($B271,Input!D381/$B271,Input!D$368/$B$13)</f>
        <v>8.4167619285079695E-2</v>
      </c>
      <c r="F271" s="17"/>
    </row>
    <row r="272" spans="1:6">
      <c r="A272" s="4" t="s">
        <v>154</v>
      </c>
      <c r="B272" s="36">
        <f>SUM(Input!$B382:$D382)</f>
        <v>1</v>
      </c>
      <c r="C272" s="36">
        <f>IF($B272,Input!B382/$B272,Input!B$368/$B$13)</f>
        <v>0.5635950837014011</v>
      </c>
      <c r="D272" s="36">
        <f>IF($B272,Input!C382/$B272,Input!C$368/$B$13)</f>
        <v>0.35223729701351925</v>
      </c>
      <c r="E272" s="36">
        <f>IF($B272,Input!D382/$B272,Input!D$368/$B$13)</f>
        <v>8.4167619285079695E-2</v>
      </c>
      <c r="F272" s="17"/>
    </row>
    <row r="273" spans="1:38">
      <c r="A273" s="4" t="s">
        <v>155</v>
      </c>
      <c r="B273" s="36">
        <f>SUM(Input!$B383:$D383)</f>
        <v>1</v>
      </c>
      <c r="C273" s="36">
        <f>IF($B273,Input!B383/$B273,Input!B$368/$B$13)</f>
        <v>0.5635950837014011</v>
      </c>
      <c r="D273" s="36">
        <f>IF($B273,Input!C383/$B273,Input!C$368/$B$13)</f>
        <v>0.35223729701351925</v>
      </c>
      <c r="E273" s="36">
        <f>IF($B273,Input!D383/$B273,Input!D$368/$B$13)</f>
        <v>8.4167619285079695E-2</v>
      </c>
      <c r="F273" s="17"/>
    </row>
    <row r="275" spans="1:38" ht="21" customHeight="1">
      <c r="A275" s="1" t="s">
        <v>654</v>
      </c>
    </row>
    <row r="276" spans="1:38">
      <c r="A276" s="2" t="s">
        <v>379</v>
      </c>
    </row>
    <row r="277" spans="1:38">
      <c r="A277" s="29" t="s">
        <v>655</v>
      </c>
    </row>
    <row r="278" spans="1:38">
      <c r="A278" s="2" t="s">
        <v>656</v>
      </c>
    </row>
    <row r="280" spans="1:38">
      <c r="B280" s="27" t="s">
        <v>148</v>
      </c>
      <c r="C280" s="15" t="s">
        <v>346</v>
      </c>
      <c r="D280" s="15" t="s">
        <v>347</v>
      </c>
      <c r="E280" s="15" t="s">
        <v>348</v>
      </c>
      <c r="F280" s="27" t="s">
        <v>149</v>
      </c>
      <c r="G280" s="15" t="s">
        <v>346</v>
      </c>
      <c r="H280" s="15" t="s">
        <v>347</v>
      </c>
      <c r="I280" s="15" t="s">
        <v>348</v>
      </c>
      <c r="J280" s="27" t="s">
        <v>150</v>
      </c>
      <c r="K280" s="15" t="s">
        <v>346</v>
      </c>
      <c r="L280" s="15" t="s">
        <v>347</v>
      </c>
      <c r="M280" s="15" t="s">
        <v>348</v>
      </c>
      <c r="N280" s="27" t="s">
        <v>151</v>
      </c>
      <c r="O280" s="15" t="s">
        <v>346</v>
      </c>
      <c r="P280" s="15" t="s">
        <v>347</v>
      </c>
      <c r="Q280" s="15" t="s">
        <v>348</v>
      </c>
      <c r="R280" s="27" t="s">
        <v>152</v>
      </c>
      <c r="S280" s="15" t="s">
        <v>346</v>
      </c>
      <c r="T280" s="15" t="s">
        <v>347</v>
      </c>
      <c r="U280" s="15" t="s">
        <v>348</v>
      </c>
      <c r="V280" s="27" t="s">
        <v>157</v>
      </c>
      <c r="W280" s="15" t="s">
        <v>346</v>
      </c>
      <c r="X280" s="15" t="s">
        <v>347</v>
      </c>
      <c r="Y280" s="15" t="s">
        <v>348</v>
      </c>
      <c r="Z280" s="27" t="s">
        <v>153</v>
      </c>
      <c r="AA280" s="15" t="s">
        <v>346</v>
      </c>
      <c r="AB280" s="15" t="s">
        <v>347</v>
      </c>
      <c r="AC280" s="15" t="s">
        <v>348</v>
      </c>
      <c r="AD280" s="27" t="s">
        <v>154</v>
      </c>
      <c r="AE280" s="15" t="s">
        <v>346</v>
      </c>
      <c r="AF280" s="15" t="s">
        <v>347</v>
      </c>
      <c r="AG280" s="15" t="s">
        <v>348</v>
      </c>
      <c r="AH280" s="27" t="s">
        <v>155</v>
      </c>
      <c r="AI280" s="15" t="s">
        <v>346</v>
      </c>
      <c r="AJ280" s="15" t="s">
        <v>347</v>
      </c>
      <c r="AK280" s="15" t="s">
        <v>348</v>
      </c>
    </row>
    <row r="281" spans="1:38">
      <c r="A281" s="4" t="s">
        <v>657</v>
      </c>
      <c r="C281" s="38">
        <f>C$265</f>
        <v>0.86783625730994152</v>
      </c>
      <c r="D281" s="38">
        <f>D$265</f>
        <v>0.11461988304093566</v>
      </c>
      <c r="E281" s="38">
        <f>E$265</f>
        <v>1.7543859649122806E-2</v>
      </c>
      <c r="G281" s="38">
        <f>C$266</f>
        <v>0.66828522504892374</v>
      </c>
      <c r="H281" s="38">
        <f>D$266</f>
        <v>0.2499551532941944</v>
      </c>
      <c r="I281" s="38">
        <f>E$266</f>
        <v>8.1759621656881942E-2</v>
      </c>
      <c r="K281" s="38">
        <f>C$267</f>
        <v>0.66828522504892374</v>
      </c>
      <c r="L281" s="38">
        <f>D$267</f>
        <v>0.2499551532941944</v>
      </c>
      <c r="M281" s="38">
        <f>E$267</f>
        <v>8.1759621656881942E-2</v>
      </c>
      <c r="O281" s="38">
        <f>C$268</f>
        <v>0.5635950837014011</v>
      </c>
      <c r="P281" s="38">
        <f>D$268</f>
        <v>0.35223729701351925</v>
      </c>
      <c r="Q281" s="38">
        <f>E$268</f>
        <v>8.4167619285079695E-2</v>
      </c>
      <c r="S281" s="38">
        <f>C$269</f>
        <v>0.5635950837014011</v>
      </c>
      <c r="T281" s="38">
        <f>D$269</f>
        <v>0.35223729701351925</v>
      </c>
      <c r="U281" s="38">
        <f>E$269</f>
        <v>8.4167619285079695E-2</v>
      </c>
      <c r="W281" s="38">
        <f>C$270</f>
        <v>8.9480874316939893E-2</v>
      </c>
      <c r="X281" s="38">
        <f>D$270</f>
        <v>0.28904826958105645</v>
      </c>
      <c r="Y281" s="38">
        <f>E$270</f>
        <v>0.62147085610200359</v>
      </c>
      <c r="AA281" s="38">
        <f>C$271</f>
        <v>0.5635950837014011</v>
      </c>
      <c r="AB281" s="38">
        <f>D$271</f>
        <v>0.35223729701351925</v>
      </c>
      <c r="AC281" s="38">
        <f>E$271</f>
        <v>8.4167619285079695E-2</v>
      </c>
      <c r="AE281" s="38">
        <f>C$272</f>
        <v>0.5635950837014011</v>
      </c>
      <c r="AF281" s="38">
        <f>D$272</f>
        <v>0.35223729701351925</v>
      </c>
      <c r="AG281" s="38">
        <f>E$272</f>
        <v>8.4167619285079695E-2</v>
      </c>
      <c r="AI281" s="38">
        <f>C$273</f>
        <v>0.5635950837014011</v>
      </c>
      <c r="AJ281" s="38">
        <f>D$273</f>
        <v>0.35223729701351925</v>
      </c>
      <c r="AK281" s="38">
        <f>E$273</f>
        <v>8.4167619285079695E-2</v>
      </c>
      <c r="AL281" s="17"/>
    </row>
    <row r="283" spans="1:38" ht="21" customHeight="1">
      <c r="A283" s="1" t="s">
        <v>658</v>
      </c>
    </row>
    <row r="284" spans="1:38">
      <c r="A284" s="2" t="s">
        <v>379</v>
      </c>
    </row>
    <row r="285" spans="1:38">
      <c r="A285" s="29" t="s">
        <v>659</v>
      </c>
    </row>
    <row r="286" spans="1:38">
      <c r="A286" s="29" t="s">
        <v>660</v>
      </c>
    </row>
    <row r="287" spans="1:38">
      <c r="A287" s="29" t="s">
        <v>661</v>
      </c>
    </row>
    <row r="288" spans="1:38">
      <c r="A288" s="29" t="s">
        <v>584</v>
      </c>
    </row>
    <row r="289" spans="1:38">
      <c r="A289" s="2" t="s">
        <v>662</v>
      </c>
    </row>
    <row r="291" spans="1:38">
      <c r="B291" s="27" t="s">
        <v>148</v>
      </c>
      <c r="C291" s="15" t="s">
        <v>346</v>
      </c>
      <c r="D291" s="15" t="s">
        <v>347</v>
      </c>
      <c r="E291" s="15" t="s">
        <v>348</v>
      </c>
      <c r="F291" s="27" t="s">
        <v>149</v>
      </c>
      <c r="G291" s="15" t="s">
        <v>346</v>
      </c>
      <c r="H291" s="15" t="s">
        <v>347</v>
      </c>
      <c r="I291" s="15" t="s">
        <v>348</v>
      </c>
      <c r="J291" s="27" t="s">
        <v>150</v>
      </c>
      <c r="K291" s="15" t="s">
        <v>346</v>
      </c>
      <c r="L291" s="15" t="s">
        <v>347</v>
      </c>
      <c r="M291" s="15" t="s">
        <v>348</v>
      </c>
      <c r="N291" s="27" t="s">
        <v>151</v>
      </c>
      <c r="O291" s="15" t="s">
        <v>346</v>
      </c>
      <c r="P291" s="15" t="s">
        <v>347</v>
      </c>
      <c r="Q291" s="15" t="s">
        <v>348</v>
      </c>
      <c r="R291" s="27" t="s">
        <v>152</v>
      </c>
      <c r="S291" s="15" t="s">
        <v>346</v>
      </c>
      <c r="T291" s="15" t="s">
        <v>347</v>
      </c>
      <c r="U291" s="15" t="s">
        <v>348</v>
      </c>
      <c r="V291" s="27" t="s">
        <v>157</v>
      </c>
      <c r="W291" s="15" t="s">
        <v>346</v>
      </c>
      <c r="X291" s="15" t="s">
        <v>347</v>
      </c>
      <c r="Y291" s="15" t="s">
        <v>348</v>
      </c>
      <c r="Z291" s="27" t="s">
        <v>153</v>
      </c>
      <c r="AA291" s="15" t="s">
        <v>346</v>
      </c>
      <c r="AB291" s="15" t="s">
        <v>347</v>
      </c>
      <c r="AC291" s="15" t="s">
        <v>348</v>
      </c>
      <c r="AD291" s="27" t="s">
        <v>154</v>
      </c>
      <c r="AE291" s="15" t="s">
        <v>346</v>
      </c>
      <c r="AF291" s="15" t="s">
        <v>347</v>
      </c>
      <c r="AG291" s="15" t="s">
        <v>348</v>
      </c>
      <c r="AH291" s="27" t="s">
        <v>155</v>
      </c>
      <c r="AI291" s="15" t="s">
        <v>346</v>
      </c>
      <c r="AJ291" s="15" t="s">
        <v>347</v>
      </c>
      <c r="AK291" s="15" t="s">
        <v>348</v>
      </c>
    </row>
    <row r="292" spans="1:38">
      <c r="A292" s="4" t="s">
        <v>180</v>
      </c>
      <c r="C292" s="34">
        <f>IF(C$13&gt;0,$C233*C$281*24*Input!$F$60/C$13,0)</f>
        <v>13.994922463412271</v>
      </c>
      <c r="D292" s="34">
        <f>IF(D$13&gt;0,$C233*D$281*24*Input!$F$60/D$13,0)</f>
        <v>0.57220613815938759</v>
      </c>
      <c r="E292" s="34">
        <f>IF(E$13&gt;0,$C233*E$281*24*Input!$F$60/E$13,0)</f>
        <v>4.0734960749707984E-2</v>
      </c>
      <c r="G292" s="34">
        <f>IF(C$13&gt;0,$C233*G$281*24*Input!$F$60/C$13,0)</f>
        <v>10.776917683750902</v>
      </c>
      <c r="H292" s="34">
        <f>IF(D$13&gt;0,$C233*H$281*24*Input!$F$60/D$13,0)</f>
        <v>1.2478277693620401</v>
      </c>
      <c r="I292" s="34">
        <f>IF(E$13&gt;0,$C233*I$281*24*Input!$F$60/E$13,0)</f>
        <v>0.18983707380893144</v>
      </c>
      <c r="K292" s="34">
        <f>IF(C$13&gt;0,$C233*K$281*24*Input!$F$60/C$13,0)</f>
        <v>10.776917683750902</v>
      </c>
      <c r="L292" s="34">
        <f>IF(D$13&gt;0,$C233*L$281*24*Input!$F$60/D$13,0)</f>
        <v>1.2478277693620401</v>
      </c>
      <c r="M292" s="34">
        <f>IF(E$13&gt;0,$C233*M$281*24*Input!$F$60/E$13,0)</f>
        <v>0.18983707380893144</v>
      </c>
      <c r="O292" s="34">
        <f>IF(C$13&gt;0,$C233*O$281*24*Input!$F$60/C$13,0)</f>
        <v>9.0886609434946717</v>
      </c>
      <c r="P292" s="34">
        <f>IF(D$13&gt;0,$C233*P$281*24*Input!$F$60/D$13,0)</f>
        <v>1.7584413636840304</v>
      </c>
      <c r="Q292" s="34">
        <f>IF(E$13&gt;0,$C233*Q$281*24*Input!$F$60/E$13,0)</f>
        <v>0.19542818607452295</v>
      </c>
      <c r="S292" s="34">
        <f>IF(C$13&gt;0,$C233*S$281*24*Input!$F$60/C$13,0)</f>
        <v>9.0886609434946717</v>
      </c>
      <c r="T292" s="34">
        <f>IF(D$13&gt;0,$C233*T$281*24*Input!$F$60/D$13,0)</f>
        <v>1.7584413636840304</v>
      </c>
      <c r="U292" s="34">
        <f>IF(E$13&gt;0,$C233*U$281*24*Input!$F$60/E$13,0)</f>
        <v>0.19542818607452295</v>
      </c>
      <c r="W292" s="34">
        <f>IF(C$13&gt;0,$C233*W$281*24*Input!$F$60/C$13,0)</f>
        <v>1.4429886830329446</v>
      </c>
      <c r="X292" s="34">
        <f>IF(D$13&gt;0,$C233*X$281*24*Input!$F$60/D$13,0)</f>
        <v>1.4429886830329444</v>
      </c>
      <c r="Y292" s="34">
        <f>IF(E$13&gt;0,$C233*Y$281*24*Input!$F$60/E$13,0)</f>
        <v>1.4429886830329444</v>
      </c>
      <c r="AA292" s="34">
        <f>IF(C$13&gt;0,$C233*AA$281*24*Input!$F$60/C$13,0)</f>
        <v>9.0886609434946717</v>
      </c>
      <c r="AB292" s="34">
        <f>IF(D$13&gt;0,$C233*AB$281*24*Input!$F$60/D$13,0)</f>
        <v>1.7584413636840304</v>
      </c>
      <c r="AC292" s="34">
        <f>IF(E$13&gt;0,$C233*AC$281*24*Input!$F$60/E$13,0)</f>
        <v>0.19542818607452295</v>
      </c>
      <c r="AE292" s="34">
        <f>IF(C$13&gt;0,$C233*AE$281*24*Input!$F$60/C$13,0)</f>
        <v>9.0886609434946717</v>
      </c>
      <c r="AF292" s="34">
        <f>IF(D$13&gt;0,$C233*AF$281*24*Input!$F$60/D$13,0)</f>
        <v>1.7584413636840304</v>
      </c>
      <c r="AG292" s="34">
        <f>IF(E$13&gt;0,$C233*AG$281*24*Input!$F$60/E$13,0)</f>
        <v>0.19542818607452295</v>
      </c>
      <c r="AI292" s="34">
        <f>IF(C$13&gt;0,$C233*AI$281*24*Input!$F$60/C$13,0)</f>
        <v>9.0886609434946717</v>
      </c>
      <c r="AJ292" s="34">
        <f>IF(D$13&gt;0,$C233*AJ$281*24*Input!$F$60/D$13,0)</f>
        <v>1.7584413636840304</v>
      </c>
      <c r="AK292" s="34">
        <f>IF(E$13&gt;0,$C233*AK$281*24*Input!$F$60/E$13,0)</f>
        <v>0.19542818607452295</v>
      </c>
      <c r="AL292" s="17"/>
    </row>
    <row r="293" spans="1:38">
      <c r="A293" s="4" t="s">
        <v>181</v>
      </c>
      <c r="C293" s="34">
        <f>IF(C$13&gt;0,$C234*C$281*24*Input!$F$60/C$13,0)</f>
        <v>15.835054345546396</v>
      </c>
      <c r="D293" s="34">
        <f>IF(D$13&gt;0,$C234*D$281*24*Input!$F$60/D$13,0)</f>
        <v>0.64744305074198172</v>
      </c>
      <c r="E293" s="34">
        <f>IF(E$13&gt;0,$C234*E$281*24*Input!$F$60/E$13,0)</f>
        <v>4.609102472140815E-2</v>
      </c>
      <c r="G293" s="34">
        <f>IF(C$13&gt;0,$C234*G$281*24*Input!$F$60/C$13,0)</f>
        <v>12.193928022525572</v>
      </c>
      <c r="H293" s="34">
        <f>IF(D$13&gt;0,$C234*H$281*24*Input!$F$60/D$13,0)</f>
        <v>1.4118992508452994</v>
      </c>
      <c r="I293" s="34">
        <f>IF(E$13&gt;0,$C234*I$281*24*Input!$F$60/E$13,0)</f>
        <v>0.21479793035101841</v>
      </c>
      <c r="K293" s="34">
        <f>IF(C$13&gt;0,$C234*K$281*24*Input!$F$60/C$13,0)</f>
        <v>12.193928022525572</v>
      </c>
      <c r="L293" s="34">
        <f>IF(D$13&gt;0,$C234*L$281*24*Input!$F$60/D$13,0)</f>
        <v>1.4118992508452994</v>
      </c>
      <c r="M293" s="34">
        <f>IF(E$13&gt;0,$C234*M$281*24*Input!$F$60/E$13,0)</f>
        <v>0.21479793035101841</v>
      </c>
      <c r="O293" s="34">
        <f>IF(C$13&gt;0,$C234*O$281*24*Input!$F$60/C$13,0)</f>
        <v>10.283689698513154</v>
      </c>
      <c r="P293" s="34">
        <f>IF(D$13&gt;0,$C234*P$281*24*Input!$F$60/D$13,0)</f>
        <v>1.9896512203043755</v>
      </c>
      <c r="Q293" s="34">
        <f>IF(E$13&gt;0,$C234*Q$281*24*Input!$F$60/E$13,0)</f>
        <v>0.22112419380900863</v>
      </c>
      <c r="S293" s="34">
        <f>IF(C$13&gt;0,$C234*S$281*24*Input!$F$60/C$13,0)</f>
        <v>10.283689698513154</v>
      </c>
      <c r="T293" s="34">
        <f>IF(D$13&gt;0,$C234*T$281*24*Input!$F$60/D$13,0)</f>
        <v>1.9896512203043755</v>
      </c>
      <c r="U293" s="34">
        <f>IF(E$13&gt;0,$C234*U$281*24*Input!$F$60/E$13,0)</f>
        <v>0.22112419380900863</v>
      </c>
      <c r="W293" s="34">
        <f>IF(C$13&gt;0,$C234*W$281*24*Input!$F$60/C$13,0)</f>
        <v>1.6327210297572319</v>
      </c>
      <c r="X293" s="34">
        <f>IF(D$13&gt;0,$C234*X$281*24*Input!$F$60/D$13,0)</f>
        <v>1.6327210297572319</v>
      </c>
      <c r="Y293" s="34">
        <f>IF(E$13&gt;0,$C234*Y$281*24*Input!$F$60/E$13,0)</f>
        <v>1.6327210297572317</v>
      </c>
      <c r="AA293" s="34">
        <f>IF(C$13&gt;0,$C234*AA$281*24*Input!$F$60/C$13,0)</f>
        <v>10.283689698513154</v>
      </c>
      <c r="AB293" s="34">
        <f>IF(D$13&gt;0,$C234*AB$281*24*Input!$F$60/D$13,0)</f>
        <v>1.9896512203043755</v>
      </c>
      <c r="AC293" s="34">
        <f>IF(E$13&gt;0,$C234*AC$281*24*Input!$F$60/E$13,0)</f>
        <v>0.22112419380900863</v>
      </c>
      <c r="AE293" s="34">
        <f>IF(C$13&gt;0,$C234*AE$281*24*Input!$F$60/C$13,0)</f>
        <v>10.283689698513154</v>
      </c>
      <c r="AF293" s="34">
        <f>IF(D$13&gt;0,$C234*AF$281*24*Input!$F$60/D$13,0)</f>
        <v>1.9896512203043755</v>
      </c>
      <c r="AG293" s="34">
        <f>IF(E$13&gt;0,$C234*AG$281*24*Input!$F$60/E$13,0)</f>
        <v>0.22112419380900863</v>
      </c>
      <c r="AI293" s="34">
        <f>IF(C$13&gt;0,$C234*AI$281*24*Input!$F$60/C$13,0)</f>
        <v>10.283689698513154</v>
      </c>
      <c r="AJ293" s="34">
        <f>IF(D$13&gt;0,$C234*AJ$281*24*Input!$F$60/D$13,0)</f>
        <v>1.9896512203043755</v>
      </c>
      <c r="AK293" s="34">
        <f>IF(E$13&gt;0,$C234*AK$281*24*Input!$F$60/E$13,0)</f>
        <v>0.22112419380900863</v>
      </c>
      <c r="AL293" s="17"/>
    </row>
    <row r="294" spans="1:38">
      <c r="A294" s="4" t="s">
        <v>226</v>
      </c>
      <c r="C294" s="34">
        <f>IF(C$13&gt;0,$C235*C$281*24*Input!$F$60/C$13,0)</f>
        <v>9.6985670282576688</v>
      </c>
      <c r="D294" s="34">
        <f>IF(D$13&gt;0,$C235*D$281*24*Input!$F$60/D$13,0)</f>
        <v>0.39654236023299677</v>
      </c>
      <c r="E294" s="34">
        <f>IF(E$13&gt;0,$C235*E$281*24*Input!$F$60/E$13,0)</f>
        <v>2.822957742405106E-2</v>
      </c>
      <c r="G294" s="34">
        <f>IF(C$13&gt;0,$C235*G$281*24*Input!$F$60/C$13,0)</f>
        <v>7.4684699959665988</v>
      </c>
      <c r="H294" s="34">
        <f>IF(D$13&gt;0,$C235*H$281*24*Input!$F$60/D$13,0)</f>
        <v>0.86475229087680339</v>
      </c>
      <c r="I294" s="34">
        <f>IF(E$13&gt;0,$C235*I$281*24*Input!$F$60/E$13,0)</f>
        <v>0.13155825547427202</v>
      </c>
      <c r="K294" s="34">
        <f>IF(C$13&gt;0,$C235*K$281*24*Input!$F$60/C$13,0)</f>
        <v>7.4684699959665988</v>
      </c>
      <c r="L294" s="34">
        <f>IF(D$13&gt;0,$C235*L$281*24*Input!$F$60/D$13,0)</f>
        <v>0.86475229087680339</v>
      </c>
      <c r="M294" s="34">
        <f>IF(E$13&gt;0,$C235*M$281*24*Input!$F$60/E$13,0)</f>
        <v>0.13155825547427202</v>
      </c>
      <c r="O294" s="34">
        <f>IF(C$13&gt;0,$C235*O$281*24*Input!$F$60/C$13,0)</f>
        <v>6.2984977293042075</v>
      </c>
      <c r="P294" s="34">
        <f>IF(D$13&gt;0,$C235*P$281*24*Input!$F$60/D$13,0)</f>
        <v>1.2186106407903714</v>
      </c>
      <c r="Q294" s="34">
        <f>IF(E$13&gt;0,$C235*Q$281*24*Input!$F$60/E$13,0)</f>
        <v>0.13543293053675398</v>
      </c>
      <c r="S294" s="34">
        <f>IF(C$13&gt;0,$C235*S$281*24*Input!$F$60/C$13,0)</f>
        <v>6.2984977293042075</v>
      </c>
      <c r="T294" s="34">
        <f>IF(D$13&gt;0,$C235*T$281*24*Input!$F$60/D$13,0)</f>
        <v>1.2186106407903714</v>
      </c>
      <c r="U294" s="34">
        <f>IF(E$13&gt;0,$C235*U$281*24*Input!$F$60/E$13,0)</f>
        <v>0.13543293053675398</v>
      </c>
      <c r="W294" s="34">
        <f>IF(C$13&gt;0,$C235*W$281*24*Input!$F$60/C$13,0)</f>
        <v>1</v>
      </c>
      <c r="X294" s="34">
        <f>IF(D$13&gt;0,$C235*X$281*24*Input!$F$60/D$13,0)</f>
        <v>1</v>
      </c>
      <c r="Y294" s="34">
        <f>IF(E$13&gt;0,$C235*Y$281*24*Input!$F$60/E$13,0)</f>
        <v>1</v>
      </c>
      <c r="AA294" s="34">
        <f>IF(C$13&gt;0,$C235*AA$281*24*Input!$F$60/C$13,0)</f>
        <v>6.2984977293042075</v>
      </c>
      <c r="AB294" s="34">
        <f>IF(D$13&gt;0,$C235*AB$281*24*Input!$F$60/D$13,0)</f>
        <v>1.2186106407903714</v>
      </c>
      <c r="AC294" s="34">
        <f>IF(E$13&gt;0,$C235*AC$281*24*Input!$F$60/E$13,0)</f>
        <v>0.13543293053675398</v>
      </c>
      <c r="AE294" s="34">
        <f>IF(C$13&gt;0,$C235*AE$281*24*Input!$F$60/C$13,0)</f>
        <v>6.2984977293042075</v>
      </c>
      <c r="AF294" s="34">
        <f>IF(D$13&gt;0,$C235*AF$281*24*Input!$F$60/D$13,0)</f>
        <v>1.2186106407903714</v>
      </c>
      <c r="AG294" s="34">
        <f>IF(E$13&gt;0,$C235*AG$281*24*Input!$F$60/E$13,0)</f>
        <v>0.13543293053675398</v>
      </c>
      <c r="AI294" s="34">
        <f>IF(C$13&gt;0,$C235*AI$281*24*Input!$F$60/C$13,0)</f>
        <v>6.2984977293042075</v>
      </c>
      <c r="AJ294" s="34">
        <f>IF(D$13&gt;0,$C235*AJ$281*24*Input!$F$60/D$13,0)</f>
        <v>1.2186106407903714</v>
      </c>
      <c r="AK294" s="34">
        <f>IF(E$13&gt;0,$C235*AK$281*24*Input!$F$60/E$13,0)</f>
        <v>0.13543293053675398</v>
      </c>
      <c r="AL294" s="17"/>
    </row>
    <row r="295" spans="1:38">
      <c r="A295" s="4" t="s">
        <v>182</v>
      </c>
      <c r="C295" s="34">
        <f>IF(C$13&gt;0,$C236*C$281*24*Input!$F$60/C$13,0)</f>
        <v>12.960736479770858</v>
      </c>
      <c r="D295" s="34">
        <f>IF(D$13&gt;0,$C236*D$281*24*Input!$F$60/D$13,0)</f>
        <v>0.52992169039734305</v>
      </c>
      <c r="E295" s="34">
        <f>IF(E$13&gt;0,$C236*E$281*24*Input!$F$60/E$13,0)</f>
        <v>3.7724760045726419E-2</v>
      </c>
      <c r="G295" s="34">
        <f>IF(C$13&gt;0,$C236*G$281*24*Input!$F$60/C$13,0)</f>
        <v>9.9805333347464469</v>
      </c>
      <c r="H295" s="34">
        <f>IF(D$13&gt;0,$C236*H$281*24*Input!$F$60/D$13,0)</f>
        <v>1.1556167555142296</v>
      </c>
      <c r="I295" s="34">
        <f>IF(E$13&gt;0,$C236*I$281*24*Input!$F$60/E$13,0)</f>
        <v>0.17580864018080916</v>
      </c>
      <c r="K295" s="34">
        <f>IF(C$13&gt;0,$C236*K$281*24*Input!$F$60/C$13,0)</f>
        <v>9.9805333347464469</v>
      </c>
      <c r="L295" s="34">
        <f>IF(D$13&gt;0,$C236*L$281*24*Input!$F$60/D$13,0)</f>
        <v>1.1556167555142296</v>
      </c>
      <c r="M295" s="34">
        <f>IF(E$13&gt;0,$C236*M$281*24*Input!$F$60/E$13,0)</f>
        <v>0.17580864018080916</v>
      </c>
      <c r="O295" s="34">
        <f>IF(C$13&gt;0,$C236*O$281*24*Input!$F$60/C$13,0)</f>
        <v>8.4170340886546668</v>
      </c>
      <c r="P295" s="34">
        <f>IF(D$13&gt;0,$C236*P$281*24*Input!$F$60/D$13,0)</f>
        <v>1.6284974203623248</v>
      </c>
      <c r="Q295" s="34">
        <f>IF(E$13&gt;0,$C236*Q$281*24*Input!$F$60/E$13,0)</f>
        <v>0.18098658474553214</v>
      </c>
      <c r="S295" s="34">
        <f>IF(C$13&gt;0,$C236*S$281*24*Input!$F$60/C$13,0)</f>
        <v>8.4170340886546668</v>
      </c>
      <c r="T295" s="34">
        <f>IF(D$13&gt;0,$C236*T$281*24*Input!$F$60/D$13,0)</f>
        <v>1.6284974203623248</v>
      </c>
      <c r="U295" s="34">
        <f>IF(E$13&gt;0,$C236*U$281*24*Input!$F$60/E$13,0)</f>
        <v>0.18098658474553214</v>
      </c>
      <c r="W295" s="34">
        <f>IF(C$13&gt;0,$C236*W$281*24*Input!$F$60/C$13,0)</f>
        <v>1.3363558185460349</v>
      </c>
      <c r="X295" s="34">
        <f>IF(D$13&gt;0,$C236*X$281*24*Input!$F$60/D$13,0)</f>
        <v>1.3363558185460349</v>
      </c>
      <c r="Y295" s="34">
        <f>IF(E$13&gt;0,$C236*Y$281*24*Input!$F$60/E$13,0)</f>
        <v>1.3363558185460347</v>
      </c>
      <c r="AA295" s="34">
        <f>IF(C$13&gt;0,$C236*AA$281*24*Input!$F$60/C$13,0)</f>
        <v>8.4170340886546668</v>
      </c>
      <c r="AB295" s="34">
        <f>IF(D$13&gt;0,$C236*AB$281*24*Input!$F$60/D$13,0)</f>
        <v>1.6284974203623248</v>
      </c>
      <c r="AC295" s="34">
        <f>IF(E$13&gt;0,$C236*AC$281*24*Input!$F$60/E$13,0)</f>
        <v>0.18098658474553214</v>
      </c>
      <c r="AE295" s="34">
        <f>IF(C$13&gt;0,$C236*AE$281*24*Input!$F$60/C$13,0)</f>
        <v>8.4170340886546668</v>
      </c>
      <c r="AF295" s="34">
        <f>IF(D$13&gt;0,$C236*AF$281*24*Input!$F$60/D$13,0)</f>
        <v>1.6284974203623248</v>
      </c>
      <c r="AG295" s="34">
        <f>IF(E$13&gt;0,$C236*AG$281*24*Input!$F$60/E$13,0)</f>
        <v>0.18098658474553214</v>
      </c>
      <c r="AI295" s="34">
        <f>IF(C$13&gt;0,$C236*AI$281*24*Input!$F$60/C$13,0)</f>
        <v>8.4170340886546668</v>
      </c>
      <c r="AJ295" s="34">
        <f>IF(D$13&gt;0,$C236*AJ$281*24*Input!$F$60/D$13,0)</f>
        <v>1.6284974203623248</v>
      </c>
      <c r="AK295" s="34">
        <f>IF(E$13&gt;0,$C236*AK$281*24*Input!$F$60/E$13,0)</f>
        <v>0.18098658474553214</v>
      </c>
      <c r="AL295" s="17"/>
    </row>
    <row r="296" spans="1:38">
      <c r="A296" s="4" t="s">
        <v>183</v>
      </c>
      <c r="C296" s="34">
        <f>IF(C$13&gt;0,$C237*C$281*24*Input!$F$60/C$13,0)</f>
        <v>12.579474647216632</v>
      </c>
      <c r="D296" s="34">
        <f>IF(D$13&gt;0,$C237*D$281*24*Input!$F$60/D$13,0)</f>
        <v>0.51433315381175104</v>
      </c>
      <c r="E296" s="34">
        <f>IF(E$13&gt;0,$C237*E$281*24*Input!$F$60/E$13,0)</f>
        <v>3.6615022866041361E-2</v>
      </c>
      <c r="G296" s="34">
        <f>IF(C$13&gt;0,$C237*G$281*24*Input!$F$60/C$13,0)</f>
        <v>9.6869391832865226</v>
      </c>
      <c r="H296" s="34">
        <f>IF(D$13&gt;0,$C237*H$281*24*Input!$F$60/D$13,0)</f>
        <v>1.1216223476636102</v>
      </c>
      <c r="I296" s="34">
        <f>IF(E$13&gt;0,$C237*I$281*24*Input!$F$60/E$13,0)</f>
        <v>0.1706369337396805</v>
      </c>
      <c r="K296" s="34">
        <f>IF(C$13&gt;0,$C237*K$281*24*Input!$F$60/C$13,0)</f>
        <v>9.6869391832865226</v>
      </c>
      <c r="L296" s="34">
        <f>IF(D$13&gt;0,$C237*L$281*24*Input!$F$60/D$13,0)</f>
        <v>1.1216223476636102</v>
      </c>
      <c r="M296" s="34">
        <f>IF(E$13&gt;0,$C237*M$281*24*Input!$F$60/E$13,0)</f>
        <v>0.1706369337396805</v>
      </c>
      <c r="O296" s="34">
        <f>IF(C$13&gt;0,$C237*O$281*24*Input!$F$60/C$13,0)</f>
        <v>8.1694328935898142</v>
      </c>
      <c r="P296" s="34">
        <f>IF(D$13&gt;0,$C237*P$281*24*Input!$F$60/D$13,0)</f>
        <v>1.5805924334994061</v>
      </c>
      <c r="Q296" s="34">
        <f>IF(E$13&gt;0,$C237*Q$281*24*Input!$F$60/E$13,0)</f>
        <v>0.17566256036809705</v>
      </c>
      <c r="S296" s="34">
        <f>IF(C$13&gt;0,$C237*S$281*24*Input!$F$60/C$13,0)</f>
        <v>8.1694328935898142</v>
      </c>
      <c r="T296" s="34">
        <f>IF(D$13&gt;0,$C237*T$281*24*Input!$F$60/D$13,0)</f>
        <v>1.5805924334994061</v>
      </c>
      <c r="U296" s="34">
        <f>IF(E$13&gt;0,$C237*U$281*24*Input!$F$60/E$13,0)</f>
        <v>0.17566256036809705</v>
      </c>
      <c r="W296" s="34">
        <f>IF(C$13&gt;0,$C237*W$281*24*Input!$F$60/C$13,0)</f>
        <v>1.2970446675849303</v>
      </c>
      <c r="X296" s="34">
        <f>IF(D$13&gt;0,$C237*X$281*24*Input!$F$60/D$13,0)</f>
        <v>1.2970446675849301</v>
      </c>
      <c r="Y296" s="34">
        <f>IF(E$13&gt;0,$C237*Y$281*24*Input!$F$60/E$13,0)</f>
        <v>1.2970446675849303</v>
      </c>
      <c r="AA296" s="34">
        <f>IF(C$13&gt;0,$C237*AA$281*24*Input!$F$60/C$13,0)</f>
        <v>8.1694328935898142</v>
      </c>
      <c r="AB296" s="34">
        <f>IF(D$13&gt;0,$C237*AB$281*24*Input!$F$60/D$13,0)</f>
        <v>1.5805924334994061</v>
      </c>
      <c r="AC296" s="34">
        <f>IF(E$13&gt;0,$C237*AC$281*24*Input!$F$60/E$13,0)</f>
        <v>0.17566256036809705</v>
      </c>
      <c r="AE296" s="34">
        <f>IF(C$13&gt;0,$C237*AE$281*24*Input!$F$60/C$13,0)</f>
        <v>8.1694328935898142</v>
      </c>
      <c r="AF296" s="34">
        <f>IF(D$13&gt;0,$C237*AF$281*24*Input!$F$60/D$13,0)</f>
        <v>1.5805924334994061</v>
      </c>
      <c r="AG296" s="34">
        <f>IF(E$13&gt;0,$C237*AG$281*24*Input!$F$60/E$13,0)</f>
        <v>0.17566256036809705</v>
      </c>
      <c r="AI296" s="34">
        <f>IF(C$13&gt;0,$C237*AI$281*24*Input!$F$60/C$13,0)</f>
        <v>8.1694328935898142</v>
      </c>
      <c r="AJ296" s="34">
        <f>IF(D$13&gt;0,$C237*AJ$281*24*Input!$F$60/D$13,0)</f>
        <v>1.5805924334994061</v>
      </c>
      <c r="AK296" s="34">
        <f>IF(E$13&gt;0,$C237*AK$281*24*Input!$F$60/E$13,0)</f>
        <v>0.17566256036809705</v>
      </c>
      <c r="AL296" s="17"/>
    </row>
    <row r="297" spans="1:38">
      <c r="A297" s="4" t="s">
        <v>227</v>
      </c>
      <c r="C297" s="34">
        <f>IF(C$13&gt;0,$C238*C$281*24*Input!$F$60/C$13,0)</f>
        <v>9.6985670282576688</v>
      </c>
      <c r="D297" s="34">
        <f>IF(D$13&gt;0,$C238*D$281*24*Input!$F$60/D$13,0)</f>
        <v>0.39654236023299677</v>
      </c>
      <c r="E297" s="34">
        <f>IF(E$13&gt;0,$C238*E$281*24*Input!$F$60/E$13,0)</f>
        <v>2.822957742405106E-2</v>
      </c>
      <c r="G297" s="34">
        <f>IF(C$13&gt;0,$C238*G$281*24*Input!$F$60/C$13,0)</f>
        <v>7.4684699959665988</v>
      </c>
      <c r="H297" s="34">
        <f>IF(D$13&gt;0,$C238*H$281*24*Input!$F$60/D$13,0)</f>
        <v>0.86475229087680339</v>
      </c>
      <c r="I297" s="34">
        <f>IF(E$13&gt;0,$C238*I$281*24*Input!$F$60/E$13,0)</f>
        <v>0.13155825547427202</v>
      </c>
      <c r="K297" s="34">
        <f>IF(C$13&gt;0,$C238*K$281*24*Input!$F$60/C$13,0)</f>
        <v>7.4684699959665988</v>
      </c>
      <c r="L297" s="34">
        <f>IF(D$13&gt;0,$C238*L$281*24*Input!$F$60/D$13,0)</f>
        <v>0.86475229087680339</v>
      </c>
      <c r="M297" s="34">
        <f>IF(E$13&gt;0,$C238*M$281*24*Input!$F$60/E$13,0)</f>
        <v>0.13155825547427202</v>
      </c>
      <c r="O297" s="34">
        <f>IF(C$13&gt;0,$C238*O$281*24*Input!$F$60/C$13,0)</f>
        <v>6.2984977293042075</v>
      </c>
      <c r="P297" s="34">
        <f>IF(D$13&gt;0,$C238*P$281*24*Input!$F$60/D$13,0)</f>
        <v>1.2186106407903714</v>
      </c>
      <c r="Q297" s="34">
        <f>IF(E$13&gt;0,$C238*Q$281*24*Input!$F$60/E$13,0)</f>
        <v>0.13543293053675398</v>
      </c>
      <c r="S297" s="34">
        <f>IF(C$13&gt;0,$C238*S$281*24*Input!$F$60/C$13,0)</f>
        <v>6.2984977293042075</v>
      </c>
      <c r="T297" s="34">
        <f>IF(D$13&gt;0,$C238*T$281*24*Input!$F$60/D$13,0)</f>
        <v>1.2186106407903714</v>
      </c>
      <c r="U297" s="34">
        <f>IF(E$13&gt;0,$C238*U$281*24*Input!$F$60/E$13,0)</f>
        <v>0.13543293053675398</v>
      </c>
      <c r="W297" s="34">
        <f>IF(C$13&gt;0,$C238*W$281*24*Input!$F$60/C$13,0)</f>
        <v>1</v>
      </c>
      <c r="X297" s="34">
        <f>IF(D$13&gt;0,$C238*X$281*24*Input!$F$60/D$13,0)</f>
        <v>1</v>
      </c>
      <c r="Y297" s="34">
        <f>IF(E$13&gt;0,$C238*Y$281*24*Input!$F$60/E$13,0)</f>
        <v>1</v>
      </c>
      <c r="AA297" s="34">
        <f>IF(C$13&gt;0,$C238*AA$281*24*Input!$F$60/C$13,0)</f>
        <v>6.2984977293042075</v>
      </c>
      <c r="AB297" s="34">
        <f>IF(D$13&gt;0,$C238*AB$281*24*Input!$F$60/D$13,0)</f>
        <v>1.2186106407903714</v>
      </c>
      <c r="AC297" s="34">
        <f>IF(E$13&gt;0,$C238*AC$281*24*Input!$F$60/E$13,0)</f>
        <v>0.13543293053675398</v>
      </c>
      <c r="AE297" s="34">
        <f>IF(C$13&gt;0,$C238*AE$281*24*Input!$F$60/C$13,0)</f>
        <v>6.2984977293042075</v>
      </c>
      <c r="AF297" s="34">
        <f>IF(D$13&gt;0,$C238*AF$281*24*Input!$F$60/D$13,0)</f>
        <v>1.2186106407903714</v>
      </c>
      <c r="AG297" s="34">
        <f>IF(E$13&gt;0,$C238*AG$281*24*Input!$F$60/E$13,0)</f>
        <v>0.13543293053675398</v>
      </c>
      <c r="AI297" s="34">
        <f>IF(C$13&gt;0,$C238*AI$281*24*Input!$F$60/C$13,0)</f>
        <v>6.2984977293042075</v>
      </c>
      <c r="AJ297" s="34">
        <f>IF(D$13&gt;0,$C238*AJ$281*24*Input!$F$60/D$13,0)</f>
        <v>1.2186106407903714</v>
      </c>
      <c r="AK297" s="34">
        <f>IF(E$13&gt;0,$C238*AK$281*24*Input!$F$60/E$13,0)</f>
        <v>0.13543293053675398</v>
      </c>
      <c r="AL297" s="17"/>
    </row>
    <row r="298" spans="1:38">
      <c r="A298" s="4" t="s">
        <v>184</v>
      </c>
      <c r="C298" s="34">
        <f>IF(C$13&gt;0,$C239*C$281*24*Input!$F$60/C$13,0)</f>
        <v>10.812692992892961</v>
      </c>
      <c r="D298" s="34">
        <f>IF(D$13&gt;0,$C239*D$281*24*Input!$F$60/D$13,0)</f>
        <v>0.44209528968392736</v>
      </c>
      <c r="E298" s="34">
        <f>IF(E$13&gt;0,$C239*E$281*24*Input!$F$60/E$13,0)</f>
        <v>3.1472459087618608E-2</v>
      </c>
      <c r="G298" s="34">
        <f>IF(C$13&gt;0,$C239*G$281*24*Input!$F$60/C$13,0)</f>
        <v>8.3264128564286199</v>
      </c>
      <c r="H298" s="34">
        <f>IF(D$13&gt;0,$C239*H$281*24*Input!$F$60/D$13,0)</f>
        <v>0.96409098466905296</v>
      </c>
      <c r="I298" s="34">
        <f>IF(E$13&gt;0,$C239*I$281*24*Input!$F$60/E$13,0)</f>
        <v>0.14667105181407741</v>
      </c>
      <c r="K298" s="34">
        <f>IF(C$13&gt;0,$C239*K$281*24*Input!$F$60/C$13,0)</f>
        <v>8.3264128564286199</v>
      </c>
      <c r="L298" s="34">
        <f>IF(D$13&gt;0,$C239*L$281*24*Input!$F$60/D$13,0)</f>
        <v>0.96409098466905296</v>
      </c>
      <c r="M298" s="34">
        <f>IF(E$13&gt;0,$C239*M$281*24*Input!$F$60/E$13,0)</f>
        <v>0.14667105181407741</v>
      </c>
      <c r="O298" s="34">
        <f>IF(C$13&gt;0,$C239*O$281*24*Input!$F$60/C$13,0)</f>
        <v>7.0220396544121781</v>
      </c>
      <c r="P298" s="34">
        <f>IF(D$13&gt;0,$C239*P$281*24*Input!$F$60/D$13,0)</f>
        <v>1.358598924804872</v>
      </c>
      <c r="Q298" s="34">
        <f>IF(E$13&gt;0,$C239*Q$281*24*Input!$F$60/E$13,0)</f>
        <v>0.15099083140375999</v>
      </c>
      <c r="S298" s="34">
        <f>IF(C$13&gt;0,$C239*S$281*24*Input!$F$60/C$13,0)</f>
        <v>7.0220396544121781</v>
      </c>
      <c r="T298" s="34">
        <f>IF(D$13&gt;0,$C239*T$281*24*Input!$F$60/D$13,0)</f>
        <v>1.358598924804872</v>
      </c>
      <c r="U298" s="34">
        <f>IF(E$13&gt;0,$C239*U$281*24*Input!$F$60/E$13,0)</f>
        <v>0.15099083140375999</v>
      </c>
      <c r="W298" s="34">
        <f>IF(C$13&gt;0,$C239*W$281*24*Input!$F$60/C$13,0)</f>
        <v>1.1148753172906043</v>
      </c>
      <c r="X298" s="34">
        <f>IF(D$13&gt;0,$C239*X$281*24*Input!$F$60/D$13,0)</f>
        <v>1.1148753172906043</v>
      </c>
      <c r="Y298" s="34">
        <f>IF(E$13&gt;0,$C239*Y$281*24*Input!$F$60/E$13,0)</f>
        <v>1.1148753172906043</v>
      </c>
      <c r="AA298" s="34">
        <f>IF(C$13&gt;0,$C239*AA$281*24*Input!$F$60/C$13,0)</f>
        <v>7.0220396544121781</v>
      </c>
      <c r="AB298" s="34">
        <f>IF(D$13&gt;0,$C239*AB$281*24*Input!$F$60/D$13,0)</f>
        <v>1.358598924804872</v>
      </c>
      <c r="AC298" s="34">
        <f>IF(E$13&gt;0,$C239*AC$281*24*Input!$F$60/E$13,0)</f>
        <v>0.15099083140375999</v>
      </c>
      <c r="AE298" s="34">
        <f>IF(C$13&gt;0,$C239*AE$281*24*Input!$F$60/C$13,0)</f>
        <v>7.0220396544121781</v>
      </c>
      <c r="AF298" s="34">
        <f>IF(D$13&gt;0,$C239*AF$281*24*Input!$F$60/D$13,0)</f>
        <v>1.358598924804872</v>
      </c>
      <c r="AG298" s="34">
        <f>IF(E$13&gt;0,$C239*AG$281*24*Input!$F$60/E$13,0)</f>
        <v>0.15099083140375999</v>
      </c>
      <c r="AI298" s="34">
        <f>IF(C$13&gt;0,$C239*AI$281*24*Input!$F$60/C$13,0)</f>
        <v>7.0220396544121781</v>
      </c>
      <c r="AJ298" s="34">
        <f>IF(D$13&gt;0,$C239*AJ$281*24*Input!$F$60/D$13,0)</f>
        <v>1.358598924804872</v>
      </c>
      <c r="AK298" s="34">
        <f>IF(E$13&gt;0,$C239*AK$281*24*Input!$F$60/E$13,0)</f>
        <v>0.15099083140375999</v>
      </c>
      <c r="AL298" s="17"/>
    </row>
    <row r="299" spans="1:38">
      <c r="A299" s="4" t="s">
        <v>185</v>
      </c>
      <c r="C299" s="34">
        <f>IF(C$13&gt;0,$C240*C$281*24*Input!$F$60/C$13,0)</f>
        <v>28.376339576610622</v>
      </c>
      <c r="D299" s="34">
        <f>IF(D$13&gt;0,$C240*D$281*24*Input!$F$60/D$13,0)</f>
        <v>1.1602147655109474</v>
      </c>
      <c r="E299" s="34">
        <f>IF(E$13&gt;0,$C240*E$281*24*Input!$F$60/E$13,0)</f>
        <v>8.2594889817759171E-2</v>
      </c>
      <c r="G299" s="34">
        <f>IF(C$13&gt;0,$C240*G$281*24*Input!$F$60/C$13,0)</f>
        <v>21.851459097597072</v>
      </c>
      <c r="H299" s="34">
        <f>IF(D$13&gt;0,$C240*H$281*24*Input!$F$60/D$13,0)</f>
        <v>2.5301165196958428</v>
      </c>
      <c r="I299" s="34">
        <f>IF(E$13&gt;0,$C240*I$281*24*Input!$F$60/E$13,0)</f>
        <v>0.38491683571063495</v>
      </c>
      <c r="K299" s="34">
        <f>IF(C$13&gt;0,$C240*K$281*24*Input!$F$60/C$13,0)</f>
        <v>21.851459097597072</v>
      </c>
      <c r="L299" s="34">
        <f>IF(D$13&gt;0,$C240*L$281*24*Input!$F$60/D$13,0)</f>
        <v>2.5301165196958428</v>
      </c>
      <c r="M299" s="34">
        <f>IF(E$13&gt;0,$C240*M$281*24*Input!$F$60/E$13,0)</f>
        <v>0.38491683571063495</v>
      </c>
      <c r="O299" s="34">
        <f>IF(C$13&gt;0,$C240*O$281*24*Input!$F$60/C$13,0)</f>
        <v>18.428321407534305</v>
      </c>
      <c r="P299" s="34">
        <f>IF(D$13&gt;0,$C240*P$281*24*Input!$F$60/D$13,0)</f>
        <v>3.5654452099972591</v>
      </c>
      <c r="Q299" s="34">
        <f>IF(E$13&gt;0,$C240*Q$281*24*Input!$F$60/E$13,0)</f>
        <v>0.39625346874123274</v>
      </c>
      <c r="S299" s="34">
        <f>IF(C$13&gt;0,$C240*S$281*24*Input!$F$60/C$13,0)</f>
        <v>18.428321407534305</v>
      </c>
      <c r="T299" s="34">
        <f>IF(D$13&gt;0,$C240*T$281*24*Input!$F$60/D$13,0)</f>
        <v>3.5654452099972591</v>
      </c>
      <c r="U299" s="34">
        <f>IF(E$13&gt;0,$C240*U$281*24*Input!$F$60/E$13,0)</f>
        <v>0.39625346874123274</v>
      </c>
      <c r="W299" s="34">
        <f>IF(C$13&gt;0,$C240*W$281*24*Input!$F$60/C$13,0)</f>
        <v>2.9258280624275268</v>
      </c>
      <c r="X299" s="34">
        <f>IF(D$13&gt;0,$C240*X$281*24*Input!$F$60/D$13,0)</f>
        <v>2.9258280624275268</v>
      </c>
      <c r="Y299" s="34">
        <f>IF(E$13&gt;0,$C240*Y$281*24*Input!$F$60/E$13,0)</f>
        <v>2.9258280624275264</v>
      </c>
      <c r="AA299" s="34">
        <f>IF(C$13&gt;0,$C240*AA$281*24*Input!$F$60/C$13,0)</f>
        <v>18.428321407534305</v>
      </c>
      <c r="AB299" s="34">
        <f>IF(D$13&gt;0,$C240*AB$281*24*Input!$F$60/D$13,0)</f>
        <v>3.5654452099972591</v>
      </c>
      <c r="AC299" s="34">
        <f>IF(E$13&gt;0,$C240*AC$281*24*Input!$F$60/E$13,0)</f>
        <v>0.39625346874123274</v>
      </c>
      <c r="AE299" s="34">
        <f>IF(C$13&gt;0,$C240*AE$281*24*Input!$F$60/C$13,0)</f>
        <v>18.428321407534305</v>
      </c>
      <c r="AF299" s="34">
        <f>IF(D$13&gt;0,$C240*AF$281*24*Input!$F$60/D$13,0)</f>
        <v>3.5654452099972591</v>
      </c>
      <c r="AG299" s="34">
        <f>IF(E$13&gt;0,$C240*AG$281*24*Input!$F$60/E$13,0)</f>
        <v>0.39625346874123274</v>
      </c>
      <c r="AI299" s="34">
        <f>IF(C$13&gt;0,$C240*AI$281*24*Input!$F$60/C$13,0)</f>
        <v>18.428321407534305</v>
      </c>
      <c r="AJ299" s="34">
        <f>IF(D$13&gt;0,$C240*AJ$281*24*Input!$F$60/D$13,0)</f>
        <v>3.5654452099972591</v>
      </c>
      <c r="AK299" s="34">
        <f>IF(E$13&gt;0,$C240*AK$281*24*Input!$F$60/E$13,0)</f>
        <v>0.39625346874123274</v>
      </c>
      <c r="AL299" s="17"/>
    </row>
    <row r="300" spans="1:38">
      <c r="A300" s="4" t="s">
        <v>205</v>
      </c>
      <c r="C300" s="34">
        <f>IF(C$13&gt;0,$C241*C$281*24*Input!$F$60/C$13,0)</f>
        <v>34.590374028730821</v>
      </c>
      <c r="D300" s="34">
        <f>IF(D$13&gt;0,$C241*D$281*24*Input!$F$60/D$13,0)</f>
        <v>1.4142861021355679</v>
      </c>
      <c r="E300" s="34">
        <f>IF(E$13&gt;0,$C241*E$281*24*Input!$F$60/E$13,0)</f>
        <v>0.10068205322764709</v>
      </c>
      <c r="G300" s="34">
        <f>IF(C$13&gt;0,$C241*G$281*24*Input!$F$60/C$13,0)</f>
        <v>26.636633002602267</v>
      </c>
      <c r="H300" s="34">
        <f>IF(D$13&gt;0,$C241*H$281*24*Input!$F$60/D$13,0)</f>
        <v>3.0841778065232504</v>
      </c>
      <c r="I300" s="34">
        <f>IF(E$13&gt;0,$C241*I$281*24*Input!$F$60/E$13,0)</f>
        <v>0.46920841503323707</v>
      </c>
      <c r="K300" s="34">
        <f>IF(C$13&gt;0,$C241*K$281*24*Input!$F$60/C$13,0)</f>
        <v>26.636633002602267</v>
      </c>
      <c r="L300" s="34">
        <f>IF(D$13&gt;0,$C241*L$281*24*Input!$F$60/D$13,0)</f>
        <v>3.0841778065232504</v>
      </c>
      <c r="M300" s="34">
        <f>IF(E$13&gt;0,$C241*M$281*24*Input!$F$60/E$13,0)</f>
        <v>0.46920841503323707</v>
      </c>
      <c r="O300" s="34">
        <f>IF(C$13&gt;0,$C241*O$281*24*Input!$F$60/C$13,0)</f>
        <v>22.463874471452083</v>
      </c>
      <c r="P300" s="34">
        <f>IF(D$13&gt;0,$C241*P$281*24*Input!$F$60/D$13,0)</f>
        <v>4.346229472613425</v>
      </c>
      <c r="Q300" s="34">
        <f>IF(E$13&gt;0,$C241*Q$281*24*Input!$F$60/E$13,0)</f>
        <v>0.48302761731956961</v>
      </c>
      <c r="S300" s="34">
        <f>IF(C$13&gt;0,$C241*S$281*24*Input!$F$60/C$13,0)</f>
        <v>22.463874471452083</v>
      </c>
      <c r="T300" s="34">
        <f>IF(D$13&gt;0,$C241*T$281*24*Input!$F$60/D$13,0)</f>
        <v>4.346229472613425</v>
      </c>
      <c r="U300" s="34">
        <f>IF(E$13&gt;0,$C241*U$281*24*Input!$F$60/E$13,0)</f>
        <v>0.48302761731956961</v>
      </c>
      <c r="W300" s="34">
        <f>IF(C$13&gt;0,$C241*W$281*24*Input!$F$60/C$13,0)</f>
        <v>3.5665448233691208</v>
      </c>
      <c r="X300" s="34">
        <f>IF(D$13&gt;0,$C241*X$281*24*Input!$F$60/D$13,0)</f>
        <v>3.566544823369119</v>
      </c>
      <c r="Y300" s="34">
        <f>IF(E$13&gt;0,$C241*Y$281*24*Input!$F$60/E$13,0)</f>
        <v>3.5665448233691199</v>
      </c>
      <c r="AA300" s="34">
        <f>IF(C$13&gt;0,$C241*AA$281*24*Input!$F$60/C$13,0)</f>
        <v>22.463874471452083</v>
      </c>
      <c r="AB300" s="34">
        <f>IF(D$13&gt;0,$C241*AB$281*24*Input!$F$60/D$13,0)</f>
        <v>4.346229472613425</v>
      </c>
      <c r="AC300" s="34">
        <f>IF(E$13&gt;0,$C241*AC$281*24*Input!$F$60/E$13,0)</f>
        <v>0.48302761731956961</v>
      </c>
      <c r="AE300" s="34">
        <f>IF(C$13&gt;0,$C241*AE$281*24*Input!$F$60/C$13,0)</f>
        <v>22.463874471452083</v>
      </c>
      <c r="AF300" s="34">
        <f>IF(D$13&gt;0,$C241*AF$281*24*Input!$F$60/D$13,0)</f>
        <v>4.346229472613425</v>
      </c>
      <c r="AG300" s="34">
        <f>IF(E$13&gt;0,$C241*AG$281*24*Input!$F$60/E$13,0)</f>
        <v>0.48302761731956961</v>
      </c>
      <c r="AI300" s="34">
        <f>IF(C$13&gt;0,$C241*AI$281*24*Input!$F$60/C$13,0)</f>
        <v>22.463874471452083</v>
      </c>
      <c r="AJ300" s="34">
        <f>IF(D$13&gt;0,$C241*AJ$281*24*Input!$F$60/D$13,0)</f>
        <v>4.346229472613425</v>
      </c>
      <c r="AK300" s="34">
        <f>IF(E$13&gt;0,$C241*AK$281*24*Input!$F$60/E$13,0)</f>
        <v>0.48302761731956961</v>
      </c>
      <c r="AL300" s="17"/>
    </row>
    <row r="301" spans="1:38">
      <c r="A301" s="4" t="s">
        <v>186</v>
      </c>
      <c r="C301" s="34">
        <f>IF(C$13&gt;0,$C242*C$281*24*Input!$F$60/C$13,0)</f>
        <v>16.829812814298453</v>
      </c>
      <c r="D301" s="34">
        <f>IF(D$13&gt;0,$C242*D$281*24*Input!$F$60/D$13,0)</f>
        <v>0.68811543769475492</v>
      </c>
      <c r="E301" s="34">
        <f>IF(E$13&gt;0,$C242*E$281*24*Input!$F$60/E$13,0)</f>
        <v>4.898646392701949E-2</v>
      </c>
      <c r="G301" s="34">
        <f>IF(C$13&gt;0,$C242*G$281*24*Input!$F$60/C$13,0)</f>
        <v>12.959950854090524</v>
      </c>
      <c r="H301" s="34">
        <f>IF(D$13&gt;0,$C242*H$281*24*Input!$F$60/D$13,0)</f>
        <v>1.5005947934152601</v>
      </c>
      <c r="I301" s="34">
        <f>IF(E$13&gt;0,$C242*I$281*24*Input!$F$60/E$13,0)</f>
        <v>0.22829154114795172</v>
      </c>
      <c r="K301" s="34">
        <f>IF(C$13&gt;0,$C242*K$281*24*Input!$F$60/C$13,0)</f>
        <v>12.959950854090524</v>
      </c>
      <c r="L301" s="34">
        <f>IF(D$13&gt;0,$C242*L$281*24*Input!$F$60/D$13,0)</f>
        <v>1.5005947934152601</v>
      </c>
      <c r="M301" s="34">
        <f>IF(E$13&gt;0,$C242*M$281*24*Input!$F$60/E$13,0)</f>
        <v>0.22829154114795172</v>
      </c>
      <c r="O301" s="34">
        <f>IF(C$13&gt;0,$C242*O$281*24*Input!$F$60/C$13,0)</f>
        <v>10.929711315767115</v>
      </c>
      <c r="P301" s="34">
        <f>IF(D$13&gt;0,$C242*P$281*24*Input!$F$60/D$13,0)</f>
        <v>2.1146411545395742</v>
      </c>
      <c r="Q301" s="34">
        <f>IF(E$13&gt;0,$C242*Q$281*24*Input!$F$60/E$13,0)</f>
        <v>0.23501522061810501</v>
      </c>
      <c r="S301" s="34">
        <f>IF(C$13&gt;0,$C242*S$281*24*Input!$F$60/C$13,0)</f>
        <v>10.929711315767115</v>
      </c>
      <c r="T301" s="34">
        <f>IF(D$13&gt;0,$C242*T$281*24*Input!$F$60/D$13,0)</f>
        <v>2.1146411545395742</v>
      </c>
      <c r="U301" s="34">
        <f>IF(E$13&gt;0,$C242*U$281*24*Input!$F$60/E$13,0)</f>
        <v>0.23501522061810501</v>
      </c>
      <c r="W301" s="34">
        <f>IF(C$13&gt;0,$C242*W$281*24*Input!$F$60/C$13,0)</f>
        <v>1.7352886014256792</v>
      </c>
      <c r="X301" s="34">
        <f>IF(D$13&gt;0,$C242*X$281*24*Input!$F$60/D$13,0)</f>
        <v>1.735288601425679</v>
      </c>
      <c r="Y301" s="34">
        <f>IF(E$13&gt;0,$C242*Y$281*24*Input!$F$60/E$13,0)</f>
        <v>1.7352886014256792</v>
      </c>
      <c r="AA301" s="34">
        <f>IF(C$13&gt;0,$C242*AA$281*24*Input!$F$60/C$13,0)</f>
        <v>10.929711315767115</v>
      </c>
      <c r="AB301" s="34">
        <f>IF(D$13&gt;0,$C242*AB$281*24*Input!$F$60/D$13,0)</f>
        <v>2.1146411545395742</v>
      </c>
      <c r="AC301" s="34">
        <f>IF(E$13&gt;0,$C242*AC$281*24*Input!$F$60/E$13,0)</f>
        <v>0.23501522061810501</v>
      </c>
      <c r="AE301" s="34">
        <f>IF(C$13&gt;0,$C242*AE$281*24*Input!$F$60/C$13,0)</f>
        <v>10.929711315767115</v>
      </c>
      <c r="AF301" s="34">
        <f>IF(D$13&gt;0,$C242*AF$281*24*Input!$F$60/D$13,0)</f>
        <v>2.1146411545395742</v>
      </c>
      <c r="AG301" s="34">
        <f>IF(E$13&gt;0,$C242*AG$281*24*Input!$F$60/E$13,0)</f>
        <v>0.23501522061810501</v>
      </c>
      <c r="AI301" s="34">
        <f>IF(C$13&gt;0,$C242*AI$281*24*Input!$F$60/C$13,0)</f>
        <v>10.929711315767115</v>
      </c>
      <c r="AJ301" s="34">
        <f>IF(D$13&gt;0,$C242*AJ$281*24*Input!$F$60/D$13,0)</f>
        <v>2.1146411545395742</v>
      </c>
      <c r="AK301" s="34">
        <f>IF(E$13&gt;0,$C242*AK$281*24*Input!$F$60/E$13,0)</f>
        <v>0.23501522061810501</v>
      </c>
      <c r="AL301" s="17"/>
    </row>
    <row r="302" spans="1:38">
      <c r="A302" s="4" t="s">
        <v>187</v>
      </c>
      <c r="C302" s="34">
        <f>IF(C$13&gt;0,$C243*C$281*24*Input!$F$60/C$13,0)</f>
        <v>13.666266847014972</v>
      </c>
      <c r="D302" s="34">
        <f>IF(D$13&gt;0,$C243*D$281*24*Input!$F$60/D$13,0)</f>
        <v>0.55876849593344857</v>
      </c>
      <c r="E302" s="34">
        <f>IF(E$13&gt;0,$C243*E$281*24*Input!$F$60/E$13,0)</f>
        <v>3.9778344257611259E-2</v>
      </c>
      <c r="G302" s="34">
        <f>IF(C$13&gt;0,$C243*G$281*24*Input!$F$60/C$13,0)</f>
        <v>10.523833428838032</v>
      </c>
      <c r="H302" s="34">
        <f>IF(D$13&gt;0,$C243*H$281*24*Input!$F$60/D$13,0)</f>
        <v>1.2185238839157642</v>
      </c>
      <c r="I302" s="34">
        <f>IF(E$13&gt;0,$C243*I$281*24*Input!$F$60/E$13,0)</f>
        <v>0.18537895546845146</v>
      </c>
      <c r="K302" s="34">
        <f>IF(C$13&gt;0,$C243*K$281*24*Input!$F$60/C$13,0)</f>
        <v>10.523833428838032</v>
      </c>
      <c r="L302" s="34">
        <f>IF(D$13&gt;0,$C243*L$281*24*Input!$F$60/D$13,0)</f>
        <v>1.2185238839157642</v>
      </c>
      <c r="M302" s="34">
        <f>IF(E$13&gt;0,$C243*M$281*24*Input!$F$60/E$13,0)</f>
        <v>0.18537895546845146</v>
      </c>
      <c r="O302" s="34">
        <f>IF(C$13&gt;0,$C243*O$281*24*Input!$F$60/C$13,0)</f>
        <v>8.875223572018017</v>
      </c>
      <c r="P302" s="34">
        <f>IF(D$13&gt;0,$C243*P$281*24*Input!$F$60/D$13,0)</f>
        <v>1.7171462702820504</v>
      </c>
      <c r="Q302" s="34">
        <f>IF(E$13&gt;0,$C243*Q$281*24*Input!$F$60/E$13,0)</f>
        <v>0.19083876651013126</v>
      </c>
      <c r="S302" s="34">
        <f>IF(C$13&gt;0,$C243*S$281*24*Input!$F$60/C$13,0)</f>
        <v>8.875223572018017</v>
      </c>
      <c r="T302" s="34">
        <f>IF(D$13&gt;0,$C243*T$281*24*Input!$F$60/D$13,0)</f>
        <v>1.7171462702820504</v>
      </c>
      <c r="U302" s="34">
        <f>IF(E$13&gt;0,$C243*U$281*24*Input!$F$60/E$13,0)</f>
        <v>0.19083876651013126</v>
      </c>
      <c r="W302" s="34">
        <f>IF(C$13&gt;0,$C243*W$281*24*Input!$F$60/C$13,0)</f>
        <v>1.4091016546255801</v>
      </c>
      <c r="X302" s="34">
        <f>IF(D$13&gt;0,$C243*X$281*24*Input!$F$60/D$13,0)</f>
        <v>1.4091016546255799</v>
      </c>
      <c r="Y302" s="34">
        <f>IF(E$13&gt;0,$C243*Y$281*24*Input!$F$60/E$13,0)</f>
        <v>1.4091016546255799</v>
      </c>
      <c r="AA302" s="34">
        <f>IF(C$13&gt;0,$C243*AA$281*24*Input!$F$60/C$13,0)</f>
        <v>8.875223572018017</v>
      </c>
      <c r="AB302" s="34">
        <f>IF(D$13&gt;0,$C243*AB$281*24*Input!$F$60/D$13,0)</f>
        <v>1.7171462702820504</v>
      </c>
      <c r="AC302" s="34">
        <f>IF(E$13&gt;0,$C243*AC$281*24*Input!$F$60/E$13,0)</f>
        <v>0.19083876651013126</v>
      </c>
      <c r="AE302" s="34">
        <f>IF(C$13&gt;0,$C243*AE$281*24*Input!$F$60/C$13,0)</f>
        <v>8.875223572018017</v>
      </c>
      <c r="AF302" s="34">
        <f>IF(D$13&gt;0,$C243*AF$281*24*Input!$F$60/D$13,0)</f>
        <v>1.7171462702820504</v>
      </c>
      <c r="AG302" s="34">
        <f>IF(E$13&gt;0,$C243*AG$281*24*Input!$F$60/E$13,0)</f>
        <v>0.19083876651013126</v>
      </c>
      <c r="AI302" s="34">
        <f>IF(C$13&gt;0,$C243*AI$281*24*Input!$F$60/C$13,0)</f>
        <v>8.875223572018017</v>
      </c>
      <c r="AJ302" s="34">
        <f>IF(D$13&gt;0,$C243*AJ$281*24*Input!$F$60/D$13,0)</f>
        <v>1.7171462702820504</v>
      </c>
      <c r="AK302" s="34">
        <f>IF(E$13&gt;0,$C243*AK$281*24*Input!$F$60/E$13,0)</f>
        <v>0.19083876651013126</v>
      </c>
      <c r="AL302" s="17"/>
    </row>
    <row r="303" spans="1:38">
      <c r="A303" s="4" t="s">
        <v>188</v>
      </c>
      <c r="C303" s="34">
        <f>IF(C$13&gt;0,$C244*C$281*24*Input!$F$60/C$13,0)</f>
        <v>11.586326064183757</v>
      </c>
      <c r="D303" s="34">
        <f>IF(D$13&gt;0,$C244*D$281*24*Input!$F$60/D$13,0)</f>
        <v>0.4737265897667261</v>
      </c>
      <c r="E303" s="34">
        <f>IF(E$13&gt;0,$C244*E$281*24*Input!$F$60/E$13,0)</f>
        <v>3.3724269547883406E-2</v>
      </c>
      <c r="G303" s="34">
        <f>IF(C$13&gt;0,$C244*G$281*24*Input!$F$60/C$13,0)</f>
        <v>8.922156058902603</v>
      </c>
      <c r="H303" s="34">
        <f>IF(D$13&gt;0,$C244*H$281*24*Input!$F$60/D$13,0)</f>
        <v>1.033070347161221</v>
      </c>
      <c r="I303" s="34">
        <f>IF(E$13&gt;0,$C244*I$281*24*Input!$F$60/E$13,0)</f>
        <v>0.15716516057671021</v>
      </c>
      <c r="K303" s="34">
        <f>IF(C$13&gt;0,$C244*K$281*24*Input!$F$60/C$13,0)</f>
        <v>8.922156058902603</v>
      </c>
      <c r="L303" s="34">
        <f>IF(D$13&gt;0,$C244*L$281*24*Input!$F$60/D$13,0)</f>
        <v>1.033070347161221</v>
      </c>
      <c r="M303" s="34">
        <f>IF(E$13&gt;0,$C244*M$281*24*Input!$F$60/E$13,0)</f>
        <v>0.15716516057671021</v>
      </c>
      <c r="O303" s="34">
        <f>IF(C$13&gt;0,$C244*O$281*24*Input!$F$60/C$13,0)</f>
        <v>7.5244567773379263</v>
      </c>
      <c r="P303" s="34">
        <f>IF(D$13&gt;0,$C244*P$281*24*Input!$F$60/D$13,0)</f>
        <v>1.4558047790300879</v>
      </c>
      <c r="Q303" s="34">
        <f>IF(E$13&gt;0,$C244*Q$281*24*Input!$F$60/E$13,0)</f>
        <v>0.16179401435849849</v>
      </c>
      <c r="S303" s="34">
        <f>IF(C$13&gt;0,$C244*S$281*24*Input!$F$60/C$13,0)</f>
        <v>7.5244567773379263</v>
      </c>
      <c r="T303" s="34">
        <f>IF(D$13&gt;0,$C244*T$281*24*Input!$F$60/D$13,0)</f>
        <v>1.4558047790300879</v>
      </c>
      <c r="U303" s="34">
        <f>IF(E$13&gt;0,$C244*U$281*24*Input!$F$60/E$13,0)</f>
        <v>0.16179401435849849</v>
      </c>
      <c r="W303" s="34">
        <f>IF(C$13&gt;0,$C244*W$281*24*Input!$F$60/C$13,0)</f>
        <v>1.1946430880382566</v>
      </c>
      <c r="X303" s="34">
        <f>IF(D$13&gt;0,$C244*X$281*24*Input!$F$60/D$13,0)</f>
        <v>1.1946430880382566</v>
      </c>
      <c r="Y303" s="34">
        <f>IF(E$13&gt;0,$C244*Y$281*24*Input!$F$60/E$13,0)</f>
        <v>1.1946430880382566</v>
      </c>
      <c r="AA303" s="34">
        <f>IF(C$13&gt;0,$C244*AA$281*24*Input!$F$60/C$13,0)</f>
        <v>7.5244567773379263</v>
      </c>
      <c r="AB303" s="34">
        <f>IF(D$13&gt;0,$C244*AB$281*24*Input!$F$60/D$13,0)</f>
        <v>1.4558047790300879</v>
      </c>
      <c r="AC303" s="34">
        <f>IF(E$13&gt;0,$C244*AC$281*24*Input!$F$60/E$13,0)</f>
        <v>0.16179401435849849</v>
      </c>
      <c r="AE303" s="34">
        <f>IF(C$13&gt;0,$C244*AE$281*24*Input!$F$60/C$13,0)</f>
        <v>7.5244567773379263</v>
      </c>
      <c r="AF303" s="34">
        <f>IF(D$13&gt;0,$C244*AF$281*24*Input!$F$60/D$13,0)</f>
        <v>1.4558047790300879</v>
      </c>
      <c r="AG303" s="34">
        <f>IF(E$13&gt;0,$C244*AG$281*24*Input!$F$60/E$13,0)</f>
        <v>0.16179401435849849</v>
      </c>
      <c r="AI303" s="34">
        <f>IF(C$13&gt;0,$C244*AI$281*24*Input!$F$60/C$13,0)</f>
        <v>7.5244567773379263</v>
      </c>
      <c r="AJ303" s="34">
        <f>IF(D$13&gt;0,$C244*AJ$281*24*Input!$F$60/D$13,0)</f>
        <v>1.4558047790300879</v>
      </c>
      <c r="AK303" s="34">
        <f>IF(E$13&gt;0,$C244*AK$281*24*Input!$F$60/E$13,0)</f>
        <v>0.16179401435849849</v>
      </c>
      <c r="AL303" s="17"/>
    </row>
    <row r="304" spans="1:38">
      <c r="A304" s="4" t="s">
        <v>189</v>
      </c>
      <c r="C304" s="34">
        <f>IF(C$13&gt;0,$C245*C$281*24*Input!$F$60/C$13,0)</f>
        <v>11.3657559310741</v>
      </c>
      <c r="D304" s="34">
        <f>IF(D$13&gt;0,$C245*D$281*24*Input!$F$60/D$13,0)</f>
        <v>0.46470820582141004</v>
      </c>
      <c r="E304" s="34">
        <f>IF(E$13&gt;0,$C245*E$281*24*Input!$F$60/E$13,0)</f>
        <v>3.3082257008101967E-2</v>
      </c>
      <c r="G304" s="34">
        <f>IF(C$13&gt;0,$C245*G$281*24*Input!$F$60/C$13,0)</f>
        <v>8.7523040161898784</v>
      </c>
      <c r="H304" s="34">
        <f>IF(D$13&gt;0,$C245*H$281*24*Input!$F$60/D$13,0)</f>
        <v>1.0134036760592076</v>
      </c>
      <c r="I304" s="34">
        <f>IF(E$13&gt;0,$C245*I$281*24*Input!$F$60/E$13,0)</f>
        <v>0.15417319054267445</v>
      </c>
      <c r="K304" s="34">
        <f>IF(C$13&gt;0,$C245*K$281*24*Input!$F$60/C$13,0)</f>
        <v>8.7523040161898784</v>
      </c>
      <c r="L304" s="34">
        <f>IF(D$13&gt;0,$C245*L$281*24*Input!$F$60/D$13,0)</f>
        <v>1.0134036760592076</v>
      </c>
      <c r="M304" s="34">
        <f>IF(E$13&gt;0,$C245*M$281*24*Input!$F$60/E$13,0)</f>
        <v>0.15417319054267445</v>
      </c>
      <c r="O304" s="34">
        <f>IF(C$13&gt;0,$C245*O$281*24*Input!$F$60/C$13,0)</f>
        <v>7.3812128858954313</v>
      </c>
      <c r="P304" s="34">
        <f>IF(D$13&gt;0,$C245*P$281*24*Input!$F$60/D$13,0)</f>
        <v>1.4280904671668164</v>
      </c>
      <c r="Q304" s="34">
        <f>IF(E$13&gt;0,$C245*Q$281*24*Input!$F$60/E$13,0)</f>
        <v>0.15871392433809789</v>
      </c>
      <c r="S304" s="34">
        <f>IF(C$13&gt;0,$C245*S$281*24*Input!$F$60/C$13,0)</f>
        <v>7.3812128858954313</v>
      </c>
      <c r="T304" s="34">
        <f>IF(D$13&gt;0,$C245*T$281*24*Input!$F$60/D$13,0)</f>
        <v>1.4280904671668164</v>
      </c>
      <c r="U304" s="34">
        <f>IF(E$13&gt;0,$C245*U$281*24*Input!$F$60/E$13,0)</f>
        <v>0.15871392433809789</v>
      </c>
      <c r="W304" s="34">
        <f>IF(C$13&gt;0,$C245*W$281*24*Input!$F$60/C$13,0)</f>
        <v>1.1719005393228632</v>
      </c>
      <c r="X304" s="34">
        <f>IF(D$13&gt;0,$C245*X$281*24*Input!$F$60/D$13,0)</f>
        <v>1.1719005393228632</v>
      </c>
      <c r="Y304" s="34">
        <f>IF(E$13&gt;0,$C245*Y$281*24*Input!$F$60/E$13,0)</f>
        <v>1.1719005393228634</v>
      </c>
      <c r="AA304" s="34">
        <f>IF(C$13&gt;0,$C245*AA$281*24*Input!$F$60/C$13,0)</f>
        <v>7.3812128858954313</v>
      </c>
      <c r="AB304" s="34">
        <f>IF(D$13&gt;0,$C245*AB$281*24*Input!$F$60/D$13,0)</f>
        <v>1.4280904671668164</v>
      </c>
      <c r="AC304" s="34">
        <f>IF(E$13&gt;0,$C245*AC$281*24*Input!$F$60/E$13,0)</f>
        <v>0.15871392433809789</v>
      </c>
      <c r="AE304" s="34">
        <f>IF(C$13&gt;0,$C245*AE$281*24*Input!$F$60/C$13,0)</f>
        <v>7.3812128858954313</v>
      </c>
      <c r="AF304" s="34">
        <f>IF(D$13&gt;0,$C245*AF$281*24*Input!$F$60/D$13,0)</f>
        <v>1.4280904671668164</v>
      </c>
      <c r="AG304" s="34">
        <f>IF(E$13&gt;0,$C245*AG$281*24*Input!$F$60/E$13,0)</f>
        <v>0.15871392433809789</v>
      </c>
      <c r="AI304" s="34">
        <f>IF(C$13&gt;0,$C245*AI$281*24*Input!$F$60/C$13,0)</f>
        <v>7.3812128858954313</v>
      </c>
      <c r="AJ304" s="34">
        <f>IF(D$13&gt;0,$C245*AJ$281*24*Input!$F$60/D$13,0)</f>
        <v>1.4280904671668164</v>
      </c>
      <c r="AK304" s="34">
        <f>IF(E$13&gt;0,$C245*AK$281*24*Input!$F$60/E$13,0)</f>
        <v>0.15871392433809789</v>
      </c>
      <c r="AL304" s="17"/>
    </row>
    <row r="305" spans="1:38">
      <c r="A305" s="4" t="s">
        <v>206</v>
      </c>
      <c r="C305" s="34">
        <f>IF(C$13&gt;0,$C246*C$281*24*Input!$F$60/C$13,0)</f>
        <v>10.310728825663622</v>
      </c>
      <c r="D305" s="34">
        <f>IF(D$13&gt;0,$C246*D$281*24*Input!$F$60/D$13,0)</f>
        <v>0.42157163345249016</v>
      </c>
      <c r="E305" s="34">
        <f>IF(E$13&gt;0,$C246*E$281*24*Input!$F$60/E$13,0)</f>
        <v>3.0011394140434796E-2</v>
      </c>
      <c r="G305" s="34">
        <f>IF(C$13&gt;0,$C246*G$281*24*Input!$F$60/C$13,0)</f>
        <v>7.9398707712855359</v>
      </c>
      <c r="H305" s="34">
        <f>IF(D$13&gt;0,$C246*H$281*24*Input!$F$60/D$13,0)</f>
        <v>0.91933440750822926</v>
      </c>
      <c r="I305" s="34">
        <f>IF(E$13&gt;0,$C246*I$281*24*Input!$F$60/E$13,0)</f>
        <v>0.13986205312809824</v>
      </c>
      <c r="K305" s="34">
        <f>IF(C$13&gt;0,$C246*K$281*24*Input!$F$60/C$13,0)</f>
        <v>7.9398707712855359</v>
      </c>
      <c r="L305" s="34">
        <f>IF(D$13&gt;0,$C246*L$281*24*Input!$F$60/D$13,0)</f>
        <v>0.91933440750822926</v>
      </c>
      <c r="M305" s="34">
        <f>IF(E$13&gt;0,$C246*M$281*24*Input!$F$60/E$13,0)</f>
        <v>0.13986205312809824</v>
      </c>
      <c r="O305" s="34">
        <f>IF(C$13&gt;0,$C246*O$281*24*Input!$F$60/C$13,0)</f>
        <v>6.6960512730075461</v>
      </c>
      <c r="P305" s="34">
        <f>IF(D$13&gt;0,$C246*P$281*24*Input!$F$60/D$13,0)</f>
        <v>1.2955278676374669</v>
      </c>
      <c r="Q305" s="34">
        <f>IF(E$13&gt;0,$C246*Q$281*24*Input!$F$60/E$13,0)</f>
        <v>0.14398129298491549</v>
      </c>
      <c r="S305" s="34">
        <f>IF(C$13&gt;0,$C246*S$281*24*Input!$F$60/C$13,0)</f>
        <v>6.6960512730075461</v>
      </c>
      <c r="T305" s="34">
        <f>IF(D$13&gt;0,$C246*T$281*24*Input!$F$60/D$13,0)</f>
        <v>1.2955278676374669</v>
      </c>
      <c r="U305" s="34">
        <f>IF(E$13&gt;0,$C246*U$281*24*Input!$F$60/E$13,0)</f>
        <v>0.14398129298491549</v>
      </c>
      <c r="W305" s="34">
        <f>IF(C$13&gt;0,$C246*W$281*24*Input!$F$60/C$13,0)</f>
        <v>1.0631187881284281</v>
      </c>
      <c r="X305" s="34">
        <f>IF(D$13&gt;0,$C246*X$281*24*Input!$F$60/D$13,0)</f>
        <v>1.0631187881284279</v>
      </c>
      <c r="Y305" s="34">
        <f>IF(E$13&gt;0,$C246*Y$281*24*Input!$F$60/E$13,0)</f>
        <v>1.0631187881284281</v>
      </c>
      <c r="AA305" s="34">
        <f>IF(C$13&gt;0,$C246*AA$281*24*Input!$F$60/C$13,0)</f>
        <v>6.6960512730075461</v>
      </c>
      <c r="AB305" s="34">
        <f>IF(D$13&gt;0,$C246*AB$281*24*Input!$F$60/D$13,0)</f>
        <v>1.2955278676374669</v>
      </c>
      <c r="AC305" s="34">
        <f>IF(E$13&gt;0,$C246*AC$281*24*Input!$F$60/E$13,0)</f>
        <v>0.14398129298491549</v>
      </c>
      <c r="AE305" s="34">
        <f>IF(C$13&gt;0,$C246*AE$281*24*Input!$F$60/C$13,0)</f>
        <v>6.6960512730075461</v>
      </c>
      <c r="AF305" s="34">
        <f>IF(D$13&gt;0,$C246*AF$281*24*Input!$F$60/D$13,0)</f>
        <v>1.2955278676374669</v>
      </c>
      <c r="AG305" s="34">
        <f>IF(E$13&gt;0,$C246*AG$281*24*Input!$F$60/E$13,0)</f>
        <v>0.14398129298491549</v>
      </c>
      <c r="AI305" s="34">
        <f>IF(C$13&gt;0,$C246*AI$281*24*Input!$F$60/C$13,0)</f>
        <v>6.6960512730075461</v>
      </c>
      <c r="AJ305" s="34">
        <f>IF(D$13&gt;0,$C246*AJ$281*24*Input!$F$60/D$13,0)</f>
        <v>1.2955278676374669</v>
      </c>
      <c r="AK305" s="34">
        <f>IF(E$13&gt;0,$C246*AK$281*24*Input!$F$60/E$13,0)</f>
        <v>0.14398129298491549</v>
      </c>
      <c r="AL305" s="17"/>
    </row>
    <row r="306" spans="1:38">
      <c r="A306" s="4" t="s">
        <v>194</v>
      </c>
      <c r="C306" s="34">
        <f>IF(C$13&gt;0,$C247*C$281*24*Input!$F$60/C$13,0)</f>
        <v>-9.6985670282576688</v>
      </c>
      <c r="D306" s="34">
        <f>IF(D$13&gt;0,$C247*D$281*24*Input!$F$60/D$13,0)</f>
        <v>-0.39654236023299677</v>
      </c>
      <c r="E306" s="34">
        <f>IF(E$13&gt;0,$C247*E$281*24*Input!$F$60/E$13,0)</f>
        <v>-2.822957742405106E-2</v>
      </c>
      <c r="G306" s="34">
        <f>IF(C$13&gt;0,$C247*G$281*24*Input!$F$60/C$13,0)</f>
        <v>-7.4684699959665988</v>
      </c>
      <c r="H306" s="34">
        <f>IF(D$13&gt;0,$C247*H$281*24*Input!$F$60/D$13,0)</f>
        <v>-0.86475229087680339</v>
      </c>
      <c r="I306" s="34">
        <f>IF(E$13&gt;0,$C247*I$281*24*Input!$F$60/E$13,0)</f>
        <v>-0.13155825547427202</v>
      </c>
      <c r="K306" s="34">
        <f>IF(C$13&gt;0,$C247*K$281*24*Input!$F$60/C$13,0)</f>
        <v>-7.4684699959665988</v>
      </c>
      <c r="L306" s="34">
        <f>IF(D$13&gt;0,$C247*L$281*24*Input!$F$60/D$13,0)</f>
        <v>-0.86475229087680339</v>
      </c>
      <c r="M306" s="34">
        <f>IF(E$13&gt;0,$C247*M$281*24*Input!$F$60/E$13,0)</f>
        <v>-0.13155825547427202</v>
      </c>
      <c r="O306" s="34">
        <f>IF(C$13&gt;0,$C247*O$281*24*Input!$F$60/C$13,0)</f>
        <v>-6.2984977293042075</v>
      </c>
      <c r="P306" s="34">
        <f>IF(D$13&gt;0,$C247*P$281*24*Input!$F$60/D$13,0)</f>
        <v>-1.2186106407903714</v>
      </c>
      <c r="Q306" s="34">
        <f>IF(E$13&gt;0,$C247*Q$281*24*Input!$F$60/E$13,0)</f>
        <v>-0.13543293053675398</v>
      </c>
      <c r="S306" s="34">
        <f>IF(C$13&gt;0,$C247*S$281*24*Input!$F$60/C$13,0)</f>
        <v>-6.2984977293042075</v>
      </c>
      <c r="T306" s="34">
        <f>IF(D$13&gt;0,$C247*T$281*24*Input!$F$60/D$13,0)</f>
        <v>-1.2186106407903714</v>
      </c>
      <c r="U306" s="34">
        <f>IF(E$13&gt;0,$C247*U$281*24*Input!$F$60/E$13,0)</f>
        <v>-0.13543293053675398</v>
      </c>
      <c r="W306" s="34">
        <f>IF(C$13&gt;0,$C247*W$281*24*Input!$F$60/C$13,0)</f>
        <v>-1</v>
      </c>
      <c r="X306" s="34">
        <f>IF(D$13&gt;0,$C247*X$281*24*Input!$F$60/D$13,0)</f>
        <v>-1</v>
      </c>
      <c r="Y306" s="34">
        <f>IF(E$13&gt;0,$C247*Y$281*24*Input!$F$60/E$13,0)</f>
        <v>-1</v>
      </c>
      <c r="AA306" s="34">
        <f>IF(C$13&gt;0,$C247*AA$281*24*Input!$F$60/C$13,0)</f>
        <v>-6.2984977293042075</v>
      </c>
      <c r="AB306" s="34">
        <f>IF(D$13&gt;0,$C247*AB$281*24*Input!$F$60/D$13,0)</f>
        <v>-1.2186106407903714</v>
      </c>
      <c r="AC306" s="34">
        <f>IF(E$13&gt;0,$C247*AC$281*24*Input!$F$60/E$13,0)</f>
        <v>-0.13543293053675398</v>
      </c>
      <c r="AE306" s="34">
        <f>IF(C$13&gt;0,$C247*AE$281*24*Input!$F$60/C$13,0)</f>
        <v>-6.2984977293042075</v>
      </c>
      <c r="AF306" s="34">
        <f>IF(D$13&gt;0,$C247*AF$281*24*Input!$F$60/D$13,0)</f>
        <v>-1.2186106407903714</v>
      </c>
      <c r="AG306" s="34">
        <f>IF(E$13&gt;0,$C247*AG$281*24*Input!$F$60/E$13,0)</f>
        <v>-0.13543293053675398</v>
      </c>
      <c r="AI306" s="34">
        <f>IF(C$13&gt;0,$C247*AI$281*24*Input!$F$60/C$13,0)</f>
        <v>-6.2984977293042075</v>
      </c>
      <c r="AJ306" s="34">
        <f>IF(D$13&gt;0,$C247*AJ$281*24*Input!$F$60/D$13,0)</f>
        <v>-1.2186106407903714</v>
      </c>
      <c r="AK306" s="34">
        <f>IF(E$13&gt;0,$C247*AK$281*24*Input!$F$60/E$13,0)</f>
        <v>-0.13543293053675398</v>
      </c>
      <c r="AL306" s="17"/>
    </row>
    <row r="307" spans="1:38">
      <c r="A307" s="4" t="s">
        <v>195</v>
      </c>
      <c r="C307" s="34">
        <f>IF(C$13&gt;0,$C248*C$281*24*Input!$F$60/C$13,0)</f>
        <v>-9.6985670282576688</v>
      </c>
      <c r="D307" s="34">
        <f>IF(D$13&gt;0,$C248*D$281*24*Input!$F$60/D$13,0)</f>
        <v>-0.39654236023299677</v>
      </c>
      <c r="E307" s="34">
        <f>IF(E$13&gt;0,$C248*E$281*24*Input!$F$60/E$13,0)</f>
        <v>-2.822957742405106E-2</v>
      </c>
      <c r="G307" s="34">
        <f>IF(C$13&gt;0,$C248*G$281*24*Input!$F$60/C$13,0)</f>
        <v>-7.4684699959665988</v>
      </c>
      <c r="H307" s="34">
        <f>IF(D$13&gt;0,$C248*H$281*24*Input!$F$60/D$13,0)</f>
        <v>-0.86475229087680339</v>
      </c>
      <c r="I307" s="34">
        <f>IF(E$13&gt;0,$C248*I$281*24*Input!$F$60/E$13,0)</f>
        <v>-0.13155825547427202</v>
      </c>
      <c r="K307" s="34">
        <f>IF(C$13&gt;0,$C248*K$281*24*Input!$F$60/C$13,0)</f>
        <v>-7.4684699959665988</v>
      </c>
      <c r="L307" s="34">
        <f>IF(D$13&gt;0,$C248*L$281*24*Input!$F$60/D$13,0)</f>
        <v>-0.86475229087680339</v>
      </c>
      <c r="M307" s="34">
        <f>IF(E$13&gt;0,$C248*M$281*24*Input!$F$60/E$13,0)</f>
        <v>-0.13155825547427202</v>
      </c>
      <c r="O307" s="34">
        <f>IF(C$13&gt;0,$C248*O$281*24*Input!$F$60/C$13,0)</f>
        <v>-6.2984977293042075</v>
      </c>
      <c r="P307" s="34">
        <f>IF(D$13&gt;0,$C248*P$281*24*Input!$F$60/D$13,0)</f>
        <v>-1.2186106407903714</v>
      </c>
      <c r="Q307" s="34">
        <f>IF(E$13&gt;0,$C248*Q$281*24*Input!$F$60/E$13,0)</f>
        <v>-0.13543293053675398</v>
      </c>
      <c r="S307" s="34">
        <f>IF(C$13&gt;0,$C248*S$281*24*Input!$F$60/C$13,0)</f>
        <v>-6.2984977293042075</v>
      </c>
      <c r="T307" s="34">
        <f>IF(D$13&gt;0,$C248*T$281*24*Input!$F$60/D$13,0)</f>
        <v>-1.2186106407903714</v>
      </c>
      <c r="U307" s="34">
        <f>IF(E$13&gt;0,$C248*U$281*24*Input!$F$60/E$13,0)</f>
        <v>-0.13543293053675398</v>
      </c>
      <c r="W307" s="34">
        <f>IF(C$13&gt;0,$C248*W$281*24*Input!$F$60/C$13,0)</f>
        <v>-1</v>
      </c>
      <c r="X307" s="34">
        <f>IF(D$13&gt;0,$C248*X$281*24*Input!$F$60/D$13,0)</f>
        <v>-1</v>
      </c>
      <c r="Y307" s="34">
        <f>IF(E$13&gt;0,$C248*Y$281*24*Input!$F$60/E$13,0)</f>
        <v>-1</v>
      </c>
      <c r="AA307" s="34">
        <f>IF(C$13&gt;0,$C248*AA$281*24*Input!$F$60/C$13,0)</f>
        <v>-6.2984977293042075</v>
      </c>
      <c r="AB307" s="34">
        <f>IF(D$13&gt;0,$C248*AB$281*24*Input!$F$60/D$13,0)</f>
        <v>-1.2186106407903714</v>
      </c>
      <c r="AC307" s="34">
        <f>IF(E$13&gt;0,$C248*AC$281*24*Input!$F$60/E$13,0)</f>
        <v>-0.13543293053675398</v>
      </c>
      <c r="AE307" s="34">
        <f>IF(C$13&gt;0,$C248*AE$281*24*Input!$F$60/C$13,0)</f>
        <v>-6.2984977293042075</v>
      </c>
      <c r="AF307" s="34">
        <f>IF(D$13&gt;0,$C248*AF$281*24*Input!$F$60/D$13,0)</f>
        <v>-1.2186106407903714</v>
      </c>
      <c r="AG307" s="34">
        <f>IF(E$13&gt;0,$C248*AG$281*24*Input!$F$60/E$13,0)</f>
        <v>-0.13543293053675398</v>
      </c>
      <c r="AI307" s="34">
        <f>IF(C$13&gt;0,$C248*AI$281*24*Input!$F$60/C$13,0)</f>
        <v>-6.2984977293042075</v>
      </c>
      <c r="AJ307" s="34">
        <f>IF(D$13&gt;0,$C248*AJ$281*24*Input!$F$60/D$13,0)</f>
        <v>-1.2186106407903714</v>
      </c>
      <c r="AK307" s="34">
        <f>IF(E$13&gt;0,$C248*AK$281*24*Input!$F$60/E$13,0)</f>
        <v>-0.13543293053675398</v>
      </c>
      <c r="AL307" s="17"/>
    </row>
    <row r="308" spans="1:38">
      <c r="A308" s="4" t="s">
        <v>198</v>
      </c>
      <c r="C308" s="34">
        <f>IF(C$13&gt;0,$C249*C$281*24*Input!$F$60/C$13,0)</f>
        <v>-9.6985670282576688</v>
      </c>
      <c r="D308" s="34">
        <f>IF(D$13&gt;0,$C249*D$281*24*Input!$F$60/D$13,0)</f>
        <v>-0.39654236023299677</v>
      </c>
      <c r="E308" s="34">
        <f>IF(E$13&gt;0,$C249*E$281*24*Input!$F$60/E$13,0)</f>
        <v>-2.822957742405106E-2</v>
      </c>
      <c r="G308" s="34">
        <f>IF(C$13&gt;0,$C249*G$281*24*Input!$F$60/C$13,0)</f>
        <v>-7.4684699959665988</v>
      </c>
      <c r="H308" s="34">
        <f>IF(D$13&gt;0,$C249*H$281*24*Input!$F$60/D$13,0)</f>
        <v>-0.86475229087680339</v>
      </c>
      <c r="I308" s="34">
        <f>IF(E$13&gt;0,$C249*I$281*24*Input!$F$60/E$13,0)</f>
        <v>-0.13155825547427202</v>
      </c>
      <c r="K308" s="34">
        <f>IF(C$13&gt;0,$C249*K$281*24*Input!$F$60/C$13,0)</f>
        <v>-7.4684699959665988</v>
      </c>
      <c r="L308" s="34">
        <f>IF(D$13&gt;0,$C249*L$281*24*Input!$F$60/D$13,0)</f>
        <v>-0.86475229087680339</v>
      </c>
      <c r="M308" s="34">
        <f>IF(E$13&gt;0,$C249*M$281*24*Input!$F$60/E$13,0)</f>
        <v>-0.13155825547427202</v>
      </c>
      <c r="O308" s="34">
        <f>IF(C$13&gt;0,$C249*O$281*24*Input!$F$60/C$13,0)</f>
        <v>-6.2984977293042075</v>
      </c>
      <c r="P308" s="34">
        <f>IF(D$13&gt;0,$C249*P$281*24*Input!$F$60/D$13,0)</f>
        <v>-1.2186106407903714</v>
      </c>
      <c r="Q308" s="34">
        <f>IF(E$13&gt;0,$C249*Q$281*24*Input!$F$60/E$13,0)</f>
        <v>-0.13543293053675398</v>
      </c>
      <c r="S308" s="34">
        <f>IF(C$13&gt;0,$C249*S$281*24*Input!$F$60/C$13,0)</f>
        <v>-6.2984977293042075</v>
      </c>
      <c r="T308" s="34">
        <f>IF(D$13&gt;0,$C249*T$281*24*Input!$F$60/D$13,0)</f>
        <v>-1.2186106407903714</v>
      </c>
      <c r="U308" s="34">
        <f>IF(E$13&gt;0,$C249*U$281*24*Input!$F$60/E$13,0)</f>
        <v>-0.13543293053675398</v>
      </c>
      <c r="W308" s="34">
        <f>IF(C$13&gt;0,$C249*W$281*24*Input!$F$60/C$13,0)</f>
        <v>-1</v>
      </c>
      <c r="X308" s="34">
        <f>IF(D$13&gt;0,$C249*X$281*24*Input!$F$60/D$13,0)</f>
        <v>-1</v>
      </c>
      <c r="Y308" s="34">
        <f>IF(E$13&gt;0,$C249*Y$281*24*Input!$F$60/E$13,0)</f>
        <v>-1</v>
      </c>
      <c r="AA308" s="34">
        <f>IF(C$13&gt;0,$C249*AA$281*24*Input!$F$60/C$13,0)</f>
        <v>-6.2984977293042075</v>
      </c>
      <c r="AB308" s="34">
        <f>IF(D$13&gt;0,$C249*AB$281*24*Input!$F$60/D$13,0)</f>
        <v>-1.2186106407903714</v>
      </c>
      <c r="AC308" s="34">
        <f>IF(E$13&gt;0,$C249*AC$281*24*Input!$F$60/E$13,0)</f>
        <v>-0.13543293053675398</v>
      </c>
      <c r="AE308" s="34">
        <f>IF(C$13&gt;0,$C249*AE$281*24*Input!$F$60/C$13,0)</f>
        <v>-6.2984977293042075</v>
      </c>
      <c r="AF308" s="34">
        <f>IF(D$13&gt;0,$C249*AF$281*24*Input!$F$60/D$13,0)</f>
        <v>-1.2186106407903714</v>
      </c>
      <c r="AG308" s="34">
        <f>IF(E$13&gt;0,$C249*AG$281*24*Input!$F$60/E$13,0)</f>
        <v>-0.13543293053675398</v>
      </c>
      <c r="AI308" s="34">
        <f>IF(C$13&gt;0,$C249*AI$281*24*Input!$F$60/C$13,0)</f>
        <v>-6.2984977293042075</v>
      </c>
      <c r="AJ308" s="34">
        <f>IF(D$13&gt;0,$C249*AJ$281*24*Input!$F$60/D$13,0)</f>
        <v>-1.2186106407903714</v>
      </c>
      <c r="AK308" s="34">
        <f>IF(E$13&gt;0,$C249*AK$281*24*Input!$F$60/E$13,0)</f>
        <v>-0.13543293053675398</v>
      </c>
      <c r="AL308" s="17"/>
    </row>
    <row r="309" spans="1:38">
      <c r="A309" s="4" t="s">
        <v>199</v>
      </c>
      <c r="C309" s="34">
        <f>IF(C$13&gt;0,$C250*C$281*24*Input!$F$60/C$13,0)</f>
        <v>-9.6985670282576688</v>
      </c>
      <c r="D309" s="34">
        <f>IF(D$13&gt;0,$C250*D$281*24*Input!$F$60/D$13,0)</f>
        <v>-0.39654236023299677</v>
      </c>
      <c r="E309" s="34">
        <f>IF(E$13&gt;0,$C250*E$281*24*Input!$F$60/E$13,0)</f>
        <v>-2.822957742405106E-2</v>
      </c>
      <c r="G309" s="34">
        <f>IF(C$13&gt;0,$C250*G$281*24*Input!$F$60/C$13,0)</f>
        <v>-7.4684699959665988</v>
      </c>
      <c r="H309" s="34">
        <f>IF(D$13&gt;0,$C250*H$281*24*Input!$F$60/D$13,0)</f>
        <v>-0.86475229087680339</v>
      </c>
      <c r="I309" s="34">
        <f>IF(E$13&gt;0,$C250*I$281*24*Input!$F$60/E$13,0)</f>
        <v>-0.13155825547427202</v>
      </c>
      <c r="K309" s="34">
        <f>IF(C$13&gt;0,$C250*K$281*24*Input!$F$60/C$13,0)</f>
        <v>-7.4684699959665988</v>
      </c>
      <c r="L309" s="34">
        <f>IF(D$13&gt;0,$C250*L$281*24*Input!$F$60/D$13,0)</f>
        <v>-0.86475229087680339</v>
      </c>
      <c r="M309" s="34">
        <f>IF(E$13&gt;0,$C250*M$281*24*Input!$F$60/E$13,0)</f>
        <v>-0.13155825547427202</v>
      </c>
      <c r="O309" s="34">
        <f>IF(C$13&gt;0,$C250*O$281*24*Input!$F$60/C$13,0)</f>
        <v>-6.2984977293042075</v>
      </c>
      <c r="P309" s="34">
        <f>IF(D$13&gt;0,$C250*P$281*24*Input!$F$60/D$13,0)</f>
        <v>-1.2186106407903714</v>
      </c>
      <c r="Q309" s="34">
        <f>IF(E$13&gt;0,$C250*Q$281*24*Input!$F$60/E$13,0)</f>
        <v>-0.13543293053675398</v>
      </c>
      <c r="S309" s="34">
        <f>IF(C$13&gt;0,$C250*S$281*24*Input!$F$60/C$13,0)</f>
        <v>-6.2984977293042075</v>
      </c>
      <c r="T309" s="34">
        <f>IF(D$13&gt;0,$C250*T$281*24*Input!$F$60/D$13,0)</f>
        <v>-1.2186106407903714</v>
      </c>
      <c r="U309" s="34">
        <f>IF(E$13&gt;0,$C250*U$281*24*Input!$F$60/E$13,0)</f>
        <v>-0.13543293053675398</v>
      </c>
      <c r="W309" s="34">
        <f>IF(C$13&gt;0,$C250*W$281*24*Input!$F$60/C$13,0)</f>
        <v>-1</v>
      </c>
      <c r="X309" s="34">
        <f>IF(D$13&gt;0,$C250*X$281*24*Input!$F$60/D$13,0)</f>
        <v>-1</v>
      </c>
      <c r="Y309" s="34">
        <f>IF(E$13&gt;0,$C250*Y$281*24*Input!$F$60/E$13,0)</f>
        <v>-1</v>
      </c>
      <c r="AA309" s="34">
        <f>IF(C$13&gt;0,$C250*AA$281*24*Input!$F$60/C$13,0)</f>
        <v>-6.2984977293042075</v>
      </c>
      <c r="AB309" s="34">
        <f>IF(D$13&gt;0,$C250*AB$281*24*Input!$F$60/D$13,0)</f>
        <v>-1.2186106407903714</v>
      </c>
      <c r="AC309" s="34">
        <f>IF(E$13&gt;0,$C250*AC$281*24*Input!$F$60/E$13,0)</f>
        <v>-0.13543293053675398</v>
      </c>
      <c r="AE309" s="34">
        <f>IF(C$13&gt;0,$C250*AE$281*24*Input!$F$60/C$13,0)</f>
        <v>-6.2984977293042075</v>
      </c>
      <c r="AF309" s="34">
        <f>IF(D$13&gt;0,$C250*AF$281*24*Input!$F$60/D$13,0)</f>
        <v>-1.2186106407903714</v>
      </c>
      <c r="AG309" s="34">
        <f>IF(E$13&gt;0,$C250*AG$281*24*Input!$F$60/E$13,0)</f>
        <v>-0.13543293053675398</v>
      </c>
      <c r="AI309" s="34">
        <f>IF(C$13&gt;0,$C250*AI$281*24*Input!$F$60/C$13,0)</f>
        <v>-6.2984977293042075</v>
      </c>
      <c r="AJ309" s="34">
        <f>IF(D$13&gt;0,$C250*AJ$281*24*Input!$F$60/D$13,0)</f>
        <v>-1.2186106407903714</v>
      </c>
      <c r="AK309" s="34">
        <f>IF(E$13&gt;0,$C250*AK$281*24*Input!$F$60/E$13,0)</f>
        <v>-0.13543293053675398</v>
      </c>
      <c r="AL309" s="17"/>
    </row>
    <row r="310" spans="1:38">
      <c r="A310" s="4" t="s">
        <v>209</v>
      </c>
      <c r="C310" s="34">
        <f>IF(C$13&gt;0,$C251*C$281*24*Input!$F$60/C$13,0)</f>
        <v>-9.6985670282576688</v>
      </c>
      <c r="D310" s="34">
        <f>IF(D$13&gt;0,$C251*D$281*24*Input!$F$60/D$13,0)</f>
        <v>-0.39654236023299677</v>
      </c>
      <c r="E310" s="34">
        <f>IF(E$13&gt;0,$C251*E$281*24*Input!$F$60/E$13,0)</f>
        <v>-2.822957742405106E-2</v>
      </c>
      <c r="G310" s="34">
        <f>IF(C$13&gt;0,$C251*G$281*24*Input!$F$60/C$13,0)</f>
        <v>-7.4684699959665988</v>
      </c>
      <c r="H310" s="34">
        <f>IF(D$13&gt;0,$C251*H$281*24*Input!$F$60/D$13,0)</f>
        <v>-0.86475229087680339</v>
      </c>
      <c r="I310" s="34">
        <f>IF(E$13&gt;0,$C251*I$281*24*Input!$F$60/E$13,0)</f>
        <v>-0.13155825547427202</v>
      </c>
      <c r="K310" s="34">
        <f>IF(C$13&gt;0,$C251*K$281*24*Input!$F$60/C$13,0)</f>
        <v>-7.4684699959665988</v>
      </c>
      <c r="L310" s="34">
        <f>IF(D$13&gt;0,$C251*L$281*24*Input!$F$60/D$13,0)</f>
        <v>-0.86475229087680339</v>
      </c>
      <c r="M310" s="34">
        <f>IF(E$13&gt;0,$C251*M$281*24*Input!$F$60/E$13,0)</f>
        <v>-0.13155825547427202</v>
      </c>
      <c r="O310" s="34">
        <f>IF(C$13&gt;0,$C251*O$281*24*Input!$F$60/C$13,0)</f>
        <v>-6.2984977293042075</v>
      </c>
      <c r="P310" s="34">
        <f>IF(D$13&gt;0,$C251*P$281*24*Input!$F$60/D$13,0)</f>
        <v>-1.2186106407903714</v>
      </c>
      <c r="Q310" s="34">
        <f>IF(E$13&gt;0,$C251*Q$281*24*Input!$F$60/E$13,0)</f>
        <v>-0.13543293053675398</v>
      </c>
      <c r="S310" s="34">
        <f>IF(C$13&gt;0,$C251*S$281*24*Input!$F$60/C$13,0)</f>
        <v>-6.2984977293042075</v>
      </c>
      <c r="T310" s="34">
        <f>IF(D$13&gt;0,$C251*T$281*24*Input!$F$60/D$13,0)</f>
        <v>-1.2186106407903714</v>
      </c>
      <c r="U310" s="34">
        <f>IF(E$13&gt;0,$C251*U$281*24*Input!$F$60/E$13,0)</f>
        <v>-0.13543293053675398</v>
      </c>
      <c r="W310" s="34">
        <f>IF(C$13&gt;0,$C251*W$281*24*Input!$F$60/C$13,0)</f>
        <v>-1</v>
      </c>
      <c r="X310" s="34">
        <f>IF(D$13&gt;0,$C251*X$281*24*Input!$F$60/D$13,0)</f>
        <v>-1</v>
      </c>
      <c r="Y310" s="34">
        <f>IF(E$13&gt;0,$C251*Y$281*24*Input!$F$60/E$13,0)</f>
        <v>-1</v>
      </c>
      <c r="AA310" s="34">
        <f>IF(C$13&gt;0,$C251*AA$281*24*Input!$F$60/C$13,0)</f>
        <v>-6.2984977293042075</v>
      </c>
      <c r="AB310" s="34">
        <f>IF(D$13&gt;0,$C251*AB$281*24*Input!$F$60/D$13,0)</f>
        <v>-1.2186106407903714</v>
      </c>
      <c r="AC310" s="34">
        <f>IF(E$13&gt;0,$C251*AC$281*24*Input!$F$60/E$13,0)</f>
        <v>-0.13543293053675398</v>
      </c>
      <c r="AE310" s="34">
        <f>IF(C$13&gt;0,$C251*AE$281*24*Input!$F$60/C$13,0)</f>
        <v>-6.2984977293042075</v>
      </c>
      <c r="AF310" s="34">
        <f>IF(D$13&gt;0,$C251*AF$281*24*Input!$F$60/D$13,0)</f>
        <v>-1.2186106407903714</v>
      </c>
      <c r="AG310" s="34">
        <f>IF(E$13&gt;0,$C251*AG$281*24*Input!$F$60/E$13,0)</f>
        <v>-0.13543293053675398</v>
      </c>
      <c r="AI310" s="34">
        <f>IF(C$13&gt;0,$C251*AI$281*24*Input!$F$60/C$13,0)</f>
        <v>-6.2984977293042075</v>
      </c>
      <c r="AJ310" s="34">
        <f>IF(D$13&gt;0,$C251*AJ$281*24*Input!$F$60/D$13,0)</f>
        <v>-1.2186106407903714</v>
      </c>
      <c r="AK310" s="34">
        <f>IF(E$13&gt;0,$C251*AK$281*24*Input!$F$60/E$13,0)</f>
        <v>-0.13543293053675398</v>
      </c>
      <c r="AL310" s="17"/>
    </row>
    <row r="311" spans="1:38">
      <c r="A311" s="4" t="s">
        <v>210</v>
      </c>
      <c r="C311" s="34">
        <f>IF(C$13&gt;0,$C252*C$281*24*Input!$F$60/C$13,0)</f>
        <v>-9.6985670282576688</v>
      </c>
      <c r="D311" s="34">
        <f>IF(D$13&gt;0,$C252*D$281*24*Input!$F$60/D$13,0)</f>
        <v>-0.39654236023299677</v>
      </c>
      <c r="E311" s="34">
        <f>IF(E$13&gt;0,$C252*E$281*24*Input!$F$60/E$13,0)</f>
        <v>-2.822957742405106E-2</v>
      </c>
      <c r="G311" s="34">
        <f>IF(C$13&gt;0,$C252*G$281*24*Input!$F$60/C$13,0)</f>
        <v>-7.4684699959665988</v>
      </c>
      <c r="H311" s="34">
        <f>IF(D$13&gt;0,$C252*H$281*24*Input!$F$60/D$13,0)</f>
        <v>-0.86475229087680339</v>
      </c>
      <c r="I311" s="34">
        <f>IF(E$13&gt;0,$C252*I$281*24*Input!$F$60/E$13,0)</f>
        <v>-0.13155825547427202</v>
      </c>
      <c r="K311" s="34">
        <f>IF(C$13&gt;0,$C252*K$281*24*Input!$F$60/C$13,0)</f>
        <v>-7.4684699959665988</v>
      </c>
      <c r="L311" s="34">
        <f>IF(D$13&gt;0,$C252*L$281*24*Input!$F$60/D$13,0)</f>
        <v>-0.86475229087680339</v>
      </c>
      <c r="M311" s="34">
        <f>IF(E$13&gt;0,$C252*M$281*24*Input!$F$60/E$13,0)</f>
        <v>-0.13155825547427202</v>
      </c>
      <c r="O311" s="34">
        <f>IF(C$13&gt;0,$C252*O$281*24*Input!$F$60/C$13,0)</f>
        <v>-6.2984977293042075</v>
      </c>
      <c r="P311" s="34">
        <f>IF(D$13&gt;0,$C252*P$281*24*Input!$F$60/D$13,0)</f>
        <v>-1.2186106407903714</v>
      </c>
      <c r="Q311" s="34">
        <f>IF(E$13&gt;0,$C252*Q$281*24*Input!$F$60/E$13,0)</f>
        <v>-0.13543293053675398</v>
      </c>
      <c r="S311" s="34">
        <f>IF(C$13&gt;0,$C252*S$281*24*Input!$F$60/C$13,0)</f>
        <v>-6.2984977293042075</v>
      </c>
      <c r="T311" s="34">
        <f>IF(D$13&gt;0,$C252*T$281*24*Input!$F$60/D$13,0)</f>
        <v>-1.2186106407903714</v>
      </c>
      <c r="U311" s="34">
        <f>IF(E$13&gt;0,$C252*U$281*24*Input!$F$60/E$13,0)</f>
        <v>-0.13543293053675398</v>
      </c>
      <c r="W311" s="34">
        <f>IF(C$13&gt;0,$C252*W$281*24*Input!$F$60/C$13,0)</f>
        <v>-1</v>
      </c>
      <c r="X311" s="34">
        <f>IF(D$13&gt;0,$C252*X$281*24*Input!$F$60/D$13,0)</f>
        <v>-1</v>
      </c>
      <c r="Y311" s="34">
        <f>IF(E$13&gt;0,$C252*Y$281*24*Input!$F$60/E$13,0)</f>
        <v>-1</v>
      </c>
      <c r="AA311" s="34">
        <f>IF(C$13&gt;0,$C252*AA$281*24*Input!$F$60/C$13,0)</f>
        <v>-6.2984977293042075</v>
      </c>
      <c r="AB311" s="34">
        <f>IF(D$13&gt;0,$C252*AB$281*24*Input!$F$60/D$13,0)</f>
        <v>-1.2186106407903714</v>
      </c>
      <c r="AC311" s="34">
        <f>IF(E$13&gt;0,$C252*AC$281*24*Input!$F$60/E$13,0)</f>
        <v>-0.13543293053675398</v>
      </c>
      <c r="AE311" s="34">
        <f>IF(C$13&gt;0,$C252*AE$281*24*Input!$F$60/C$13,0)</f>
        <v>-6.2984977293042075</v>
      </c>
      <c r="AF311" s="34">
        <f>IF(D$13&gt;0,$C252*AF$281*24*Input!$F$60/D$13,0)</f>
        <v>-1.2186106407903714</v>
      </c>
      <c r="AG311" s="34">
        <f>IF(E$13&gt;0,$C252*AG$281*24*Input!$F$60/E$13,0)</f>
        <v>-0.13543293053675398</v>
      </c>
      <c r="AI311" s="34">
        <f>IF(C$13&gt;0,$C252*AI$281*24*Input!$F$60/C$13,0)</f>
        <v>-6.2984977293042075</v>
      </c>
      <c r="AJ311" s="34">
        <f>IF(D$13&gt;0,$C252*AJ$281*24*Input!$F$60/D$13,0)</f>
        <v>-1.2186106407903714</v>
      </c>
      <c r="AK311" s="34">
        <f>IF(E$13&gt;0,$C252*AK$281*24*Input!$F$60/E$13,0)</f>
        <v>-0.13543293053675398</v>
      </c>
      <c r="AL311" s="17"/>
    </row>
    <row r="313" spans="1:38" ht="21" customHeight="1">
      <c r="A313" s="1" t="s">
        <v>663</v>
      </c>
    </row>
    <row r="314" spans="1:38">
      <c r="A314" s="2" t="s">
        <v>379</v>
      </c>
    </row>
    <row r="315" spans="1:38">
      <c r="A315" s="29" t="s">
        <v>664</v>
      </c>
    </row>
    <row r="316" spans="1:38">
      <c r="A316" s="2" t="s">
        <v>665</v>
      </c>
    </row>
    <row r="318" spans="1:38">
      <c r="B318" s="27" t="s">
        <v>148</v>
      </c>
      <c r="C318" s="15" t="s">
        <v>346</v>
      </c>
      <c r="D318" s="15" t="s">
        <v>347</v>
      </c>
      <c r="E318" s="15" t="s">
        <v>348</v>
      </c>
      <c r="F318" s="27" t="s">
        <v>149</v>
      </c>
      <c r="G318" s="15" t="s">
        <v>346</v>
      </c>
      <c r="H318" s="15" t="s">
        <v>347</v>
      </c>
      <c r="I318" s="15" t="s">
        <v>348</v>
      </c>
      <c r="J318" s="27" t="s">
        <v>150</v>
      </c>
      <c r="K318" s="15" t="s">
        <v>346</v>
      </c>
      <c r="L318" s="15" t="s">
        <v>347</v>
      </c>
      <c r="M318" s="15" t="s">
        <v>348</v>
      </c>
      <c r="N318" s="27" t="s">
        <v>151</v>
      </c>
      <c r="O318" s="15" t="s">
        <v>346</v>
      </c>
      <c r="P318" s="15" t="s">
        <v>347</v>
      </c>
      <c r="Q318" s="15" t="s">
        <v>348</v>
      </c>
      <c r="R318" s="27" t="s">
        <v>152</v>
      </c>
      <c r="S318" s="15" t="s">
        <v>346</v>
      </c>
      <c r="T318" s="15" t="s">
        <v>347</v>
      </c>
      <c r="U318" s="15" t="s">
        <v>348</v>
      </c>
      <c r="V318" s="27" t="s">
        <v>157</v>
      </c>
      <c r="W318" s="15" t="s">
        <v>346</v>
      </c>
      <c r="X318" s="15" t="s">
        <v>347</v>
      </c>
      <c r="Y318" s="15" t="s">
        <v>348</v>
      </c>
      <c r="Z318" s="27" t="s">
        <v>153</v>
      </c>
      <c r="AA318" s="15" t="s">
        <v>346</v>
      </c>
      <c r="AB318" s="15" t="s">
        <v>347</v>
      </c>
      <c r="AC318" s="15" t="s">
        <v>348</v>
      </c>
      <c r="AD318" s="27" t="s">
        <v>154</v>
      </c>
      <c r="AE318" s="15" t="s">
        <v>346</v>
      </c>
      <c r="AF318" s="15" t="s">
        <v>347</v>
      </c>
      <c r="AG318" s="15" t="s">
        <v>348</v>
      </c>
      <c r="AH318" s="27" t="s">
        <v>155</v>
      </c>
      <c r="AI318" s="15" t="s">
        <v>346</v>
      </c>
      <c r="AJ318" s="15" t="s">
        <v>347</v>
      </c>
      <c r="AK318" s="15" t="s">
        <v>348</v>
      </c>
    </row>
    <row r="319" spans="1:38">
      <c r="A319" s="4" t="s">
        <v>180</v>
      </c>
      <c r="C319" s="35">
        <f>C$292</f>
        <v>13.994922463412271</v>
      </c>
      <c r="D319" s="35">
        <f>D$292</f>
        <v>0.57220613815938759</v>
      </c>
      <c r="E319" s="35">
        <f>E$292</f>
        <v>4.0734960749707984E-2</v>
      </c>
      <c r="G319" s="35">
        <f>G$292</f>
        <v>10.776917683750902</v>
      </c>
      <c r="H319" s="35">
        <f>H$292</f>
        <v>1.2478277693620401</v>
      </c>
      <c r="I319" s="35">
        <f>I$292</f>
        <v>0.18983707380893144</v>
      </c>
      <c r="K319" s="35">
        <f>K$292</f>
        <v>10.776917683750902</v>
      </c>
      <c r="L319" s="35">
        <f>L$292</f>
        <v>1.2478277693620401</v>
      </c>
      <c r="M319" s="35">
        <f>M$292</f>
        <v>0.18983707380893144</v>
      </c>
      <c r="O319" s="35">
        <f>O$292</f>
        <v>9.0886609434946717</v>
      </c>
      <c r="P319" s="35">
        <f>P$292</f>
        <v>1.7584413636840304</v>
      </c>
      <c r="Q319" s="35">
        <f>Q$292</f>
        <v>0.19542818607452295</v>
      </c>
      <c r="S319" s="35">
        <f>S$292</f>
        <v>9.0886609434946717</v>
      </c>
      <c r="T319" s="35">
        <f>T$292</f>
        <v>1.7584413636840304</v>
      </c>
      <c r="U319" s="35">
        <f>U$292</f>
        <v>0.19542818607452295</v>
      </c>
      <c r="W319" s="35">
        <f>W$292</f>
        <v>1.4429886830329446</v>
      </c>
      <c r="X319" s="35">
        <f>X$292</f>
        <v>1.4429886830329444</v>
      </c>
      <c r="Y319" s="35">
        <f>Y$292</f>
        <v>1.4429886830329444</v>
      </c>
      <c r="AA319" s="35">
        <f>AA$292</f>
        <v>9.0886609434946717</v>
      </c>
      <c r="AB319" s="35">
        <f>AB$292</f>
        <v>1.7584413636840304</v>
      </c>
      <c r="AC319" s="35">
        <f>AC$292</f>
        <v>0.19542818607452295</v>
      </c>
      <c r="AE319" s="35">
        <f>AE$292</f>
        <v>9.0886609434946717</v>
      </c>
      <c r="AF319" s="35">
        <f>AF$292</f>
        <v>1.7584413636840304</v>
      </c>
      <c r="AG319" s="35">
        <f>AG$292</f>
        <v>0.19542818607452295</v>
      </c>
      <c r="AI319" s="35">
        <f>AI$292</f>
        <v>9.0886609434946717</v>
      </c>
      <c r="AJ319" s="35">
        <f>AJ$292</f>
        <v>1.7584413636840304</v>
      </c>
      <c r="AK319" s="35">
        <f>AK$292</f>
        <v>0.19542818607452295</v>
      </c>
      <c r="AL319" s="17"/>
    </row>
    <row r="320" spans="1:38">
      <c r="A320" s="4" t="s">
        <v>182</v>
      </c>
      <c r="C320" s="35">
        <f>C$295</f>
        <v>12.960736479770858</v>
      </c>
      <c r="D320" s="35">
        <f>D$295</f>
        <v>0.52992169039734305</v>
      </c>
      <c r="E320" s="35">
        <f>E$295</f>
        <v>3.7724760045726419E-2</v>
      </c>
      <c r="G320" s="35">
        <f>G$295</f>
        <v>9.9805333347464469</v>
      </c>
      <c r="H320" s="35">
        <f>H$295</f>
        <v>1.1556167555142296</v>
      </c>
      <c r="I320" s="35">
        <f>I$295</f>
        <v>0.17580864018080916</v>
      </c>
      <c r="K320" s="35">
        <f>K$295</f>
        <v>9.9805333347464469</v>
      </c>
      <c r="L320" s="35">
        <f>L$295</f>
        <v>1.1556167555142296</v>
      </c>
      <c r="M320" s="35">
        <f>M$295</f>
        <v>0.17580864018080916</v>
      </c>
      <c r="O320" s="35">
        <f>O$295</f>
        <v>8.4170340886546668</v>
      </c>
      <c r="P320" s="35">
        <f>P$295</f>
        <v>1.6284974203623248</v>
      </c>
      <c r="Q320" s="35">
        <f>Q$295</f>
        <v>0.18098658474553214</v>
      </c>
      <c r="S320" s="35">
        <f>S$295</f>
        <v>8.4170340886546668</v>
      </c>
      <c r="T320" s="35">
        <f>T$295</f>
        <v>1.6284974203623248</v>
      </c>
      <c r="U320" s="35">
        <f>U$295</f>
        <v>0.18098658474553214</v>
      </c>
      <c r="W320" s="35">
        <f>W$295</f>
        <v>1.3363558185460349</v>
      </c>
      <c r="X320" s="35">
        <f>X$295</f>
        <v>1.3363558185460349</v>
      </c>
      <c r="Y320" s="35">
        <f>Y$295</f>
        <v>1.3363558185460347</v>
      </c>
      <c r="AA320" s="35">
        <f>AA$295</f>
        <v>8.4170340886546668</v>
      </c>
      <c r="AB320" s="35">
        <f>AB$295</f>
        <v>1.6284974203623248</v>
      </c>
      <c r="AC320" s="35">
        <f>AC$295</f>
        <v>0.18098658474553214</v>
      </c>
      <c r="AE320" s="35">
        <f>AE$295</f>
        <v>8.4170340886546668</v>
      </c>
      <c r="AF320" s="35">
        <f>AF$295</f>
        <v>1.6284974203623248</v>
      </c>
      <c r="AG320" s="35">
        <f>AG$295</f>
        <v>0.18098658474553214</v>
      </c>
      <c r="AI320" s="35">
        <f>AI$295</f>
        <v>8.4170340886546668</v>
      </c>
      <c r="AJ320" s="35">
        <f>AJ$295</f>
        <v>1.6284974203623248</v>
      </c>
      <c r="AK320" s="35">
        <f>AK$295</f>
        <v>0.18098658474553214</v>
      </c>
      <c r="AL320" s="17"/>
    </row>
    <row r="322" spans="1:4" ht="21" customHeight="1">
      <c r="A322" s="1" t="s">
        <v>666</v>
      </c>
    </row>
    <row r="323" spans="1:4">
      <c r="A323" s="2" t="s">
        <v>379</v>
      </c>
    </row>
    <row r="324" spans="1:4">
      <c r="A324" s="29" t="s">
        <v>606</v>
      </c>
    </row>
    <row r="325" spans="1:4">
      <c r="A325" s="2" t="s">
        <v>665</v>
      </c>
    </row>
    <row r="327" spans="1:4" ht="45">
      <c r="B327" s="15" t="s">
        <v>667</v>
      </c>
    </row>
    <row r="328" spans="1:4">
      <c r="A328" s="4" t="s">
        <v>180</v>
      </c>
      <c r="B328" s="39">
        <f>B$128</f>
        <v>6545364.9635519525</v>
      </c>
      <c r="C328" s="17"/>
    </row>
    <row r="329" spans="1:4">
      <c r="A329" s="4" t="s">
        <v>182</v>
      </c>
      <c r="B329" s="39">
        <f>B$131</f>
        <v>1501503.189157428</v>
      </c>
      <c r="C329" s="17"/>
    </row>
    <row r="331" spans="1:4" ht="21" customHeight="1">
      <c r="A331" s="1" t="s">
        <v>668</v>
      </c>
    </row>
    <row r="332" spans="1:4">
      <c r="A332" s="2" t="s">
        <v>379</v>
      </c>
    </row>
    <row r="333" spans="1:4">
      <c r="A333" s="29" t="s">
        <v>669</v>
      </c>
    </row>
    <row r="334" spans="1:4">
      <c r="A334" s="2" t="s">
        <v>665</v>
      </c>
    </row>
    <row r="336" spans="1:4">
      <c r="B336" s="15" t="s">
        <v>346</v>
      </c>
      <c r="C336" s="15" t="s">
        <v>347</v>
      </c>
      <c r="D336" s="15" t="s">
        <v>348</v>
      </c>
    </row>
    <row r="337" spans="1:11">
      <c r="A337" s="4" t="s">
        <v>180</v>
      </c>
      <c r="B337" s="36">
        <f>B$43</f>
        <v>0.12613777717892058</v>
      </c>
      <c r="C337" s="36">
        <f>C$43</f>
        <v>0.3324584778691318</v>
      </c>
      <c r="D337" s="36">
        <f>D$43</f>
        <v>0.54140374495194765</v>
      </c>
      <c r="E337" s="17"/>
    </row>
    <row r="338" spans="1:11">
      <c r="A338" s="4" t="s">
        <v>182</v>
      </c>
      <c r="B338" s="36">
        <f>B$46</f>
        <v>0.10949251869436995</v>
      </c>
      <c r="C338" s="36">
        <f>C$46</f>
        <v>0.44288181172873092</v>
      </c>
      <c r="D338" s="36">
        <f>D$46</f>
        <v>0.44762566957689914</v>
      </c>
      <c r="E338" s="17"/>
    </row>
    <row r="340" spans="1:11" ht="21" customHeight="1">
      <c r="A340" s="1" t="s">
        <v>670</v>
      </c>
    </row>
    <row r="341" spans="1:11">
      <c r="A341" s="2" t="s">
        <v>379</v>
      </c>
    </row>
    <row r="342" spans="1:11">
      <c r="A342" s="29" t="s">
        <v>671</v>
      </c>
    </row>
    <row r="343" spans="1:11">
      <c r="A343" s="29" t="s">
        <v>672</v>
      </c>
    </row>
    <row r="344" spans="1:11">
      <c r="A344" s="2" t="s">
        <v>392</v>
      </c>
    </row>
    <row r="346" spans="1:11">
      <c r="B346" s="15" t="s">
        <v>148</v>
      </c>
      <c r="C346" s="15" t="s">
        <v>149</v>
      </c>
      <c r="D346" s="15" t="s">
        <v>150</v>
      </c>
      <c r="E346" s="15" t="s">
        <v>151</v>
      </c>
      <c r="F346" s="15" t="s">
        <v>152</v>
      </c>
      <c r="G346" s="15" t="s">
        <v>157</v>
      </c>
      <c r="H346" s="15" t="s">
        <v>153</v>
      </c>
      <c r="I346" s="15" t="s">
        <v>154</v>
      </c>
      <c r="J346" s="15" t="s">
        <v>155</v>
      </c>
    </row>
    <row r="347" spans="1:11">
      <c r="A347" s="4" t="s">
        <v>180</v>
      </c>
      <c r="B347" s="34">
        <f>SUMPRODUCT($C319:$E319,$B337:$D337)</f>
        <v>1.977577253346374</v>
      </c>
      <c r="C347" s="34">
        <f>SUMPRODUCT($G319:$I319,$B337:$D337)</f>
        <v>1.8770058650043528</v>
      </c>
      <c r="D347" s="34">
        <f>SUMPRODUCT($K319:$M319,$B337:$D337)</f>
        <v>1.8770058650043528</v>
      </c>
      <c r="E347" s="34">
        <f>SUMPRODUCT($O319:$Q319,$B337:$D337)</f>
        <v>1.8368377799477147</v>
      </c>
      <c r="F347" s="34">
        <f>SUMPRODUCT($S319:$U319,$B337:$D337)</f>
        <v>1.8368377799477147</v>
      </c>
      <c r="G347" s="34">
        <f>SUMPRODUCT($W319:$Y319,$B337:$D337)</f>
        <v>1.4429886830329444</v>
      </c>
      <c r="H347" s="34">
        <f>SUMPRODUCT($AA319:$AC319,$B337:$D337)</f>
        <v>1.8368377799477147</v>
      </c>
      <c r="I347" s="34">
        <f>SUMPRODUCT($AE319:$AG319,$B337:$D337)</f>
        <v>1.8368377799477147</v>
      </c>
      <c r="J347" s="34">
        <f>SUMPRODUCT($AI319:$AK319,$B337:$D337)</f>
        <v>1.8368377799477147</v>
      </c>
      <c r="K347" s="17"/>
    </row>
    <row r="348" spans="1:11">
      <c r="A348" s="4" t="s">
        <v>182</v>
      </c>
      <c r="B348" s="34">
        <f>SUMPRODUCT($C320:$E320,$B338:$D338)</f>
        <v>1.6706829305967363</v>
      </c>
      <c r="C348" s="34">
        <f>SUMPRODUCT($G320:$I320,$B338:$D338)</f>
        <v>1.6832918353590667</v>
      </c>
      <c r="D348" s="34">
        <f>SUMPRODUCT($K320:$M320,$B338:$D338)</f>
        <v>1.6832918353590667</v>
      </c>
      <c r="E348" s="34">
        <f>SUMPRODUCT($O320:$Q320,$B338:$D338)</f>
        <v>1.7238483914099563</v>
      </c>
      <c r="F348" s="34">
        <f>SUMPRODUCT($S320:$U320,$B338:$D338)</f>
        <v>1.7238483914099563</v>
      </c>
      <c r="G348" s="34">
        <f>SUMPRODUCT($W320:$Y320,$B338:$D338)</f>
        <v>1.3363558185460347</v>
      </c>
      <c r="H348" s="34">
        <f>SUMPRODUCT($AA320:$AC320,$B338:$D338)</f>
        <v>1.7238483914099563</v>
      </c>
      <c r="I348" s="34">
        <f>SUMPRODUCT($AE320:$AG320,$B338:$D338)</f>
        <v>1.7238483914099563</v>
      </c>
      <c r="J348" s="34">
        <f>SUMPRODUCT($AI320:$AK320,$B338:$D338)</f>
        <v>1.7238483914099563</v>
      </c>
      <c r="K348" s="17"/>
    </row>
    <row r="350" spans="1:11" ht="21" customHeight="1">
      <c r="A350" s="1" t="s">
        <v>673</v>
      </c>
    </row>
    <row r="351" spans="1:11">
      <c r="A351" s="2" t="s">
        <v>379</v>
      </c>
    </row>
    <row r="352" spans="1:11">
      <c r="A352" s="29" t="s">
        <v>606</v>
      </c>
    </row>
    <row r="353" spans="1:38">
      <c r="A353" s="2" t="s">
        <v>665</v>
      </c>
    </row>
    <row r="355" spans="1:38" ht="45">
      <c r="B355" s="15" t="s">
        <v>674</v>
      </c>
    </row>
    <row r="356" spans="1:38">
      <c r="A356" s="4" t="s">
        <v>181</v>
      </c>
      <c r="B356" s="39">
        <f>B$129</f>
        <v>938860.65670328867</v>
      </c>
      <c r="C356" s="17"/>
    </row>
    <row r="357" spans="1:38">
      <c r="A357" s="4" t="s">
        <v>183</v>
      </c>
      <c r="B357" s="39">
        <f>B$132</f>
        <v>727676.52998535172</v>
      </c>
      <c r="C357" s="17"/>
    </row>
    <row r="359" spans="1:38" ht="21" customHeight="1">
      <c r="A359" s="1" t="s">
        <v>675</v>
      </c>
    </row>
    <row r="360" spans="1:38">
      <c r="A360" s="2" t="s">
        <v>379</v>
      </c>
    </row>
    <row r="361" spans="1:38">
      <c r="A361" s="29" t="s">
        <v>664</v>
      </c>
    </row>
    <row r="362" spans="1:38">
      <c r="A362" s="2" t="s">
        <v>665</v>
      </c>
    </row>
    <row r="364" spans="1:38">
      <c r="B364" s="27" t="s">
        <v>148</v>
      </c>
      <c r="C364" s="15" t="s">
        <v>346</v>
      </c>
      <c r="D364" s="15" t="s">
        <v>347</v>
      </c>
      <c r="E364" s="15" t="s">
        <v>348</v>
      </c>
      <c r="F364" s="27" t="s">
        <v>149</v>
      </c>
      <c r="G364" s="15" t="s">
        <v>346</v>
      </c>
      <c r="H364" s="15" t="s">
        <v>347</v>
      </c>
      <c r="I364" s="15" t="s">
        <v>348</v>
      </c>
      <c r="J364" s="27" t="s">
        <v>150</v>
      </c>
      <c r="K364" s="15" t="s">
        <v>346</v>
      </c>
      <c r="L364" s="15" t="s">
        <v>347</v>
      </c>
      <c r="M364" s="15" t="s">
        <v>348</v>
      </c>
      <c r="N364" s="27" t="s">
        <v>151</v>
      </c>
      <c r="O364" s="15" t="s">
        <v>346</v>
      </c>
      <c r="P364" s="15" t="s">
        <v>347</v>
      </c>
      <c r="Q364" s="15" t="s">
        <v>348</v>
      </c>
      <c r="R364" s="27" t="s">
        <v>152</v>
      </c>
      <c r="S364" s="15" t="s">
        <v>346</v>
      </c>
      <c r="T364" s="15" t="s">
        <v>347</v>
      </c>
      <c r="U364" s="15" t="s">
        <v>348</v>
      </c>
      <c r="V364" s="27" t="s">
        <v>157</v>
      </c>
      <c r="W364" s="15" t="s">
        <v>346</v>
      </c>
      <c r="X364" s="15" t="s">
        <v>347</v>
      </c>
      <c r="Y364" s="15" t="s">
        <v>348</v>
      </c>
      <c r="Z364" s="27" t="s">
        <v>153</v>
      </c>
      <c r="AA364" s="15" t="s">
        <v>346</v>
      </c>
      <c r="AB364" s="15" t="s">
        <v>347</v>
      </c>
      <c r="AC364" s="15" t="s">
        <v>348</v>
      </c>
      <c r="AD364" s="27" t="s">
        <v>154</v>
      </c>
      <c r="AE364" s="15" t="s">
        <v>346</v>
      </c>
      <c r="AF364" s="15" t="s">
        <v>347</v>
      </c>
      <c r="AG364" s="15" t="s">
        <v>348</v>
      </c>
      <c r="AH364" s="27" t="s">
        <v>155</v>
      </c>
      <c r="AI364" s="15" t="s">
        <v>346</v>
      </c>
      <c r="AJ364" s="15" t="s">
        <v>347</v>
      </c>
      <c r="AK364" s="15" t="s">
        <v>348</v>
      </c>
    </row>
    <row r="365" spans="1:38">
      <c r="A365" s="4" t="s">
        <v>181</v>
      </c>
      <c r="C365" s="35">
        <f>C$293</f>
        <v>15.835054345546396</v>
      </c>
      <c r="D365" s="35">
        <f>D$293</f>
        <v>0.64744305074198172</v>
      </c>
      <c r="E365" s="35">
        <f>E$293</f>
        <v>4.609102472140815E-2</v>
      </c>
      <c r="G365" s="35">
        <f>G$293</f>
        <v>12.193928022525572</v>
      </c>
      <c r="H365" s="35">
        <f>H$293</f>
        <v>1.4118992508452994</v>
      </c>
      <c r="I365" s="35">
        <f>I$293</f>
        <v>0.21479793035101841</v>
      </c>
      <c r="K365" s="35">
        <f>K$293</f>
        <v>12.193928022525572</v>
      </c>
      <c r="L365" s="35">
        <f>L$293</f>
        <v>1.4118992508452994</v>
      </c>
      <c r="M365" s="35">
        <f>M$293</f>
        <v>0.21479793035101841</v>
      </c>
      <c r="O365" s="35">
        <f>O$293</f>
        <v>10.283689698513154</v>
      </c>
      <c r="P365" s="35">
        <f>P$293</f>
        <v>1.9896512203043755</v>
      </c>
      <c r="Q365" s="35">
        <f>Q$293</f>
        <v>0.22112419380900863</v>
      </c>
      <c r="S365" s="35">
        <f>S$293</f>
        <v>10.283689698513154</v>
      </c>
      <c r="T365" s="35">
        <f>T$293</f>
        <v>1.9896512203043755</v>
      </c>
      <c r="U365" s="35">
        <f>U$293</f>
        <v>0.22112419380900863</v>
      </c>
      <c r="W365" s="35">
        <f>W$293</f>
        <v>1.6327210297572319</v>
      </c>
      <c r="X365" s="35">
        <f>X$293</f>
        <v>1.6327210297572319</v>
      </c>
      <c r="Y365" s="35">
        <f>Y$293</f>
        <v>1.6327210297572317</v>
      </c>
      <c r="AA365" s="35">
        <f>AA$293</f>
        <v>10.283689698513154</v>
      </c>
      <c r="AB365" s="35">
        <f>AB$293</f>
        <v>1.9896512203043755</v>
      </c>
      <c r="AC365" s="35">
        <f>AC$293</f>
        <v>0.22112419380900863</v>
      </c>
      <c r="AE365" s="35">
        <f>AE$293</f>
        <v>10.283689698513154</v>
      </c>
      <c r="AF365" s="35">
        <f>AF$293</f>
        <v>1.9896512203043755</v>
      </c>
      <c r="AG365" s="35">
        <f>AG$293</f>
        <v>0.22112419380900863</v>
      </c>
      <c r="AI365" s="35">
        <f>AI$293</f>
        <v>10.283689698513154</v>
      </c>
      <c r="AJ365" s="35">
        <f>AJ$293</f>
        <v>1.9896512203043755</v>
      </c>
      <c r="AK365" s="35">
        <f>AK$293</f>
        <v>0.22112419380900863</v>
      </c>
      <c r="AL365" s="17"/>
    </row>
    <row r="366" spans="1:38">
      <c r="A366" s="4" t="s">
        <v>183</v>
      </c>
      <c r="C366" s="35">
        <f>C$296</f>
        <v>12.579474647216632</v>
      </c>
      <c r="D366" s="35">
        <f>D$296</f>
        <v>0.51433315381175104</v>
      </c>
      <c r="E366" s="35">
        <f>E$296</f>
        <v>3.6615022866041361E-2</v>
      </c>
      <c r="G366" s="35">
        <f>G$296</f>
        <v>9.6869391832865226</v>
      </c>
      <c r="H366" s="35">
        <f>H$296</f>
        <v>1.1216223476636102</v>
      </c>
      <c r="I366" s="35">
        <f>I$296</f>
        <v>0.1706369337396805</v>
      </c>
      <c r="K366" s="35">
        <f>K$296</f>
        <v>9.6869391832865226</v>
      </c>
      <c r="L366" s="35">
        <f>L$296</f>
        <v>1.1216223476636102</v>
      </c>
      <c r="M366" s="35">
        <f>M$296</f>
        <v>0.1706369337396805</v>
      </c>
      <c r="O366" s="35">
        <f>O$296</f>
        <v>8.1694328935898142</v>
      </c>
      <c r="P366" s="35">
        <f>P$296</f>
        <v>1.5805924334994061</v>
      </c>
      <c r="Q366" s="35">
        <f>Q$296</f>
        <v>0.17566256036809705</v>
      </c>
      <c r="S366" s="35">
        <f>S$296</f>
        <v>8.1694328935898142</v>
      </c>
      <c r="T366" s="35">
        <f>T$296</f>
        <v>1.5805924334994061</v>
      </c>
      <c r="U366" s="35">
        <f>U$296</f>
        <v>0.17566256036809705</v>
      </c>
      <c r="W366" s="35">
        <f>W$296</f>
        <v>1.2970446675849303</v>
      </c>
      <c r="X366" s="35">
        <f>X$296</f>
        <v>1.2970446675849301</v>
      </c>
      <c r="Y366" s="35">
        <f>Y$296</f>
        <v>1.2970446675849303</v>
      </c>
      <c r="AA366" s="35">
        <f>AA$296</f>
        <v>8.1694328935898142</v>
      </c>
      <c r="AB366" s="35">
        <f>AB$296</f>
        <v>1.5805924334994061</v>
      </c>
      <c r="AC366" s="35">
        <f>AC$296</f>
        <v>0.17566256036809705</v>
      </c>
      <c r="AE366" s="35">
        <f>AE$296</f>
        <v>8.1694328935898142</v>
      </c>
      <c r="AF366" s="35">
        <f>AF$296</f>
        <v>1.5805924334994061</v>
      </c>
      <c r="AG366" s="35">
        <f>AG$296</f>
        <v>0.17566256036809705</v>
      </c>
      <c r="AI366" s="35">
        <f>AI$296</f>
        <v>8.1694328935898142</v>
      </c>
      <c r="AJ366" s="35">
        <f>AJ$296</f>
        <v>1.5805924334994061</v>
      </c>
      <c r="AK366" s="35">
        <f>AK$296</f>
        <v>0.17566256036809705</v>
      </c>
      <c r="AL366" s="17"/>
    </row>
    <row r="368" spans="1:38" ht="21" customHeight="1">
      <c r="A368" s="1" t="s">
        <v>676</v>
      </c>
    </row>
    <row r="369" spans="1:11">
      <c r="A369" s="2" t="s">
        <v>379</v>
      </c>
    </row>
    <row r="370" spans="1:11">
      <c r="A370" s="29" t="s">
        <v>677</v>
      </c>
    </row>
    <row r="371" spans="1:11">
      <c r="A371" s="2" t="s">
        <v>665</v>
      </c>
    </row>
    <row r="373" spans="1:11">
      <c r="B373" s="15" t="s">
        <v>346</v>
      </c>
      <c r="C373" s="15" t="s">
        <v>347</v>
      </c>
      <c r="D373" s="15" t="s">
        <v>348</v>
      </c>
    </row>
    <row r="374" spans="1:11">
      <c r="A374" s="4" t="s">
        <v>181</v>
      </c>
      <c r="B374" s="36">
        <f>B$193</f>
        <v>6.9421587926535674E-2</v>
      </c>
      <c r="C374" s="36">
        <f>C$193</f>
        <v>0.17895042192469246</v>
      </c>
      <c r="D374" s="36">
        <f>D$193</f>
        <v>0.75162799014877191</v>
      </c>
      <c r="E374" s="17"/>
    </row>
    <row r="375" spans="1:11">
      <c r="A375" s="4" t="s">
        <v>183</v>
      </c>
      <c r="B375" s="36">
        <f>B$194</f>
        <v>9.1321644524506126E-2</v>
      </c>
      <c r="C375" s="36">
        <f>C$194</f>
        <v>0.33615594940171634</v>
      </c>
      <c r="D375" s="36">
        <f>D$194</f>
        <v>0.57252240607377747</v>
      </c>
      <c r="E375" s="17"/>
    </row>
    <row r="377" spans="1:11" ht="21" customHeight="1">
      <c r="A377" s="1" t="s">
        <v>678</v>
      </c>
    </row>
    <row r="378" spans="1:11">
      <c r="A378" s="2" t="s">
        <v>379</v>
      </c>
    </row>
    <row r="379" spans="1:11">
      <c r="A379" s="29" t="s">
        <v>679</v>
      </c>
    </row>
    <row r="380" spans="1:11">
      <c r="A380" s="29" t="s">
        <v>680</v>
      </c>
    </row>
    <row r="381" spans="1:11">
      <c r="A381" s="2" t="s">
        <v>392</v>
      </c>
    </row>
    <row r="383" spans="1:11">
      <c r="B383" s="15" t="s">
        <v>148</v>
      </c>
      <c r="C383" s="15" t="s">
        <v>149</v>
      </c>
      <c r="D383" s="15" t="s">
        <v>150</v>
      </c>
      <c r="E383" s="15" t="s">
        <v>151</v>
      </c>
      <c r="F383" s="15" t="s">
        <v>152</v>
      </c>
      <c r="G383" s="15" t="s">
        <v>157</v>
      </c>
      <c r="H383" s="15" t="s">
        <v>153</v>
      </c>
      <c r="I383" s="15" t="s">
        <v>154</v>
      </c>
      <c r="J383" s="15" t="s">
        <v>155</v>
      </c>
    </row>
    <row r="384" spans="1:11">
      <c r="A384" s="4" t="s">
        <v>181</v>
      </c>
      <c r="B384" s="34">
        <f>SUMPRODUCT($C365:$E365,$B374:$D374)</f>
        <v>1.2497981289485571</v>
      </c>
      <c r="C384" s="34">
        <f>SUMPRODUCT($G365:$I365,$B374:$D374)</f>
        <v>1.2606299497173818</v>
      </c>
      <c r="D384" s="34">
        <f>SUMPRODUCT($K365:$M365,$B374:$D374)</f>
        <v>1.2606299497173818</v>
      </c>
      <c r="E384" s="34">
        <f>SUMPRODUCT($O365:$Q365,$B374:$D374)</f>
        <v>1.2361621273369199</v>
      </c>
      <c r="F384" s="34">
        <f>SUMPRODUCT($S365:$U365,$B374:$D374)</f>
        <v>1.2361621273369199</v>
      </c>
      <c r="G384" s="34">
        <f>SUMPRODUCT($W365:$Y365,$B374:$D374)</f>
        <v>1.6327210297572319</v>
      </c>
      <c r="H384" s="34">
        <f>SUMPRODUCT($AA365:$AC365,$B374:$D374)</f>
        <v>1.2361621273369199</v>
      </c>
      <c r="I384" s="34">
        <f>SUMPRODUCT($AE365:$AG365,$B374:$D374)</f>
        <v>1.2361621273369199</v>
      </c>
      <c r="J384" s="34">
        <f>SUMPRODUCT($AI365:$AK365,$B374:$D374)</f>
        <v>1.2361621273369199</v>
      </c>
      <c r="K384" s="17"/>
    </row>
    <row r="385" spans="1:11">
      <c r="A385" s="4" t="s">
        <v>183</v>
      </c>
      <c r="B385" s="34">
        <f>SUMPRODUCT($C366:$E366,$B375:$D375)</f>
        <v>1.3426373826562348</v>
      </c>
      <c r="C385" s="34">
        <f>SUMPRODUCT($G366:$I366,$B375:$D375)</f>
        <v>1.359360709645338</v>
      </c>
      <c r="D385" s="34">
        <f>SUMPRODUCT($K366:$M366,$B375:$D375)</f>
        <v>1.359360709645338</v>
      </c>
      <c r="E385" s="34">
        <f>SUMPRODUCT($O366:$Q366,$B375:$D375)</f>
        <v>1.3779423484944016</v>
      </c>
      <c r="F385" s="34">
        <f>SUMPRODUCT($S366:$U366,$B375:$D375)</f>
        <v>1.3779423484944016</v>
      </c>
      <c r="G385" s="34">
        <f>SUMPRODUCT($W366:$Y366,$B375:$D375)</f>
        <v>1.2970446675849301</v>
      </c>
      <c r="H385" s="34">
        <f>SUMPRODUCT($AA366:$AC366,$B375:$D375)</f>
        <v>1.3779423484944016</v>
      </c>
      <c r="I385" s="34">
        <f>SUMPRODUCT($AE366:$AG366,$B375:$D375)</f>
        <v>1.3779423484944016</v>
      </c>
      <c r="J385" s="34">
        <f>SUMPRODUCT($AI366:$AK366,$B375:$D375)</f>
        <v>1.3779423484944016</v>
      </c>
      <c r="K385" s="17"/>
    </row>
    <row r="387" spans="1:11" ht="21" customHeight="1">
      <c r="A387" s="1" t="s">
        <v>681</v>
      </c>
    </row>
    <row r="388" spans="1:11">
      <c r="A388" s="2" t="s">
        <v>379</v>
      </c>
    </row>
    <row r="389" spans="1:11">
      <c r="A389" s="29" t="s">
        <v>606</v>
      </c>
    </row>
    <row r="390" spans="1:11">
      <c r="A390" s="2" t="s">
        <v>665</v>
      </c>
    </row>
    <row r="392" spans="1:11" ht="45">
      <c r="B392" s="15" t="s">
        <v>682</v>
      </c>
    </row>
    <row r="393" spans="1:11">
      <c r="A393" s="4" t="s">
        <v>226</v>
      </c>
      <c r="B393" s="39">
        <f>B$130</f>
        <v>14279.502094378502</v>
      </c>
      <c r="C393" s="17"/>
    </row>
    <row r="394" spans="1:11">
      <c r="A394" s="4" t="s">
        <v>227</v>
      </c>
      <c r="B394" s="39">
        <f>B$133</f>
        <v>20242.629112942406</v>
      </c>
      <c r="C394" s="17"/>
    </row>
    <row r="396" spans="1:11" ht="21" customHeight="1">
      <c r="A396" s="1" t="s">
        <v>683</v>
      </c>
    </row>
    <row r="397" spans="1:11">
      <c r="A397" s="2" t="s">
        <v>379</v>
      </c>
    </row>
    <row r="398" spans="1:11">
      <c r="A398" s="29" t="s">
        <v>664</v>
      </c>
    </row>
    <row r="399" spans="1:11">
      <c r="A399" s="2" t="s">
        <v>665</v>
      </c>
    </row>
    <row r="401" spans="1:38">
      <c r="B401" s="27" t="s">
        <v>148</v>
      </c>
      <c r="C401" s="15" t="s">
        <v>346</v>
      </c>
      <c r="D401" s="15" t="s">
        <v>347</v>
      </c>
      <c r="E401" s="15" t="s">
        <v>348</v>
      </c>
      <c r="F401" s="27" t="s">
        <v>149</v>
      </c>
      <c r="G401" s="15" t="s">
        <v>346</v>
      </c>
      <c r="H401" s="15" t="s">
        <v>347</v>
      </c>
      <c r="I401" s="15" t="s">
        <v>348</v>
      </c>
      <c r="J401" s="27" t="s">
        <v>150</v>
      </c>
      <c r="K401" s="15" t="s">
        <v>346</v>
      </c>
      <c r="L401" s="15" t="s">
        <v>347</v>
      </c>
      <c r="M401" s="15" t="s">
        <v>348</v>
      </c>
      <c r="N401" s="27" t="s">
        <v>151</v>
      </c>
      <c r="O401" s="15" t="s">
        <v>346</v>
      </c>
      <c r="P401" s="15" t="s">
        <v>347</v>
      </c>
      <c r="Q401" s="15" t="s">
        <v>348</v>
      </c>
      <c r="R401" s="27" t="s">
        <v>152</v>
      </c>
      <c r="S401" s="15" t="s">
        <v>346</v>
      </c>
      <c r="T401" s="15" t="s">
        <v>347</v>
      </c>
      <c r="U401" s="15" t="s">
        <v>348</v>
      </c>
      <c r="V401" s="27" t="s">
        <v>157</v>
      </c>
      <c r="W401" s="15" t="s">
        <v>346</v>
      </c>
      <c r="X401" s="15" t="s">
        <v>347</v>
      </c>
      <c r="Y401" s="15" t="s">
        <v>348</v>
      </c>
      <c r="Z401" s="27" t="s">
        <v>153</v>
      </c>
      <c r="AA401" s="15" t="s">
        <v>346</v>
      </c>
      <c r="AB401" s="15" t="s">
        <v>347</v>
      </c>
      <c r="AC401" s="15" t="s">
        <v>348</v>
      </c>
      <c r="AD401" s="27" t="s">
        <v>154</v>
      </c>
      <c r="AE401" s="15" t="s">
        <v>346</v>
      </c>
      <c r="AF401" s="15" t="s">
        <v>347</v>
      </c>
      <c r="AG401" s="15" t="s">
        <v>348</v>
      </c>
      <c r="AH401" s="27" t="s">
        <v>155</v>
      </c>
      <c r="AI401" s="15" t="s">
        <v>346</v>
      </c>
      <c r="AJ401" s="15" t="s">
        <v>347</v>
      </c>
      <c r="AK401" s="15" t="s">
        <v>348</v>
      </c>
    </row>
    <row r="402" spans="1:38">
      <c r="A402" s="4" t="s">
        <v>226</v>
      </c>
      <c r="C402" s="35">
        <f>C$294</f>
        <v>9.6985670282576688</v>
      </c>
      <c r="D402" s="35">
        <f>D$294</f>
        <v>0.39654236023299677</v>
      </c>
      <c r="E402" s="35">
        <f>E$294</f>
        <v>2.822957742405106E-2</v>
      </c>
      <c r="G402" s="35">
        <f>G$294</f>
        <v>7.4684699959665988</v>
      </c>
      <c r="H402" s="35">
        <f>H$294</f>
        <v>0.86475229087680339</v>
      </c>
      <c r="I402" s="35">
        <f>I$294</f>
        <v>0.13155825547427202</v>
      </c>
      <c r="K402" s="35">
        <f>K$294</f>
        <v>7.4684699959665988</v>
      </c>
      <c r="L402" s="35">
        <f>L$294</f>
        <v>0.86475229087680339</v>
      </c>
      <c r="M402" s="35">
        <f>M$294</f>
        <v>0.13155825547427202</v>
      </c>
      <c r="O402" s="35">
        <f>O$294</f>
        <v>6.2984977293042075</v>
      </c>
      <c r="P402" s="35">
        <f>P$294</f>
        <v>1.2186106407903714</v>
      </c>
      <c r="Q402" s="35">
        <f>Q$294</f>
        <v>0.13543293053675398</v>
      </c>
      <c r="S402" s="35">
        <f>S$294</f>
        <v>6.2984977293042075</v>
      </c>
      <c r="T402" s="35">
        <f>T$294</f>
        <v>1.2186106407903714</v>
      </c>
      <c r="U402" s="35">
        <f>U$294</f>
        <v>0.13543293053675398</v>
      </c>
      <c r="W402" s="35">
        <f>W$294</f>
        <v>1</v>
      </c>
      <c r="X402" s="35">
        <f>X$294</f>
        <v>1</v>
      </c>
      <c r="Y402" s="35">
        <f>Y$294</f>
        <v>1</v>
      </c>
      <c r="AA402" s="35">
        <f>AA$294</f>
        <v>6.2984977293042075</v>
      </c>
      <c r="AB402" s="35">
        <f>AB$294</f>
        <v>1.2186106407903714</v>
      </c>
      <c r="AC402" s="35">
        <f>AC$294</f>
        <v>0.13543293053675398</v>
      </c>
      <c r="AE402" s="35">
        <f>AE$294</f>
        <v>6.2984977293042075</v>
      </c>
      <c r="AF402" s="35">
        <f>AF$294</f>
        <v>1.2186106407903714</v>
      </c>
      <c r="AG402" s="35">
        <f>AG$294</f>
        <v>0.13543293053675398</v>
      </c>
      <c r="AI402" s="35">
        <f>AI$294</f>
        <v>6.2984977293042075</v>
      </c>
      <c r="AJ402" s="35">
        <f>AJ$294</f>
        <v>1.2186106407903714</v>
      </c>
      <c r="AK402" s="35">
        <f>AK$294</f>
        <v>0.13543293053675398</v>
      </c>
      <c r="AL402" s="17"/>
    </row>
    <row r="403" spans="1:38">
      <c r="A403" s="4" t="s">
        <v>227</v>
      </c>
      <c r="C403" s="35">
        <f>C$297</f>
        <v>9.6985670282576688</v>
      </c>
      <c r="D403" s="35">
        <f>D$297</f>
        <v>0.39654236023299677</v>
      </c>
      <c r="E403" s="35">
        <f>E$297</f>
        <v>2.822957742405106E-2</v>
      </c>
      <c r="G403" s="35">
        <f>G$297</f>
        <v>7.4684699959665988</v>
      </c>
      <c r="H403" s="35">
        <f>H$297</f>
        <v>0.86475229087680339</v>
      </c>
      <c r="I403" s="35">
        <f>I$297</f>
        <v>0.13155825547427202</v>
      </c>
      <c r="K403" s="35">
        <f>K$297</f>
        <v>7.4684699959665988</v>
      </c>
      <c r="L403" s="35">
        <f>L$297</f>
        <v>0.86475229087680339</v>
      </c>
      <c r="M403" s="35">
        <f>M$297</f>
        <v>0.13155825547427202</v>
      </c>
      <c r="O403" s="35">
        <f>O$297</f>
        <v>6.2984977293042075</v>
      </c>
      <c r="P403" s="35">
        <f>P$297</f>
        <v>1.2186106407903714</v>
      </c>
      <c r="Q403" s="35">
        <f>Q$297</f>
        <v>0.13543293053675398</v>
      </c>
      <c r="S403" s="35">
        <f>S$297</f>
        <v>6.2984977293042075</v>
      </c>
      <c r="T403" s="35">
        <f>T$297</f>
        <v>1.2186106407903714</v>
      </c>
      <c r="U403" s="35">
        <f>U$297</f>
        <v>0.13543293053675398</v>
      </c>
      <c r="W403" s="35">
        <f>W$297</f>
        <v>1</v>
      </c>
      <c r="X403" s="35">
        <f>X$297</f>
        <v>1</v>
      </c>
      <c r="Y403" s="35">
        <f>Y$297</f>
        <v>1</v>
      </c>
      <c r="AA403" s="35">
        <f>AA$297</f>
        <v>6.2984977293042075</v>
      </c>
      <c r="AB403" s="35">
        <f>AB$297</f>
        <v>1.2186106407903714</v>
      </c>
      <c r="AC403" s="35">
        <f>AC$297</f>
        <v>0.13543293053675398</v>
      </c>
      <c r="AE403" s="35">
        <f>AE$297</f>
        <v>6.2984977293042075</v>
      </c>
      <c r="AF403" s="35">
        <f>AF$297</f>
        <v>1.2186106407903714</v>
      </c>
      <c r="AG403" s="35">
        <f>AG$297</f>
        <v>0.13543293053675398</v>
      </c>
      <c r="AI403" s="35">
        <f>AI$297</f>
        <v>6.2984977293042075</v>
      </c>
      <c r="AJ403" s="35">
        <f>AJ$297</f>
        <v>1.2186106407903714</v>
      </c>
      <c r="AK403" s="35">
        <f>AK$297</f>
        <v>0.13543293053675398</v>
      </c>
      <c r="AL403" s="17"/>
    </row>
    <row r="405" spans="1:38" ht="21" customHeight="1">
      <c r="A405" s="1" t="s">
        <v>684</v>
      </c>
    </row>
    <row r="406" spans="1:38">
      <c r="A406" s="2" t="s">
        <v>379</v>
      </c>
    </row>
    <row r="407" spans="1:38">
      <c r="A407" s="29" t="s">
        <v>669</v>
      </c>
    </row>
    <row r="408" spans="1:38">
      <c r="A408" s="2" t="s">
        <v>665</v>
      </c>
    </row>
    <row r="410" spans="1:38">
      <c r="B410" s="15" t="s">
        <v>346</v>
      </c>
      <c r="C410" s="15" t="s">
        <v>347</v>
      </c>
      <c r="D410" s="15" t="s">
        <v>348</v>
      </c>
    </row>
    <row r="411" spans="1:38">
      <c r="A411" s="4" t="s">
        <v>226</v>
      </c>
      <c r="B411" s="36">
        <f>B$45</f>
        <v>5.7160535159845169E-3</v>
      </c>
      <c r="C411" s="36">
        <f>C$45</f>
        <v>9.4868551845660287E-2</v>
      </c>
      <c r="D411" s="36">
        <f>D$45</f>
        <v>0.89941539463835518</v>
      </c>
      <c r="E411" s="17"/>
    </row>
    <row r="412" spans="1:38">
      <c r="A412" s="4" t="s">
        <v>227</v>
      </c>
      <c r="B412" s="36">
        <f>B$48</f>
        <v>1.7573774807996575E-3</v>
      </c>
      <c r="C412" s="36">
        <f>C$48</f>
        <v>5.2708020558987496E-2</v>
      </c>
      <c r="D412" s="36">
        <f>D$48</f>
        <v>0.94553460196021288</v>
      </c>
      <c r="E412" s="17"/>
    </row>
    <row r="414" spans="1:38" ht="21" customHeight="1">
      <c r="A414" s="1" t="s">
        <v>685</v>
      </c>
    </row>
    <row r="415" spans="1:38">
      <c r="A415" s="2" t="s">
        <v>379</v>
      </c>
    </row>
    <row r="416" spans="1:38">
      <c r="A416" s="29" t="s">
        <v>686</v>
      </c>
    </row>
    <row r="417" spans="1:11">
      <c r="A417" s="29" t="s">
        <v>687</v>
      </c>
    </row>
    <row r="418" spans="1:11">
      <c r="A418" s="2" t="s">
        <v>392</v>
      </c>
    </row>
    <row r="420" spans="1:11">
      <c r="B420" s="15" t="s">
        <v>148</v>
      </c>
      <c r="C420" s="15" t="s">
        <v>149</v>
      </c>
      <c r="D420" s="15" t="s">
        <v>150</v>
      </c>
      <c r="E420" s="15" t="s">
        <v>151</v>
      </c>
      <c r="F420" s="15" t="s">
        <v>152</v>
      </c>
      <c r="G420" s="15" t="s">
        <v>157</v>
      </c>
      <c r="H420" s="15" t="s">
        <v>153</v>
      </c>
      <c r="I420" s="15" t="s">
        <v>154</v>
      </c>
      <c r="J420" s="15" t="s">
        <v>155</v>
      </c>
    </row>
    <row r="421" spans="1:11">
      <c r="A421" s="4" t="s">
        <v>226</v>
      </c>
      <c r="B421" s="34">
        <f>SUMPRODUCT($C402:$E402,$B411:$D411)</f>
        <v>0.1184470441419752</v>
      </c>
      <c r="C421" s="34">
        <f>SUMPRODUCT($G402:$I402,$B411:$D411)</f>
        <v>0.2430534919854952</v>
      </c>
      <c r="D421" s="34">
        <f>SUMPRODUCT($K402:$M402,$B411:$D411)</f>
        <v>0.2430534919854952</v>
      </c>
      <c r="E421" s="34">
        <f>SUMPRODUCT($O402:$Q402,$B411:$D411)</f>
        <v>0.27342083951224799</v>
      </c>
      <c r="F421" s="34">
        <f>SUMPRODUCT($S402:$U402,$B411:$D411)</f>
        <v>0.27342083951224799</v>
      </c>
      <c r="G421" s="34">
        <f>SUMPRODUCT($W402:$Y402,$B411:$D411)</f>
        <v>1</v>
      </c>
      <c r="H421" s="34">
        <f>SUMPRODUCT($AA402:$AC402,$B411:$D411)</f>
        <v>0.27342083951224799</v>
      </c>
      <c r="I421" s="34">
        <f>SUMPRODUCT($AE402:$AG402,$B411:$D411)</f>
        <v>0.27342083951224799</v>
      </c>
      <c r="J421" s="34">
        <f>SUMPRODUCT($AI402:$AK402,$B411:$D411)</f>
        <v>0.27342083951224799</v>
      </c>
      <c r="K421" s="17"/>
    </row>
    <row r="422" spans="1:11">
      <c r="A422" s="4" t="s">
        <v>227</v>
      </c>
      <c r="B422" s="34">
        <f>SUMPRODUCT($C403:$E403,$B412:$D412)</f>
        <v>6.4637048420311441E-2</v>
      </c>
      <c r="C422" s="34">
        <f>SUMPRODUCT($G403:$I403,$B412:$D412)</f>
        <v>0.1830971852373515</v>
      </c>
      <c r="D422" s="34">
        <f>SUMPRODUCT($K403:$M403,$B412:$D412)</f>
        <v>0.1830971852373515</v>
      </c>
      <c r="E422" s="34">
        <f>SUMPRODUCT($O403:$Q403,$B412:$D412)</f>
        <v>0.20335591484790166</v>
      </c>
      <c r="F422" s="34">
        <f>SUMPRODUCT($S403:$U403,$B412:$D412)</f>
        <v>0.20335591484790166</v>
      </c>
      <c r="G422" s="34">
        <f>SUMPRODUCT($W403:$Y403,$B412:$D412)</f>
        <v>1</v>
      </c>
      <c r="H422" s="34">
        <f>SUMPRODUCT($AA403:$AC403,$B412:$D412)</f>
        <v>0.20335591484790166</v>
      </c>
      <c r="I422" s="34">
        <f>SUMPRODUCT($AE403:$AG403,$B412:$D412)</f>
        <v>0.20335591484790166</v>
      </c>
      <c r="J422" s="34">
        <f>SUMPRODUCT($AI403:$AK403,$B412:$D412)</f>
        <v>0.20335591484790166</v>
      </c>
      <c r="K422" s="17"/>
    </row>
    <row r="424" spans="1:11" ht="21" customHeight="1">
      <c r="A424" s="1" t="s">
        <v>688</v>
      </c>
    </row>
    <row r="425" spans="1:11">
      <c r="A425" s="2" t="s">
        <v>379</v>
      </c>
    </row>
    <row r="426" spans="1:11">
      <c r="A426" s="29" t="s">
        <v>606</v>
      </c>
    </row>
    <row r="427" spans="1:11">
      <c r="A427" s="2" t="s">
        <v>665</v>
      </c>
    </row>
    <row r="429" spans="1:11" ht="45">
      <c r="B429" s="15" t="s">
        <v>689</v>
      </c>
    </row>
    <row r="430" spans="1:11">
      <c r="A430" s="4" t="s">
        <v>186</v>
      </c>
      <c r="B430" s="39">
        <f>B$137</f>
        <v>656.53452083945115</v>
      </c>
      <c r="C430" s="17"/>
    </row>
    <row r="431" spans="1:11">
      <c r="A431" s="4" t="s">
        <v>187</v>
      </c>
      <c r="B431" s="39">
        <f>B$138</f>
        <v>216063.06005970848</v>
      </c>
      <c r="C431" s="17"/>
    </row>
    <row r="433" spans="1:38" ht="21" customHeight="1">
      <c r="A433" s="1" t="s">
        <v>690</v>
      </c>
    </row>
    <row r="434" spans="1:38">
      <c r="A434" s="2" t="s">
        <v>379</v>
      </c>
    </row>
    <row r="435" spans="1:38">
      <c r="A435" s="29" t="s">
        <v>664</v>
      </c>
    </row>
    <row r="436" spans="1:38">
      <c r="A436" s="2" t="s">
        <v>665</v>
      </c>
    </row>
    <row r="438" spans="1:38">
      <c r="B438" s="27" t="s">
        <v>148</v>
      </c>
      <c r="C438" s="15" t="s">
        <v>346</v>
      </c>
      <c r="D438" s="15" t="s">
        <v>347</v>
      </c>
      <c r="E438" s="15" t="s">
        <v>348</v>
      </c>
      <c r="F438" s="27" t="s">
        <v>149</v>
      </c>
      <c r="G438" s="15" t="s">
        <v>346</v>
      </c>
      <c r="H438" s="15" t="s">
        <v>347</v>
      </c>
      <c r="I438" s="15" t="s">
        <v>348</v>
      </c>
      <c r="J438" s="27" t="s">
        <v>150</v>
      </c>
      <c r="K438" s="15" t="s">
        <v>346</v>
      </c>
      <c r="L438" s="15" t="s">
        <v>347</v>
      </c>
      <c r="M438" s="15" t="s">
        <v>348</v>
      </c>
      <c r="N438" s="27" t="s">
        <v>151</v>
      </c>
      <c r="O438" s="15" t="s">
        <v>346</v>
      </c>
      <c r="P438" s="15" t="s">
        <v>347</v>
      </c>
      <c r="Q438" s="15" t="s">
        <v>348</v>
      </c>
      <c r="R438" s="27" t="s">
        <v>152</v>
      </c>
      <c r="S438" s="15" t="s">
        <v>346</v>
      </c>
      <c r="T438" s="15" t="s">
        <v>347</v>
      </c>
      <c r="U438" s="15" t="s">
        <v>348</v>
      </c>
      <c r="V438" s="27" t="s">
        <v>157</v>
      </c>
      <c r="W438" s="15" t="s">
        <v>346</v>
      </c>
      <c r="X438" s="15" t="s">
        <v>347</v>
      </c>
      <c r="Y438" s="15" t="s">
        <v>348</v>
      </c>
      <c r="Z438" s="27" t="s">
        <v>153</v>
      </c>
      <c r="AA438" s="15" t="s">
        <v>346</v>
      </c>
      <c r="AB438" s="15" t="s">
        <v>347</v>
      </c>
      <c r="AC438" s="15" t="s">
        <v>348</v>
      </c>
      <c r="AD438" s="27" t="s">
        <v>154</v>
      </c>
      <c r="AE438" s="15" t="s">
        <v>346</v>
      </c>
      <c r="AF438" s="15" t="s">
        <v>347</v>
      </c>
      <c r="AG438" s="15" t="s">
        <v>348</v>
      </c>
      <c r="AH438" s="27" t="s">
        <v>155</v>
      </c>
      <c r="AI438" s="15" t="s">
        <v>346</v>
      </c>
      <c r="AJ438" s="15" t="s">
        <v>347</v>
      </c>
      <c r="AK438" s="15" t="s">
        <v>348</v>
      </c>
    </row>
    <row r="439" spans="1:38">
      <c r="A439" s="4" t="s">
        <v>186</v>
      </c>
      <c r="C439" s="35">
        <f>C$301</f>
        <v>16.829812814298453</v>
      </c>
      <c r="D439" s="35">
        <f>D$301</f>
        <v>0.68811543769475492</v>
      </c>
      <c r="E439" s="35">
        <f>E$301</f>
        <v>4.898646392701949E-2</v>
      </c>
      <c r="G439" s="35">
        <f>G$301</f>
        <v>12.959950854090524</v>
      </c>
      <c r="H439" s="35">
        <f>H$301</f>
        <v>1.5005947934152601</v>
      </c>
      <c r="I439" s="35">
        <f>I$301</f>
        <v>0.22829154114795172</v>
      </c>
      <c r="K439" s="35">
        <f>K$301</f>
        <v>12.959950854090524</v>
      </c>
      <c r="L439" s="35">
        <f>L$301</f>
        <v>1.5005947934152601</v>
      </c>
      <c r="M439" s="35">
        <f>M$301</f>
        <v>0.22829154114795172</v>
      </c>
      <c r="O439" s="35">
        <f>O$301</f>
        <v>10.929711315767115</v>
      </c>
      <c r="P439" s="35">
        <f>P$301</f>
        <v>2.1146411545395742</v>
      </c>
      <c r="Q439" s="35">
        <f>Q$301</f>
        <v>0.23501522061810501</v>
      </c>
      <c r="S439" s="35">
        <f>S$301</f>
        <v>10.929711315767115</v>
      </c>
      <c r="T439" s="35">
        <f>T$301</f>
        <v>2.1146411545395742</v>
      </c>
      <c r="U439" s="35">
        <f>U$301</f>
        <v>0.23501522061810501</v>
      </c>
      <c r="W439" s="35">
        <f>W$301</f>
        <v>1.7352886014256792</v>
      </c>
      <c r="X439" s="35">
        <f>X$301</f>
        <v>1.735288601425679</v>
      </c>
      <c r="Y439" s="35">
        <f>Y$301</f>
        <v>1.7352886014256792</v>
      </c>
      <c r="AA439" s="35">
        <f>AA$301</f>
        <v>10.929711315767115</v>
      </c>
      <c r="AB439" s="35">
        <f>AB$301</f>
        <v>2.1146411545395742</v>
      </c>
      <c r="AC439" s="35">
        <f>AC$301</f>
        <v>0.23501522061810501</v>
      </c>
      <c r="AE439" s="35">
        <f>AE$301</f>
        <v>10.929711315767115</v>
      </c>
      <c r="AF439" s="35">
        <f>AF$301</f>
        <v>2.1146411545395742</v>
      </c>
      <c r="AG439" s="35">
        <f>AG$301</f>
        <v>0.23501522061810501</v>
      </c>
      <c r="AI439" s="35">
        <f>AI$301</f>
        <v>10.929711315767115</v>
      </c>
      <c r="AJ439" s="35">
        <f>AJ$301</f>
        <v>2.1146411545395742</v>
      </c>
      <c r="AK439" s="35">
        <f>AK$301</f>
        <v>0.23501522061810501</v>
      </c>
      <c r="AL439" s="17"/>
    </row>
    <row r="440" spans="1:38">
      <c r="A440" s="4" t="s">
        <v>187</v>
      </c>
      <c r="C440" s="35">
        <f>C$302</f>
        <v>13.666266847014972</v>
      </c>
      <c r="D440" s="35">
        <f>D$302</f>
        <v>0.55876849593344857</v>
      </c>
      <c r="E440" s="35">
        <f>E$302</f>
        <v>3.9778344257611259E-2</v>
      </c>
      <c r="G440" s="35">
        <f>G$302</f>
        <v>10.523833428838032</v>
      </c>
      <c r="H440" s="35">
        <f>H$302</f>
        <v>1.2185238839157642</v>
      </c>
      <c r="I440" s="35">
        <f>I$302</f>
        <v>0.18537895546845146</v>
      </c>
      <c r="K440" s="35">
        <f>K$302</f>
        <v>10.523833428838032</v>
      </c>
      <c r="L440" s="35">
        <f>L$302</f>
        <v>1.2185238839157642</v>
      </c>
      <c r="M440" s="35">
        <f>M$302</f>
        <v>0.18537895546845146</v>
      </c>
      <c r="O440" s="35">
        <f>O$302</f>
        <v>8.875223572018017</v>
      </c>
      <c r="P440" s="35">
        <f>P$302</f>
        <v>1.7171462702820504</v>
      </c>
      <c r="Q440" s="35">
        <f>Q$302</f>
        <v>0.19083876651013126</v>
      </c>
      <c r="S440" s="35">
        <f>S$302</f>
        <v>8.875223572018017</v>
      </c>
      <c r="T440" s="35">
        <f>T$302</f>
        <v>1.7171462702820504</v>
      </c>
      <c r="U440" s="35">
        <f>U$302</f>
        <v>0.19083876651013126</v>
      </c>
      <c r="W440" s="35">
        <f>W$302</f>
        <v>1.4091016546255801</v>
      </c>
      <c r="X440" s="35">
        <f>X$302</f>
        <v>1.4091016546255799</v>
      </c>
      <c r="Y440" s="35">
        <f>Y$302</f>
        <v>1.4091016546255799</v>
      </c>
      <c r="AA440" s="35">
        <f>AA$302</f>
        <v>8.875223572018017</v>
      </c>
      <c r="AB440" s="35">
        <f>AB$302</f>
        <v>1.7171462702820504</v>
      </c>
      <c r="AC440" s="35">
        <f>AC$302</f>
        <v>0.19083876651013126</v>
      </c>
      <c r="AE440" s="35">
        <f>AE$302</f>
        <v>8.875223572018017</v>
      </c>
      <c r="AF440" s="35">
        <f>AF$302</f>
        <v>1.7171462702820504</v>
      </c>
      <c r="AG440" s="35">
        <f>AG$302</f>
        <v>0.19083876651013126</v>
      </c>
      <c r="AI440" s="35">
        <f>AI$302</f>
        <v>8.875223572018017</v>
      </c>
      <c r="AJ440" s="35">
        <f>AJ$302</f>
        <v>1.7171462702820504</v>
      </c>
      <c r="AK440" s="35">
        <f>AK$302</f>
        <v>0.19083876651013126</v>
      </c>
      <c r="AL440" s="17"/>
    </row>
    <row r="442" spans="1:38" ht="21" customHeight="1">
      <c r="A442" s="1" t="s">
        <v>691</v>
      </c>
    </row>
    <row r="443" spans="1:38">
      <c r="A443" s="2" t="s">
        <v>379</v>
      </c>
    </row>
    <row r="444" spans="1:38">
      <c r="A444" s="29" t="s">
        <v>692</v>
      </c>
    </row>
    <row r="445" spans="1:38">
      <c r="A445" s="2" t="s">
        <v>665</v>
      </c>
    </row>
    <row r="447" spans="1:38">
      <c r="B447" s="15" t="s">
        <v>346</v>
      </c>
      <c r="C447" s="15" t="s">
        <v>347</v>
      </c>
      <c r="D447" s="15" t="s">
        <v>348</v>
      </c>
    </row>
    <row r="448" spans="1:38">
      <c r="A448" s="4" t="s">
        <v>186</v>
      </c>
      <c r="B448" s="36">
        <f>B$216</f>
        <v>0.10489055527857059</v>
      </c>
      <c r="C448" s="36">
        <f>C$216</f>
        <v>0.31468217205384919</v>
      </c>
      <c r="D448" s="36">
        <f>D$216</f>
        <v>0.58042727266758021</v>
      </c>
      <c r="E448" s="17"/>
    </row>
    <row r="449" spans="1:11">
      <c r="A449" s="4" t="s">
        <v>187</v>
      </c>
      <c r="B449" s="36">
        <f>B$217</f>
        <v>0.10383989257564354</v>
      </c>
      <c r="C449" s="36">
        <f>C$217</f>
        <v>0.37302583999764283</v>
      </c>
      <c r="D449" s="36">
        <f>D$217</f>
        <v>0.52313426742671365</v>
      </c>
      <c r="E449" s="17"/>
    </row>
    <row r="451" spans="1:11" ht="21" customHeight="1">
      <c r="A451" s="1" t="s">
        <v>693</v>
      </c>
    </row>
    <row r="452" spans="1:11">
      <c r="A452" s="2" t="s">
        <v>379</v>
      </c>
    </row>
    <row r="453" spans="1:11">
      <c r="A453" s="29" t="s">
        <v>694</v>
      </c>
    </row>
    <row r="454" spans="1:11">
      <c r="A454" s="29" t="s">
        <v>695</v>
      </c>
    </row>
    <row r="455" spans="1:11">
      <c r="A455" s="2" t="s">
        <v>392</v>
      </c>
    </row>
    <row r="457" spans="1:11">
      <c r="B457" s="15" t="s">
        <v>148</v>
      </c>
      <c r="C457" s="15" t="s">
        <v>149</v>
      </c>
      <c r="D457" s="15" t="s">
        <v>150</v>
      </c>
      <c r="E457" s="15" t="s">
        <v>151</v>
      </c>
      <c r="F457" s="15" t="s">
        <v>152</v>
      </c>
      <c r="G457" s="15" t="s">
        <v>157</v>
      </c>
      <c r="H457" s="15" t="s">
        <v>153</v>
      </c>
      <c r="I457" s="15" t="s">
        <v>154</v>
      </c>
      <c r="J457" s="15" t="s">
        <v>155</v>
      </c>
    </row>
    <row r="458" spans="1:11">
      <c r="A458" s="4" t="s">
        <v>186</v>
      </c>
      <c r="B458" s="34">
        <f>SUMPRODUCT($C439:$E439,$B448:$D448)</f>
        <v>2.0102591515385271</v>
      </c>
      <c r="C458" s="34">
        <f>SUMPRODUCT($G439:$I439,$B448:$D448)</f>
        <v>1.9640935070347358</v>
      </c>
      <c r="D458" s="34">
        <f>SUMPRODUCT($K439:$M439,$B448:$D448)</f>
        <v>1.9640935070347358</v>
      </c>
      <c r="E458" s="34">
        <f>SUMPRODUCT($O439:$Q439,$B448:$D448)</f>
        <v>1.9482726041089979</v>
      </c>
      <c r="F458" s="34">
        <f>SUMPRODUCT($S439:$U439,$B448:$D448)</f>
        <v>1.9482726041089979</v>
      </c>
      <c r="G458" s="34">
        <f>SUMPRODUCT($W439:$Y439,$B448:$D448)</f>
        <v>1.7352886014256792</v>
      </c>
      <c r="H458" s="34">
        <f>SUMPRODUCT($AA439:$AC439,$B448:$D448)</f>
        <v>1.9482726041089979</v>
      </c>
      <c r="I458" s="34">
        <f>SUMPRODUCT($AE439:$AG439,$B448:$D448)</f>
        <v>1.9482726041089979</v>
      </c>
      <c r="J458" s="34">
        <f>SUMPRODUCT($AI439:$AK439,$B448:$D448)</f>
        <v>1.9482726041089979</v>
      </c>
      <c r="K458" s="17"/>
    </row>
    <row r="459" spans="1:11">
      <c r="A459" s="4" t="s">
        <v>187</v>
      </c>
      <c r="B459" s="34">
        <f>SUMPRODUCT($C440:$E440,$B449:$D449)</f>
        <v>1.6483481838465606</v>
      </c>
      <c r="C459" s="34">
        <f>SUMPRODUCT($G440:$I440,$B449:$D449)</f>
        <v>1.6443127121546937</v>
      </c>
      <c r="D459" s="34">
        <f>SUMPRODUCT($K440:$M440,$B449:$D449)</f>
        <v>1.6443127121546937</v>
      </c>
      <c r="E459" s="34">
        <f>SUMPRODUCT($O440:$Q440,$B449:$D449)</f>
        <v>1.6619764904888468</v>
      </c>
      <c r="F459" s="34">
        <f>SUMPRODUCT($S440:$U440,$B449:$D449)</f>
        <v>1.6619764904888468</v>
      </c>
      <c r="G459" s="34">
        <f>SUMPRODUCT($W440:$Y440,$B449:$D449)</f>
        <v>1.4091016546255801</v>
      </c>
      <c r="H459" s="34">
        <f>SUMPRODUCT($AA440:$AC440,$B449:$D449)</f>
        <v>1.6619764904888468</v>
      </c>
      <c r="I459" s="34">
        <f>SUMPRODUCT($AE440:$AG440,$B449:$D449)</f>
        <v>1.6619764904888468</v>
      </c>
      <c r="J459" s="34">
        <f>SUMPRODUCT($AI440:$AK440,$B449:$D449)</f>
        <v>1.6619764904888468</v>
      </c>
      <c r="K459" s="17"/>
    </row>
    <row r="461" spans="1:11" ht="21" customHeight="1">
      <c r="A461" s="1" t="s">
        <v>696</v>
      </c>
    </row>
    <row r="462" spans="1:11">
      <c r="A462" s="2" t="s">
        <v>379</v>
      </c>
    </row>
    <row r="463" spans="1:11">
      <c r="A463" s="29" t="s">
        <v>697</v>
      </c>
    </row>
    <row r="464" spans="1:11">
      <c r="A464" s="29" t="s">
        <v>698</v>
      </c>
    </row>
    <row r="465" spans="1:11">
      <c r="A465" s="29" t="s">
        <v>699</v>
      </c>
    </row>
    <row r="466" spans="1:11">
      <c r="A466" s="29" t="s">
        <v>700</v>
      </c>
    </row>
    <row r="467" spans="1:11">
      <c r="A467" s="29" t="s">
        <v>701</v>
      </c>
    </row>
    <row r="468" spans="1:11">
      <c r="A468" s="29" t="s">
        <v>702</v>
      </c>
    </row>
    <row r="469" spans="1:11">
      <c r="A469" s="2" t="s">
        <v>703</v>
      </c>
    </row>
    <row r="471" spans="1:11">
      <c r="B471" s="15" t="s">
        <v>148</v>
      </c>
      <c r="C471" s="15" t="s">
        <v>149</v>
      </c>
      <c r="D471" s="15" t="s">
        <v>150</v>
      </c>
      <c r="E471" s="15" t="s">
        <v>151</v>
      </c>
      <c r="F471" s="15" t="s">
        <v>152</v>
      </c>
      <c r="G471" s="15" t="s">
        <v>157</v>
      </c>
      <c r="H471" s="15" t="s">
        <v>153</v>
      </c>
      <c r="I471" s="15" t="s">
        <v>154</v>
      </c>
      <c r="J471" s="15" t="s">
        <v>155</v>
      </c>
    </row>
    <row r="472" spans="1:11">
      <c r="A472" s="4" t="s">
        <v>704</v>
      </c>
      <c r="B472" s="34">
        <f t="shared" ref="B472:J472" si="0">($B328*B347+$B356*B384+$B393*B421)/($B328+$B356+$B393)</f>
        <v>1.8829143000241906</v>
      </c>
      <c r="C472" s="34">
        <f t="shared" si="0"/>
        <v>1.7967201129628296</v>
      </c>
      <c r="D472" s="34">
        <f t="shared" si="0"/>
        <v>1.7967201129628296</v>
      </c>
      <c r="E472" s="34">
        <f t="shared" si="0"/>
        <v>1.7586521224619627</v>
      </c>
      <c r="F472" s="34">
        <f t="shared" si="0"/>
        <v>1.7586521224619627</v>
      </c>
      <c r="G472" s="34">
        <f t="shared" si="0"/>
        <v>1.4659007935153643</v>
      </c>
      <c r="H472" s="34">
        <f t="shared" si="0"/>
        <v>1.7586521224619627</v>
      </c>
      <c r="I472" s="34">
        <f t="shared" si="0"/>
        <v>1.7586521224619627</v>
      </c>
      <c r="J472" s="34">
        <f t="shared" si="0"/>
        <v>1.7586521224619627</v>
      </c>
      <c r="K472" s="17"/>
    </row>
    <row r="473" spans="1:11">
      <c r="A473" s="4" t="s">
        <v>705</v>
      </c>
      <c r="B473" s="34">
        <f t="shared" ref="B473:J473" si="1">($B329*B348+$B357*B385+$B394*B422)/($B329+$B357+$B394)</f>
        <v>1.5501090253254262</v>
      </c>
      <c r="C473" s="34">
        <f t="shared" si="1"/>
        <v>1.565001483340656</v>
      </c>
      <c r="D473" s="34">
        <f t="shared" si="1"/>
        <v>1.565001483340656</v>
      </c>
      <c r="E473" s="34">
        <f t="shared" si="1"/>
        <v>1.5982666061570134</v>
      </c>
      <c r="F473" s="34">
        <f t="shared" si="1"/>
        <v>1.5982666061570134</v>
      </c>
      <c r="G473" s="34">
        <f t="shared" si="1"/>
        <v>1.3206119863424577</v>
      </c>
      <c r="H473" s="34">
        <f t="shared" si="1"/>
        <v>1.5982666061570134</v>
      </c>
      <c r="I473" s="34">
        <f t="shared" si="1"/>
        <v>1.5982666061570134</v>
      </c>
      <c r="J473" s="34">
        <f t="shared" si="1"/>
        <v>1.5982666061570134</v>
      </c>
      <c r="K473" s="17"/>
    </row>
    <row r="475" spans="1:11" ht="21" customHeight="1">
      <c r="A475" s="1" t="s">
        <v>706</v>
      </c>
    </row>
    <row r="476" spans="1:11">
      <c r="A476" s="2" t="s">
        <v>379</v>
      </c>
    </row>
    <row r="477" spans="1:11">
      <c r="A477" s="29" t="s">
        <v>697</v>
      </c>
    </row>
    <row r="478" spans="1:11">
      <c r="A478" s="29" t="s">
        <v>672</v>
      </c>
    </row>
    <row r="479" spans="1:11">
      <c r="A479" s="29" t="s">
        <v>699</v>
      </c>
    </row>
    <row r="480" spans="1:11">
      <c r="A480" s="29" t="s">
        <v>707</v>
      </c>
    </row>
    <row r="481" spans="1:11">
      <c r="A481" s="29" t="s">
        <v>701</v>
      </c>
    </row>
    <row r="482" spans="1:11">
      <c r="A482" s="29" t="s">
        <v>708</v>
      </c>
    </row>
    <row r="483" spans="1:11">
      <c r="A483" s="2" t="s">
        <v>703</v>
      </c>
    </row>
    <row r="485" spans="1:11">
      <c r="B485" s="15" t="s">
        <v>346</v>
      </c>
      <c r="C485" s="15" t="s">
        <v>347</v>
      </c>
      <c r="D485" s="15" t="s">
        <v>348</v>
      </c>
    </row>
    <row r="486" spans="1:11">
      <c r="A486" s="4" t="s">
        <v>186</v>
      </c>
      <c r="B486" s="36">
        <f t="shared" ref="B486:D487" si="2">($B328*B337+$B356*B374+$B393*B411)/($B328+$B356+$B393)</f>
        <v>0.11880722795003219</v>
      </c>
      <c r="C486" s="36">
        <f t="shared" si="2"/>
        <v>0.31278584477059307</v>
      </c>
      <c r="D486" s="36">
        <f t="shared" si="2"/>
        <v>0.5684069272793747</v>
      </c>
      <c r="E486" s="17"/>
    </row>
    <row r="487" spans="1:11">
      <c r="A487" s="4" t="s">
        <v>187</v>
      </c>
      <c r="B487" s="36">
        <f t="shared" si="2"/>
        <v>0.10264482235993634</v>
      </c>
      <c r="C487" s="36">
        <f t="shared" si="2"/>
        <v>0.40484535825061801</v>
      </c>
      <c r="D487" s="36">
        <f t="shared" si="2"/>
        <v>0.49250981938944544</v>
      </c>
      <c r="E487" s="17"/>
    </row>
    <row r="489" spans="1:11" ht="21" customHeight="1">
      <c r="A489" s="1" t="s">
        <v>709</v>
      </c>
    </row>
    <row r="490" spans="1:11">
      <c r="A490" s="2" t="s">
        <v>379</v>
      </c>
    </row>
    <row r="491" spans="1:11">
      <c r="A491" s="29" t="s">
        <v>694</v>
      </c>
    </row>
    <row r="492" spans="1:11">
      <c r="A492" s="29" t="s">
        <v>710</v>
      </c>
    </row>
    <row r="493" spans="1:11">
      <c r="A493" s="2" t="s">
        <v>392</v>
      </c>
    </row>
    <row r="495" spans="1:11">
      <c r="B495" s="15" t="s">
        <v>148</v>
      </c>
      <c r="C495" s="15" t="s">
        <v>149</v>
      </c>
      <c r="D495" s="15" t="s">
        <v>150</v>
      </c>
      <c r="E495" s="15" t="s">
        <v>151</v>
      </c>
      <c r="F495" s="15" t="s">
        <v>152</v>
      </c>
      <c r="G495" s="15" t="s">
        <v>157</v>
      </c>
      <c r="H495" s="15" t="s">
        <v>153</v>
      </c>
      <c r="I495" s="15" t="s">
        <v>154</v>
      </c>
      <c r="J495" s="15" t="s">
        <v>155</v>
      </c>
    </row>
    <row r="496" spans="1:11">
      <c r="A496" s="4" t="s">
        <v>186</v>
      </c>
      <c r="B496" s="34">
        <f>SUMPRODUCT($C439:$E439,$B486:$D486)</f>
        <v>2.2425804213028089</v>
      </c>
      <c r="C496" s="34">
        <f>SUMPRODUCT($G439:$I439,$B486:$D486)</f>
        <v>2.1388631388876731</v>
      </c>
      <c r="D496" s="34">
        <f>SUMPRODUCT($K439:$M439,$B486:$D486)</f>
        <v>2.1388631388876731</v>
      </c>
      <c r="E496" s="34">
        <f>SUMPRODUCT($O439:$Q439,$B486:$D486)</f>
        <v>2.0935428030451342</v>
      </c>
      <c r="F496" s="34">
        <f>SUMPRODUCT($S439:$U439,$B486:$D486)</f>
        <v>2.0935428030451342</v>
      </c>
      <c r="G496" s="34">
        <f>SUMPRODUCT($W439:$Y439,$B486:$D486)</f>
        <v>1.7352886014256792</v>
      </c>
      <c r="H496" s="34">
        <f>SUMPRODUCT($AA439:$AC439,$B486:$D486)</f>
        <v>2.0935428030451342</v>
      </c>
      <c r="I496" s="34">
        <f>SUMPRODUCT($AE439:$AG439,$B486:$D486)</f>
        <v>2.0935428030451342</v>
      </c>
      <c r="J496" s="34">
        <f>SUMPRODUCT($AI439:$AK439,$B486:$D486)</f>
        <v>2.0935428030451342</v>
      </c>
      <c r="K496" s="17"/>
    </row>
    <row r="497" spans="1:11">
      <c r="A497" s="4" t="s">
        <v>187</v>
      </c>
      <c r="B497" s="34">
        <f>SUMPRODUCT($C440:$E440,$B487:$D487)</f>
        <v>1.6485775898966026</v>
      </c>
      <c r="C497" s="34">
        <f>SUMPRODUCT($G440:$I440,$B487:$D487)</f>
        <v>1.6648317070458225</v>
      </c>
      <c r="D497" s="34">
        <f>SUMPRODUCT($K440:$M440,$B487:$D487)</f>
        <v>1.6648317070458225</v>
      </c>
      <c r="E497" s="34">
        <f>SUMPRODUCT($O440:$Q440,$B487:$D487)</f>
        <v>1.7001644103419675</v>
      </c>
      <c r="F497" s="34">
        <f>SUMPRODUCT($S440:$U440,$B487:$D487)</f>
        <v>1.7001644103419675</v>
      </c>
      <c r="G497" s="34">
        <f>SUMPRODUCT($W440:$Y440,$B487:$D487)</f>
        <v>1.4091016546255797</v>
      </c>
      <c r="H497" s="34">
        <f>SUMPRODUCT($AA440:$AC440,$B487:$D487)</f>
        <v>1.7001644103419675</v>
      </c>
      <c r="I497" s="34">
        <f>SUMPRODUCT($AE440:$AG440,$B487:$D487)</f>
        <v>1.7001644103419675</v>
      </c>
      <c r="J497" s="34">
        <f>SUMPRODUCT($AI440:$AK440,$B487:$D487)</f>
        <v>1.7001644103419675</v>
      </c>
      <c r="K497" s="17"/>
    </row>
    <row r="499" spans="1:11" ht="21" customHeight="1">
      <c r="A499" s="1" t="s">
        <v>711</v>
      </c>
    </row>
    <row r="500" spans="1:11">
      <c r="A500" s="2" t="s">
        <v>379</v>
      </c>
    </row>
    <row r="501" spans="1:11">
      <c r="A501" s="29" t="s">
        <v>712</v>
      </c>
    </row>
    <row r="502" spans="1:11">
      <c r="A502" s="29" t="s">
        <v>713</v>
      </c>
    </row>
    <row r="503" spans="1:11">
      <c r="A503" s="2" t="s">
        <v>459</v>
      </c>
    </row>
    <row r="505" spans="1:11">
      <c r="B505" s="15" t="s">
        <v>148</v>
      </c>
      <c r="C505" s="15" t="s">
        <v>149</v>
      </c>
      <c r="D505" s="15" t="s">
        <v>150</v>
      </c>
      <c r="E505" s="15" t="s">
        <v>151</v>
      </c>
      <c r="F505" s="15" t="s">
        <v>152</v>
      </c>
      <c r="G505" s="15" t="s">
        <v>157</v>
      </c>
      <c r="H505" s="15" t="s">
        <v>153</v>
      </c>
      <c r="I505" s="15" t="s">
        <v>154</v>
      </c>
      <c r="J505" s="15" t="s">
        <v>155</v>
      </c>
    </row>
    <row r="506" spans="1:11">
      <c r="A506" s="4" t="s">
        <v>704</v>
      </c>
      <c r="B506" s="34">
        <f t="shared" ref="B506:J506" si="3">B472/B496</f>
        <v>0.83961952139505736</v>
      </c>
      <c r="C506" s="34">
        <f t="shared" si="3"/>
        <v>0.84003510102905565</v>
      </c>
      <c r="D506" s="34">
        <f t="shared" si="3"/>
        <v>0.84003510102905565</v>
      </c>
      <c r="E506" s="34">
        <f t="shared" si="3"/>
        <v>0.84003638230082478</v>
      </c>
      <c r="F506" s="34">
        <f t="shared" si="3"/>
        <v>0.84003638230082478</v>
      </c>
      <c r="G506" s="34">
        <f t="shared" si="3"/>
        <v>0.84475907483689394</v>
      </c>
      <c r="H506" s="34">
        <f t="shared" si="3"/>
        <v>0.84003638230082478</v>
      </c>
      <c r="I506" s="34">
        <f t="shared" si="3"/>
        <v>0.84003638230082478</v>
      </c>
      <c r="J506" s="34">
        <f t="shared" si="3"/>
        <v>0.84003638230082478</v>
      </c>
      <c r="K506" s="17"/>
    </row>
    <row r="507" spans="1:11">
      <c r="A507" s="4" t="s">
        <v>705</v>
      </c>
      <c r="B507" s="34">
        <f t="shared" ref="B507:J507" si="4">B473/B497</f>
        <v>0.94027059134210822</v>
      </c>
      <c r="C507" s="34">
        <f t="shared" si="4"/>
        <v>0.94003584669689455</v>
      </c>
      <c r="D507" s="34">
        <f t="shared" si="4"/>
        <v>0.94003584669689455</v>
      </c>
      <c r="E507" s="34">
        <f t="shared" si="4"/>
        <v>0.94006591152883934</v>
      </c>
      <c r="F507" s="34">
        <f t="shared" si="4"/>
        <v>0.94006591152883934</v>
      </c>
      <c r="G507" s="34">
        <f t="shared" si="4"/>
        <v>0.93720135946711736</v>
      </c>
      <c r="H507" s="34">
        <f t="shared" si="4"/>
        <v>0.94006591152883934</v>
      </c>
      <c r="I507" s="34">
        <f t="shared" si="4"/>
        <v>0.94006591152883934</v>
      </c>
      <c r="J507" s="34">
        <f t="shared" si="4"/>
        <v>0.94006591152883934</v>
      </c>
      <c r="K507" s="17"/>
    </row>
    <row r="509" spans="1:11" ht="21" customHeight="1">
      <c r="A509" s="1" t="s">
        <v>714</v>
      </c>
    </row>
    <row r="510" spans="1:11">
      <c r="A510" s="2" t="s">
        <v>379</v>
      </c>
    </row>
    <row r="511" spans="1:11">
      <c r="A511" s="29" t="s">
        <v>697</v>
      </c>
    </row>
    <row r="512" spans="1:11">
      <c r="A512" s="29" t="s">
        <v>698</v>
      </c>
    </row>
    <row r="513" spans="1:11">
      <c r="A513" s="29" t="s">
        <v>699</v>
      </c>
    </row>
    <row r="514" spans="1:11">
      <c r="A514" s="29" t="s">
        <v>700</v>
      </c>
    </row>
    <row r="515" spans="1:11">
      <c r="A515" s="29" t="s">
        <v>701</v>
      </c>
    </row>
    <row r="516" spans="1:11">
      <c r="A516" s="29" t="s">
        <v>702</v>
      </c>
    </row>
    <row r="517" spans="1:11">
      <c r="A517" s="29" t="s">
        <v>715</v>
      </c>
    </row>
    <row r="518" spans="1:11">
      <c r="A518" s="29" t="s">
        <v>716</v>
      </c>
    </row>
    <row r="519" spans="1:11">
      <c r="A519" s="29" t="s">
        <v>717</v>
      </c>
    </row>
    <row r="520" spans="1:11">
      <c r="A520" s="2" t="s">
        <v>718</v>
      </c>
    </row>
    <row r="522" spans="1:11">
      <c r="B522" s="15" t="s">
        <v>148</v>
      </c>
      <c r="C522" s="15" t="s">
        <v>149</v>
      </c>
      <c r="D522" s="15" t="s">
        <v>150</v>
      </c>
      <c r="E522" s="15" t="s">
        <v>151</v>
      </c>
      <c r="F522" s="15" t="s">
        <v>152</v>
      </c>
      <c r="G522" s="15" t="s">
        <v>157</v>
      </c>
      <c r="H522" s="15" t="s">
        <v>153</v>
      </c>
      <c r="I522" s="15" t="s">
        <v>154</v>
      </c>
      <c r="J522" s="15" t="s">
        <v>155</v>
      </c>
    </row>
    <row r="523" spans="1:11">
      <c r="A523" s="4" t="s">
        <v>704</v>
      </c>
      <c r="B523" s="34">
        <f t="shared" ref="B523:J523" si="5">($B328*B347+$B356*B384+$B393*B421+$B430*B458)/($B328*B347+$B356*B384+$B393*B421+$B430*B458*B506)</f>
        <v>1.0000149906957181</v>
      </c>
      <c r="C523" s="34">
        <f t="shared" si="5"/>
        <v>1.000015309266532</v>
      </c>
      <c r="D523" s="34">
        <f t="shared" si="5"/>
        <v>1.000015309266532</v>
      </c>
      <c r="E523" s="34">
        <f t="shared" si="5"/>
        <v>1.0000155145252194</v>
      </c>
      <c r="F523" s="34">
        <f t="shared" si="5"/>
        <v>1.0000155145252194</v>
      </c>
      <c r="G523" s="34">
        <f t="shared" si="5"/>
        <v>1.000016088598255</v>
      </c>
      <c r="H523" s="34">
        <f t="shared" si="5"/>
        <v>1.0000155145252194</v>
      </c>
      <c r="I523" s="34">
        <f t="shared" si="5"/>
        <v>1.0000155145252194</v>
      </c>
      <c r="J523" s="34">
        <f t="shared" si="5"/>
        <v>1.0000155145252194</v>
      </c>
      <c r="K523" s="17"/>
    </row>
    <row r="524" spans="1:11">
      <c r="A524" s="4" t="s">
        <v>705</v>
      </c>
      <c r="B524" s="34">
        <f t="shared" ref="B524:J524" si="6">($B329*B348+$B357*B385+$B394*B422+$B431*B459)/($B329*B348+$B357*B385+$B394*B422+$B431*B459*B507)</f>
        <v>1.0055661935837232</v>
      </c>
      <c r="C524" s="34">
        <f t="shared" si="6"/>
        <v>1.005527245916676</v>
      </c>
      <c r="D524" s="34">
        <f t="shared" si="6"/>
        <v>1.005527245916676</v>
      </c>
      <c r="E524" s="34">
        <f t="shared" si="6"/>
        <v>1.0054724694864534</v>
      </c>
      <c r="F524" s="34">
        <f t="shared" si="6"/>
        <v>1.0054724694864534</v>
      </c>
      <c r="G524" s="34">
        <f t="shared" si="6"/>
        <v>1.0058721267111823</v>
      </c>
      <c r="H524" s="34">
        <f t="shared" si="6"/>
        <v>1.0054724694864534</v>
      </c>
      <c r="I524" s="34">
        <f t="shared" si="6"/>
        <v>1.0054724694864534</v>
      </c>
      <c r="J524" s="34">
        <f t="shared" si="6"/>
        <v>1.0054724694864534</v>
      </c>
      <c r="K524" s="17"/>
    </row>
    <row r="526" spans="1:11" ht="21" customHeight="1">
      <c r="A526" s="1" t="s">
        <v>719</v>
      </c>
    </row>
    <row r="527" spans="1:11">
      <c r="A527" s="2" t="s">
        <v>379</v>
      </c>
    </row>
    <row r="528" spans="1:11">
      <c r="A528" s="29" t="s">
        <v>671</v>
      </c>
    </row>
    <row r="529" spans="1:38">
      <c r="A529" s="29" t="s">
        <v>720</v>
      </c>
    </row>
    <row r="530" spans="1:38">
      <c r="A530" s="2" t="s">
        <v>721</v>
      </c>
    </row>
    <row r="532" spans="1:38">
      <c r="B532" s="27" t="s">
        <v>148</v>
      </c>
      <c r="C532" s="15" t="s">
        <v>346</v>
      </c>
      <c r="D532" s="15" t="s">
        <v>347</v>
      </c>
      <c r="E532" s="15" t="s">
        <v>348</v>
      </c>
      <c r="F532" s="27" t="s">
        <v>149</v>
      </c>
      <c r="G532" s="15" t="s">
        <v>346</v>
      </c>
      <c r="H532" s="15" t="s">
        <v>347</v>
      </c>
      <c r="I532" s="15" t="s">
        <v>348</v>
      </c>
      <c r="J532" s="27" t="s">
        <v>150</v>
      </c>
      <c r="K532" s="15" t="s">
        <v>346</v>
      </c>
      <c r="L532" s="15" t="s">
        <v>347</v>
      </c>
      <c r="M532" s="15" t="s">
        <v>348</v>
      </c>
      <c r="N532" s="27" t="s">
        <v>151</v>
      </c>
      <c r="O532" s="15" t="s">
        <v>346</v>
      </c>
      <c r="P532" s="15" t="s">
        <v>347</v>
      </c>
      <c r="Q532" s="15" t="s">
        <v>348</v>
      </c>
      <c r="R532" s="27" t="s">
        <v>152</v>
      </c>
      <c r="S532" s="15" t="s">
        <v>346</v>
      </c>
      <c r="T532" s="15" t="s">
        <v>347</v>
      </c>
      <c r="U532" s="15" t="s">
        <v>348</v>
      </c>
      <c r="V532" s="27" t="s">
        <v>157</v>
      </c>
      <c r="W532" s="15" t="s">
        <v>346</v>
      </c>
      <c r="X532" s="15" t="s">
        <v>347</v>
      </c>
      <c r="Y532" s="15" t="s">
        <v>348</v>
      </c>
      <c r="Z532" s="27" t="s">
        <v>153</v>
      </c>
      <c r="AA532" s="15" t="s">
        <v>346</v>
      </c>
      <c r="AB532" s="15" t="s">
        <v>347</v>
      </c>
      <c r="AC532" s="15" t="s">
        <v>348</v>
      </c>
      <c r="AD532" s="27" t="s">
        <v>154</v>
      </c>
      <c r="AE532" s="15" t="s">
        <v>346</v>
      </c>
      <c r="AF532" s="15" t="s">
        <v>347</v>
      </c>
      <c r="AG532" s="15" t="s">
        <v>348</v>
      </c>
      <c r="AH532" s="27" t="s">
        <v>155</v>
      </c>
      <c r="AI532" s="15" t="s">
        <v>346</v>
      </c>
      <c r="AJ532" s="15" t="s">
        <v>347</v>
      </c>
      <c r="AK532" s="15" t="s">
        <v>348</v>
      </c>
    </row>
    <row r="533" spans="1:38">
      <c r="A533" s="4" t="s">
        <v>180</v>
      </c>
      <c r="C533" s="34">
        <f t="shared" ref="C533:E534" si="7">C319*$B523</f>
        <v>13.995132257036518</v>
      </c>
      <c r="D533" s="34">
        <f t="shared" si="7"/>
        <v>0.57221471592749273</v>
      </c>
      <c r="E533" s="34">
        <f t="shared" si="7"/>
        <v>4.0735571395109672E-2</v>
      </c>
      <c r="G533" s="34">
        <f t="shared" ref="G533:I534" si="8">G319*$C523</f>
        <v>10.777082670456117</v>
      </c>
      <c r="H533" s="34">
        <f t="shared" si="8"/>
        <v>1.2478468726899474</v>
      </c>
      <c r="I533" s="34">
        <f t="shared" si="8"/>
        <v>0.18983998007529204</v>
      </c>
      <c r="K533" s="34">
        <f t="shared" ref="K533:M534" si="9">K319*$D523</f>
        <v>10.777082670456117</v>
      </c>
      <c r="L533" s="34">
        <f t="shared" si="9"/>
        <v>1.2478468726899474</v>
      </c>
      <c r="M533" s="34">
        <f t="shared" si="9"/>
        <v>0.18983998007529204</v>
      </c>
      <c r="O533" s="34">
        <f t="shared" ref="O533:Q534" si="10">O319*$E523</f>
        <v>9.0888019497540906</v>
      </c>
      <c r="P533" s="34">
        <f t="shared" si="10"/>
        <v>1.758468645066914</v>
      </c>
      <c r="Q533" s="34">
        <f t="shared" si="10"/>
        <v>0.19543121805004438</v>
      </c>
      <c r="S533" s="34">
        <f t="shared" ref="S533:U534" si="11">S319*$F523</f>
        <v>9.0888019497540906</v>
      </c>
      <c r="T533" s="34">
        <f t="shared" si="11"/>
        <v>1.758468645066914</v>
      </c>
      <c r="U533" s="34">
        <f t="shared" si="11"/>
        <v>0.19543121805004438</v>
      </c>
      <c r="W533" s="34">
        <f t="shared" ref="W533:Y534" si="12">W319*$G523</f>
        <v>1.4430118986981524</v>
      </c>
      <c r="X533" s="34">
        <f t="shared" si="12"/>
        <v>1.4430118986981522</v>
      </c>
      <c r="Y533" s="34">
        <f t="shared" si="12"/>
        <v>1.4430118986981522</v>
      </c>
      <c r="AA533" s="34">
        <f t="shared" ref="AA533:AC534" si="13">AA319*$H523</f>
        <v>9.0888019497540906</v>
      </c>
      <c r="AB533" s="34">
        <f t="shared" si="13"/>
        <v>1.758468645066914</v>
      </c>
      <c r="AC533" s="34">
        <f t="shared" si="13"/>
        <v>0.19543121805004438</v>
      </c>
      <c r="AE533" s="34">
        <f t="shared" ref="AE533:AG534" si="14">AE319*$I523</f>
        <v>9.0888019497540906</v>
      </c>
      <c r="AF533" s="34">
        <f t="shared" si="14"/>
        <v>1.758468645066914</v>
      </c>
      <c r="AG533" s="34">
        <f t="shared" si="14"/>
        <v>0.19543121805004438</v>
      </c>
      <c r="AI533" s="34">
        <f t="shared" ref="AI533:AK534" si="15">AI319*$J523</f>
        <v>9.0888019497540906</v>
      </c>
      <c r="AJ533" s="34">
        <f t="shared" si="15"/>
        <v>1.758468645066914</v>
      </c>
      <c r="AK533" s="34">
        <f t="shared" si="15"/>
        <v>0.19543121805004438</v>
      </c>
      <c r="AL533" s="17"/>
    </row>
    <row r="534" spans="1:38">
      <c r="A534" s="4" t="s">
        <v>182</v>
      </c>
      <c r="C534" s="34">
        <f t="shared" si="7"/>
        <v>13.032878448004887</v>
      </c>
      <c r="D534" s="34">
        <f t="shared" si="7"/>
        <v>0.53287133711030854</v>
      </c>
      <c r="E534" s="34">
        <f t="shared" si="7"/>
        <v>3.7934743363040438E-2</v>
      </c>
      <c r="G534" s="34">
        <f t="shared" si="8"/>
        <v>10.035698196867173</v>
      </c>
      <c r="H534" s="34">
        <f t="shared" si="8"/>
        <v>1.1620041335073878</v>
      </c>
      <c r="I534" s="34">
        <f t="shared" si="8"/>
        <v>0.17678037776936489</v>
      </c>
      <c r="K534" s="34">
        <f t="shared" si="9"/>
        <v>10.035698196867173</v>
      </c>
      <c r="L534" s="34">
        <f t="shared" si="9"/>
        <v>1.1620041335073878</v>
      </c>
      <c r="M534" s="34">
        <f t="shared" si="9"/>
        <v>0.17678037776936489</v>
      </c>
      <c r="O534" s="34">
        <f t="shared" si="10"/>
        <v>8.4630960508712683</v>
      </c>
      <c r="P534" s="34">
        <f t="shared" si="10"/>
        <v>1.6374093228040256</v>
      </c>
      <c r="Q534" s="34">
        <f t="shared" si="10"/>
        <v>0.18197702830800949</v>
      </c>
      <c r="S534" s="34">
        <f t="shared" si="11"/>
        <v>8.4630960508712683</v>
      </c>
      <c r="T534" s="34">
        <f t="shared" si="11"/>
        <v>1.6374093228040256</v>
      </c>
      <c r="U534" s="34">
        <f t="shared" si="11"/>
        <v>0.18197702830800949</v>
      </c>
      <c r="W534" s="34">
        <f t="shared" si="12"/>
        <v>1.344203069243763</v>
      </c>
      <c r="X534" s="34">
        <f t="shared" si="12"/>
        <v>1.344203069243763</v>
      </c>
      <c r="Y534" s="34">
        <f t="shared" si="12"/>
        <v>1.3442030692437628</v>
      </c>
      <c r="AA534" s="34">
        <f t="shared" si="13"/>
        <v>8.4630960508712683</v>
      </c>
      <c r="AB534" s="34">
        <f t="shared" si="13"/>
        <v>1.6374093228040256</v>
      </c>
      <c r="AC534" s="34">
        <f t="shared" si="13"/>
        <v>0.18197702830800949</v>
      </c>
      <c r="AE534" s="34">
        <f t="shared" si="14"/>
        <v>8.4630960508712683</v>
      </c>
      <c r="AF534" s="34">
        <f t="shared" si="14"/>
        <v>1.6374093228040256</v>
      </c>
      <c r="AG534" s="34">
        <f t="shared" si="14"/>
        <v>0.18197702830800949</v>
      </c>
      <c r="AI534" s="34">
        <f t="shared" si="15"/>
        <v>8.4630960508712683</v>
      </c>
      <c r="AJ534" s="34">
        <f t="shared" si="15"/>
        <v>1.6374093228040256</v>
      </c>
      <c r="AK534" s="34">
        <f t="shared" si="15"/>
        <v>0.18197702830800949</v>
      </c>
      <c r="AL534" s="17"/>
    </row>
    <row r="536" spans="1:38" ht="21" customHeight="1">
      <c r="A536" s="1" t="s">
        <v>722</v>
      </c>
    </row>
    <row r="537" spans="1:38">
      <c r="A537" s="2" t="s">
        <v>379</v>
      </c>
    </row>
    <row r="538" spans="1:38">
      <c r="A538" s="29" t="s">
        <v>679</v>
      </c>
    </row>
    <row r="539" spans="1:38">
      <c r="A539" s="29" t="s">
        <v>720</v>
      </c>
    </row>
    <row r="540" spans="1:38">
      <c r="A540" s="2" t="s">
        <v>721</v>
      </c>
    </row>
    <row r="542" spans="1:38">
      <c r="B542" s="27" t="s">
        <v>148</v>
      </c>
      <c r="C542" s="15" t="s">
        <v>346</v>
      </c>
      <c r="D542" s="15" t="s">
        <v>347</v>
      </c>
      <c r="E542" s="15" t="s">
        <v>348</v>
      </c>
      <c r="F542" s="27" t="s">
        <v>149</v>
      </c>
      <c r="G542" s="15" t="s">
        <v>346</v>
      </c>
      <c r="H542" s="15" t="s">
        <v>347</v>
      </c>
      <c r="I542" s="15" t="s">
        <v>348</v>
      </c>
      <c r="J542" s="27" t="s">
        <v>150</v>
      </c>
      <c r="K542" s="15" t="s">
        <v>346</v>
      </c>
      <c r="L542" s="15" t="s">
        <v>347</v>
      </c>
      <c r="M542" s="15" t="s">
        <v>348</v>
      </c>
      <c r="N542" s="27" t="s">
        <v>151</v>
      </c>
      <c r="O542" s="15" t="s">
        <v>346</v>
      </c>
      <c r="P542" s="15" t="s">
        <v>347</v>
      </c>
      <c r="Q542" s="15" t="s">
        <v>348</v>
      </c>
      <c r="R542" s="27" t="s">
        <v>152</v>
      </c>
      <c r="S542" s="15" t="s">
        <v>346</v>
      </c>
      <c r="T542" s="15" t="s">
        <v>347</v>
      </c>
      <c r="U542" s="15" t="s">
        <v>348</v>
      </c>
      <c r="V542" s="27" t="s">
        <v>157</v>
      </c>
      <c r="W542" s="15" t="s">
        <v>346</v>
      </c>
      <c r="X542" s="15" t="s">
        <v>347</v>
      </c>
      <c r="Y542" s="15" t="s">
        <v>348</v>
      </c>
      <c r="Z542" s="27" t="s">
        <v>153</v>
      </c>
      <c r="AA542" s="15" t="s">
        <v>346</v>
      </c>
      <c r="AB542" s="15" t="s">
        <v>347</v>
      </c>
      <c r="AC542" s="15" t="s">
        <v>348</v>
      </c>
      <c r="AD542" s="27" t="s">
        <v>154</v>
      </c>
      <c r="AE542" s="15" t="s">
        <v>346</v>
      </c>
      <c r="AF542" s="15" t="s">
        <v>347</v>
      </c>
      <c r="AG542" s="15" t="s">
        <v>348</v>
      </c>
      <c r="AH542" s="27" t="s">
        <v>155</v>
      </c>
      <c r="AI542" s="15" t="s">
        <v>346</v>
      </c>
      <c r="AJ542" s="15" t="s">
        <v>347</v>
      </c>
      <c r="AK542" s="15" t="s">
        <v>348</v>
      </c>
    </row>
    <row r="543" spans="1:38">
      <c r="A543" s="4" t="s">
        <v>181</v>
      </c>
      <c r="C543" s="34">
        <f t="shared" ref="C543:E544" si="16">C365*$B523</f>
        <v>15.835291724027769</v>
      </c>
      <c r="D543" s="34">
        <f t="shared" si="16"/>
        <v>0.64745275636375021</v>
      </c>
      <c r="E543" s="34">
        <f t="shared" si="16"/>
        <v>4.609171565793508E-2</v>
      </c>
      <c r="G543" s="34">
        <f t="shared" ref="G543:I544" si="17">G365*$C523</f>
        <v>12.194114702619741</v>
      </c>
      <c r="H543" s="34">
        <f t="shared" si="17"/>
        <v>1.4119208659872471</v>
      </c>
      <c r="I543" s="34">
        <f t="shared" si="17"/>
        <v>0.21480121874978467</v>
      </c>
      <c r="K543" s="34">
        <f t="shared" ref="K543:M544" si="18">K365*$D523</f>
        <v>12.194114702619741</v>
      </c>
      <c r="L543" s="34">
        <f t="shared" si="18"/>
        <v>1.4119208659872471</v>
      </c>
      <c r="M543" s="34">
        <f t="shared" si="18"/>
        <v>0.21480121874978467</v>
      </c>
      <c r="O543" s="34">
        <f t="shared" ref="O543:Q544" si="19">O365*$E523</f>
        <v>10.283849245076331</v>
      </c>
      <c r="P543" s="34">
        <f t="shared" si="19"/>
        <v>1.9896820887984108</v>
      </c>
      <c r="Q543" s="34">
        <f t="shared" si="19"/>
        <v>0.2211276244458901</v>
      </c>
      <c r="S543" s="34">
        <f t="shared" ref="S543:U544" si="20">S365*$F523</f>
        <v>10.283849245076331</v>
      </c>
      <c r="T543" s="34">
        <f t="shared" si="20"/>
        <v>1.9896820887984108</v>
      </c>
      <c r="U543" s="34">
        <f t="shared" si="20"/>
        <v>0.2211276244458901</v>
      </c>
      <c r="W543" s="34">
        <f t="shared" ref="W543:Y544" si="21">W365*$G523</f>
        <v>1.632747297949942</v>
      </c>
      <c r="X543" s="34">
        <f t="shared" si="21"/>
        <v>1.632747297949942</v>
      </c>
      <c r="Y543" s="34">
        <f t="shared" si="21"/>
        <v>1.6327472979499418</v>
      </c>
      <c r="AA543" s="34">
        <f t="shared" ref="AA543:AC544" si="22">AA365*$H523</f>
        <v>10.283849245076331</v>
      </c>
      <c r="AB543" s="34">
        <f t="shared" si="22"/>
        <v>1.9896820887984108</v>
      </c>
      <c r="AC543" s="34">
        <f t="shared" si="22"/>
        <v>0.2211276244458901</v>
      </c>
      <c r="AE543" s="34">
        <f t="shared" ref="AE543:AG544" si="23">AE365*$I523</f>
        <v>10.283849245076331</v>
      </c>
      <c r="AF543" s="34">
        <f t="shared" si="23"/>
        <v>1.9896820887984108</v>
      </c>
      <c r="AG543" s="34">
        <f t="shared" si="23"/>
        <v>0.2211276244458901</v>
      </c>
      <c r="AI543" s="34">
        <f t="shared" ref="AI543:AK544" si="24">AI365*$J523</f>
        <v>10.283849245076331</v>
      </c>
      <c r="AJ543" s="34">
        <f t="shared" si="24"/>
        <v>1.9896820887984108</v>
      </c>
      <c r="AK543" s="34">
        <f t="shared" si="24"/>
        <v>0.2211276244458901</v>
      </c>
      <c r="AL543" s="17"/>
    </row>
    <row r="544" spans="1:38">
      <c r="A544" s="4" t="s">
        <v>183</v>
      </c>
      <c r="C544" s="34">
        <f t="shared" si="16"/>
        <v>12.649494438284577</v>
      </c>
      <c r="D544" s="34">
        <f t="shared" si="16"/>
        <v>0.51719603171239414</v>
      </c>
      <c r="E544" s="34">
        <f t="shared" si="16"/>
        <v>3.6818829171386201E-2</v>
      </c>
      <c r="G544" s="34">
        <f t="shared" si="17"/>
        <v>9.7404812783324317</v>
      </c>
      <c r="H544" s="34">
        <f t="shared" si="17"/>
        <v>1.1278218302047864</v>
      </c>
      <c r="I544" s="34">
        <f t="shared" si="17"/>
        <v>0.17158008603492725</v>
      </c>
      <c r="K544" s="34">
        <f t="shared" si="18"/>
        <v>9.7404812783324317</v>
      </c>
      <c r="L544" s="34">
        <f t="shared" si="18"/>
        <v>1.1278218302047864</v>
      </c>
      <c r="M544" s="34">
        <f t="shared" si="18"/>
        <v>0.17158008603492725</v>
      </c>
      <c r="O544" s="34">
        <f t="shared" si="19"/>
        <v>8.2141398658216129</v>
      </c>
      <c r="P544" s="34">
        <f t="shared" si="19"/>
        <v>1.5892421773622507</v>
      </c>
      <c r="Q544" s="34">
        <f t="shared" si="19"/>
        <v>0.17662386836962374</v>
      </c>
      <c r="S544" s="34">
        <f t="shared" si="20"/>
        <v>8.2141398658216129</v>
      </c>
      <c r="T544" s="34">
        <f t="shared" si="20"/>
        <v>1.5892421773622507</v>
      </c>
      <c r="U544" s="34">
        <f t="shared" si="20"/>
        <v>0.17662386836962374</v>
      </c>
      <c r="W544" s="34">
        <f t="shared" si="21"/>
        <v>1.3046610782230523</v>
      </c>
      <c r="X544" s="34">
        <f t="shared" si="21"/>
        <v>1.3046610782230521</v>
      </c>
      <c r="Y544" s="34">
        <f t="shared" si="21"/>
        <v>1.3046610782230523</v>
      </c>
      <c r="AA544" s="34">
        <f t="shared" si="22"/>
        <v>8.2141398658216129</v>
      </c>
      <c r="AB544" s="34">
        <f t="shared" si="22"/>
        <v>1.5892421773622507</v>
      </c>
      <c r="AC544" s="34">
        <f t="shared" si="22"/>
        <v>0.17662386836962374</v>
      </c>
      <c r="AE544" s="34">
        <f t="shared" si="23"/>
        <v>8.2141398658216129</v>
      </c>
      <c r="AF544" s="34">
        <f t="shared" si="23"/>
        <v>1.5892421773622507</v>
      </c>
      <c r="AG544" s="34">
        <f t="shared" si="23"/>
        <v>0.17662386836962374</v>
      </c>
      <c r="AI544" s="34">
        <f t="shared" si="24"/>
        <v>8.2141398658216129</v>
      </c>
      <c r="AJ544" s="34">
        <f t="shared" si="24"/>
        <v>1.5892421773622507</v>
      </c>
      <c r="AK544" s="34">
        <f t="shared" si="24"/>
        <v>0.17662386836962374</v>
      </c>
      <c r="AL544" s="17"/>
    </row>
    <row r="546" spans="1:38" ht="21" customHeight="1">
      <c r="A546" s="1" t="s">
        <v>723</v>
      </c>
    </row>
    <row r="547" spans="1:38">
      <c r="A547" s="2" t="s">
        <v>379</v>
      </c>
    </row>
    <row r="548" spans="1:38">
      <c r="A548" s="29" t="s">
        <v>686</v>
      </c>
    </row>
    <row r="549" spans="1:38">
      <c r="A549" s="29" t="s">
        <v>720</v>
      </c>
    </row>
    <row r="550" spans="1:38">
      <c r="A550" s="2" t="s">
        <v>721</v>
      </c>
    </row>
    <row r="552" spans="1:38">
      <c r="B552" s="27" t="s">
        <v>148</v>
      </c>
      <c r="C552" s="15" t="s">
        <v>346</v>
      </c>
      <c r="D552" s="15" t="s">
        <v>347</v>
      </c>
      <c r="E552" s="15" t="s">
        <v>348</v>
      </c>
      <c r="F552" s="27" t="s">
        <v>149</v>
      </c>
      <c r="G552" s="15" t="s">
        <v>346</v>
      </c>
      <c r="H552" s="15" t="s">
        <v>347</v>
      </c>
      <c r="I552" s="15" t="s">
        <v>348</v>
      </c>
      <c r="J552" s="27" t="s">
        <v>150</v>
      </c>
      <c r="K552" s="15" t="s">
        <v>346</v>
      </c>
      <c r="L552" s="15" t="s">
        <v>347</v>
      </c>
      <c r="M552" s="15" t="s">
        <v>348</v>
      </c>
      <c r="N552" s="27" t="s">
        <v>151</v>
      </c>
      <c r="O552" s="15" t="s">
        <v>346</v>
      </c>
      <c r="P552" s="15" t="s">
        <v>347</v>
      </c>
      <c r="Q552" s="15" t="s">
        <v>348</v>
      </c>
      <c r="R552" s="27" t="s">
        <v>152</v>
      </c>
      <c r="S552" s="15" t="s">
        <v>346</v>
      </c>
      <c r="T552" s="15" t="s">
        <v>347</v>
      </c>
      <c r="U552" s="15" t="s">
        <v>348</v>
      </c>
      <c r="V552" s="27" t="s">
        <v>157</v>
      </c>
      <c r="W552" s="15" t="s">
        <v>346</v>
      </c>
      <c r="X552" s="15" t="s">
        <v>347</v>
      </c>
      <c r="Y552" s="15" t="s">
        <v>348</v>
      </c>
      <c r="Z552" s="27" t="s">
        <v>153</v>
      </c>
      <c r="AA552" s="15" t="s">
        <v>346</v>
      </c>
      <c r="AB552" s="15" t="s">
        <v>347</v>
      </c>
      <c r="AC552" s="15" t="s">
        <v>348</v>
      </c>
      <c r="AD552" s="27" t="s">
        <v>154</v>
      </c>
      <c r="AE552" s="15" t="s">
        <v>346</v>
      </c>
      <c r="AF552" s="15" t="s">
        <v>347</v>
      </c>
      <c r="AG552" s="15" t="s">
        <v>348</v>
      </c>
      <c r="AH552" s="27" t="s">
        <v>155</v>
      </c>
      <c r="AI552" s="15" t="s">
        <v>346</v>
      </c>
      <c r="AJ552" s="15" t="s">
        <v>347</v>
      </c>
      <c r="AK552" s="15" t="s">
        <v>348</v>
      </c>
    </row>
    <row r="553" spans="1:38">
      <c r="A553" s="4" t="s">
        <v>226</v>
      </c>
      <c r="C553" s="34">
        <f t="shared" ref="C553:E554" si="25">C402*$B523</f>
        <v>9.6987124165248915</v>
      </c>
      <c r="D553" s="34">
        <f t="shared" si="25"/>
        <v>0.39654830467885838</v>
      </c>
      <c r="E553" s="34">
        <f t="shared" si="25"/>
        <v>2.8230000605056475E-2</v>
      </c>
      <c r="G553" s="34">
        <f t="shared" ref="G553:I554" si="26">G402*$C523</f>
        <v>7.4685843327643537</v>
      </c>
      <c r="H553" s="34">
        <f t="shared" si="26"/>
        <v>0.86476552960010866</v>
      </c>
      <c r="I553" s="34">
        <f t="shared" si="26"/>
        <v>0.13156026953466957</v>
      </c>
      <c r="K553" s="34">
        <f t="shared" ref="K553:M554" si="27">K402*$D523</f>
        <v>7.4685843327643537</v>
      </c>
      <c r="L553" s="34">
        <f t="shared" si="27"/>
        <v>0.86476552960010866</v>
      </c>
      <c r="M553" s="34">
        <f t="shared" si="27"/>
        <v>0.13156026953466957</v>
      </c>
      <c r="O553" s="34">
        <f t="shared" ref="O553:Q554" si="28">O402*$E523</f>
        <v>6.2985954475060728</v>
      </c>
      <c r="P553" s="34">
        <f t="shared" si="28"/>
        <v>1.2186295469558905</v>
      </c>
      <c r="Q553" s="34">
        <f t="shared" si="28"/>
        <v>0.13543503171437032</v>
      </c>
      <c r="S553" s="34">
        <f t="shared" ref="S553:U554" si="29">S402*$F523</f>
        <v>6.2985954475060728</v>
      </c>
      <c r="T553" s="34">
        <f t="shared" si="29"/>
        <v>1.2186295469558905</v>
      </c>
      <c r="U553" s="34">
        <f t="shared" si="29"/>
        <v>0.13543503171437032</v>
      </c>
      <c r="W553" s="34">
        <f t="shared" ref="W553:Y554" si="30">W402*$G523</f>
        <v>1.000016088598255</v>
      </c>
      <c r="X553" s="34">
        <f t="shared" si="30"/>
        <v>1.000016088598255</v>
      </c>
      <c r="Y553" s="34">
        <f t="shared" si="30"/>
        <v>1.000016088598255</v>
      </c>
      <c r="AA553" s="34">
        <f t="shared" ref="AA553:AC554" si="31">AA402*$H523</f>
        <v>6.2985954475060728</v>
      </c>
      <c r="AB553" s="34">
        <f t="shared" si="31"/>
        <v>1.2186295469558905</v>
      </c>
      <c r="AC553" s="34">
        <f t="shared" si="31"/>
        <v>0.13543503171437032</v>
      </c>
      <c r="AE553" s="34">
        <f t="shared" ref="AE553:AG554" si="32">AE402*$I523</f>
        <v>6.2985954475060728</v>
      </c>
      <c r="AF553" s="34">
        <f t="shared" si="32"/>
        <v>1.2186295469558905</v>
      </c>
      <c r="AG553" s="34">
        <f t="shared" si="32"/>
        <v>0.13543503171437032</v>
      </c>
      <c r="AI553" s="34">
        <f t="shared" ref="AI553:AK554" si="33">AI402*$J523</f>
        <v>6.2985954475060728</v>
      </c>
      <c r="AJ553" s="34">
        <f t="shared" si="33"/>
        <v>1.2186295469558905</v>
      </c>
      <c r="AK553" s="34">
        <f t="shared" si="33"/>
        <v>0.13543503171437032</v>
      </c>
      <c r="AL553" s="17"/>
    </row>
    <row r="554" spans="1:38">
      <c r="A554" s="4" t="s">
        <v>227</v>
      </c>
      <c r="C554" s="34">
        <f t="shared" si="25"/>
        <v>9.7525511298216667</v>
      </c>
      <c r="D554" s="34">
        <f t="shared" si="25"/>
        <v>0.39874959177420016</v>
      </c>
      <c r="E554" s="34">
        <f t="shared" si="25"/>
        <v>2.8386708716780031E-2</v>
      </c>
      <c r="G554" s="34">
        <f t="shared" si="26"/>
        <v>7.5097500662556218</v>
      </c>
      <c r="H554" s="34">
        <f t="shared" si="26"/>
        <v>0.86953198944548837</v>
      </c>
      <c r="I554" s="34">
        <f t="shared" si="26"/>
        <v>0.13228541030464722</v>
      </c>
      <c r="K554" s="34">
        <f t="shared" si="27"/>
        <v>7.5097500662556218</v>
      </c>
      <c r="L554" s="34">
        <f t="shared" si="27"/>
        <v>0.86953198944548837</v>
      </c>
      <c r="M554" s="34">
        <f t="shared" si="27"/>
        <v>0.13228541030464722</v>
      </c>
      <c r="O554" s="34">
        <f t="shared" si="28"/>
        <v>6.3329660659383205</v>
      </c>
      <c r="P554" s="34">
        <f t="shared" si="28"/>
        <v>1.2252794503379643</v>
      </c>
      <c r="Q554" s="34">
        <f t="shared" si="28"/>
        <v>0.13617408311657733</v>
      </c>
      <c r="S554" s="34">
        <f t="shared" si="29"/>
        <v>6.3329660659383205</v>
      </c>
      <c r="T554" s="34">
        <f t="shared" si="29"/>
        <v>1.2252794503379643</v>
      </c>
      <c r="U554" s="34">
        <f t="shared" si="29"/>
        <v>0.13617408311657733</v>
      </c>
      <c r="W554" s="34">
        <f t="shared" si="30"/>
        <v>1.0058721267111823</v>
      </c>
      <c r="X554" s="34">
        <f t="shared" si="30"/>
        <v>1.0058721267111823</v>
      </c>
      <c r="Y554" s="34">
        <f t="shared" si="30"/>
        <v>1.0058721267111823</v>
      </c>
      <c r="AA554" s="34">
        <f t="shared" si="31"/>
        <v>6.3329660659383205</v>
      </c>
      <c r="AB554" s="34">
        <f t="shared" si="31"/>
        <v>1.2252794503379643</v>
      </c>
      <c r="AC554" s="34">
        <f t="shared" si="31"/>
        <v>0.13617408311657733</v>
      </c>
      <c r="AE554" s="34">
        <f t="shared" si="32"/>
        <v>6.3329660659383205</v>
      </c>
      <c r="AF554" s="34">
        <f t="shared" si="32"/>
        <v>1.2252794503379643</v>
      </c>
      <c r="AG554" s="34">
        <f t="shared" si="32"/>
        <v>0.13617408311657733</v>
      </c>
      <c r="AI554" s="34">
        <f t="shared" si="33"/>
        <v>6.3329660659383205</v>
      </c>
      <c r="AJ554" s="34">
        <f t="shared" si="33"/>
        <v>1.2252794503379643</v>
      </c>
      <c r="AK554" s="34">
        <f t="shared" si="33"/>
        <v>0.13617408311657733</v>
      </c>
      <c r="AL554" s="17"/>
    </row>
    <row r="556" spans="1:38" ht="21" customHeight="1">
      <c r="A556" s="1" t="s">
        <v>724</v>
      </c>
    </row>
    <row r="557" spans="1:38">
      <c r="A557" s="2" t="s">
        <v>379</v>
      </c>
    </row>
    <row r="558" spans="1:38">
      <c r="A558" s="29" t="s">
        <v>694</v>
      </c>
    </row>
    <row r="559" spans="1:38">
      <c r="A559" s="29" t="s">
        <v>720</v>
      </c>
    </row>
    <row r="560" spans="1:38">
      <c r="A560" s="29" t="s">
        <v>725</v>
      </c>
    </row>
    <row r="561" spans="1:38">
      <c r="A561" s="2" t="s">
        <v>726</v>
      </c>
    </row>
    <row r="563" spans="1:38">
      <c r="B563" s="27" t="s">
        <v>148</v>
      </c>
      <c r="C563" s="15" t="s">
        <v>346</v>
      </c>
      <c r="D563" s="15" t="s">
        <v>347</v>
      </c>
      <c r="E563" s="15" t="s">
        <v>348</v>
      </c>
      <c r="F563" s="27" t="s">
        <v>149</v>
      </c>
      <c r="G563" s="15" t="s">
        <v>346</v>
      </c>
      <c r="H563" s="15" t="s">
        <v>347</v>
      </c>
      <c r="I563" s="15" t="s">
        <v>348</v>
      </c>
      <c r="J563" s="27" t="s">
        <v>150</v>
      </c>
      <c r="K563" s="15" t="s">
        <v>346</v>
      </c>
      <c r="L563" s="15" t="s">
        <v>347</v>
      </c>
      <c r="M563" s="15" t="s">
        <v>348</v>
      </c>
      <c r="N563" s="27" t="s">
        <v>151</v>
      </c>
      <c r="O563" s="15" t="s">
        <v>346</v>
      </c>
      <c r="P563" s="15" t="s">
        <v>347</v>
      </c>
      <c r="Q563" s="15" t="s">
        <v>348</v>
      </c>
      <c r="R563" s="27" t="s">
        <v>152</v>
      </c>
      <c r="S563" s="15" t="s">
        <v>346</v>
      </c>
      <c r="T563" s="15" t="s">
        <v>347</v>
      </c>
      <c r="U563" s="15" t="s">
        <v>348</v>
      </c>
      <c r="V563" s="27" t="s">
        <v>157</v>
      </c>
      <c r="W563" s="15" t="s">
        <v>346</v>
      </c>
      <c r="X563" s="15" t="s">
        <v>347</v>
      </c>
      <c r="Y563" s="15" t="s">
        <v>348</v>
      </c>
      <c r="Z563" s="27" t="s">
        <v>153</v>
      </c>
      <c r="AA563" s="15" t="s">
        <v>346</v>
      </c>
      <c r="AB563" s="15" t="s">
        <v>347</v>
      </c>
      <c r="AC563" s="15" t="s">
        <v>348</v>
      </c>
      <c r="AD563" s="27" t="s">
        <v>154</v>
      </c>
      <c r="AE563" s="15" t="s">
        <v>346</v>
      </c>
      <c r="AF563" s="15" t="s">
        <v>347</v>
      </c>
      <c r="AG563" s="15" t="s">
        <v>348</v>
      </c>
      <c r="AH563" s="27" t="s">
        <v>155</v>
      </c>
      <c r="AI563" s="15" t="s">
        <v>346</v>
      </c>
      <c r="AJ563" s="15" t="s">
        <v>347</v>
      </c>
      <c r="AK563" s="15" t="s">
        <v>348</v>
      </c>
    </row>
    <row r="564" spans="1:38">
      <c r="A564" s="4" t="s">
        <v>186</v>
      </c>
      <c r="C564" s="34">
        <f t="shared" ref="C564:E565" si="34">C439*$B523*$B506</f>
        <v>14.130851208424922</v>
      </c>
      <c r="D564" s="34">
        <f t="shared" si="34"/>
        <v>0.5777638154135406</v>
      </c>
      <c r="E564" s="34">
        <f t="shared" si="34"/>
        <v>4.1130607964426268E-2</v>
      </c>
      <c r="G564" s="34">
        <f t="shared" ref="G564:I565" si="35">G439*$C523*$C506</f>
        <v>10.886980294179001</v>
      </c>
      <c r="H564" s="34">
        <f t="shared" si="35"/>
        <v>1.2605715970213842</v>
      </c>
      <c r="I564" s="34">
        <f t="shared" si="35"/>
        <v>0.19177584373485806</v>
      </c>
      <c r="K564" s="34">
        <f t="shared" ref="K564:M565" si="36">K439*$D523*$D506</f>
        <v>10.886980294179001</v>
      </c>
      <c r="L564" s="34">
        <f t="shared" si="36"/>
        <v>1.2605715970213842</v>
      </c>
      <c r="M564" s="34">
        <f t="shared" si="36"/>
        <v>0.19177584373485806</v>
      </c>
      <c r="O564" s="34">
        <f t="shared" ref="O564:Q565" si="37">O439*$E523*$E506</f>
        <v>9.1814975976554685</v>
      </c>
      <c r="P564" s="34">
        <f t="shared" si="37"/>
        <v>1.77640306494644</v>
      </c>
      <c r="Q564" s="34">
        <f t="shared" si="37"/>
        <v>0.1974243986119549</v>
      </c>
      <c r="S564" s="34">
        <f t="shared" ref="S564:U565" si="38">S439*$F523*$F506</f>
        <v>9.1814975976554685</v>
      </c>
      <c r="T564" s="34">
        <f t="shared" si="38"/>
        <v>1.77640306494644</v>
      </c>
      <c r="U564" s="34">
        <f t="shared" si="38"/>
        <v>0.1974243986119549</v>
      </c>
      <c r="W564" s="34">
        <f t="shared" ref="W564:Y565" si="39">W439*$G523*$G506</f>
        <v>1.4659243778043127</v>
      </c>
      <c r="X564" s="34">
        <f t="shared" si="39"/>
        <v>1.4659243778043125</v>
      </c>
      <c r="Y564" s="34">
        <f t="shared" si="39"/>
        <v>1.4659243778043127</v>
      </c>
      <c r="AA564" s="34">
        <f t="shared" ref="AA564:AC565" si="40">AA439*$H523*$H506</f>
        <v>9.1814975976554685</v>
      </c>
      <c r="AB564" s="34">
        <f t="shared" si="40"/>
        <v>1.77640306494644</v>
      </c>
      <c r="AC564" s="34">
        <f t="shared" si="40"/>
        <v>0.1974243986119549</v>
      </c>
      <c r="AE564" s="34">
        <f t="shared" ref="AE564:AG565" si="41">AE439*$I523*$I506</f>
        <v>9.1814975976554685</v>
      </c>
      <c r="AF564" s="34">
        <f t="shared" si="41"/>
        <v>1.77640306494644</v>
      </c>
      <c r="AG564" s="34">
        <f t="shared" si="41"/>
        <v>0.1974243986119549</v>
      </c>
      <c r="AI564" s="34">
        <f t="shared" ref="AI564:AK565" si="42">AI439*$J523*$J506</f>
        <v>9.1814975976554685</v>
      </c>
      <c r="AJ564" s="34">
        <f t="shared" si="42"/>
        <v>1.77640306494644</v>
      </c>
      <c r="AK564" s="34">
        <f t="shared" si="42"/>
        <v>0.1974243986119549</v>
      </c>
      <c r="AL564" s="17"/>
    </row>
    <row r="565" spans="1:38">
      <c r="A565" s="4" t="s">
        <v>187</v>
      </c>
      <c r="C565" s="34">
        <f t="shared" si="34"/>
        <v>12.921514334945183</v>
      </c>
      <c r="D565" s="34">
        <f t="shared" si="34"/>
        <v>0.52831802649140136</v>
      </c>
      <c r="E565" s="34">
        <f t="shared" si="34"/>
        <v>3.7610596317119112E-2</v>
      </c>
      <c r="G565" s="34">
        <f t="shared" si="35"/>
        <v>9.9474604993253717</v>
      </c>
      <c r="H565" s="34">
        <f t="shared" si="35"/>
        <v>1.1517873486595975</v>
      </c>
      <c r="I565" s="34">
        <f t="shared" si="35"/>
        <v>0.17522605706352623</v>
      </c>
      <c r="K565" s="34">
        <f t="shared" si="36"/>
        <v>9.9474604993253717</v>
      </c>
      <c r="L565" s="34">
        <f t="shared" si="36"/>
        <v>1.1517873486595975</v>
      </c>
      <c r="M565" s="34">
        <f t="shared" si="36"/>
        <v>0.17522605706352623</v>
      </c>
      <c r="O565" s="34">
        <f t="shared" si="37"/>
        <v>8.3889535653064424</v>
      </c>
      <c r="P565" s="34">
        <f t="shared" si="37"/>
        <v>1.6230645019075158</v>
      </c>
      <c r="Q565" s="34">
        <f t="shared" si="37"/>
        <v>0.18038278559667131</v>
      </c>
      <c r="S565" s="34">
        <f t="shared" si="38"/>
        <v>8.3889535653064424</v>
      </c>
      <c r="T565" s="34">
        <f t="shared" si="38"/>
        <v>1.6230645019075158</v>
      </c>
      <c r="U565" s="34">
        <f t="shared" si="38"/>
        <v>0.18038278559667131</v>
      </c>
      <c r="W565" s="34">
        <f t="shared" si="39"/>
        <v>1.3283667872625673</v>
      </c>
      <c r="X565" s="34">
        <f t="shared" si="39"/>
        <v>1.3283667872625671</v>
      </c>
      <c r="Y565" s="34">
        <f t="shared" si="39"/>
        <v>1.3283667872625671</v>
      </c>
      <c r="AA565" s="34">
        <f t="shared" si="40"/>
        <v>8.3889535653064424</v>
      </c>
      <c r="AB565" s="34">
        <f t="shared" si="40"/>
        <v>1.6230645019075158</v>
      </c>
      <c r="AC565" s="34">
        <f t="shared" si="40"/>
        <v>0.18038278559667131</v>
      </c>
      <c r="AE565" s="34">
        <f t="shared" si="41"/>
        <v>8.3889535653064424</v>
      </c>
      <c r="AF565" s="34">
        <f t="shared" si="41"/>
        <v>1.6230645019075158</v>
      </c>
      <c r="AG565" s="34">
        <f t="shared" si="41"/>
        <v>0.18038278559667131</v>
      </c>
      <c r="AI565" s="34">
        <f t="shared" si="42"/>
        <v>8.3889535653064424</v>
      </c>
      <c r="AJ565" s="34">
        <f t="shared" si="42"/>
        <v>1.6230645019075158</v>
      </c>
      <c r="AK565" s="34">
        <f t="shared" si="42"/>
        <v>0.18038278559667131</v>
      </c>
      <c r="AL565" s="17"/>
    </row>
    <row r="567" spans="1:38" ht="21" customHeight="1">
      <c r="A567" s="1" t="s">
        <v>727</v>
      </c>
    </row>
    <row r="568" spans="1:38">
      <c r="A568" s="2" t="s">
        <v>379</v>
      </c>
    </row>
    <row r="569" spans="1:38">
      <c r="A569" s="29" t="s">
        <v>728</v>
      </c>
    </row>
    <row r="570" spans="1:38">
      <c r="A570" s="29" t="s">
        <v>729</v>
      </c>
    </row>
    <row r="571" spans="1:38">
      <c r="A571" s="29" t="s">
        <v>730</v>
      </c>
    </row>
    <row r="572" spans="1:38">
      <c r="A572" s="29" t="s">
        <v>731</v>
      </c>
    </row>
    <row r="573" spans="1:38">
      <c r="A573" s="29" t="s">
        <v>732</v>
      </c>
    </row>
    <row r="574" spans="1:38">
      <c r="A574" s="2" t="s">
        <v>468</v>
      </c>
    </row>
    <row r="576" spans="1:38">
      <c r="B576" s="27" t="s">
        <v>148</v>
      </c>
      <c r="C576" s="15" t="s">
        <v>346</v>
      </c>
      <c r="D576" s="15" t="s">
        <v>347</v>
      </c>
      <c r="E576" s="15" t="s">
        <v>348</v>
      </c>
      <c r="F576" s="27" t="s">
        <v>149</v>
      </c>
      <c r="G576" s="15" t="s">
        <v>346</v>
      </c>
      <c r="H576" s="15" t="s">
        <v>347</v>
      </c>
      <c r="I576" s="15" t="s">
        <v>348</v>
      </c>
      <c r="J576" s="27" t="s">
        <v>150</v>
      </c>
      <c r="K576" s="15" t="s">
        <v>346</v>
      </c>
      <c r="L576" s="15" t="s">
        <v>347</v>
      </c>
      <c r="M576" s="15" t="s">
        <v>348</v>
      </c>
      <c r="N576" s="27" t="s">
        <v>151</v>
      </c>
      <c r="O576" s="15" t="s">
        <v>346</v>
      </c>
      <c r="P576" s="15" t="s">
        <v>347</v>
      </c>
      <c r="Q576" s="15" t="s">
        <v>348</v>
      </c>
      <c r="R576" s="27" t="s">
        <v>152</v>
      </c>
      <c r="S576" s="15" t="s">
        <v>346</v>
      </c>
      <c r="T576" s="15" t="s">
        <v>347</v>
      </c>
      <c r="U576" s="15" t="s">
        <v>348</v>
      </c>
      <c r="V576" s="27" t="s">
        <v>157</v>
      </c>
      <c r="W576" s="15" t="s">
        <v>346</v>
      </c>
      <c r="X576" s="15" t="s">
        <v>347</v>
      </c>
      <c r="Y576" s="15" t="s">
        <v>348</v>
      </c>
      <c r="Z576" s="27" t="s">
        <v>153</v>
      </c>
      <c r="AA576" s="15" t="s">
        <v>346</v>
      </c>
      <c r="AB576" s="15" t="s">
        <v>347</v>
      </c>
      <c r="AC576" s="15" t="s">
        <v>348</v>
      </c>
      <c r="AD576" s="27" t="s">
        <v>154</v>
      </c>
      <c r="AE576" s="15" t="s">
        <v>346</v>
      </c>
      <c r="AF576" s="15" t="s">
        <v>347</v>
      </c>
      <c r="AG576" s="15" t="s">
        <v>348</v>
      </c>
      <c r="AH576" s="27" t="s">
        <v>155</v>
      </c>
      <c r="AI576" s="15" t="s">
        <v>346</v>
      </c>
      <c r="AJ576" s="15" t="s">
        <v>347</v>
      </c>
      <c r="AK576" s="15" t="s">
        <v>348</v>
      </c>
    </row>
    <row r="577" spans="1:38">
      <c r="A577" s="4" t="s">
        <v>180</v>
      </c>
      <c r="C577" s="35">
        <f>C$533</f>
        <v>13.995132257036518</v>
      </c>
      <c r="D577" s="35">
        <f>D$533</f>
        <v>0.57221471592749273</v>
      </c>
      <c r="E577" s="35">
        <f>E$533</f>
        <v>4.0735571395109672E-2</v>
      </c>
      <c r="G577" s="35">
        <f>G$533</f>
        <v>10.777082670456117</v>
      </c>
      <c r="H577" s="35">
        <f>H$533</f>
        <v>1.2478468726899474</v>
      </c>
      <c r="I577" s="35">
        <f>I$533</f>
        <v>0.18983998007529204</v>
      </c>
      <c r="K577" s="35">
        <f>K$533</f>
        <v>10.777082670456117</v>
      </c>
      <c r="L577" s="35">
        <f>L$533</f>
        <v>1.2478468726899474</v>
      </c>
      <c r="M577" s="35">
        <f>M$533</f>
        <v>0.18983998007529204</v>
      </c>
      <c r="O577" s="35">
        <f>O$533</f>
        <v>9.0888019497540906</v>
      </c>
      <c r="P577" s="35">
        <f>P$533</f>
        <v>1.758468645066914</v>
      </c>
      <c r="Q577" s="35">
        <f>Q$533</f>
        <v>0.19543121805004438</v>
      </c>
      <c r="S577" s="35">
        <f>S$533</f>
        <v>9.0888019497540906</v>
      </c>
      <c r="T577" s="35">
        <f>T$533</f>
        <v>1.758468645066914</v>
      </c>
      <c r="U577" s="35">
        <f>U$533</f>
        <v>0.19543121805004438</v>
      </c>
      <c r="W577" s="35">
        <f>W$533</f>
        <v>1.4430118986981524</v>
      </c>
      <c r="X577" s="35">
        <f>X$533</f>
        <v>1.4430118986981522</v>
      </c>
      <c r="Y577" s="35">
        <f>Y$533</f>
        <v>1.4430118986981522</v>
      </c>
      <c r="AA577" s="35">
        <f>AA$533</f>
        <v>9.0888019497540906</v>
      </c>
      <c r="AB577" s="35">
        <f>AB$533</f>
        <v>1.758468645066914</v>
      </c>
      <c r="AC577" s="35">
        <f>AC$533</f>
        <v>0.19543121805004438</v>
      </c>
      <c r="AE577" s="35">
        <f>AE$533</f>
        <v>9.0888019497540906</v>
      </c>
      <c r="AF577" s="35">
        <f>AF$533</f>
        <v>1.758468645066914</v>
      </c>
      <c r="AG577" s="35">
        <f>AG$533</f>
        <v>0.19543121805004438</v>
      </c>
      <c r="AI577" s="35">
        <f>AI$533</f>
        <v>9.0888019497540906</v>
      </c>
      <c r="AJ577" s="35">
        <f>AJ$533</f>
        <v>1.758468645066914</v>
      </c>
      <c r="AK577" s="35">
        <f>AK$533</f>
        <v>0.19543121805004438</v>
      </c>
      <c r="AL577" s="17"/>
    </row>
    <row r="578" spans="1:38">
      <c r="A578" s="4" t="s">
        <v>181</v>
      </c>
      <c r="C578" s="35">
        <f>C$543</f>
        <v>15.835291724027769</v>
      </c>
      <c r="D578" s="35">
        <f>D$543</f>
        <v>0.64745275636375021</v>
      </c>
      <c r="E578" s="35">
        <f>E$543</f>
        <v>4.609171565793508E-2</v>
      </c>
      <c r="G578" s="35">
        <f>G$543</f>
        <v>12.194114702619741</v>
      </c>
      <c r="H578" s="35">
        <f>H$543</f>
        <v>1.4119208659872471</v>
      </c>
      <c r="I578" s="35">
        <f>I$543</f>
        <v>0.21480121874978467</v>
      </c>
      <c r="K578" s="35">
        <f>K$543</f>
        <v>12.194114702619741</v>
      </c>
      <c r="L578" s="35">
        <f>L$543</f>
        <v>1.4119208659872471</v>
      </c>
      <c r="M578" s="35">
        <f>M$543</f>
        <v>0.21480121874978467</v>
      </c>
      <c r="O578" s="35">
        <f>O$543</f>
        <v>10.283849245076331</v>
      </c>
      <c r="P578" s="35">
        <f>P$543</f>
        <v>1.9896820887984108</v>
      </c>
      <c r="Q578" s="35">
        <f>Q$543</f>
        <v>0.2211276244458901</v>
      </c>
      <c r="S578" s="35">
        <f>S$543</f>
        <v>10.283849245076331</v>
      </c>
      <c r="T578" s="35">
        <f>T$543</f>
        <v>1.9896820887984108</v>
      </c>
      <c r="U578" s="35">
        <f>U$543</f>
        <v>0.2211276244458901</v>
      </c>
      <c r="W578" s="35">
        <f>W$543</f>
        <v>1.632747297949942</v>
      </c>
      <c r="X578" s="35">
        <f>X$543</f>
        <v>1.632747297949942</v>
      </c>
      <c r="Y578" s="35">
        <f>Y$543</f>
        <v>1.6327472979499418</v>
      </c>
      <c r="AA578" s="35">
        <f>AA$543</f>
        <v>10.283849245076331</v>
      </c>
      <c r="AB578" s="35">
        <f>AB$543</f>
        <v>1.9896820887984108</v>
      </c>
      <c r="AC578" s="35">
        <f>AC$543</f>
        <v>0.2211276244458901</v>
      </c>
      <c r="AE578" s="35">
        <f>AE$543</f>
        <v>10.283849245076331</v>
      </c>
      <c r="AF578" s="35">
        <f>AF$543</f>
        <v>1.9896820887984108</v>
      </c>
      <c r="AG578" s="35">
        <f>AG$543</f>
        <v>0.2211276244458901</v>
      </c>
      <c r="AI578" s="35">
        <f>AI$543</f>
        <v>10.283849245076331</v>
      </c>
      <c r="AJ578" s="35">
        <f>AJ$543</f>
        <v>1.9896820887984108</v>
      </c>
      <c r="AK578" s="35">
        <f>AK$543</f>
        <v>0.2211276244458901</v>
      </c>
      <c r="AL578" s="17"/>
    </row>
    <row r="579" spans="1:38">
      <c r="A579" s="4" t="s">
        <v>226</v>
      </c>
      <c r="C579" s="35">
        <f>C$553</f>
        <v>9.6987124165248915</v>
      </c>
      <c r="D579" s="35">
        <f>D$553</f>
        <v>0.39654830467885838</v>
      </c>
      <c r="E579" s="35">
        <f>E$553</f>
        <v>2.8230000605056475E-2</v>
      </c>
      <c r="G579" s="35">
        <f>G$553</f>
        <v>7.4685843327643537</v>
      </c>
      <c r="H579" s="35">
        <f>H$553</f>
        <v>0.86476552960010866</v>
      </c>
      <c r="I579" s="35">
        <f>I$553</f>
        <v>0.13156026953466957</v>
      </c>
      <c r="K579" s="35">
        <f>K$553</f>
        <v>7.4685843327643537</v>
      </c>
      <c r="L579" s="35">
        <f>L$553</f>
        <v>0.86476552960010866</v>
      </c>
      <c r="M579" s="35">
        <f>M$553</f>
        <v>0.13156026953466957</v>
      </c>
      <c r="O579" s="35">
        <f>O$553</f>
        <v>6.2985954475060728</v>
      </c>
      <c r="P579" s="35">
        <f>P$553</f>
        <v>1.2186295469558905</v>
      </c>
      <c r="Q579" s="35">
        <f>Q$553</f>
        <v>0.13543503171437032</v>
      </c>
      <c r="S579" s="35">
        <f>S$553</f>
        <v>6.2985954475060728</v>
      </c>
      <c r="T579" s="35">
        <f>T$553</f>
        <v>1.2186295469558905</v>
      </c>
      <c r="U579" s="35">
        <f>U$553</f>
        <v>0.13543503171437032</v>
      </c>
      <c r="W579" s="35">
        <f>W$553</f>
        <v>1.000016088598255</v>
      </c>
      <c r="X579" s="35">
        <f>X$553</f>
        <v>1.000016088598255</v>
      </c>
      <c r="Y579" s="35">
        <f>Y$553</f>
        <v>1.000016088598255</v>
      </c>
      <c r="AA579" s="35">
        <f>AA$553</f>
        <v>6.2985954475060728</v>
      </c>
      <c r="AB579" s="35">
        <f>AB$553</f>
        <v>1.2186295469558905</v>
      </c>
      <c r="AC579" s="35">
        <f>AC$553</f>
        <v>0.13543503171437032</v>
      </c>
      <c r="AE579" s="35">
        <f>AE$553</f>
        <v>6.2985954475060728</v>
      </c>
      <c r="AF579" s="35">
        <f>AF$553</f>
        <v>1.2186295469558905</v>
      </c>
      <c r="AG579" s="35">
        <f>AG$553</f>
        <v>0.13543503171437032</v>
      </c>
      <c r="AI579" s="35">
        <f>AI$553</f>
        <v>6.2985954475060728</v>
      </c>
      <c r="AJ579" s="35">
        <f>AJ$553</f>
        <v>1.2186295469558905</v>
      </c>
      <c r="AK579" s="35">
        <f>AK$553</f>
        <v>0.13543503171437032</v>
      </c>
      <c r="AL579" s="17"/>
    </row>
    <row r="580" spans="1:38">
      <c r="A580" s="4" t="s">
        <v>182</v>
      </c>
      <c r="C580" s="35">
        <f>C$534</f>
        <v>13.032878448004887</v>
      </c>
      <c r="D580" s="35">
        <f>D$534</f>
        <v>0.53287133711030854</v>
      </c>
      <c r="E580" s="35">
        <f>E$534</f>
        <v>3.7934743363040438E-2</v>
      </c>
      <c r="G580" s="35">
        <f>G$534</f>
        <v>10.035698196867173</v>
      </c>
      <c r="H580" s="35">
        <f>H$534</f>
        <v>1.1620041335073878</v>
      </c>
      <c r="I580" s="35">
        <f>I$534</f>
        <v>0.17678037776936489</v>
      </c>
      <c r="K580" s="35">
        <f>K$534</f>
        <v>10.035698196867173</v>
      </c>
      <c r="L580" s="35">
        <f>L$534</f>
        <v>1.1620041335073878</v>
      </c>
      <c r="M580" s="35">
        <f>M$534</f>
        <v>0.17678037776936489</v>
      </c>
      <c r="O580" s="35">
        <f>O$534</f>
        <v>8.4630960508712683</v>
      </c>
      <c r="P580" s="35">
        <f>P$534</f>
        <v>1.6374093228040256</v>
      </c>
      <c r="Q580" s="35">
        <f>Q$534</f>
        <v>0.18197702830800949</v>
      </c>
      <c r="S580" s="35">
        <f>S$534</f>
        <v>8.4630960508712683</v>
      </c>
      <c r="T580" s="35">
        <f>T$534</f>
        <v>1.6374093228040256</v>
      </c>
      <c r="U580" s="35">
        <f>U$534</f>
        <v>0.18197702830800949</v>
      </c>
      <c r="W580" s="35">
        <f>W$534</f>
        <v>1.344203069243763</v>
      </c>
      <c r="X580" s="35">
        <f>X$534</f>
        <v>1.344203069243763</v>
      </c>
      <c r="Y580" s="35">
        <f>Y$534</f>
        <v>1.3442030692437628</v>
      </c>
      <c r="AA580" s="35">
        <f>AA$534</f>
        <v>8.4630960508712683</v>
      </c>
      <c r="AB580" s="35">
        <f>AB$534</f>
        <v>1.6374093228040256</v>
      </c>
      <c r="AC580" s="35">
        <f>AC$534</f>
        <v>0.18197702830800949</v>
      </c>
      <c r="AE580" s="35">
        <f>AE$534</f>
        <v>8.4630960508712683</v>
      </c>
      <c r="AF580" s="35">
        <f>AF$534</f>
        <v>1.6374093228040256</v>
      </c>
      <c r="AG580" s="35">
        <f>AG$534</f>
        <v>0.18197702830800949</v>
      </c>
      <c r="AI580" s="35">
        <f>AI$534</f>
        <v>8.4630960508712683</v>
      </c>
      <c r="AJ580" s="35">
        <f>AJ$534</f>
        <v>1.6374093228040256</v>
      </c>
      <c r="AK580" s="35">
        <f>AK$534</f>
        <v>0.18197702830800949</v>
      </c>
      <c r="AL580" s="17"/>
    </row>
    <row r="581" spans="1:38">
      <c r="A581" s="4" t="s">
        <v>183</v>
      </c>
      <c r="C581" s="35">
        <f>C$544</f>
        <v>12.649494438284577</v>
      </c>
      <c r="D581" s="35">
        <f>D$544</f>
        <v>0.51719603171239414</v>
      </c>
      <c r="E581" s="35">
        <f>E$544</f>
        <v>3.6818829171386201E-2</v>
      </c>
      <c r="G581" s="35">
        <f>G$544</f>
        <v>9.7404812783324317</v>
      </c>
      <c r="H581" s="35">
        <f>H$544</f>
        <v>1.1278218302047864</v>
      </c>
      <c r="I581" s="35">
        <f>I$544</f>
        <v>0.17158008603492725</v>
      </c>
      <c r="K581" s="35">
        <f>K$544</f>
        <v>9.7404812783324317</v>
      </c>
      <c r="L581" s="35">
        <f>L$544</f>
        <v>1.1278218302047864</v>
      </c>
      <c r="M581" s="35">
        <f>M$544</f>
        <v>0.17158008603492725</v>
      </c>
      <c r="O581" s="35">
        <f>O$544</f>
        <v>8.2141398658216129</v>
      </c>
      <c r="P581" s="35">
        <f>P$544</f>
        <v>1.5892421773622507</v>
      </c>
      <c r="Q581" s="35">
        <f>Q$544</f>
        <v>0.17662386836962374</v>
      </c>
      <c r="S581" s="35">
        <f>S$544</f>
        <v>8.2141398658216129</v>
      </c>
      <c r="T581" s="35">
        <f>T$544</f>
        <v>1.5892421773622507</v>
      </c>
      <c r="U581" s="35">
        <f>U$544</f>
        <v>0.17662386836962374</v>
      </c>
      <c r="W581" s="35">
        <f>W$544</f>
        <v>1.3046610782230523</v>
      </c>
      <c r="X581" s="35">
        <f>X$544</f>
        <v>1.3046610782230521</v>
      </c>
      <c r="Y581" s="35">
        <f>Y$544</f>
        <v>1.3046610782230523</v>
      </c>
      <c r="AA581" s="35">
        <f>AA$544</f>
        <v>8.2141398658216129</v>
      </c>
      <c r="AB581" s="35">
        <f>AB$544</f>
        <v>1.5892421773622507</v>
      </c>
      <c r="AC581" s="35">
        <f>AC$544</f>
        <v>0.17662386836962374</v>
      </c>
      <c r="AE581" s="35">
        <f>AE$544</f>
        <v>8.2141398658216129</v>
      </c>
      <c r="AF581" s="35">
        <f>AF$544</f>
        <v>1.5892421773622507</v>
      </c>
      <c r="AG581" s="35">
        <f>AG$544</f>
        <v>0.17662386836962374</v>
      </c>
      <c r="AI581" s="35">
        <f>AI$544</f>
        <v>8.2141398658216129</v>
      </c>
      <c r="AJ581" s="35">
        <f>AJ$544</f>
        <v>1.5892421773622507</v>
      </c>
      <c r="AK581" s="35">
        <f>AK$544</f>
        <v>0.17662386836962374</v>
      </c>
      <c r="AL581" s="17"/>
    </row>
    <row r="582" spans="1:38">
      <c r="A582" s="4" t="s">
        <v>227</v>
      </c>
      <c r="C582" s="35">
        <f>C$554</f>
        <v>9.7525511298216667</v>
      </c>
      <c r="D582" s="35">
        <f>D$554</f>
        <v>0.39874959177420016</v>
      </c>
      <c r="E582" s="35">
        <f>E$554</f>
        <v>2.8386708716780031E-2</v>
      </c>
      <c r="G582" s="35">
        <f>G$554</f>
        <v>7.5097500662556218</v>
      </c>
      <c r="H582" s="35">
        <f>H$554</f>
        <v>0.86953198944548837</v>
      </c>
      <c r="I582" s="35">
        <f>I$554</f>
        <v>0.13228541030464722</v>
      </c>
      <c r="K582" s="35">
        <f>K$554</f>
        <v>7.5097500662556218</v>
      </c>
      <c r="L582" s="35">
        <f>L$554</f>
        <v>0.86953198944548837</v>
      </c>
      <c r="M582" s="35">
        <f>M$554</f>
        <v>0.13228541030464722</v>
      </c>
      <c r="O582" s="35">
        <f>O$554</f>
        <v>6.3329660659383205</v>
      </c>
      <c r="P582" s="35">
        <f>P$554</f>
        <v>1.2252794503379643</v>
      </c>
      <c r="Q582" s="35">
        <f>Q$554</f>
        <v>0.13617408311657733</v>
      </c>
      <c r="S582" s="35">
        <f>S$554</f>
        <v>6.3329660659383205</v>
      </c>
      <c r="T582" s="35">
        <f>T$554</f>
        <v>1.2252794503379643</v>
      </c>
      <c r="U582" s="35">
        <f>U$554</f>
        <v>0.13617408311657733</v>
      </c>
      <c r="W582" s="35">
        <f>W$554</f>
        <v>1.0058721267111823</v>
      </c>
      <c r="X582" s="35">
        <f>X$554</f>
        <v>1.0058721267111823</v>
      </c>
      <c r="Y582" s="35">
        <f>Y$554</f>
        <v>1.0058721267111823</v>
      </c>
      <c r="AA582" s="35">
        <f>AA$554</f>
        <v>6.3329660659383205</v>
      </c>
      <c r="AB582" s="35">
        <f>AB$554</f>
        <v>1.2252794503379643</v>
      </c>
      <c r="AC582" s="35">
        <f>AC$554</f>
        <v>0.13617408311657733</v>
      </c>
      <c r="AE582" s="35">
        <f>AE$554</f>
        <v>6.3329660659383205</v>
      </c>
      <c r="AF582" s="35">
        <f>AF$554</f>
        <v>1.2252794503379643</v>
      </c>
      <c r="AG582" s="35">
        <f>AG$554</f>
        <v>0.13617408311657733</v>
      </c>
      <c r="AI582" s="35">
        <f>AI$554</f>
        <v>6.3329660659383205</v>
      </c>
      <c r="AJ582" s="35">
        <f>AJ$554</f>
        <v>1.2252794503379643</v>
      </c>
      <c r="AK582" s="35">
        <f>AK$554</f>
        <v>0.13617408311657733</v>
      </c>
      <c r="AL582" s="17"/>
    </row>
    <row r="583" spans="1:38">
      <c r="A583" s="4" t="s">
        <v>184</v>
      </c>
      <c r="C583" s="35">
        <f t="shared" ref="C583:E585" si="43">C298</f>
        <v>10.812692992892961</v>
      </c>
      <c r="D583" s="35">
        <f t="shared" si="43"/>
        <v>0.44209528968392736</v>
      </c>
      <c r="E583" s="35">
        <f t="shared" si="43"/>
        <v>3.1472459087618608E-2</v>
      </c>
      <c r="G583" s="35">
        <f t="shared" ref="G583:I585" si="44">G298</f>
        <v>8.3264128564286199</v>
      </c>
      <c r="H583" s="35">
        <f t="shared" si="44"/>
        <v>0.96409098466905296</v>
      </c>
      <c r="I583" s="35">
        <f t="shared" si="44"/>
        <v>0.14667105181407741</v>
      </c>
      <c r="K583" s="35">
        <f t="shared" ref="K583:M585" si="45">K298</f>
        <v>8.3264128564286199</v>
      </c>
      <c r="L583" s="35">
        <f t="shared" si="45"/>
        <v>0.96409098466905296</v>
      </c>
      <c r="M583" s="35">
        <f t="shared" si="45"/>
        <v>0.14667105181407741</v>
      </c>
      <c r="O583" s="35">
        <f t="shared" ref="O583:Q585" si="46">O298</f>
        <v>7.0220396544121781</v>
      </c>
      <c r="P583" s="35">
        <f t="shared" si="46"/>
        <v>1.358598924804872</v>
      </c>
      <c r="Q583" s="35">
        <f t="shared" si="46"/>
        <v>0.15099083140375999</v>
      </c>
      <c r="S583" s="35">
        <f t="shared" ref="S583:U585" si="47">S298</f>
        <v>7.0220396544121781</v>
      </c>
      <c r="T583" s="35">
        <f t="shared" si="47"/>
        <v>1.358598924804872</v>
      </c>
      <c r="U583" s="35">
        <f t="shared" si="47"/>
        <v>0.15099083140375999</v>
      </c>
      <c r="W583" s="35">
        <f t="shared" ref="W583:Y585" si="48">W298</f>
        <v>1.1148753172906043</v>
      </c>
      <c r="X583" s="35">
        <f t="shared" si="48"/>
        <v>1.1148753172906043</v>
      </c>
      <c r="Y583" s="35">
        <f t="shared" si="48"/>
        <v>1.1148753172906043</v>
      </c>
      <c r="AA583" s="35">
        <f t="shared" ref="AA583:AC585" si="49">AA298</f>
        <v>7.0220396544121781</v>
      </c>
      <c r="AB583" s="35">
        <f t="shared" si="49"/>
        <v>1.358598924804872</v>
      </c>
      <c r="AC583" s="35">
        <f t="shared" si="49"/>
        <v>0.15099083140375999</v>
      </c>
      <c r="AE583" s="35">
        <f t="shared" ref="AE583:AG585" si="50">AE298</f>
        <v>7.0220396544121781</v>
      </c>
      <c r="AF583" s="35">
        <f t="shared" si="50"/>
        <v>1.358598924804872</v>
      </c>
      <c r="AG583" s="35">
        <f t="shared" si="50"/>
        <v>0.15099083140375999</v>
      </c>
      <c r="AI583" s="35">
        <f t="shared" ref="AI583:AK585" si="51">AI298</f>
        <v>7.0220396544121781</v>
      </c>
      <c r="AJ583" s="35">
        <f t="shared" si="51"/>
        <v>1.358598924804872</v>
      </c>
      <c r="AK583" s="35">
        <f t="shared" si="51"/>
        <v>0.15099083140375999</v>
      </c>
      <c r="AL583" s="17"/>
    </row>
    <row r="584" spans="1:38">
      <c r="A584" s="4" t="s">
        <v>185</v>
      </c>
      <c r="C584" s="35">
        <f t="shared" si="43"/>
        <v>28.376339576610622</v>
      </c>
      <c r="D584" s="35">
        <f t="shared" si="43"/>
        <v>1.1602147655109474</v>
      </c>
      <c r="E584" s="35">
        <f t="shared" si="43"/>
        <v>8.2594889817759171E-2</v>
      </c>
      <c r="G584" s="35">
        <f t="shared" si="44"/>
        <v>21.851459097597072</v>
      </c>
      <c r="H584" s="35">
        <f t="shared" si="44"/>
        <v>2.5301165196958428</v>
      </c>
      <c r="I584" s="35">
        <f t="shared" si="44"/>
        <v>0.38491683571063495</v>
      </c>
      <c r="K584" s="35">
        <f t="shared" si="45"/>
        <v>21.851459097597072</v>
      </c>
      <c r="L584" s="35">
        <f t="shared" si="45"/>
        <v>2.5301165196958428</v>
      </c>
      <c r="M584" s="35">
        <f t="shared" si="45"/>
        <v>0.38491683571063495</v>
      </c>
      <c r="O584" s="35">
        <f t="shared" si="46"/>
        <v>18.428321407534305</v>
      </c>
      <c r="P584" s="35">
        <f t="shared" si="46"/>
        <v>3.5654452099972591</v>
      </c>
      <c r="Q584" s="35">
        <f t="shared" si="46"/>
        <v>0.39625346874123274</v>
      </c>
      <c r="S584" s="35">
        <f t="shared" si="47"/>
        <v>18.428321407534305</v>
      </c>
      <c r="T584" s="35">
        <f t="shared" si="47"/>
        <v>3.5654452099972591</v>
      </c>
      <c r="U584" s="35">
        <f t="shared" si="47"/>
        <v>0.39625346874123274</v>
      </c>
      <c r="W584" s="35">
        <f t="shared" si="48"/>
        <v>2.9258280624275268</v>
      </c>
      <c r="X584" s="35">
        <f t="shared" si="48"/>
        <v>2.9258280624275268</v>
      </c>
      <c r="Y584" s="35">
        <f t="shared" si="48"/>
        <v>2.9258280624275264</v>
      </c>
      <c r="AA584" s="35">
        <f t="shared" si="49"/>
        <v>18.428321407534305</v>
      </c>
      <c r="AB584" s="35">
        <f t="shared" si="49"/>
        <v>3.5654452099972591</v>
      </c>
      <c r="AC584" s="35">
        <f t="shared" si="49"/>
        <v>0.39625346874123274</v>
      </c>
      <c r="AE584" s="35">
        <f t="shared" si="50"/>
        <v>18.428321407534305</v>
      </c>
      <c r="AF584" s="35">
        <f t="shared" si="50"/>
        <v>3.5654452099972591</v>
      </c>
      <c r="AG584" s="35">
        <f t="shared" si="50"/>
        <v>0.39625346874123274</v>
      </c>
      <c r="AI584" s="35">
        <f t="shared" si="51"/>
        <v>18.428321407534305</v>
      </c>
      <c r="AJ584" s="35">
        <f t="shared" si="51"/>
        <v>3.5654452099972591</v>
      </c>
      <c r="AK584" s="35">
        <f t="shared" si="51"/>
        <v>0.39625346874123274</v>
      </c>
      <c r="AL584" s="17"/>
    </row>
    <row r="585" spans="1:38">
      <c r="A585" s="4" t="s">
        <v>205</v>
      </c>
      <c r="C585" s="35">
        <f t="shared" si="43"/>
        <v>34.590374028730821</v>
      </c>
      <c r="D585" s="35">
        <f t="shared" si="43"/>
        <v>1.4142861021355679</v>
      </c>
      <c r="E585" s="35">
        <f t="shared" si="43"/>
        <v>0.10068205322764709</v>
      </c>
      <c r="G585" s="35">
        <f t="shared" si="44"/>
        <v>26.636633002602267</v>
      </c>
      <c r="H585" s="35">
        <f t="shared" si="44"/>
        <v>3.0841778065232504</v>
      </c>
      <c r="I585" s="35">
        <f t="shared" si="44"/>
        <v>0.46920841503323707</v>
      </c>
      <c r="K585" s="35">
        <f t="shared" si="45"/>
        <v>26.636633002602267</v>
      </c>
      <c r="L585" s="35">
        <f t="shared" si="45"/>
        <v>3.0841778065232504</v>
      </c>
      <c r="M585" s="35">
        <f t="shared" si="45"/>
        <v>0.46920841503323707</v>
      </c>
      <c r="O585" s="35">
        <f t="shared" si="46"/>
        <v>22.463874471452083</v>
      </c>
      <c r="P585" s="35">
        <f t="shared" si="46"/>
        <v>4.346229472613425</v>
      </c>
      <c r="Q585" s="35">
        <f t="shared" si="46"/>
        <v>0.48302761731956961</v>
      </c>
      <c r="S585" s="35">
        <f t="shared" si="47"/>
        <v>22.463874471452083</v>
      </c>
      <c r="T585" s="35">
        <f t="shared" si="47"/>
        <v>4.346229472613425</v>
      </c>
      <c r="U585" s="35">
        <f t="shared" si="47"/>
        <v>0.48302761731956961</v>
      </c>
      <c r="W585" s="35">
        <f t="shared" si="48"/>
        <v>3.5665448233691208</v>
      </c>
      <c r="X585" s="35">
        <f t="shared" si="48"/>
        <v>3.566544823369119</v>
      </c>
      <c r="Y585" s="35">
        <f t="shared" si="48"/>
        <v>3.5665448233691199</v>
      </c>
      <c r="AA585" s="35">
        <f t="shared" si="49"/>
        <v>22.463874471452083</v>
      </c>
      <c r="AB585" s="35">
        <f t="shared" si="49"/>
        <v>4.346229472613425</v>
      </c>
      <c r="AC585" s="35">
        <f t="shared" si="49"/>
        <v>0.48302761731956961</v>
      </c>
      <c r="AE585" s="35">
        <f t="shared" si="50"/>
        <v>22.463874471452083</v>
      </c>
      <c r="AF585" s="35">
        <f t="shared" si="50"/>
        <v>4.346229472613425</v>
      </c>
      <c r="AG585" s="35">
        <f t="shared" si="50"/>
        <v>0.48302761731956961</v>
      </c>
      <c r="AI585" s="35">
        <f t="shared" si="51"/>
        <v>22.463874471452083</v>
      </c>
      <c r="AJ585" s="35">
        <f t="shared" si="51"/>
        <v>4.346229472613425</v>
      </c>
      <c r="AK585" s="35">
        <f t="shared" si="51"/>
        <v>0.48302761731956961</v>
      </c>
      <c r="AL585" s="17"/>
    </row>
    <row r="586" spans="1:38">
      <c r="A586" s="4" t="s">
        <v>186</v>
      </c>
      <c r="C586" s="35">
        <f>C$564</f>
        <v>14.130851208424922</v>
      </c>
      <c r="D586" s="35">
        <f>D$564</f>
        <v>0.5777638154135406</v>
      </c>
      <c r="E586" s="35">
        <f>E$564</f>
        <v>4.1130607964426268E-2</v>
      </c>
      <c r="G586" s="35">
        <f>G$564</f>
        <v>10.886980294179001</v>
      </c>
      <c r="H586" s="35">
        <f>H$564</f>
        <v>1.2605715970213842</v>
      </c>
      <c r="I586" s="35">
        <f>I$564</f>
        <v>0.19177584373485806</v>
      </c>
      <c r="K586" s="35">
        <f>K$564</f>
        <v>10.886980294179001</v>
      </c>
      <c r="L586" s="35">
        <f>L$564</f>
        <v>1.2605715970213842</v>
      </c>
      <c r="M586" s="35">
        <f>M$564</f>
        <v>0.19177584373485806</v>
      </c>
      <c r="O586" s="35">
        <f>O$564</f>
        <v>9.1814975976554685</v>
      </c>
      <c r="P586" s="35">
        <f>P$564</f>
        <v>1.77640306494644</v>
      </c>
      <c r="Q586" s="35">
        <f>Q$564</f>
        <v>0.1974243986119549</v>
      </c>
      <c r="S586" s="35">
        <f>S$564</f>
        <v>9.1814975976554685</v>
      </c>
      <c r="T586" s="35">
        <f>T$564</f>
        <v>1.77640306494644</v>
      </c>
      <c r="U586" s="35">
        <f>U$564</f>
        <v>0.1974243986119549</v>
      </c>
      <c r="W586" s="35">
        <f>W$564</f>
        <v>1.4659243778043127</v>
      </c>
      <c r="X586" s="35">
        <f>X$564</f>
        <v>1.4659243778043125</v>
      </c>
      <c r="Y586" s="35">
        <f>Y$564</f>
        <v>1.4659243778043127</v>
      </c>
      <c r="AA586" s="35">
        <f>AA$564</f>
        <v>9.1814975976554685</v>
      </c>
      <c r="AB586" s="35">
        <f>AB$564</f>
        <v>1.77640306494644</v>
      </c>
      <c r="AC586" s="35">
        <f>AC$564</f>
        <v>0.1974243986119549</v>
      </c>
      <c r="AE586" s="35">
        <f>AE$564</f>
        <v>9.1814975976554685</v>
      </c>
      <c r="AF586" s="35">
        <f>AF$564</f>
        <v>1.77640306494644</v>
      </c>
      <c r="AG586" s="35">
        <f>AG$564</f>
        <v>0.1974243986119549</v>
      </c>
      <c r="AI586" s="35">
        <f>AI$564</f>
        <v>9.1814975976554685</v>
      </c>
      <c r="AJ586" s="35">
        <f>AJ$564</f>
        <v>1.77640306494644</v>
      </c>
      <c r="AK586" s="35">
        <f>AK$564</f>
        <v>0.1974243986119549</v>
      </c>
      <c r="AL586" s="17"/>
    </row>
    <row r="587" spans="1:38">
      <c r="A587" s="4" t="s">
        <v>187</v>
      </c>
      <c r="C587" s="35">
        <f>C$565</f>
        <v>12.921514334945183</v>
      </c>
      <c r="D587" s="35">
        <f>D$565</f>
        <v>0.52831802649140136</v>
      </c>
      <c r="E587" s="35">
        <f>E$565</f>
        <v>3.7610596317119112E-2</v>
      </c>
      <c r="G587" s="35">
        <f>G$565</f>
        <v>9.9474604993253717</v>
      </c>
      <c r="H587" s="35">
        <f>H$565</f>
        <v>1.1517873486595975</v>
      </c>
      <c r="I587" s="35">
        <f>I$565</f>
        <v>0.17522605706352623</v>
      </c>
      <c r="K587" s="35">
        <f>K$565</f>
        <v>9.9474604993253717</v>
      </c>
      <c r="L587" s="35">
        <f>L$565</f>
        <v>1.1517873486595975</v>
      </c>
      <c r="M587" s="35">
        <f>M$565</f>
        <v>0.17522605706352623</v>
      </c>
      <c r="O587" s="35">
        <f>O$565</f>
        <v>8.3889535653064424</v>
      </c>
      <c r="P587" s="35">
        <f>P$565</f>
        <v>1.6230645019075158</v>
      </c>
      <c r="Q587" s="35">
        <f>Q$565</f>
        <v>0.18038278559667131</v>
      </c>
      <c r="S587" s="35">
        <f>S$565</f>
        <v>8.3889535653064424</v>
      </c>
      <c r="T587" s="35">
        <f>T$565</f>
        <v>1.6230645019075158</v>
      </c>
      <c r="U587" s="35">
        <f>U$565</f>
        <v>0.18038278559667131</v>
      </c>
      <c r="W587" s="35">
        <f>W$565</f>
        <v>1.3283667872625673</v>
      </c>
      <c r="X587" s="35">
        <f>X$565</f>
        <v>1.3283667872625671</v>
      </c>
      <c r="Y587" s="35">
        <f>Y$565</f>
        <v>1.3283667872625671</v>
      </c>
      <c r="AA587" s="35">
        <f>AA$565</f>
        <v>8.3889535653064424</v>
      </c>
      <c r="AB587" s="35">
        <f>AB$565</f>
        <v>1.6230645019075158</v>
      </c>
      <c r="AC587" s="35">
        <f>AC$565</f>
        <v>0.18038278559667131</v>
      </c>
      <c r="AE587" s="35">
        <f>AE$565</f>
        <v>8.3889535653064424</v>
      </c>
      <c r="AF587" s="35">
        <f>AF$565</f>
        <v>1.6230645019075158</v>
      </c>
      <c r="AG587" s="35">
        <f>AG$565</f>
        <v>0.18038278559667131</v>
      </c>
      <c r="AI587" s="35">
        <f>AI$565</f>
        <v>8.3889535653064424</v>
      </c>
      <c r="AJ587" s="35">
        <f>AJ$565</f>
        <v>1.6230645019075158</v>
      </c>
      <c r="AK587" s="35">
        <f>AK$565</f>
        <v>0.18038278559667131</v>
      </c>
      <c r="AL587" s="17"/>
    </row>
    <row r="588" spans="1:38">
      <c r="A588" s="4" t="s">
        <v>188</v>
      </c>
      <c r="C588" s="35">
        <f t="shared" ref="C588:E596" si="52">C303</f>
        <v>11.586326064183757</v>
      </c>
      <c r="D588" s="35">
        <f t="shared" si="52"/>
        <v>0.4737265897667261</v>
      </c>
      <c r="E588" s="35">
        <f t="shared" si="52"/>
        <v>3.3724269547883406E-2</v>
      </c>
      <c r="G588" s="35">
        <f t="shared" ref="G588:I596" si="53">G303</f>
        <v>8.922156058902603</v>
      </c>
      <c r="H588" s="35">
        <f t="shared" si="53"/>
        <v>1.033070347161221</v>
      </c>
      <c r="I588" s="35">
        <f t="shared" si="53"/>
        <v>0.15716516057671021</v>
      </c>
      <c r="K588" s="35">
        <f t="shared" ref="K588:M596" si="54">K303</f>
        <v>8.922156058902603</v>
      </c>
      <c r="L588" s="35">
        <f t="shared" si="54"/>
        <v>1.033070347161221</v>
      </c>
      <c r="M588" s="35">
        <f t="shared" si="54"/>
        <v>0.15716516057671021</v>
      </c>
      <c r="O588" s="35">
        <f t="shared" ref="O588:Q596" si="55">O303</f>
        <v>7.5244567773379263</v>
      </c>
      <c r="P588" s="35">
        <f t="shared" si="55"/>
        <v>1.4558047790300879</v>
      </c>
      <c r="Q588" s="35">
        <f t="shared" si="55"/>
        <v>0.16179401435849849</v>
      </c>
      <c r="S588" s="35">
        <f t="shared" ref="S588:U596" si="56">S303</f>
        <v>7.5244567773379263</v>
      </c>
      <c r="T588" s="35">
        <f t="shared" si="56"/>
        <v>1.4558047790300879</v>
      </c>
      <c r="U588" s="35">
        <f t="shared" si="56"/>
        <v>0.16179401435849849</v>
      </c>
      <c r="W588" s="35">
        <f t="shared" ref="W588:Y596" si="57">W303</f>
        <v>1.1946430880382566</v>
      </c>
      <c r="X588" s="35">
        <f t="shared" si="57"/>
        <v>1.1946430880382566</v>
      </c>
      <c r="Y588" s="35">
        <f t="shared" si="57"/>
        <v>1.1946430880382566</v>
      </c>
      <c r="AA588" s="35">
        <f t="shared" ref="AA588:AC596" si="58">AA303</f>
        <v>7.5244567773379263</v>
      </c>
      <c r="AB588" s="35">
        <f t="shared" si="58"/>
        <v>1.4558047790300879</v>
      </c>
      <c r="AC588" s="35">
        <f t="shared" si="58"/>
        <v>0.16179401435849849</v>
      </c>
      <c r="AE588" s="35">
        <f t="shared" ref="AE588:AG596" si="59">AE303</f>
        <v>7.5244567773379263</v>
      </c>
      <c r="AF588" s="35">
        <f t="shared" si="59"/>
        <v>1.4558047790300879</v>
      </c>
      <c r="AG588" s="35">
        <f t="shared" si="59"/>
        <v>0.16179401435849849</v>
      </c>
      <c r="AI588" s="35">
        <f t="shared" ref="AI588:AK596" si="60">AI303</f>
        <v>7.5244567773379263</v>
      </c>
      <c r="AJ588" s="35">
        <f t="shared" si="60"/>
        <v>1.4558047790300879</v>
      </c>
      <c r="AK588" s="35">
        <f t="shared" si="60"/>
        <v>0.16179401435849849</v>
      </c>
      <c r="AL588" s="17"/>
    </row>
    <row r="589" spans="1:38">
      <c r="A589" s="4" t="s">
        <v>189</v>
      </c>
      <c r="C589" s="35">
        <f t="shared" si="52"/>
        <v>11.3657559310741</v>
      </c>
      <c r="D589" s="35">
        <f t="shared" si="52"/>
        <v>0.46470820582141004</v>
      </c>
      <c r="E589" s="35">
        <f t="shared" si="52"/>
        <v>3.3082257008101967E-2</v>
      </c>
      <c r="G589" s="35">
        <f t="shared" si="53"/>
        <v>8.7523040161898784</v>
      </c>
      <c r="H589" s="35">
        <f t="shared" si="53"/>
        <v>1.0134036760592076</v>
      </c>
      <c r="I589" s="35">
        <f t="shared" si="53"/>
        <v>0.15417319054267445</v>
      </c>
      <c r="K589" s="35">
        <f t="shared" si="54"/>
        <v>8.7523040161898784</v>
      </c>
      <c r="L589" s="35">
        <f t="shared" si="54"/>
        <v>1.0134036760592076</v>
      </c>
      <c r="M589" s="35">
        <f t="shared" si="54"/>
        <v>0.15417319054267445</v>
      </c>
      <c r="O589" s="35">
        <f t="shared" si="55"/>
        <v>7.3812128858954313</v>
      </c>
      <c r="P589" s="35">
        <f t="shared" si="55"/>
        <v>1.4280904671668164</v>
      </c>
      <c r="Q589" s="35">
        <f t="shared" si="55"/>
        <v>0.15871392433809789</v>
      </c>
      <c r="S589" s="35">
        <f t="shared" si="56"/>
        <v>7.3812128858954313</v>
      </c>
      <c r="T589" s="35">
        <f t="shared" si="56"/>
        <v>1.4280904671668164</v>
      </c>
      <c r="U589" s="35">
        <f t="shared" si="56"/>
        <v>0.15871392433809789</v>
      </c>
      <c r="W589" s="35">
        <f t="shared" si="57"/>
        <v>1.1719005393228632</v>
      </c>
      <c r="X589" s="35">
        <f t="shared" si="57"/>
        <v>1.1719005393228632</v>
      </c>
      <c r="Y589" s="35">
        <f t="shared" si="57"/>
        <v>1.1719005393228634</v>
      </c>
      <c r="AA589" s="35">
        <f t="shared" si="58"/>
        <v>7.3812128858954313</v>
      </c>
      <c r="AB589" s="35">
        <f t="shared" si="58"/>
        <v>1.4280904671668164</v>
      </c>
      <c r="AC589" s="35">
        <f t="shared" si="58"/>
        <v>0.15871392433809789</v>
      </c>
      <c r="AE589" s="35">
        <f t="shared" si="59"/>
        <v>7.3812128858954313</v>
      </c>
      <c r="AF589" s="35">
        <f t="shared" si="59"/>
        <v>1.4280904671668164</v>
      </c>
      <c r="AG589" s="35">
        <f t="shared" si="59"/>
        <v>0.15871392433809789</v>
      </c>
      <c r="AI589" s="35">
        <f t="shared" si="60"/>
        <v>7.3812128858954313</v>
      </c>
      <c r="AJ589" s="35">
        <f t="shared" si="60"/>
        <v>1.4280904671668164</v>
      </c>
      <c r="AK589" s="35">
        <f t="shared" si="60"/>
        <v>0.15871392433809789</v>
      </c>
      <c r="AL589" s="17"/>
    </row>
    <row r="590" spans="1:38">
      <c r="A590" s="4" t="s">
        <v>206</v>
      </c>
      <c r="C590" s="35">
        <f t="shared" si="52"/>
        <v>10.310728825663622</v>
      </c>
      <c r="D590" s="35">
        <f t="shared" si="52"/>
        <v>0.42157163345249016</v>
      </c>
      <c r="E590" s="35">
        <f t="shared" si="52"/>
        <v>3.0011394140434796E-2</v>
      </c>
      <c r="G590" s="35">
        <f t="shared" si="53"/>
        <v>7.9398707712855359</v>
      </c>
      <c r="H590" s="35">
        <f t="shared" si="53"/>
        <v>0.91933440750822926</v>
      </c>
      <c r="I590" s="35">
        <f t="shared" si="53"/>
        <v>0.13986205312809824</v>
      </c>
      <c r="K590" s="35">
        <f t="shared" si="54"/>
        <v>7.9398707712855359</v>
      </c>
      <c r="L590" s="35">
        <f t="shared" si="54"/>
        <v>0.91933440750822926</v>
      </c>
      <c r="M590" s="35">
        <f t="shared" si="54"/>
        <v>0.13986205312809824</v>
      </c>
      <c r="O590" s="35">
        <f t="shared" si="55"/>
        <v>6.6960512730075461</v>
      </c>
      <c r="P590" s="35">
        <f t="shared" si="55"/>
        <v>1.2955278676374669</v>
      </c>
      <c r="Q590" s="35">
        <f t="shared" si="55"/>
        <v>0.14398129298491549</v>
      </c>
      <c r="S590" s="35">
        <f t="shared" si="56"/>
        <v>6.6960512730075461</v>
      </c>
      <c r="T590" s="35">
        <f t="shared" si="56"/>
        <v>1.2955278676374669</v>
      </c>
      <c r="U590" s="35">
        <f t="shared" si="56"/>
        <v>0.14398129298491549</v>
      </c>
      <c r="W590" s="35">
        <f t="shared" si="57"/>
        <v>1.0631187881284281</v>
      </c>
      <c r="X590" s="35">
        <f t="shared" si="57"/>
        <v>1.0631187881284279</v>
      </c>
      <c r="Y590" s="35">
        <f t="shared" si="57"/>
        <v>1.0631187881284281</v>
      </c>
      <c r="AA590" s="35">
        <f t="shared" si="58"/>
        <v>6.6960512730075461</v>
      </c>
      <c r="AB590" s="35">
        <f t="shared" si="58"/>
        <v>1.2955278676374669</v>
      </c>
      <c r="AC590" s="35">
        <f t="shared" si="58"/>
        <v>0.14398129298491549</v>
      </c>
      <c r="AE590" s="35">
        <f t="shared" si="59"/>
        <v>6.6960512730075461</v>
      </c>
      <c r="AF590" s="35">
        <f t="shared" si="59"/>
        <v>1.2955278676374669</v>
      </c>
      <c r="AG590" s="35">
        <f t="shared" si="59"/>
        <v>0.14398129298491549</v>
      </c>
      <c r="AI590" s="35">
        <f t="shared" si="60"/>
        <v>6.6960512730075461</v>
      </c>
      <c r="AJ590" s="35">
        <f t="shared" si="60"/>
        <v>1.2955278676374669</v>
      </c>
      <c r="AK590" s="35">
        <f t="shared" si="60"/>
        <v>0.14398129298491549</v>
      </c>
      <c r="AL590" s="17"/>
    </row>
    <row r="591" spans="1:38">
      <c r="A591" s="4" t="s">
        <v>194</v>
      </c>
      <c r="C591" s="35">
        <f t="shared" si="52"/>
        <v>-9.6985670282576688</v>
      </c>
      <c r="D591" s="35">
        <f t="shared" si="52"/>
        <v>-0.39654236023299677</v>
      </c>
      <c r="E591" s="35">
        <f t="shared" si="52"/>
        <v>-2.822957742405106E-2</v>
      </c>
      <c r="G591" s="35">
        <f t="shared" si="53"/>
        <v>-7.4684699959665988</v>
      </c>
      <c r="H591" s="35">
        <f t="shared" si="53"/>
        <v>-0.86475229087680339</v>
      </c>
      <c r="I591" s="35">
        <f t="shared" si="53"/>
        <v>-0.13155825547427202</v>
      </c>
      <c r="K591" s="35">
        <f t="shared" si="54"/>
        <v>-7.4684699959665988</v>
      </c>
      <c r="L591" s="35">
        <f t="shared" si="54"/>
        <v>-0.86475229087680339</v>
      </c>
      <c r="M591" s="35">
        <f t="shared" si="54"/>
        <v>-0.13155825547427202</v>
      </c>
      <c r="O591" s="35">
        <f t="shared" si="55"/>
        <v>-6.2984977293042075</v>
      </c>
      <c r="P591" s="35">
        <f t="shared" si="55"/>
        <v>-1.2186106407903714</v>
      </c>
      <c r="Q591" s="35">
        <f t="shared" si="55"/>
        <v>-0.13543293053675398</v>
      </c>
      <c r="S591" s="35">
        <f t="shared" si="56"/>
        <v>-6.2984977293042075</v>
      </c>
      <c r="T591" s="35">
        <f t="shared" si="56"/>
        <v>-1.2186106407903714</v>
      </c>
      <c r="U591" s="35">
        <f t="shared" si="56"/>
        <v>-0.13543293053675398</v>
      </c>
      <c r="W591" s="35">
        <f t="shared" si="57"/>
        <v>-1</v>
      </c>
      <c r="X591" s="35">
        <f t="shared" si="57"/>
        <v>-1</v>
      </c>
      <c r="Y591" s="35">
        <f t="shared" si="57"/>
        <v>-1</v>
      </c>
      <c r="AA591" s="35">
        <f t="shared" si="58"/>
        <v>-6.2984977293042075</v>
      </c>
      <c r="AB591" s="35">
        <f t="shared" si="58"/>
        <v>-1.2186106407903714</v>
      </c>
      <c r="AC591" s="35">
        <f t="shared" si="58"/>
        <v>-0.13543293053675398</v>
      </c>
      <c r="AE591" s="35">
        <f t="shared" si="59"/>
        <v>-6.2984977293042075</v>
      </c>
      <c r="AF591" s="35">
        <f t="shared" si="59"/>
        <v>-1.2186106407903714</v>
      </c>
      <c r="AG591" s="35">
        <f t="shared" si="59"/>
        <v>-0.13543293053675398</v>
      </c>
      <c r="AI591" s="35">
        <f t="shared" si="60"/>
        <v>-6.2984977293042075</v>
      </c>
      <c r="AJ591" s="35">
        <f t="shared" si="60"/>
        <v>-1.2186106407903714</v>
      </c>
      <c r="AK591" s="35">
        <f t="shared" si="60"/>
        <v>-0.13543293053675398</v>
      </c>
      <c r="AL591" s="17"/>
    </row>
    <row r="592" spans="1:38">
      <c r="A592" s="4" t="s">
        <v>195</v>
      </c>
      <c r="C592" s="35">
        <f t="shared" si="52"/>
        <v>-9.6985670282576688</v>
      </c>
      <c r="D592" s="35">
        <f t="shared" si="52"/>
        <v>-0.39654236023299677</v>
      </c>
      <c r="E592" s="35">
        <f t="shared" si="52"/>
        <v>-2.822957742405106E-2</v>
      </c>
      <c r="G592" s="35">
        <f t="shared" si="53"/>
        <v>-7.4684699959665988</v>
      </c>
      <c r="H592" s="35">
        <f t="shared" si="53"/>
        <v>-0.86475229087680339</v>
      </c>
      <c r="I592" s="35">
        <f t="shared" si="53"/>
        <v>-0.13155825547427202</v>
      </c>
      <c r="K592" s="35">
        <f t="shared" si="54"/>
        <v>-7.4684699959665988</v>
      </c>
      <c r="L592" s="35">
        <f t="shared" si="54"/>
        <v>-0.86475229087680339</v>
      </c>
      <c r="M592" s="35">
        <f t="shared" si="54"/>
        <v>-0.13155825547427202</v>
      </c>
      <c r="O592" s="35">
        <f t="shared" si="55"/>
        <v>-6.2984977293042075</v>
      </c>
      <c r="P592" s="35">
        <f t="shared" si="55"/>
        <v>-1.2186106407903714</v>
      </c>
      <c r="Q592" s="35">
        <f t="shared" si="55"/>
        <v>-0.13543293053675398</v>
      </c>
      <c r="S592" s="35">
        <f t="shared" si="56"/>
        <v>-6.2984977293042075</v>
      </c>
      <c r="T592" s="35">
        <f t="shared" si="56"/>
        <v>-1.2186106407903714</v>
      </c>
      <c r="U592" s="35">
        <f t="shared" si="56"/>
        <v>-0.13543293053675398</v>
      </c>
      <c r="W592" s="35">
        <f t="shared" si="57"/>
        <v>-1</v>
      </c>
      <c r="X592" s="35">
        <f t="shared" si="57"/>
        <v>-1</v>
      </c>
      <c r="Y592" s="35">
        <f t="shared" si="57"/>
        <v>-1</v>
      </c>
      <c r="AA592" s="35">
        <f t="shared" si="58"/>
        <v>-6.2984977293042075</v>
      </c>
      <c r="AB592" s="35">
        <f t="shared" si="58"/>
        <v>-1.2186106407903714</v>
      </c>
      <c r="AC592" s="35">
        <f t="shared" si="58"/>
        <v>-0.13543293053675398</v>
      </c>
      <c r="AE592" s="35">
        <f t="shared" si="59"/>
        <v>-6.2984977293042075</v>
      </c>
      <c r="AF592" s="35">
        <f t="shared" si="59"/>
        <v>-1.2186106407903714</v>
      </c>
      <c r="AG592" s="35">
        <f t="shared" si="59"/>
        <v>-0.13543293053675398</v>
      </c>
      <c r="AI592" s="35">
        <f t="shared" si="60"/>
        <v>-6.2984977293042075</v>
      </c>
      <c r="AJ592" s="35">
        <f t="shared" si="60"/>
        <v>-1.2186106407903714</v>
      </c>
      <c r="AK592" s="35">
        <f t="shared" si="60"/>
        <v>-0.13543293053675398</v>
      </c>
      <c r="AL592" s="17"/>
    </row>
    <row r="593" spans="1:38">
      <c r="A593" s="4" t="s">
        <v>198</v>
      </c>
      <c r="C593" s="35">
        <f t="shared" si="52"/>
        <v>-9.6985670282576688</v>
      </c>
      <c r="D593" s="35">
        <f t="shared" si="52"/>
        <v>-0.39654236023299677</v>
      </c>
      <c r="E593" s="35">
        <f t="shared" si="52"/>
        <v>-2.822957742405106E-2</v>
      </c>
      <c r="G593" s="35">
        <f t="shared" si="53"/>
        <v>-7.4684699959665988</v>
      </c>
      <c r="H593" s="35">
        <f t="shared" si="53"/>
        <v>-0.86475229087680339</v>
      </c>
      <c r="I593" s="35">
        <f t="shared" si="53"/>
        <v>-0.13155825547427202</v>
      </c>
      <c r="K593" s="35">
        <f t="shared" si="54"/>
        <v>-7.4684699959665988</v>
      </c>
      <c r="L593" s="35">
        <f t="shared" si="54"/>
        <v>-0.86475229087680339</v>
      </c>
      <c r="M593" s="35">
        <f t="shared" si="54"/>
        <v>-0.13155825547427202</v>
      </c>
      <c r="O593" s="35">
        <f t="shared" si="55"/>
        <v>-6.2984977293042075</v>
      </c>
      <c r="P593" s="35">
        <f t="shared" si="55"/>
        <v>-1.2186106407903714</v>
      </c>
      <c r="Q593" s="35">
        <f t="shared" si="55"/>
        <v>-0.13543293053675398</v>
      </c>
      <c r="S593" s="35">
        <f t="shared" si="56"/>
        <v>-6.2984977293042075</v>
      </c>
      <c r="T593" s="35">
        <f t="shared" si="56"/>
        <v>-1.2186106407903714</v>
      </c>
      <c r="U593" s="35">
        <f t="shared" si="56"/>
        <v>-0.13543293053675398</v>
      </c>
      <c r="W593" s="35">
        <f t="shared" si="57"/>
        <v>-1</v>
      </c>
      <c r="X593" s="35">
        <f t="shared" si="57"/>
        <v>-1</v>
      </c>
      <c r="Y593" s="35">
        <f t="shared" si="57"/>
        <v>-1</v>
      </c>
      <c r="AA593" s="35">
        <f t="shared" si="58"/>
        <v>-6.2984977293042075</v>
      </c>
      <c r="AB593" s="35">
        <f t="shared" si="58"/>
        <v>-1.2186106407903714</v>
      </c>
      <c r="AC593" s="35">
        <f t="shared" si="58"/>
        <v>-0.13543293053675398</v>
      </c>
      <c r="AE593" s="35">
        <f t="shared" si="59"/>
        <v>-6.2984977293042075</v>
      </c>
      <c r="AF593" s="35">
        <f t="shared" si="59"/>
        <v>-1.2186106407903714</v>
      </c>
      <c r="AG593" s="35">
        <f t="shared" si="59"/>
        <v>-0.13543293053675398</v>
      </c>
      <c r="AI593" s="35">
        <f t="shared" si="60"/>
        <v>-6.2984977293042075</v>
      </c>
      <c r="AJ593" s="35">
        <f t="shared" si="60"/>
        <v>-1.2186106407903714</v>
      </c>
      <c r="AK593" s="35">
        <f t="shared" si="60"/>
        <v>-0.13543293053675398</v>
      </c>
      <c r="AL593" s="17"/>
    </row>
    <row r="594" spans="1:38">
      <c r="A594" s="4" t="s">
        <v>199</v>
      </c>
      <c r="C594" s="35">
        <f t="shared" si="52"/>
        <v>-9.6985670282576688</v>
      </c>
      <c r="D594" s="35">
        <f t="shared" si="52"/>
        <v>-0.39654236023299677</v>
      </c>
      <c r="E594" s="35">
        <f t="shared" si="52"/>
        <v>-2.822957742405106E-2</v>
      </c>
      <c r="G594" s="35">
        <f t="shared" si="53"/>
        <v>-7.4684699959665988</v>
      </c>
      <c r="H594" s="35">
        <f t="shared" si="53"/>
        <v>-0.86475229087680339</v>
      </c>
      <c r="I594" s="35">
        <f t="shared" si="53"/>
        <v>-0.13155825547427202</v>
      </c>
      <c r="K594" s="35">
        <f t="shared" si="54"/>
        <v>-7.4684699959665988</v>
      </c>
      <c r="L594" s="35">
        <f t="shared" si="54"/>
        <v>-0.86475229087680339</v>
      </c>
      <c r="M594" s="35">
        <f t="shared" si="54"/>
        <v>-0.13155825547427202</v>
      </c>
      <c r="O594" s="35">
        <f t="shared" si="55"/>
        <v>-6.2984977293042075</v>
      </c>
      <c r="P594" s="35">
        <f t="shared" si="55"/>
        <v>-1.2186106407903714</v>
      </c>
      <c r="Q594" s="35">
        <f t="shared" si="55"/>
        <v>-0.13543293053675398</v>
      </c>
      <c r="S594" s="35">
        <f t="shared" si="56"/>
        <v>-6.2984977293042075</v>
      </c>
      <c r="T594" s="35">
        <f t="shared" si="56"/>
        <v>-1.2186106407903714</v>
      </c>
      <c r="U594" s="35">
        <f t="shared" si="56"/>
        <v>-0.13543293053675398</v>
      </c>
      <c r="W594" s="35">
        <f t="shared" si="57"/>
        <v>-1</v>
      </c>
      <c r="X594" s="35">
        <f t="shared" si="57"/>
        <v>-1</v>
      </c>
      <c r="Y594" s="35">
        <f t="shared" si="57"/>
        <v>-1</v>
      </c>
      <c r="AA594" s="35">
        <f t="shared" si="58"/>
        <v>-6.2984977293042075</v>
      </c>
      <c r="AB594" s="35">
        <f t="shared" si="58"/>
        <v>-1.2186106407903714</v>
      </c>
      <c r="AC594" s="35">
        <f t="shared" si="58"/>
        <v>-0.13543293053675398</v>
      </c>
      <c r="AE594" s="35">
        <f t="shared" si="59"/>
        <v>-6.2984977293042075</v>
      </c>
      <c r="AF594" s="35">
        <f t="shared" si="59"/>
        <v>-1.2186106407903714</v>
      </c>
      <c r="AG594" s="35">
        <f t="shared" si="59"/>
        <v>-0.13543293053675398</v>
      </c>
      <c r="AI594" s="35">
        <f t="shared" si="60"/>
        <v>-6.2984977293042075</v>
      </c>
      <c r="AJ594" s="35">
        <f t="shared" si="60"/>
        <v>-1.2186106407903714</v>
      </c>
      <c r="AK594" s="35">
        <f t="shared" si="60"/>
        <v>-0.13543293053675398</v>
      </c>
      <c r="AL594" s="17"/>
    </row>
    <row r="595" spans="1:38">
      <c r="A595" s="4" t="s">
        <v>209</v>
      </c>
      <c r="C595" s="35">
        <f t="shared" si="52"/>
        <v>-9.6985670282576688</v>
      </c>
      <c r="D595" s="35">
        <f t="shared" si="52"/>
        <v>-0.39654236023299677</v>
      </c>
      <c r="E595" s="35">
        <f t="shared" si="52"/>
        <v>-2.822957742405106E-2</v>
      </c>
      <c r="G595" s="35">
        <f t="shared" si="53"/>
        <v>-7.4684699959665988</v>
      </c>
      <c r="H595" s="35">
        <f t="shared" si="53"/>
        <v>-0.86475229087680339</v>
      </c>
      <c r="I595" s="35">
        <f t="shared" si="53"/>
        <v>-0.13155825547427202</v>
      </c>
      <c r="K595" s="35">
        <f t="shared" si="54"/>
        <v>-7.4684699959665988</v>
      </c>
      <c r="L595" s="35">
        <f t="shared" si="54"/>
        <v>-0.86475229087680339</v>
      </c>
      <c r="M595" s="35">
        <f t="shared" si="54"/>
        <v>-0.13155825547427202</v>
      </c>
      <c r="O595" s="35">
        <f t="shared" si="55"/>
        <v>-6.2984977293042075</v>
      </c>
      <c r="P595" s="35">
        <f t="shared" si="55"/>
        <v>-1.2186106407903714</v>
      </c>
      <c r="Q595" s="35">
        <f t="shared" si="55"/>
        <v>-0.13543293053675398</v>
      </c>
      <c r="S595" s="35">
        <f t="shared" si="56"/>
        <v>-6.2984977293042075</v>
      </c>
      <c r="T595" s="35">
        <f t="shared" si="56"/>
        <v>-1.2186106407903714</v>
      </c>
      <c r="U595" s="35">
        <f t="shared" si="56"/>
        <v>-0.13543293053675398</v>
      </c>
      <c r="W595" s="35">
        <f t="shared" si="57"/>
        <v>-1</v>
      </c>
      <c r="X595" s="35">
        <f t="shared" si="57"/>
        <v>-1</v>
      </c>
      <c r="Y595" s="35">
        <f t="shared" si="57"/>
        <v>-1</v>
      </c>
      <c r="AA595" s="35">
        <f t="shared" si="58"/>
        <v>-6.2984977293042075</v>
      </c>
      <c r="AB595" s="35">
        <f t="shared" si="58"/>
        <v>-1.2186106407903714</v>
      </c>
      <c r="AC595" s="35">
        <f t="shared" si="58"/>
        <v>-0.13543293053675398</v>
      </c>
      <c r="AE595" s="35">
        <f t="shared" si="59"/>
        <v>-6.2984977293042075</v>
      </c>
      <c r="AF595" s="35">
        <f t="shared" si="59"/>
        <v>-1.2186106407903714</v>
      </c>
      <c r="AG595" s="35">
        <f t="shared" si="59"/>
        <v>-0.13543293053675398</v>
      </c>
      <c r="AI595" s="35">
        <f t="shared" si="60"/>
        <v>-6.2984977293042075</v>
      </c>
      <c r="AJ595" s="35">
        <f t="shared" si="60"/>
        <v>-1.2186106407903714</v>
      </c>
      <c r="AK595" s="35">
        <f t="shared" si="60"/>
        <v>-0.13543293053675398</v>
      </c>
      <c r="AL595" s="17"/>
    </row>
    <row r="596" spans="1:38">
      <c r="A596" s="4" t="s">
        <v>210</v>
      </c>
      <c r="C596" s="35">
        <f t="shared" si="52"/>
        <v>-9.6985670282576688</v>
      </c>
      <c r="D596" s="35">
        <f t="shared" si="52"/>
        <v>-0.39654236023299677</v>
      </c>
      <c r="E596" s="35">
        <f t="shared" si="52"/>
        <v>-2.822957742405106E-2</v>
      </c>
      <c r="G596" s="35">
        <f t="shared" si="53"/>
        <v>-7.4684699959665988</v>
      </c>
      <c r="H596" s="35">
        <f t="shared" si="53"/>
        <v>-0.86475229087680339</v>
      </c>
      <c r="I596" s="35">
        <f t="shared" si="53"/>
        <v>-0.13155825547427202</v>
      </c>
      <c r="K596" s="35">
        <f t="shared" si="54"/>
        <v>-7.4684699959665988</v>
      </c>
      <c r="L596" s="35">
        <f t="shared" si="54"/>
        <v>-0.86475229087680339</v>
      </c>
      <c r="M596" s="35">
        <f t="shared" si="54"/>
        <v>-0.13155825547427202</v>
      </c>
      <c r="O596" s="35">
        <f t="shared" si="55"/>
        <v>-6.2984977293042075</v>
      </c>
      <c r="P596" s="35">
        <f t="shared" si="55"/>
        <v>-1.2186106407903714</v>
      </c>
      <c r="Q596" s="35">
        <f t="shared" si="55"/>
        <v>-0.13543293053675398</v>
      </c>
      <c r="S596" s="35">
        <f t="shared" si="56"/>
        <v>-6.2984977293042075</v>
      </c>
      <c r="T596" s="35">
        <f t="shared" si="56"/>
        <v>-1.2186106407903714</v>
      </c>
      <c r="U596" s="35">
        <f t="shared" si="56"/>
        <v>-0.13543293053675398</v>
      </c>
      <c r="W596" s="35">
        <f t="shared" si="57"/>
        <v>-1</v>
      </c>
      <c r="X596" s="35">
        <f t="shared" si="57"/>
        <v>-1</v>
      </c>
      <c r="Y596" s="35">
        <f t="shared" si="57"/>
        <v>-1</v>
      </c>
      <c r="AA596" s="35">
        <f t="shared" si="58"/>
        <v>-6.2984977293042075</v>
      </c>
      <c r="AB596" s="35">
        <f t="shared" si="58"/>
        <v>-1.2186106407903714</v>
      </c>
      <c r="AC596" s="35">
        <f t="shared" si="58"/>
        <v>-0.13543293053675398</v>
      </c>
      <c r="AE596" s="35">
        <f t="shared" si="59"/>
        <v>-6.2984977293042075</v>
      </c>
      <c r="AF596" s="35">
        <f t="shared" si="59"/>
        <v>-1.2186106407903714</v>
      </c>
      <c r="AG596" s="35">
        <f t="shared" si="59"/>
        <v>-0.13543293053675398</v>
      </c>
      <c r="AI596" s="35">
        <f t="shared" si="60"/>
        <v>-6.2984977293042075</v>
      </c>
      <c r="AJ596" s="35">
        <f t="shared" si="60"/>
        <v>-1.2186106407903714</v>
      </c>
      <c r="AK596" s="35">
        <f t="shared" si="60"/>
        <v>-0.13543293053675398</v>
      </c>
      <c r="AL596" s="17"/>
    </row>
    <row r="598" spans="1:38" ht="21" customHeight="1">
      <c r="A598" s="1" t="s">
        <v>733</v>
      </c>
    </row>
    <row r="599" spans="1:38">
      <c r="A599" s="2" t="s">
        <v>379</v>
      </c>
    </row>
    <row r="600" spans="1:38">
      <c r="A600" s="29" t="s">
        <v>734</v>
      </c>
    </row>
    <row r="601" spans="1:38">
      <c r="A601" s="29" t="s">
        <v>735</v>
      </c>
    </row>
    <row r="602" spans="1:38">
      <c r="A602" s="2" t="s">
        <v>392</v>
      </c>
    </row>
    <row r="604" spans="1:38">
      <c r="B604" s="15" t="s">
        <v>148</v>
      </c>
      <c r="C604" s="15" t="s">
        <v>149</v>
      </c>
      <c r="D604" s="15" t="s">
        <v>150</v>
      </c>
      <c r="E604" s="15" t="s">
        <v>151</v>
      </c>
      <c r="F604" s="15" t="s">
        <v>152</v>
      </c>
      <c r="G604" s="15" t="s">
        <v>157</v>
      </c>
      <c r="H604" s="15" t="s">
        <v>153</v>
      </c>
      <c r="I604" s="15" t="s">
        <v>154</v>
      </c>
      <c r="J604" s="15" t="s">
        <v>155</v>
      </c>
    </row>
    <row r="605" spans="1:38">
      <c r="A605" s="4" t="s">
        <v>180</v>
      </c>
      <c r="B605" s="34">
        <f t="shared" ref="B605:B624" si="61">SUMPRODUCT($C577:$E577,$B43:$D43)</f>
        <v>1.9776068986052378</v>
      </c>
      <c r="C605" s="34">
        <f t="shared" ref="C605:C624" si="62">SUMPRODUCT($G577:$I577,$B43:$D43)</f>
        <v>1.8770346005874226</v>
      </c>
      <c r="D605" s="34">
        <f t="shared" ref="D605:D624" si="63">SUMPRODUCT($K577:$M577,$B43:$D43)</f>
        <v>1.8770346005874226</v>
      </c>
      <c r="E605" s="34">
        <f t="shared" ref="E605:E624" si="64">SUMPRODUCT($O577:$Q577,$B43:$D43)</f>
        <v>1.8368662776137759</v>
      </c>
      <c r="F605" s="34">
        <f t="shared" ref="F605:F624" si="65">SUMPRODUCT($S577:$U577,$B43:$D43)</f>
        <v>1.8368662776137759</v>
      </c>
      <c r="G605" s="34">
        <f t="shared" ref="G605:G624" si="66">SUMPRODUCT($W577:$Y577,$B43:$D43)</f>
        <v>1.4430118986981522</v>
      </c>
      <c r="H605" s="34">
        <f t="shared" ref="H605:H624" si="67">SUMPRODUCT($AA577:$AC577,$B43:$D43)</f>
        <v>1.8368662776137759</v>
      </c>
      <c r="I605" s="34">
        <f t="shared" ref="I605:I624" si="68">SUMPRODUCT($AE577:$AG577,$B43:$D43)</f>
        <v>1.8368662776137759</v>
      </c>
      <c r="J605" s="34">
        <f t="shared" ref="J605:J624" si="69">SUMPRODUCT($AI577:$AK577,$B43:$D43)</f>
        <v>1.8368662776137759</v>
      </c>
      <c r="K605" s="17"/>
    </row>
    <row r="606" spans="1:38">
      <c r="A606" s="4" t="s">
        <v>181</v>
      </c>
      <c r="B606" s="34">
        <f t="shared" si="61"/>
        <v>2.4426334943353156</v>
      </c>
      <c r="C606" s="34">
        <f t="shared" si="62"/>
        <v>2.2970194905667096</v>
      </c>
      <c r="D606" s="34">
        <f t="shared" si="63"/>
        <v>2.2970194905667096</v>
      </c>
      <c r="E606" s="34">
        <f t="shared" si="64"/>
        <v>2.2420362660396838</v>
      </c>
      <c r="F606" s="34">
        <f t="shared" si="65"/>
        <v>2.2420362660396838</v>
      </c>
      <c r="G606" s="34">
        <f t="shared" si="66"/>
        <v>1.6327472979499422</v>
      </c>
      <c r="H606" s="34">
        <f t="shared" si="67"/>
        <v>2.2420362660396838</v>
      </c>
      <c r="I606" s="34">
        <f t="shared" si="68"/>
        <v>2.2420362660396838</v>
      </c>
      <c r="J606" s="34">
        <f t="shared" si="69"/>
        <v>2.2420362660396838</v>
      </c>
      <c r="K606" s="17"/>
    </row>
    <row r="607" spans="1:38">
      <c r="A607" s="4" t="s">
        <v>226</v>
      </c>
      <c r="B607" s="34">
        <f t="shared" si="61"/>
        <v>0.11844881974557264</v>
      </c>
      <c r="C607" s="34">
        <f t="shared" si="62"/>
        <v>0.24305721295618554</v>
      </c>
      <c r="D607" s="34">
        <f t="shared" si="63"/>
        <v>0.24305721295618554</v>
      </c>
      <c r="E607" s="34">
        <f t="shared" si="64"/>
        <v>0.27342508150675809</v>
      </c>
      <c r="F607" s="34">
        <f t="shared" si="65"/>
        <v>0.27342508150675809</v>
      </c>
      <c r="G607" s="34">
        <f t="shared" si="66"/>
        <v>1.000016088598255</v>
      </c>
      <c r="H607" s="34">
        <f t="shared" si="67"/>
        <v>0.27342508150675809</v>
      </c>
      <c r="I607" s="34">
        <f t="shared" si="68"/>
        <v>0.27342508150675809</v>
      </c>
      <c r="J607" s="34">
        <f t="shared" si="69"/>
        <v>0.27342508150675809</v>
      </c>
      <c r="K607" s="17"/>
    </row>
    <row r="608" spans="1:38">
      <c r="A608" s="4" t="s">
        <v>182</v>
      </c>
      <c r="B608" s="34">
        <f t="shared" si="61"/>
        <v>1.6799822752054596</v>
      </c>
      <c r="C608" s="34">
        <f t="shared" si="62"/>
        <v>1.6925958032826289</v>
      </c>
      <c r="D608" s="34">
        <f t="shared" si="63"/>
        <v>1.6925958032826289</v>
      </c>
      <c r="E608" s="34">
        <f t="shared" si="64"/>
        <v>1.7332820991312192</v>
      </c>
      <c r="F608" s="34">
        <f t="shared" si="65"/>
        <v>1.7332820991312192</v>
      </c>
      <c r="G608" s="34">
        <f t="shared" si="66"/>
        <v>1.344203069243763</v>
      </c>
      <c r="H608" s="34">
        <f t="shared" si="67"/>
        <v>1.7332820991312192</v>
      </c>
      <c r="I608" s="34">
        <f t="shared" si="68"/>
        <v>1.7332820991312192</v>
      </c>
      <c r="J608" s="34">
        <f t="shared" si="69"/>
        <v>1.7332820991312192</v>
      </c>
      <c r="K608" s="17"/>
    </row>
    <row r="609" spans="1:11">
      <c r="A609" s="4" t="s">
        <v>183</v>
      </c>
      <c r="B609" s="34">
        <f t="shared" si="61"/>
        <v>1.8333344212907769</v>
      </c>
      <c r="C609" s="34">
        <f t="shared" si="62"/>
        <v>1.8066807927148187</v>
      </c>
      <c r="D609" s="34">
        <f t="shared" si="63"/>
        <v>1.8066807927148187</v>
      </c>
      <c r="E609" s="34">
        <f t="shared" si="64"/>
        <v>1.8302809086217866</v>
      </c>
      <c r="F609" s="34">
        <f t="shared" si="65"/>
        <v>1.8302809086217866</v>
      </c>
      <c r="G609" s="34">
        <f t="shared" si="66"/>
        <v>1.3046610782230521</v>
      </c>
      <c r="H609" s="34">
        <f t="shared" si="67"/>
        <v>1.8302809086217866</v>
      </c>
      <c r="I609" s="34">
        <f t="shared" si="68"/>
        <v>1.8302809086217866</v>
      </c>
      <c r="J609" s="34">
        <f t="shared" si="69"/>
        <v>1.8302809086217866</v>
      </c>
      <c r="K609" s="17"/>
    </row>
    <row r="610" spans="1:11">
      <c r="A610" s="4" t="s">
        <v>227</v>
      </c>
      <c r="B610" s="34">
        <f t="shared" si="61"/>
        <v>6.4996830744499384E-2</v>
      </c>
      <c r="C610" s="34">
        <f t="shared" si="62"/>
        <v>0.1841092084068095</v>
      </c>
      <c r="D610" s="34">
        <f t="shared" si="63"/>
        <v>0.1841092084068095</v>
      </c>
      <c r="E610" s="34">
        <f t="shared" si="64"/>
        <v>0.20446877388679663</v>
      </c>
      <c r="F610" s="34">
        <f t="shared" si="65"/>
        <v>0.20446877388679663</v>
      </c>
      <c r="G610" s="34">
        <f t="shared" si="66"/>
        <v>1.0058721267111823</v>
      </c>
      <c r="H610" s="34">
        <f t="shared" si="67"/>
        <v>0.20446877388679663</v>
      </c>
      <c r="I610" s="34">
        <f t="shared" si="68"/>
        <v>0.20446877388679663</v>
      </c>
      <c r="J610" s="34">
        <f t="shared" si="69"/>
        <v>0.20446877388679663</v>
      </c>
      <c r="K610" s="17"/>
    </row>
    <row r="611" spans="1:11">
      <c r="A611" s="4" t="s">
        <v>184</v>
      </c>
      <c r="B611" s="34">
        <f t="shared" si="61"/>
        <v>1.6906251988632823</v>
      </c>
      <c r="C611" s="34">
        <f t="shared" si="62"/>
        <v>1.6487601186459633</v>
      </c>
      <c r="D611" s="34">
        <f t="shared" si="63"/>
        <v>1.6487601186459633</v>
      </c>
      <c r="E611" s="34">
        <f t="shared" si="64"/>
        <v>1.6632998040257656</v>
      </c>
      <c r="F611" s="34">
        <f t="shared" si="65"/>
        <v>1.6632998040257656</v>
      </c>
      <c r="G611" s="34">
        <f t="shared" si="66"/>
        <v>1.1148753172906045</v>
      </c>
      <c r="H611" s="34">
        <f t="shared" si="67"/>
        <v>1.6632998040257656</v>
      </c>
      <c r="I611" s="34">
        <f t="shared" si="68"/>
        <v>1.6632998040257656</v>
      </c>
      <c r="J611" s="34">
        <f t="shared" si="69"/>
        <v>1.6632998040257656</v>
      </c>
      <c r="K611" s="17"/>
    </row>
    <row r="612" spans="1:11">
      <c r="A612" s="4" t="s">
        <v>185</v>
      </c>
      <c r="B612" s="34">
        <f t="shared" si="61"/>
        <v>4.3966261137351053</v>
      </c>
      <c r="C612" s="34">
        <f t="shared" si="62"/>
        <v>4.295160017688529</v>
      </c>
      <c r="D612" s="34">
        <f t="shared" si="63"/>
        <v>4.295160017688529</v>
      </c>
      <c r="E612" s="34">
        <f t="shared" si="64"/>
        <v>4.3370708069147259</v>
      </c>
      <c r="F612" s="34">
        <f t="shared" si="65"/>
        <v>4.3370708069147259</v>
      </c>
      <c r="G612" s="34">
        <f t="shared" si="66"/>
        <v>2.9258280624275264</v>
      </c>
      <c r="H612" s="34">
        <f t="shared" si="67"/>
        <v>4.3370708069147259</v>
      </c>
      <c r="I612" s="34">
        <f t="shared" si="68"/>
        <v>4.3370708069147259</v>
      </c>
      <c r="J612" s="34">
        <f t="shared" si="69"/>
        <v>4.3370708069147259</v>
      </c>
      <c r="K612" s="17"/>
    </row>
    <row r="613" spans="1:11">
      <c r="A613" s="4" t="s">
        <v>205</v>
      </c>
      <c r="B613" s="34">
        <f t="shared" si="61"/>
        <v>5.3326062314286258</v>
      </c>
      <c r="C613" s="34">
        <f t="shared" si="62"/>
        <v>5.226840658538654</v>
      </c>
      <c r="D613" s="34">
        <f t="shared" si="63"/>
        <v>5.226840658538654</v>
      </c>
      <c r="E613" s="34">
        <f t="shared" si="64"/>
        <v>5.2911432286981768</v>
      </c>
      <c r="F613" s="34">
        <f t="shared" si="65"/>
        <v>5.2911432286981768</v>
      </c>
      <c r="G613" s="34">
        <f t="shared" si="66"/>
        <v>3.5665448233691199</v>
      </c>
      <c r="H613" s="34">
        <f t="shared" si="67"/>
        <v>5.2911432286981768</v>
      </c>
      <c r="I613" s="34">
        <f t="shared" si="68"/>
        <v>5.2911432286981768</v>
      </c>
      <c r="J613" s="34">
        <f t="shared" si="69"/>
        <v>5.2911432286981768</v>
      </c>
      <c r="K613" s="17"/>
    </row>
    <row r="614" spans="1:11">
      <c r="A614" s="4" t="s">
        <v>186</v>
      </c>
      <c r="B614" s="34">
        <f t="shared" si="61"/>
        <v>14.130851208424922</v>
      </c>
      <c r="C614" s="34">
        <f t="shared" si="62"/>
        <v>10.886980294179001</v>
      </c>
      <c r="D614" s="34">
        <f t="shared" si="63"/>
        <v>10.886980294179001</v>
      </c>
      <c r="E614" s="34">
        <f t="shared" si="64"/>
        <v>9.1814975976554685</v>
      </c>
      <c r="F614" s="34">
        <f t="shared" si="65"/>
        <v>9.1814975976554685</v>
      </c>
      <c r="G614" s="34">
        <f t="shared" si="66"/>
        <v>1.4659243778043127</v>
      </c>
      <c r="H614" s="34">
        <f t="shared" si="67"/>
        <v>9.1814975976554685</v>
      </c>
      <c r="I614" s="34">
        <f t="shared" si="68"/>
        <v>9.1814975976554685</v>
      </c>
      <c r="J614" s="34">
        <f t="shared" si="69"/>
        <v>9.1814975976554685</v>
      </c>
      <c r="K614" s="17"/>
    </row>
    <row r="615" spans="1:11">
      <c r="A615" s="4" t="s">
        <v>187</v>
      </c>
      <c r="B615" s="34">
        <f t="shared" si="61"/>
        <v>12.921514334945183</v>
      </c>
      <c r="C615" s="34">
        <f t="shared" si="62"/>
        <v>9.9474604993253717</v>
      </c>
      <c r="D615" s="34">
        <f t="shared" si="63"/>
        <v>9.9474604993253717</v>
      </c>
      <c r="E615" s="34">
        <f t="shared" si="64"/>
        <v>8.3889535653064424</v>
      </c>
      <c r="F615" s="34">
        <f t="shared" si="65"/>
        <v>8.3889535653064424</v>
      </c>
      <c r="G615" s="34">
        <f t="shared" si="66"/>
        <v>1.3283667872625673</v>
      </c>
      <c r="H615" s="34">
        <f t="shared" si="67"/>
        <v>8.3889535653064424</v>
      </c>
      <c r="I615" s="34">
        <f t="shared" si="68"/>
        <v>8.3889535653064424</v>
      </c>
      <c r="J615" s="34">
        <f t="shared" si="69"/>
        <v>8.3889535653064424</v>
      </c>
      <c r="K615" s="17"/>
    </row>
    <row r="616" spans="1:11">
      <c r="A616" s="4" t="s">
        <v>188</v>
      </c>
      <c r="B616" s="34">
        <f t="shared" si="61"/>
        <v>11.586326064183757</v>
      </c>
      <c r="C616" s="34">
        <f t="shared" si="62"/>
        <v>8.922156058902603</v>
      </c>
      <c r="D616" s="34">
        <f t="shared" si="63"/>
        <v>8.922156058902603</v>
      </c>
      <c r="E616" s="34">
        <f t="shared" si="64"/>
        <v>7.5244567773379263</v>
      </c>
      <c r="F616" s="34">
        <f t="shared" si="65"/>
        <v>7.5244567773379263</v>
      </c>
      <c r="G616" s="34">
        <f t="shared" si="66"/>
        <v>1.1946430880382566</v>
      </c>
      <c r="H616" s="34">
        <f t="shared" si="67"/>
        <v>7.5244567773379263</v>
      </c>
      <c r="I616" s="34">
        <f t="shared" si="68"/>
        <v>7.5244567773379263</v>
      </c>
      <c r="J616" s="34">
        <f t="shared" si="69"/>
        <v>7.5244567773379263</v>
      </c>
      <c r="K616" s="17"/>
    </row>
    <row r="617" spans="1:11">
      <c r="A617" s="4" t="s">
        <v>189</v>
      </c>
      <c r="B617" s="34">
        <f t="shared" si="61"/>
        <v>11.3657559310741</v>
      </c>
      <c r="C617" s="34">
        <f t="shared" si="62"/>
        <v>8.7523040161898784</v>
      </c>
      <c r="D617" s="34">
        <f t="shared" si="63"/>
        <v>8.7523040161898784</v>
      </c>
      <c r="E617" s="34">
        <f t="shared" si="64"/>
        <v>7.3812128858954313</v>
      </c>
      <c r="F617" s="34">
        <f t="shared" si="65"/>
        <v>7.3812128858954313</v>
      </c>
      <c r="G617" s="34">
        <f t="shared" si="66"/>
        <v>1.1719005393228632</v>
      </c>
      <c r="H617" s="34">
        <f t="shared" si="67"/>
        <v>7.3812128858954313</v>
      </c>
      <c r="I617" s="34">
        <f t="shared" si="68"/>
        <v>7.3812128858954313</v>
      </c>
      <c r="J617" s="34">
        <f t="shared" si="69"/>
        <v>7.3812128858954313</v>
      </c>
      <c r="K617" s="17"/>
    </row>
    <row r="618" spans="1:11">
      <c r="A618" s="4" t="s">
        <v>206</v>
      </c>
      <c r="B618" s="34">
        <f t="shared" si="61"/>
        <v>10.310728825663622</v>
      </c>
      <c r="C618" s="34">
        <f t="shared" si="62"/>
        <v>7.9398707712855359</v>
      </c>
      <c r="D618" s="34">
        <f t="shared" si="63"/>
        <v>7.9398707712855359</v>
      </c>
      <c r="E618" s="34">
        <f t="shared" si="64"/>
        <v>6.6960512730075461</v>
      </c>
      <c r="F618" s="34">
        <f t="shared" si="65"/>
        <v>6.6960512730075461</v>
      </c>
      <c r="G618" s="34">
        <f t="shared" si="66"/>
        <v>1.0631187881284281</v>
      </c>
      <c r="H618" s="34">
        <f t="shared" si="67"/>
        <v>6.6960512730075461</v>
      </c>
      <c r="I618" s="34">
        <f t="shared" si="68"/>
        <v>6.6960512730075461</v>
      </c>
      <c r="J618" s="34">
        <f t="shared" si="69"/>
        <v>6.6960512730075461</v>
      </c>
      <c r="K618" s="17"/>
    </row>
    <row r="619" spans="1:11">
      <c r="A619" s="4" t="s">
        <v>194</v>
      </c>
      <c r="B619" s="34">
        <f t="shared" si="61"/>
        <v>-9.6985670282576688</v>
      </c>
      <c r="C619" s="34">
        <f t="shared" si="62"/>
        <v>-7.4684699959665988</v>
      </c>
      <c r="D619" s="34">
        <f t="shared" si="63"/>
        <v>-7.4684699959665988</v>
      </c>
      <c r="E619" s="34">
        <f t="shared" si="64"/>
        <v>-6.2984977293042075</v>
      </c>
      <c r="F619" s="34">
        <f t="shared" si="65"/>
        <v>-6.2984977293042075</v>
      </c>
      <c r="G619" s="34">
        <f t="shared" si="66"/>
        <v>-1</v>
      </c>
      <c r="H619" s="34">
        <f t="shared" si="67"/>
        <v>-6.2984977293042075</v>
      </c>
      <c r="I619" s="34">
        <f t="shared" si="68"/>
        <v>-6.2984977293042075</v>
      </c>
      <c r="J619" s="34">
        <f t="shared" si="69"/>
        <v>-6.2984977293042075</v>
      </c>
      <c r="K619" s="17"/>
    </row>
    <row r="620" spans="1:11">
      <c r="A620" s="4" t="s">
        <v>195</v>
      </c>
      <c r="B620" s="34">
        <f t="shared" si="61"/>
        <v>-9.6985670282576688</v>
      </c>
      <c r="C620" s="34">
        <f t="shared" si="62"/>
        <v>-7.4684699959665988</v>
      </c>
      <c r="D620" s="34">
        <f t="shared" si="63"/>
        <v>-7.4684699959665988</v>
      </c>
      <c r="E620" s="34">
        <f t="shared" si="64"/>
        <v>-6.2984977293042075</v>
      </c>
      <c r="F620" s="34">
        <f t="shared" si="65"/>
        <v>-6.2984977293042075</v>
      </c>
      <c r="G620" s="34">
        <f t="shared" si="66"/>
        <v>-1</v>
      </c>
      <c r="H620" s="34">
        <f t="shared" si="67"/>
        <v>-6.2984977293042075</v>
      </c>
      <c r="I620" s="34">
        <f t="shared" si="68"/>
        <v>-6.2984977293042075</v>
      </c>
      <c r="J620" s="34">
        <f t="shared" si="69"/>
        <v>-6.2984977293042075</v>
      </c>
      <c r="K620" s="17"/>
    </row>
    <row r="621" spans="1:11">
      <c r="A621" s="4" t="s">
        <v>198</v>
      </c>
      <c r="B621" s="34">
        <f t="shared" si="61"/>
        <v>-9.6985670282576688</v>
      </c>
      <c r="C621" s="34">
        <f t="shared" si="62"/>
        <v>-7.4684699959665988</v>
      </c>
      <c r="D621" s="34">
        <f t="shared" si="63"/>
        <v>-7.4684699959665988</v>
      </c>
      <c r="E621" s="34">
        <f t="shared" si="64"/>
        <v>-6.2984977293042075</v>
      </c>
      <c r="F621" s="34">
        <f t="shared" si="65"/>
        <v>-6.2984977293042075</v>
      </c>
      <c r="G621" s="34">
        <f t="shared" si="66"/>
        <v>-1</v>
      </c>
      <c r="H621" s="34">
        <f t="shared" si="67"/>
        <v>-6.2984977293042075</v>
      </c>
      <c r="I621" s="34">
        <f t="shared" si="68"/>
        <v>-6.2984977293042075</v>
      </c>
      <c r="J621" s="34">
        <f t="shared" si="69"/>
        <v>-6.2984977293042075</v>
      </c>
      <c r="K621" s="17"/>
    </row>
    <row r="622" spans="1:11">
      <c r="A622" s="4" t="s">
        <v>199</v>
      </c>
      <c r="B622" s="34">
        <f t="shared" si="61"/>
        <v>-9.6985670282576688</v>
      </c>
      <c r="C622" s="34">
        <f t="shared" si="62"/>
        <v>-7.4684699959665988</v>
      </c>
      <c r="D622" s="34">
        <f t="shared" si="63"/>
        <v>-7.4684699959665988</v>
      </c>
      <c r="E622" s="34">
        <f t="shared" si="64"/>
        <v>-6.2984977293042075</v>
      </c>
      <c r="F622" s="34">
        <f t="shared" si="65"/>
        <v>-6.2984977293042075</v>
      </c>
      <c r="G622" s="34">
        <f t="shared" si="66"/>
        <v>-1</v>
      </c>
      <c r="H622" s="34">
        <f t="shared" si="67"/>
        <v>-6.2984977293042075</v>
      </c>
      <c r="I622" s="34">
        <f t="shared" si="68"/>
        <v>-6.2984977293042075</v>
      </c>
      <c r="J622" s="34">
        <f t="shared" si="69"/>
        <v>-6.2984977293042075</v>
      </c>
      <c r="K622" s="17"/>
    </row>
    <row r="623" spans="1:11">
      <c r="A623" s="4" t="s">
        <v>209</v>
      </c>
      <c r="B623" s="34">
        <f t="shared" si="61"/>
        <v>-9.6985670282576688</v>
      </c>
      <c r="C623" s="34">
        <f t="shared" si="62"/>
        <v>-7.4684699959665988</v>
      </c>
      <c r="D623" s="34">
        <f t="shared" si="63"/>
        <v>-7.4684699959665988</v>
      </c>
      <c r="E623" s="34">
        <f t="shared" si="64"/>
        <v>-6.2984977293042075</v>
      </c>
      <c r="F623" s="34">
        <f t="shared" si="65"/>
        <v>-6.2984977293042075</v>
      </c>
      <c r="G623" s="34">
        <f t="shared" si="66"/>
        <v>-1</v>
      </c>
      <c r="H623" s="34">
        <f t="shared" si="67"/>
        <v>-6.2984977293042075</v>
      </c>
      <c r="I623" s="34">
        <f t="shared" si="68"/>
        <v>-6.2984977293042075</v>
      </c>
      <c r="J623" s="34">
        <f t="shared" si="69"/>
        <v>-6.2984977293042075</v>
      </c>
      <c r="K623" s="17"/>
    </row>
    <row r="624" spans="1:11">
      <c r="A624" s="4" t="s">
        <v>210</v>
      </c>
      <c r="B624" s="34">
        <f t="shared" si="61"/>
        <v>-9.6985670282576688</v>
      </c>
      <c r="C624" s="34">
        <f t="shared" si="62"/>
        <v>-7.4684699959665988</v>
      </c>
      <c r="D624" s="34">
        <f t="shared" si="63"/>
        <v>-7.4684699959665988</v>
      </c>
      <c r="E624" s="34">
        <f t="shared" si="64"/>
        <v>-6.2984977293042075</v>
      </c>
      <c r="F624" s="34">
        <f t="shared" si="65"/>
        <v>-6.2984977293042075</v>
      </c>
      <c r="G624" s="34">
        <f t="shared" si="66"/>
        <v>-1</v>
      </c>
      <c r="H624" s="34">
        <f t="shared" si="67"/>
        <v>-6.2984977293042075</v>
      </c>
      <c r="I624" s="34">
        <f t="shared" si="68"/>
        <v>-6.2984977293042075</v>
      </c>
      <c r="J624" s="34">
        <f t="shared" si="69"/>
        <v>-6.2984977293042075</v>
      </c>
      <c r="K624" s="17"/>
    </row>
    <row r="626" spans="1:11" ht="21" customHeight="1">
      <c r="A626" s="1" t="s">
        <v>736</v>
      </c>
    </row>
    <row r="627" spans="1:11">
      <c r="A627" s="2" t="s">
        <v>379</v>
      </c>
    </row>
    <row r="628" spans="1:11">
      <c r="A628" s="29" t="s">
        <v>734</v>
      </c>
    </row>
    <row r="629" spans="1:11">
      <c r="A629" s="29" t="s">
        <v>737</v>
      </c>
    </row>
    <row r="630" spans="1:11">
      <c r="A630" s="2" t="s">
        <v>392</v>
      </c>
    </row>
    <row r="632" spans="1:11">
      <c r="B632" s="15" t="s">
        <v>148</v>
      </c>
      <c r="C632" s="15" t="s">
        <v>149</v>
      </c>
      <c r="D632" s="15" t="s">
        <v>150</v>
      </c>
      <c r="E632" s="15" t="s">
        <v>151</v>
      </c>
      <c r="F632" s="15" t="s">
        <v>152</v>
      </c>
      <c r="G632" s="15" t="s">
        <v>157</v>
      </c>
      <c r="H632" s="15" t="s">
        <v>153</v>
      </c>
      <c r="I632" s="15" t="s">
        <v>154</v>
      </c>
      <c r="J632" s="15" t="s">
        <v>155</v>
      </c>
    </row>
    <row r="633" spans="1:11">
      <c r="A633" s="4" t="s">
        <v>181</v>
      </c>
      <c r="B633" s="34">
        <f>SUMPRODUCT($C$578:$E$578,$B88:$D88)</f>
        <v>4.609171565793508E-2</v>
      </c>
      <c r="C633" s="34">
        <f>SUMPRODUCT($G$578:$I$578,$B88:$D88)</f>
        <v>0.21480121874978467</v>
      </c>
      <c r="D633" s="34">
        <f>SUMPRODUCT($K$578:$M$578,$B88:$D88)</f>
        <v>0.21480121874978467</v>
      </c>
      <c r="E633" s="34">
        <f>SUMPRODUCT($O$578:$Q$578,$B88:$D88)</f>
        <v>0.2211276244458901</v>
      </c>
      <c r="F633" s="34">
        <f>SUMPRODUCT($S$578:$U$578,$B88:$D88)</f>
        <v>0.2211276244458901</v>
      </c>
      <c r="G633" s="34">
        <f>SUMPRODUCT($W$578:$Y$578,$B88:$D88)</f>
        <v>1.6327472979499418</v>
      </c>
      <c r="H633" s="34">
        <f>SUMPRODUCT($AA$578:$AC$578,$B88:$D88)</f>
        <v>0.2211276244458901</v>
      </c>
      <c r="I633" s="34">
        <f>SUMPRODUCT($AE$578:$AG$578,$B88:$D88)</f>
        <v>0.2211276244458901</v>
      </c>
      <c r="J633" s="34">
        <f>SUMPRODUCT($AI$578:$AK$578,$B88:$D88)</f>
        <v>0.2211276244458901</v>
      </c>
      <c r="K633" s="17"/>
    </row>
    <row r="634" spans="1:11">
      <c r="A634" s="4" t="s">
        <v>183</v>
      </c>
      <c r="B634" s="34">
        <f>SUMPRODUCT($C$581:$E$581,$B89:$D89)</f>
        <v>3.6818829171386201E-2</v>
      </c>
      <c r="C634" s="34">
        <f>SUMPRODUCT($G$581:$I$581,$B89:$D89)</f>
        <v>0.17158008603492725</v>
      </c>
      <c r="D634" s="34">
        <f>SUMPRODUCT($K$581:$M$581,$B89:$D89)</f>
        <v>0.17158008603492725</v>
      </c>
      <c r="E634" s="34">
        <f>SUMPRODUCT($O$581:$Q$581,$B89:$D89)</f>
        <v>0.17662386836962374</v>
      </c>
      <c r="F634" s="34">
        <f>SUMPRODUCT($S$581:$U$581,$B89:$D89)</f>
        <v>0.17662386836962374</v>
      </c>
      <c r="G634" s="34">
        <f>SUMPRODUCT($W$581:$Y$581,$B89:$D89)</f>
        <v>1.3046610782230523</v>
      </c>
      <c r="H634" s="34">
        <f>SUMPRODUCT($AA$581:$AC$581,$B89:$D89)</f>
        <v>0.17662386836962374</v>
      </c>
      <c r="I634" s="34">
        <f>SUMPRODUCT($AE$581:$AG$581,$B89:$D89)</f>
        <v>0.17662386836962374</v>
      </c>
      <c r="J634" s="34">
        <f>SUMPRODUCT($AI$581:$AK$581,$B89:$D89)</f>
        <v>0.17662386836962374</v>
      </c>
      <c r="K634" s="17"/>
    </row>
    <row r="635" spans="1:11">
      <c r="A635" s="4" t="s">
        <v>184</v>
      </c>
      <c r="B635" s="34">
        <f>SUMPRODUCT($C$583:$E$583,$B90:$D90)</f>
        <v>3.1472459087618608E-2</v>
      </c>
      <c r="C635" s="34">
        <f>SUMPRODUCT($G$583:$I$583,$B90:$D90)</f>
        <v>0.14667105181407741</v>
      </c>
      <c r="D635" s="34">
        <f>SUMPRODUCT($K$583:$M$583,$B90:$D90)</f>
        <v>0.14667105181407741</v>
      </c>
      <c r="E635" s="34">
        <f>SUMPRODUCT($O$583:$Q$583,$B90:$D90)</f>
        <v>0.15099083140375999</v>
      </c>
      <c r="F635" s="34">
        <f>SUMPRODUCT($S$583:$U$583,$B90:$D90)</f>
        <v>0.15099083140375999</v>
      </c>
      <c r="G635" s="34">
        <f>SUMPRODUCT($W$583:$Y$583,$B90:$D90)</f>
        <v>1.1148753172906043</v>
      </c>
      <c r="H635" s="34">
        <f>SUMPRODUCT($AA$583:$AC$583,$B90:$D90)</f>
        <v>0.15099083140375999</v>
      </c>
      <c r="I635" s="34">
        <f>SUMPRODUCT($AE$583:$AG$583,$B90:$D90)</f>
        <v>0.15099083140375999</v>
      </c>
      <c r="J635" s="34">
        <f>SUMPRODUCT($AI$583:$AK$583,$B90:$D90)</f>
        <v>0.15099083140375999</v>
      </c>
      <c r="K635" s="17"/>
    </row>
    <row r="636" spans="1:11">
      <c r="A636" s="4" t="s">
        <v>185</v>
      </c>
      <c r="B636" s="34">
        <f>SUMPRODUCT($C$584:$E$584,$B91:$D91)</f>
        <v>8.2594889817759171E-2</v>
      </c>
      <c r="C636" s="34">
        <f>SUMPRODUCT($G$584:$I$584,$B91:$D91)</f>
        <v>0.38491683571063495</v>
      </c>
      <c r="D636" s="34">
        <f>SUMPRODUCT($K$584:$M$584,$B91:$D91)</f>
        <v>0.38491683571063495</v>
      </c>
      <c r="E636" s="34">
        <f>SUMPRODUCT($O$584:$Q$584,$B91:$D91)</f>
        <v>0.39625346874123274</v>
      </c>
      <c r="F636" s="34">
        <f>SUMPRODUCT($S$584:$U$584,$B91:$D91)</f>
        <v>0.39625346874123274</v>
      </c>
      <c r="G636" s="34">
        <f>SUMPRODUCT($W$584:$Y$584,$B91:$D91)</f>
        <v>2.9258280624275264</v>
      </c>
      <c r="H636" s="34">
        <f>SUMPRODUCT($AA$584:$AC$584,$B91:$D91)</f>
        <v>0.39625346874123274</v>
      </c>
      <c r="I636" s="34">
        <f>SUMPRODUCT($AE$584:$AG$584,$B91:$D91)</f>
        <v>0.39625346874123274</v>
      </c>
      <c r="J636" s="34">
        <f>SUMPRODUCT($AI$584:$AK$584,$B91:$D91)</f>
        <v>0.39625346874123274</v>
      </c>
      <c r="K636" s="17"/>
    </row>
    <row r="637" spans="1:11">
      <c r="A637" s="4" t="s">
        <v>205</v>
      </c>
      <c r="B637" s="34">
        <f>SUMPRODUCT($C$585:$E$585,$B92:$D92)</f>
        <v>0.10068205322764709</v>
      </c>
      <c r="C637" s="34">
        <f>SUMPRODUCT($G$585:$I$585,$B92:$D92)</f>
        <v>0.46920841503323707</v>
      </c>
      <c r="D637" s="34">
        <f>SUMPRODUCT($K$585:$M$585,$B92:$D92)</f>
        <v>0.46920841503323707</v>
      </c>
      <c r="E637" s="34">
        <f>SUMPRODUCT($O$585:$Q$585,$B92:$D92)</f>
        <v>0.48302761731956961</v>
      </c>
      <c r="F637" s="34">
        <f>SUMPRODUCT($S$585:$U$585,$B92:$D92)</f>
        <v>0.48302761731956961</v>
      </c>
      <c r="G637" s="34">
        <f>SUMPRODUCT($W$585:$Y$585,$B92:$D92)</f>
        <v>3.5665448233691199</v>
      </c>
      <c r="H637" s="34">
        <f>SUMPRODUCT($AA$585:$AC$585,$B92:$D92)</f>
        <v>0.48302761731956961</v>
      </c>
      <c r="I637" s="34">
        <f>SUMPRODUCT($AE$585:$AG$585,$B92:$D92)</f>
        <v>0.48302761731956961</v>
      </c>
      <c r="J637" s="34">
        <f>SUMPRODUCT($AI$585:$AK$585,$B92:$D92)</f>
        <v>0.48302761731956961</v>
      </c>
      <c r="K637" s="17"/>
    </row>
    <row r="638" spans="1:11">
      <c r="A638" s="4" t="s">
        <v>186</v>
      </c>
      <c r="B638" s="34">
        <f>SUMPRODUCT($C$586:$E$586,$B93:$D93)</f>
        <v>0.5777638154135406</v>
      </c>
      <c r="C638" s="34">
        <f>SUMPRODUCT($G$586:$I$586,$B93:$D93)</f>
        <v>1.2605715970213842</v>
      </c>
      <c r="D638" s="34">
        <f>SUMPRODUCT($K$586:$M$586,$B93:$D93)</f>
        <v>1.2605715970213842</v>
      </c>
      <c r="E638" s="34">
        <f>SUMPRODUCT($O$586:$Q$586,$B93:$D93)</f>
        <v>1.77640306494644</v>
      </c>
      <c r="F638" s="34">
        <f>SUMPRODUCT($S$586:$U$586,$B93:$D93)</f>
        <v>1.77640306494644</v>
      </c>
      <c r="G638" s="34">
        <f>SUMPRODUCT($W$586:$Y$586,$B93:$D93)</f>
        <v>1.4659243778043125</v>
      </c>
      <c r="H638" s="34">
        <f>SUMPRODUCT($AA$586:$AC$586,$B93:$D93)</f>
        <v>1.77640306494644</v>
      </c>
      <c r="I638" s="34">
        <f>SUMPRODUCT($AE$586:$AG$586,$B93:$D93)</f>
        <v>1.77640306494644</v>
      </c>
      <c r="J638" s="34">
        <f>SUMPRODUCT($AI$586:$AK$586,$B93:$D93)</f>
        <v>1.77640306494644</v>
      </c>
      <c r="K638" s="17"/>
    </row>
    <row r="639" spans="1:11">
      <c r="A639" s="4" t="s">
        <v>187</v>
      </c>
      <c r="B639" s="34">
        <f>SUMPRODUCT($C$587:$E$587,$B94:$D94)</f>
        <v>0.52831802649140136</v>
      </c>
      <c r="C639" s="34">
        <f>SUMPRODUCT($G$587:$I$587,$B94:$D94)</f>
        <v>1.1517873486595975</v>
      </c>
      <c r="D639" s="34">
        <f>SUMPRODUCT($K$587:$M$587,$B94:$D94)</f>
        <v>1.1517873486595975</v>
      </c>
      <c r="E639" s="34">
        <f>SUMPRODUCT($O$587:$Q$587,$B94:$D94)</f>
        <v>1.6230645019075158</v>
      </c>
      <c r="F639" s="34">
        <f>SUMPRODUCT($S$587:$U$587,$B94:$D94)</f>
        <v>1.6230645019075158</v>
      </c>
      <c r="G639" s="34">
        <f>SUMPRODUCT($W$587:$Y$587,$B94:$D94)</f>
        <v>1.3283667872625671</v>
      </c>
      <c r="H639" s="34">
        <f>SUMPRODUCT($AA$587:$AC$587,$B94:$D94)</f>
        <v>1.6230645019075158</v>
      </c>
      <c r="I639" s="34">
        <f>SUMPRODUCT($AE$587:$AG$587,$B94:$D94)</f>
        <v>1.6230645019075158</v>
      </c>
      <c r="J639" s="34">
        <f>SUMPRODUCT($AI$587:$AK$587,$B94:$D94)</f>
        <v>1.6230645019075158</v>
      </c>
      <c r="K639" s="17"/>
    </row>
    <row r="640" spans="1:11">
      <c r="A640" s="4" t="s">
        <v>188</v>
      </c>
      <c r="B640" s="34">
        <f>SUMPRODUCT($C$588:$E$588,$B95:$D95)</f>
        <v>0.4737265897667261</v>
      </c>
      <c r="C640" s="34">
        <f>SUMPRODUCT($G$588:$I$588,$B95:$D95)</f>
        <v>1.033070347161221</v>
      </c>
      <c r="D640" s="34">
        <f>SUMPRODUCT($K$588:$M$588,$B95:$D95)</f>
        <v>1.033070347161221</v>
      </c>
      <c r="E640" s="34">
        <f>SUMPRODUCT($O$588:$Q$588,$B95:$D95)</f>
        <v>1.4558047790300879</v>
      </c>
      <c r="F640" s="34">
        <f>SUMPRODUCT($S$588:$U$588,$B95:$D95)</f>
        <v>1.4558047790300879</v>
      </c>
      <c r="G640" s="34">
        <f>SUMPRODUCT($W$588:$Y$588,$B95:$D95)</f>
        <v>1.1946430880382566</v>
      </c>
      <c r="H640" s="34">
        <f>SUMPRODUCT($AA$588:$AC$588,$B95:$D95)</f>
        <v>1.4558047790300879</v>
      </c>
      <c r="I640" s="34">
        <f>SUMPRODUCT($AE$588:$AG$588,$B95:$D95)</f>
        <v>1.4558047790300879</v>
      </c>
      <c r="J640" s="34">
        <f>SUMPRODUCT($AI$588:$AK$588,$B95:$D95)</f>
        <v>1.4558047790300879</v>
      </c>
      <c r="K640" s="17"/>
    </row>
    <row r="641" spans="1:11">
      <c r="A641" s="4" t="s">
        <v>189</v>
      </c>
      <c r="B641" s="34">
        <f>SUMPRODUCT($C$589:$E$589,$B96:$D96)</f>
        <v>0.46470820582141004</v>
      </c>
      <c r="C641" s="34">
        <f>SUMPRODUCT($G$589:$I$589,$B96:$D96)</f>
        <v>1.0134036760592076</v>
      </c>
      <c r="D641" s="34">
        <f>SUMPRODUCT($K$589:$M$589,$B96:$D96)</f>
        <v>1.0134036760592076</v>
      </c>
      <c r="E641" s="34">
        <f>SUMPRODUCT($O$589:$Q$589,$B96:$D96)</f>
        <v>1.4280904671668164</v>
      </c>
      <c r="F641" s="34">
        <f>SUMPRODUCT($S$589:$U$589,$B96:$D96)</f>
        <v>1.4280904671668164</v>
      </c>
      <c r="G641" s="34">
        <f>SUMPRODUCT($W$589:$Y$589,$B96:$D96)</f>
        <v>1.1719005393228632</v>
      </c>
      <c r="H641" s="34">
        <f>SUMPRODUCT($AA$589:$AC$589,$B96:$D96)</f>
        <v>1.4280904671668164</v>
      </c>
      <c r="I641" s="34">
        <f>SUMPRODUCT($AE$589:$AG$589,$B96:$D96)</f>
        <v>1.4280904671668164</v>
      </c>
      <c r="J641" s="34">
        <f>SUMPRODUCT($AI$589:$AK$589,$B96:$D96)</f>
        <v>1.4280904671668164</v>
      </c>
      <c r="K641" s="17"/>
    </row>
    <row r="642" spans="1:11">
      <c r="A642" s="4" t="s">
        <v>206</v>
      </c>
      <c r="B642" s="34">
        <f>SUMPRODUCT($C$590:$E$590,$B97:$D97)</f>
        <v>0.42157163345249016</v>
      </c>
      <c r="C642" s="34">
        <f>SUMPRODUCT($G$590:$I$590,$B97:$D97)</f>
        <v>0.91933440750822926</v>
      </c>
      <c r="D642" s="34">
        <f>SUMPRODUCT($K$590:$M$590,$B97:$D97)</f>
        <v>0.91933440750822926</v>
      </c>
      <c r="E642" s="34">
        <f>SUMPRODUCT($O$590:$Q$590,$B97:$D97)</f>
        <v>1.2955278676374669</v>
      </c>
      <c r="F642" s="34">
        <f>SUMPRODUCT($S$590:$U$590,$B97:$D97)</f>
        <v>1.2955278676374669</v>
      </c>
      <c r="G642" s="34">
        <f>SUMPRODUCT($W$590:$Y$590,$B97:$D97)</f>
        <v>1.0631187881284279</v>
      </c>
      <c r="H642" s="34">
        <f>SUMPRODUCT($AA$590:$AC$590,$B97:$D97)</f>
        <v>1.2955278676374669</v>
      </c>
      <c r="I642" s="34">
        <f>SUMPRODUCT($AE$590:$AG$590,$B97:$D97)</f>
        <v>1.2955278676374669</v>
      </c>
      <c r="J642" s="34">
        <f>SUMPRODUCT($AI$590:$AK$590,$B97:$D97)</f>
        <v>1.2955278676374669</v>
      </c>
      <c r="K642" s="17"/>
    </row>
    <row r="643" spans="1:11">
      <c r="A643" s="4" t="s">
        <v>194</v>
      </c>
      <c r="B643" s="34">
        <f>SUMPRODUCT($C$591:$E$591,$B98:$D98)</f>
        <v>-0.39654236023299677</v>
      </c>
      <c r="C643" s="34">
        <f>SUMPRODUCT($G$591:$I$591,$B98:$D98)</f>
        <v>-0.86475229087680339</v>
      </c>
      <c r="D643" s="34">
        <f>SUMPRODUCT($K$591:$M$591,$B98:$D98)</f>
        <v>-0.86475229087680339</v>
      </c>
      <c r="E643" s="34">
        <f>SUMPRODUCT($O$591:$Q$591,$B98:$D98)</f>
        <v>-1.2186106407903714</v>
      </c>
      <c r="F643" s="34">
        <f>SUMPRODUCT($S$591:$U$591,$B98:$D98)</f>
        <v>-1.2186106407903714</v>
      </c>
      <c r="G643" s="34">
        <f>SUMPRODUCT($W$591:$Y$591,$B98:$D98)</f>
        <v>-1</v>
      </c>
      <c r="H643" s="34">
        <f>SUMPRODUCT($AA$591:$AC$591,$B98:$D98)</f>
        <v>-1.2186106407903714</v>
      </c>
      <c r="I643" s="34">
        <f>SUMPRODUCT($AE$591:$AG$591,$B98:$D98)</f>
        <v>-1.2186106407903714</v>
      </c>
      <c r="J643" s="34">
        <f>SUMPRODUCT($AI$591:$AK$591,$B98:$D98)</f>
        <v>-1.2186106407903714</v>
      </c>
      <c r="K643" s="17"/>
    </row>
    <row r="644" spans="1:11">
      <c r="A644" s="4" t="s">
        <v>195</v>
      </c>
      <c r="B644" s="34">
        <f>SUMPRODUCT($C$592:$E$592,$B99:$D99)</f>
        <v>-0.39654236023299677</v>
      </c>
      <c r="C644" s="34">
        <f>SUMPRODUCT($G$592:$I$592,$B99:$D99)</f>
        <v>-0.86475229087680339</v>
      </c>
      <c r="D644" s="34">
        <f>SUMPRODUCT($K$592:$M$592,$B99:$D99)</f>
        <v>-0.86475229087680339</v>
      </c>
      <c r="E644" s="34">
        <f>SUMPRODUCT($O$592:$Q$592,$B99:$D99)</f>
        <v>-1.2186106407903714</v>
      </c>
      <c r="F644" s="34">
        <f>SUMPRODUCT($S$592:$U$592,$B99:$D99)</f>
        <v>-1.2186106407903714</v>
      </c>
      <c r="G644" s="34">
        <f>SUMPRODUCT($W$592:$Y$592,$B99:$D99)</f>
        <v>-1</v>
      </c>
      <c r="H644" s="34">
        <f>SUMPRODUCT($AA$592:$AC$592,$B99:$D99)</f>
        <v>-1.2186106407903714</v>
      </c>
      <c r="I644" s="34">
        <f>SUMPRODUCT($AE$592:$AG$592,$B99:$D99)</f>
        <v>-1.2186106407903714</v>
      </c>
      <c r="J644" s="34">
        <f>SUMPRODUCT($AI$592:$AK$592,$B99:$D99)</f>
        <v>-1.2186106407903714</v>
      </c>
      <c r="K644" s="17"/>
    </row>
    <row r="645" spans="1:11">
      <c r="A645" s="4" t="s">
        <v>198</v>
      </c>
      <c r="B645" s="34">
        <f>SUMPRODUCT($C$593:$E$593,$B100:$D100)</f>
        <v>-0.39654236023299677</v>
      </c>
      <c r="C645" s="34">
        <f>SUMPRODUCT($G$593:$I$593,$B100:$D100)</f>
        <v>-0.86475229087680339</v>
      </c>
      <c r="D645" s="34">
        <f>SUMPRODUCT($K$593:$M$593,$B100:$D100)</f>
        <v>-0.86475229087680339</v>
      </c>
      <c r="E645" s="34">
        <f>SUMPRODUCT($O$593:$Q$593,$B100:$D100)</f>
        <v>-1.2186106407903714</v>
      </c>
      <c r="F645" s="34">
        <f>SUMPRODUCT($S$593:$U$593,$B100:$D100)</f>
        <v>-1.2186106407903714</v>
      </c>
      <c r="G645" s="34">
        <f>SUMPRODUCT($W$593:$Y$593,$B100:$D100)</f>
        <v>-1</v>
      </c>
      <c r="H645" s="34">
        <f>SUMPRODUCT($AA$593:$AC$593,$B100:$D100)</f>
        <v>-1.2186106407903714</v>
      </c>
      <c r="I645" s="34">
        <f>SUMPRODUCT($AE$593:$AG$593,$B100:$D100)</f>
        <v>-1.2186106407903714</v>
      </c>
      <c r="J645" s="34">
        <f>SUMPRODUCT($AI$593:$AK$593,$B100:$D100)</f>
        <v>-1.2186106407903714</v>
      </c>
      <c r="K645" s="17"/>
    </row>
    <row r="646" spans="1:11">
      <c r="A646" s="4" t="s">
        <v>199</v>
      </c>
      <c r="B646" s="34">
        <f>SUMPRODUCT($C$594:$E$594,$B101:$D101)</f>
        <v>-0.39654236023299677</v>
      </c>
      <c r="C646" s="34">
        <f>SUMPRODUCT($G$594:$I$594,$B101:$D101)</f>
        <v>-0.86475229087680339</v>
      </c>
      <c r="D646" s="34">
        <f>SUMPRODUCT($K$594:$M$594,$B101:$D101)</f>
        <v>-0.86475229087680339</v>
      </c>
      <c r="E646" s="34">
        <f>SUMPRODUCT($O$594:$Q$594,$B101:$D101)</f>
        <v>-1.2186106407903714</v>
      </c>
      <c r="F646" s="34">
        <f>SUMPRODUCT($S$594:$U$594,$B101:$D101)</f>
        <v>-1.2186106407903714</v>
      </c>
      <c r="G646" s="34">
        <f>SUMPRODUCT($W$594:$Y$594,$B101:$D101)</f>
        <v>-1</v>
      </c>
      <c r="H646" s="34">
        <f>SUMPRODUCT($AA$594:$AC$594,$B101:$D101)</f>
        <v>-1.2186106407903714</v>
      </c>
      <c r="I646" s="34">
        <f>SUMPRODUCT($AE$594:$AG$594,$B101:$D101)</f>
        <v>-1.2186106407903714</v>
      </c>
      <c r="J646" s="34">
        <f>SUMPRODUCT($AI$594:$AK$594,$B101:$D101)</f>
        <v>-1.2186106407903714</v>
      </c>
      <c r="K646" s="17"/>
    </row>
    <row r="647" spans="1:11">
      <c r="A647" s="4" t="s">
        <v>209</v>
      </c>
      <c r="B647" s="34">
        <f>SUMPRODUCT($C$595:$E$595,$B102:$D102)</f>
        <v>-0.39654236023299677</v>
      </c>
      <c r="C647" s="34">
        <f>SUMPRODUCT($G$595:$I$595,$B102:$D102)</f>
        <v>-0.86475229087680339</v>
      </c>
      <c r="D647" s="34">
        <f>SUMPRODUCT($K$595:$M$595,$B102:$D102)</f>
        <v>-0.86475229087680339</v>
      </c>
      <c r="E647" s="34">
        <f>SUMPRODUCT($O$595:$Q$595,$B102:$D102)</f>
        <v>-1.2186106407903714</v>
      </c>
      <c r="F647" s="34">
        <f>SUMPRODUCT($S$595:$U$595,$B102:$D102)</f>
        <v>-1.2186106407903714</v>
      </c>
      <c r="G647" s="34">
        <f>SUMPRODUCT($W$595:$Y$595,$B102:$D102)</f>
        <v>-1</v>
      </c>
      <c r="H647" s="34">
        <f>SUMPRODUCT($AA$595:$AC$595,$B102:$D102)</f>
        <v>-1.2186106407903714</v>
      </c>
      <c r="I647" s="34">
        <f>SUMPRODUCT($AE$595:$AG$595,$B102:$D102)</f>
        <v>-1.2186106407903714</v>
      </c>
      <c r="J647" s="34">
        <f>SUMPRODUCT($AI$595:$AK$595,$B102:$D102)</f>
        <v>-1.2186106407903714</v>
      </c>
      <c r="K647" s="17"/>
    </row>
    <row r="648" spans="1:11">
      <c r="A648" s="4" t="s">
        <v>210</v>
      </c>
      <c r="B648" s="34">
        <f>SUMPRODUCT($C$596:$E$596,$B103:$D103)</f>
        <v>-0.39654236023299677</v>
      </c>
      <c r="C648" s="34">
        <f>SUMPRODUCT($G$596:$I$596,$B103:$D103)</f>
        <v>-0.86475229087680339</v>
      </c>
      <c r="D648" s="34">
        <f>SUMPRODUCT($K$596:$M$596,$B103:$D103)</f>
        <v>-0.86475229087680339</v>
      </c>
      <c r="E648" s="34">
        <f>SUMPRODUCT($O$596:$Q$596,$B103:$D103)</f>
        <v>-1.2186106407903714</v>
      </c>
      <c r="F648" s="34">
        <f>SUMPRODUCT($S$596:$U$596,$B103:$D103)</f>
        <v>-1.2186106407903714</v>
      </c>
      <c r="G648" s="34">
        <f>SUMPRODUCT($W$596:$Y$596,$B103:$D103)</f>
        <v>-1</v>
      </c>
      <c r="H648" s="34">
        <f>SUMPRODUCT($AA$596:$AC$596,$B103:$D103)</f>
        <v>-1.2186106407903714</v>
      </c>
      <c r="I648" s="34">
        <f>SUMPRODUCT($AE$596:$AG$596,$B103:$D103)</f>
        <v>-1.2186106407903714</v>
      </c>
      <c r="J648" s="34">
        <f>SUMPRODUCT($AI$596:$AK$596,$B103:$D103)</f>
        <v>-1.2186106407903714</v>
      </c>
      <c r="K648" s="17"/>
    </row>
    <row r="650" spans="1:11" ht="21" customHeight="1">
      <c r="A650" s="1" t="s">
        <v>738</v>
      </c>
    </row>
    <row r="651" spans="1:11">
      <c r="A651" s="2" t="s">
        <v>379</v>
      </c>
    </row>
    <row r="652" spans="1:11">
      <c r="A652" s="29" t="s">
        <v>734</v>
      </c>
    </row>
    <row r="653" spans="1:11">
      <c r="A653" s="29" t="s">
        <v>739</v>
      </c>
    </row>
    <row r="654" spans="1:11">
      <c r="A654" s="2" t="s">
        <v>392</v>
      </c>
    </row>
    <row r="656" spans="1:11">
      <c r="B656" s="15" t="s">
        <v>148</v>
      </c>
      <c r="C656" s="15" t="s">
        <v>149</v>
      </c>
      <c r="D656" s="15" t="s">
        <v>150</v>
      </c>
      <c r="E656" s="15" t="s">
        <v>151</v>
      </c>
      <c r="F656" s="15" t="s">
        <v>152</v>
      </c>
      <c r="G656" s="15" t="s">
        <v>157</v>
      </c>
      <c r="H656" s="15" t="s">
        <v>153</v>
      </c>
      <c r="I656" s="15" t="s">
        <v>154</v>
      </c>
      <c r="J656" s="15" t="s">
        <v>155</v>
      </c>
    </row>
    <row r="657" spans="1:11">
      <c r="A657" s="4" t="s">
        <v>186</v>
      </c>
      <c r="B657" s="34">
        <f>SUMPRODUCT($C$586:$E$586,$B108:$D108)</f>
        <v>4.1130607964426268E-2</v>
      </c>
      <c r="C657" s="34">
        <f>SUMPRODUCT($G$586:$I$586,$B108:$D108)</f>
        <v>0.19177584373485806</v>
      </c>
      <c r="D657" s="34">
        <f>SUMPRODUCT($K$586:$M$586,$B108:$D108)</f>
        <v>0.19177584373485806</v>
      </c>
      <c r="E657" s="34">
        <f>SUMPRODUCT($O$586:$Q$586,$B108:$D108)</f>
        <v>0.1974243986119549</v>
      </c>
      <c r="F657" s="34">
        <f>SUMPRODUCT($S$586:$U$586,$B108:$D108)</f>
        <v>0.1974243986119549</v>
      </c>
      <c r="G657" s="34">
        <f>SUMPRODUCT($W$586:$Y$586,$B108:$D108)</f>
        <v>1.4659243778043127</v>
      </c>
      <c r="H657" s="34">
        <f>SUMPRODUCT($AA$586:$AC$586,$B108:$D108)</f>
        <v>0.1974243986119549</v>
      </c>
      <c r="I657" s="34">
        <f>SUMPRODUCT($AE$586:$AG$586,$B108:$D108)</f>
        <v>0.1974243986119549</v>
      </c>
      <c r="J657" s="34">
        <f>SUMPRODUCT($AI$586:$AK$586,$B108:$D108)</f>
        <v>0.1974243986119549</v>
      </c>
      <c r="K657" s="17"/>
    </row>
    <row r="658" spans="1:11">
      <c r="A658" s="4" t="s">
        <v>187</v>
      </c>
      <c r="B658" s="34">
        <f>SUMPRODUCT($C$587:$E$587,$B109:$D109)</f>
        <v>3.7610596317119112E-2</v>
      </c>
      <c r="C658" s="34">
        <f>SUMPRODUCT($G$587:$I$587,$B109:$D109)</f>
        <v>0.17522605706352623</v>
      </c>
      <c r="D658" s="34">
        <f>SUMPRODUCT($K$587:$M$587,$B109:$D109)</f>
        <v>0.17522605706352623</v>
      </c>
      <c r="E658" s="34">
        <f>SUMPRODUCT($O$587:$Q$587,$B109:$D109)</f>
        <v>0.18038278559667131</v>
      </c>
      <c r="F658" s="34">
        <f>SUMPRODUCT($S$587:$U$587,$B109:$D109)</f>
        <v>0.18038278559667131</v>
      </c>
      <c r="G658" s="34">
        <f>SUMPRODUCT($W$587:$Y$587,$B109:$D109)</f>
        <v>1.3283667872625671</v>
      </c>
      <c r="H658" s="34">
        <f>SUMPRODUCT($AA$587:$AC$587,$B109:$D109)</f>
        <v>0.18038278559667131</v>
      </c>
      <c r="I658" s="34">
        <f>SUMPRODUCT($AE$587:$AG$587,$B109:$D109)</f>
        <v>0.18038278559667131</v>
      </c>
      <c r="J658" s="34">
        <f>SUMPRODUCT($AI$587:$AK$587,$B109:$D109)</f>
        <v>0.18038278559667131</v>
      </c>
      <c r="K658" s="17"/>
    </row>
    <row r="659" spans="1:11">
      <c r="A659" s="4" t="s">
        <v>188</v>
      </c>
      <c r="B659" s="34">
        <f>SUMPRODUCT($C$588:$E$588,$B110:$D110)</f>
        <v>3.3724269547883406E-2</v>
      </c>
      <c r="C659" s="34">
        <f>SUMPRODUCT($G$588:$I$588,$B110:$D110)</f>
        <v>0.15716516057671021</v>
      </c>
      <c r="D659" s="34">
        <f>SUMPRODUCT($K$588:$M$588,$B110:$D110)</f>
        <v>0.15716516057671021</v>
      </c>
      <c r="E659" s="34">
        <f>SUMPRODUCT($O$588:$Q$588,$B110:$D110)</f>
        <v>0.16179401435849849</v>
      </c>
      <c r="F659" s="34">
        <f>SUMPRODUCT($S$588:$U$588,$B110:$D110)</f>
        <v>0.16179401435849849</v>
      </c>
      <c r="G659" s="34">
        <f>SUMPRODUCT($W$588:$Y$588,$B110:$D110)</f>
        <v>1.1946430880382566</v>
      </c>
      <c r="H659" s="34">
        <f>SUMPRODUCT($AA$588:$AC$588,$B110:$D110)</f>
        <v>0.16179401435849849</v>
      </c>
      <c r="I659" s="34">
        <f>SUMPRODUCT($AE$588:$AG$588,$B110:$D110)</f>
        <v>0.16179401435849849</v>
      </c>
      <c r="J659" s="34">
        <f>SUMPRODUCT($AI$588:$AK$588,$B110:$D110)</f>
        <v>0.16179401435849849</v>
      </c>
      <c r="K659" s="17"/>
    </row>
    <row r="660" spans="1:11">
      <c r="A660" s="4" t="s">
        <v>189</v>
      </c>
      <c r="B660" s="34">
        <f>SUMPRODUCT($C$589:$E$589,$B111:$D111)</f>
        <v>3.3082257008101967E-2</v>
      </c>
      <c r="C660" s="34">
        <f>SUMPRODUCT($G$589:$I$589,$B111:$D111)</f>
        <v>0.15417319054267445</v>
      </c>
      <c r="D660" s="34">
        <f>SUMPRODUCT($K$589:$M$589,$B111:$D111)</f>
        <v>0.15417319054267445</v>
      </c>
      <c r="E660" s="34">
        <f>SUMPRODUCT($O$589:$Q$589,$B111:$D111)</f>
        <v>0.15871392433809789</v>
      </c>
      <c r="F660" s="34">
        <f>SUMPRODUCT($S$589:$U$589,$B111:$D111)</f>
        <v>0.15871392433809789</v>
      </c>
      <c r="G660" s="34">
        <f>SUMPRODUCT($W$589:$Y$589,$B111:$D111)</f>
        <v>1.1719005393228634</v>
      </c>
      <c r="H660" s="34">
        <f>SUMPRODUCT($AA$589:$AC$589,$B111:$D111)</f>
        <v>0.15871392433809789</v>
      </c>
      <c r="I660" s="34">
        <f>SUMPRODUCT($AE$589:$AG$589,$B111:$D111)</f>
        <v>0.15871392433809789</v>
      </c>
      <c r="J660" s="34">
        <f>SUMPRODUCT($AI$589:$AK$589,$B111:$D111)</f>
        <v>0.15871392433809789</v>
      </c>
      <c r="K660" s="17"/>
    </row>
    <row r="661" spans="1:11">
      <c r="A661" s="4" t="s">
        <v>206</v>
      </c>
      <c r="B661" s="34">
        <f>SUMPRODUCT($C$590:$E$590,$B112:$D112)</f>
        <v>3.0011394140434796E-2</v>
      </c>
      <c r="C661" s="34">
        <f>SUMPRODUCT($G$590:$I$590,$B112:$D112)</f>
        <v>0.13986205312809824</v>
      </c>
      <c r="D661" s="34">
        <f>SUMPRODUCT($K$590:$M$590,$B112:$D112)</f>
        <v>0.13986205312809824</v>
      </c>
      <c r="E661" s="34">
        <f>SUMPRODUCT($O$590:$Q$590,$B112:$D112)</f>
        <v>0.14398129298491549</v>
      </c>
      <c r="F661" s="34">
        <f>SUMPRODUCT($S$590:$U$590,$B112:$D112)</f>
        <v>0.14398129298491549</v>
      </c>
      <c r="G661" s="34">
        <f>SUMPRODUCT($W$590:$Y$590,$B112:$D112)</f>
        <v>1.0631187881284281</v>
      </c>
      <c r="H661" s="34">
        <f>SUMPRODUCT($AA$590:$AC$590,$B112:$D112)</f>
        <v>0.14398129298491549</v>
      </c>
      <c r="I661" s="34">
        <f>SUMPRODUCT($AE$590:$AG$590,$B112:$D112)</f>
        <v>0.14398129298491549</v>
      </c>
      <c r="J661" s="34">
        <f>SUMPRODUCT($AI$590:$AK$590,$B112:$D112)</f>
        <v>0.14398129298491549</v>
      </c>
      <c r="K661" s="17"/>
    </row>
    <row r="662" spans="1:11">
      <c r="A662" s="4" t="s">
        <v>194</v>
      </c>
      <c r="B662" s="34">
        <f>SUMPRODUCT($C$591:$E$591,$B113:$D113)</f>
        <v>-2.822957742405106E-2</v>
      </c>
      <c r="C662" s="34">
        <f>SUMPRODUCT($G$591:$I$591,$B113:$D113)</f>
        <v>-0.13155825547427202</v>
      </c>
      <c r="D662" s="34">
        <f>SUMPRODUCT($K$591:$M$591,$B113:$D113)</f>
        <v>-0.13155825547427202</v>
      </c>
      <c r="E662" s="34">
        <f>SUMPRODUCT($O$591:$Q$591,$B113:$D113)</f>
        <v>-0.13543293053675398</v>
      </c>
      <c r="F662" s="34">
        <f>SUMPRODUCT($S$591:$U$591,$B113:$D113)</f>
        <v>-0.13543293053675398</v>
      </c>
      <c r="G662" s="34">
        <f>SUMPRODUCT($W$591:$Y$591,$B113:$D113)</f>
        <v>-1</v>
      </c>
      <c r="H662" s="34">
        <f>SUMPRODUCT($AA$591:$AC$591,$B113:$D113)</f>
        <v>-0.13543293053675398</v>
      </c>
      <c r="I662" s="34">
        <f>SUMPRODUCT($AE$591:$AG$591,$B113:$D113)</f>
        <v>-0.13543293053675398</v>
      </c>
      <c r="J662" s="34">
        <f>SUMPRODUCT($AI$591:$AK$591,$B113:$D113)</f>
        <v>-0.13543293053675398</v>
      </c>
      <c r="K662" s="17"/>
    </row>
    <row r="663" spans="1:11">
      <c r="A663" s="4" t="s">
        <v>195</v>
      </c>
      <c r="B663" s="34">
        <f>SUMPRODUCT($C$592:$E$592,$B114:$D114)</f>
        <v>-2.822957742405106E-2</v>
      </c>
      <c r="C663" s="34">
        <f>SUMPRODUCT($G$592:$I$592,$B114:$D114)</f>
        <v>-0.13155825547427202</v>
      </c>
      <c r="D663" s="34">
        <f>SUMPRODUCT($K$592:$M$592,$B114:$D114)</f>
        <v>-0.13155825547427202</v>
      </c>
      <c r="E663" s="34">
        <f>SUMPRODUCT($O$592:$Q$592,$B114:$D114)</f>
        <v>-0.13543293053675398</v>
      </c>
      <c r="F663" s="34">
        <f>SUMPRODUCT($S$592:$U$592,$B114:$D114)</f>
        <v>-0.13543293053675398</v>
      </c>
      <c r="G663" s="34">
        <f>SUMPRODUCT($W$592:$Y$592,$B114:$D114)</f>
        <v>-1</v>
      </c>
      <c r="H663" s="34">
        <f>SUMPRODUCT($AA$592:$AC$592,$B114:$D114)</f>
        <v>-0.13543293053675398</v>
      </c>
      <c r="I663" s="34">
        <f>SUMPRODUCT($AE$592:$AG$592,$B114:$D114)</f>
        <v>-0.13543293053675398</v>
      </c>
      <c r="J663" s="34">
        <f>SUMPRODUCT($AI$592:$AK$592,$B114:$D114)</f>
        <v>-0.13543293053675398</v>
      </c>
      <c r="K663" s="17"/>
    </row>
    <row r="664" spans="1:11">
      <c r="A664" s="4" t="s">
        <v>198</v>
      </c>
      <c r="B664" s="34">
        <f>SUMPRODUCT($C$593:$E$593,$B115:$D115)</f>
        <v>-2.822957742405106E-2</v>
      </c>
      <c r="C664" s="34">
        <f>SUMPRODUCT($G$593:$I$593,$B115:$D115)</f>
        <v>-0.13155825547427202</v>
      </c>
      <c r="D664" s="34">
        <f>SUMPRODUCT($K$593:$M$593,$B115:$D115)</f>
        <v>-0.13155825547427202</v>
      </c>
      <c r="E664" s="34">
        <f>SUMPRODUCT($O$593:$Q$593,$B115:$D115)</f>
        <v>-0.13543293053675398</v>
      </c>
      <c r="F664" s="34">
        <f>SUMPRODUCT($S$593:$U$593,$B115:$D115)</f>
        <v>-0.13543293053675398</v>
      </c>
      <c r="G664" s="34">
        <f>SUMPRODUCT($W$593:$Y$593,$B115:$D115)</f>
        <v>-1</v>
      </c>
      <c r="H664" s="34">
        <f>SUMPRODUCT($AA$593:$AC$593,$B115:$D115)</f>
        <v>-0.13543293053675398</v>
      </c>
      <c r="I664" s="34">
        <f>SUMPRODUCT($AE$593:$AG$593,$B115:$D115)</f>
        <v>-0.13543293053675398</v>
      </c>
      <c r="J664" s="34">
        <f>SUMPRODUCT($AI$593:$AK$593,$B115:$D115)</f>
        <v>-0.13543293053675398</v>
      </c>
      <c r="K664" s="17"/>
    </row>
    <row r="665" spans="1:11">
      <c r="A665" s="4" t="s">
        <v>199</v>
      </c>
      <c r="B665" s="34">
        <f>SUMPRODUCT($C$594:$E$594,$B116:$D116)</f>
        <v>-2.822957742405106E-2</v>
      </c>
      <c r="C665" s="34">
        <f>SUMPRODUCT($G$594:$I$594,$B116:$D116)</f>
        <v>-0.13155825547427202</v>
      </c>
      <c r="D665" s="34">
        <f>SUMPRODUCT($K$594:$M$594,$B116:$D116)</f>
        <v>-0.13155825547427202</v>
      </c>
      <c r="E665" s="34">
        <f>SUMPRODUCT($O$594:$Q$594,$B116:$D116)</f>
        <v>-0.13543293053675398</v>
      </c>
      <c r="F665" s="34">
        <f>SUMPRODUCT($S$594:$U$594,$B116:$D116)</f>
        <v>-0.13543293053675398</v>
      </c>
      <c r="G665" s="34">
        <f>SUMPRODUCT($W$594:$Y$594,$B116:$D116)</f>
        <v>-1</v>
      </c>
      <c r="H665" s="34">
        <f>SUMPRODUCT($AA$594:$AC$594,$B116:$D116)</f>
        <v>-0.13543293053675398</v>
      </c>
      <c r="I665" s="34">
        <f>SUMPRODUCT($AE$594:$AG$594,$B116:$D116)</f>
        <v>-0.13543293053675398</v>
      </c>
      <c r="J665" s="34">
        <f>SUMPRODUCT($AI$594:$AK$594,$B116:$D116)</f>
        <v>-0.13543293053675398</v>
      </c>
      <c r="K665" s="17"/>
    </row>
    <row r="666" spans="1:11">
      <c r="A666" s="4" t="s">
        <v>209</v>
      </c>
      <c r="B666" s="34">
        <f>SUMPRODUCT($C$595:$E$595,$B117:$D117)</f>
        <v>-2.822957742405106E-2</v>
      </c>
      <c r="C666" s="34">
        <f>SUMPRODUCT($G$595:$I$595,$B117:$D117)</f>
        <v>-0.13155825547427202</v>
      </c>
      <c r="D666" s="34">
        <f>SUMPRODUCT($K$595:$M$595,$B117:$D117)</f>
        <v>-0.13155825547427202</v>
      </c>
      <c r="E666" s="34">
        <f>SUMPRODUCT($O$595:$Q$595,$B117:$D117)</f>
        <v>-0.13543293053675398</v>
      </c>
      <c r="F666" s="34">
        <f>SUMPRODUCT($S$595:$U$595,$B117:$D117)</f>
        <v>-0.13543293053675398</v>
      </c>
      <c r="G666" s="34">
        <f>SUMPRODUCT($W$595:$Y$595,$B117:$D117)</f>
        <v>-1</v>
      </c>
      <c r="H666" s="34">
        <f>SUMPRODUCT($AA$595:$AC$595,$B117:$D117)</f>
        <v>-0.13543293053675398</v>
      </c>
      <c r="I666" s="34">
        <f>SUMPRODUCT($AE$595:$AG$595,$B117:$D117)</f>
        <v>-0.13543293053675398</v>
      </c>
      <c r="J666" s="34">
        <f>SUMPRODUCT($AI$595:$AK$595,$B117:$D117)</f>
        <v>-0.13543293053675398</v>
      </c>
      <c r="K666" s="17"/>
    </row>
    <row r="667" spans="1:11">
      <c r="A667" s="4" t="s">
        <v>210</v>
      </c>
      <c r="B667" s="34">
        <f>SUMPRODUCT($C$596:$E$596,$B118:$D118)</f>
        <v>-2.822957742405106E-2</v>
      </c>
      <c r="C667" s="34">
        <f>SUMPRODUCT($G$596:$I$596,$B118:$D118)</f>
        <v>-0.13155825547427202</v>
      </c>
      <c r="D667" s="34">
        <f>SUMPRODUCT($K$596:$M$596,$B118:$D118)</f>
        <v>-0.13155825547427202</v>
      </c>
      <c r="E667" s="34">
        <f>SUMPRODUCT($O$596:$Q$596,$B118:$D118)</f>
        <v>-0.13543293053675398</v>
      </c>
      <c r="F667" s="34">
        <f>SUMPRODUCT($S$596:$U$596,$B118:$D118)</f>
        <v>-0.13543293053675398</v>
      </c>
      <c r="G667" s="34">
        <f>SUMPRODUCT($W$596:$Y$596,$B118:$D118)</f>
        <v>-1</v>
      </c>
      <c r="H667" s="34">
        <f>SUMPRODUCT($AA$596:$AC$596,$B118:$D118)</f>
        <v>-0.13543293053675398</v>
      </c>
      <c r="I667" s="34">
        <f>SUMPRODUCT($AE$596:$AG$596,$B118:$D118)</f>
        <v>-0.13543293053675398</v>
      </c>
      <c r="J667" s="34">
        <f>SUMPRODUCT($AI$596:$AK$596,$B118:$D118)</f>
        <v>-0.13543293053675398</v>
      </c>
      <c r="K667" s="17"/>
    </row>
    <row r="669" spans="1:11" ht="21" customHeight="1">
      <c r="A669" s="1" t="s">
        <v>740</v>
      </c>
    </row>
    <row r="670" spans="1:11">
      <c r="A670" s="2" t="s">
        <v>379</v>
      </c>
    </row>
    <row r="671" spans="1:11">
      <c r="A671" s="29" t="s">
        <v>741</v>
      </c>
    </row>
    <row r="672" spans="1:11">
      <c r="A672" s="29" t="s">
        <v>574</v>
      </c>
    </row>
    <row r="673" spans="1:6">
      <c r="A673" s="29" t="s">
        <v>742</v>
      </c>
    </row>
    <row r="674" spans="1:6">
      <c r="A674" s="30" t="s">
        <v>382</v>
      </c>
      <c r="B674" s="30" t="s">
        <v>513</v>
      </c>
      <c r="C674" s="30" t="s">
        <v>512</v>
      </c>
      <c r="D674" s="30"/>
      <c r="E674" s="30"/>
    </row>
    <row r="675" spans="1:6">
      <c r="A675" s="30" t="s">
        <v>385</v>
      </c>
      <c r="B675" s="30" t="s">
        <v>566</v>
      </c>
      <c r="C675" s="30" t="s">
        <v>576</v>
      </c>
      <c r="D675" s="30"/>
      <c r="E675" s="30"/>
    </row>
    <row r="677" spans="1:6" ht="30">
      <c r="C677" s="28" t="s">
        <v>743</v>
      </c>
      <c r="D677" s="28"/>
      <c r="E677" s="28"/>
    </row>
    <row r="678" spans="1:6">
      <c r="B678" s="15" t="s">
        <v>577</v>
      </c>
      <c r="C678" s="15" t="s">
        <v>351</v>
      </c>
      <c r="D678" s="15" t="s">
        <v>352</v>
      </c>
      <c r="E678" s="15" t="s">
        <v>348</v>
      </c>
    </row>
    <row r="679" spans="1:6" ht="30">
      <c r="A679" s="4" t="s">
        <v>744</v>
      </c>
      <c r="B679" s="40">
        <f>SUM(Input!$B361:$D361)</f>
        <v>8784</v>
      </c>
      <c r="C679" s="40">
        <f>Input!B361*24*Input!$F60/$B679</f>
        <v>258</v>
      </c>
      <c r="D679" s="40">
        <f>Input!C361*24*Input!$F60/$B679</f>
        <v>3067</v>
      </c>
      <c r="E679" s="40">
        <f>Input!D361*24*Input!$F60/$B679</f>
        <v>5459</v>
      </c>
      <c r="F679" s="17"/>
    </row>
    <row r="681" spans="1:6" ht="21" customHeight="1">
      <c r="A681" s="1" t="s">
        <v>745</v>
      </c>
    </row>
    <row r="682" spans="1:6">
      <c r="A682" s="2" t="s">
        <v>379</v>
      </c>
    </row>
    <row r="683" spans="1:6">
      <c r="A683" s="29" t="s">
        <v>746</v>
      </c>
    </row>
    <row r="684" spans="1:6">
      <c r="A684" s="29" t="s">
        <v>747</v>
      </c>
    </row>
    <row r="685" spans="1:6">
      <c r="A685" s="29" t="s">
        <v>748</v>
      </c>
    </row>
    <row r="686" spans="1:6">
      <c r="A686" s="29" t="s">
        <v>584</v>
      </c>
    </row>
    <row r="687" spans="1:6">
      <c r="A687" s="30" t="s">
        <v>382</v>
      </c>
      <c r="B687" s="30" t="s">
        <v>513</v>
      </c>
      <c r="C687" s="30" t="s">
        <v>512</v>
      </c>
      <c r="D687" s="30"/>
      <c r="E687" s="30"/>
    </row>
    <row r="688" spans="1:6">
      <c r="A688" s="30" t="s">
        <v>385</v>
      </c>
      <c r="B688" s="30" t="s">
        <v>566</v>
      </c>
      <c r="C688" s="30" t="s">
        <v>585</v>
      </c>
      <c r="D688" s="30"/>
      <c r="E688" s="30"/>
    </row>
    <row r="690" spans="1:6" ht="30">
      <c r="C690" s="28" t="s">
        <v>749</v>
      </c>
      <c r="D690" s="28"/>
      <c r="E690" s="28"/>
    </row>
    <row r="691" spans="1:6">
      <c r="B691" s="15" t="s">
        <v>586</v>
      </c>
      <c r="C691" s="15" t="s">
        <v>351</v>
      </c>
      <c r="D691" s="15" t="s">
        <v>352</v>
      </c>
      <c r="E691" s="15" t="s">
        <v>348</v>
      </c>
    </row>
    <row r="692" spans="1:6">
      <c r="A692" s="4" t="s">
        <v>228</v>
      </c>
      <c r="B692" s="36">
        <f>SUM(Input!$B351:$D351)</f>
        <v>1</v>
      </c>
      <c r="C692" s="36">
        <f>IF($B692,Input!B351/$B692,C$679/Input!$F$60/24)</f>
        <v>2.9197232826808393E-2</v>
      </c>
      <c r="D692" s="36">
        <f>IF($B692,Input!C351/$B692,D$679/Input!$F$60/24)</f>
        <v>0.34914809824421322</v>
      </c>
      <c r="E692" s="36">
        <f>IF($B692,Input!D351/$B692,E$679/Input!$F$60/24)</f>
        <v>0.62165466892897847</v>
      </c>
      <c r="F692" s="17"/>
    </row>
    <row r="693" spans="1:6">
      <c r="A693" s="4" t="s">
        <v>229</v>
      </c>
      <c r="B693" s="36">
        <f>SUM(Input!$B352:$D352)</f>
        <v>0.99999999999999922</v>
      </c>
      <c r="C693" s="36">
        <f>IF($B693,Input!B352/$B693,C$679/Input!$F$60/24)</f>
        <v>4.9425704922028531E-2</v>
      </c>
      <c r="D693" s="36">
        <f>IF($B693,Input!C352/$B693,D$679/Input!$F$60/24)</f>
        <v>8.3820823266677627E-2</v>
      </c>
      <c r="E693" s="36">
        <f>IF($B693,Input!D352/$B693,E$679/Input!$F$60/24)</f>
        <v>0.86675347181129381</v>
      </c>
      <c r="F693" s="17"/>
    </row>
    <row r="694" spans="1:6">
      <c r="A694" s="4" t="s">
        <v>230</v>
      </c>
      <c r="B694" s="36">
        <f>SUM(Input!$B353:$D353)</f>
        <v>0.99999999999999956</v>
      </c>
      <c r="C694" s="36">
        <f>IF($B694,Input!B353/$B694,C$679/Input!$F$60/24)</f>
        <v>9.5184958470688738E-2</v>
      </c>
      <c r="D694" s="36">
        <f>IF($B694,Input!C353/$B694,D$679/Input!$F$60/24)</f>
        <v>0.16466274749692628</v>
      </c>
      <c r="E694" s="36">
        <f>IF($B694,Input!D353/$B694,E$679/Input!$F$60/24)</f>
        <v>0.74015229403238503</v>
      </c>
      <c r="F694" s="17"/>
    </row>
    <row r="695" spans="1:6">
      <c r="A695" s="4" t="s">
        <v>231</v>
      </c>
      <c r="B695" s="36">
        <f>SUM(Input!$B354:$D354)</f>
        <v>1.0000000000000009</v>
      </c>
      <c r="C695" s="36">
        <f>IF($B695,Input!B354/$B695,C$679/Input!$F$60/24)</f>
        <v>1.6544621504207182E-2</v>
      </c>
      <c r="D695" s="36">
        <f>IF($B695,Input!C354/$B695,D$679/Input!$F$60/24)</f>
        <v>0.56816833822050516</v>
      </c>
      <c r="E695" s="36">
        <f>IF($B695,Input!D354/$B695,E$679/Input!$F$60/24)</f>
        <v>0.41528704027528762</v>
      </c>
      <c r="F695" s="17"/>
    </row>
    <row r="697" spans="1:6" ht="21" customHeight="1">
      <c r="A697" s="1" t="s">
        <v>750</v>
      </c>
    </row>
    <row r="698" spans="1:6">
      <c r="A698" s="2" t="s">
        <v>379</v>
      </c>
    </row>
    <row r="699" spans="1:6">
      <c r="A699" s="29" t="s">
        <v>751</v>
      </c>
    </row>
    <row r="700" spans="1:6">
      <c r="A700" s="2" t="s">
        <v>752</v>
      </c>
    </row>
    <row r="701" spans="1:6">
      <c r="A701" s="2" t="s">
        <v>397</v>
      </c>
    </row>
    <row r="703" spans="1:6">
      <c r="B703" s="15" t="s">
        <v>351</v>
      </c>
      <c r="C703" s="15" t="s">
        <v>352</v>
      </c>
      <c r="D703" s="15" t="s">
        <v>348</v>
      </c>
    </row>
    <row r="704" spans="1:6">
      <c r="A704" s="4" t="s">
        <v>228</v>
      </c>
      <c r="B704" s="38">
        <f>C$692</f>
        <v>2.9197232826808393E-2</v>
      </c>
      <c r="C704" s="38">
        <f>D$692</f>
        <v>0.34914809824421322</v>
      </c>
      <c r="D704" s="38">
        <f>E$692</f>
        <v>0.62165466892897847</v>
      </c>
      <c r="E704" s="17"/>
    </row>
    <row r="705" spans="1:5">
      <c r="A705" s="4" t="s">
        <v>229</v>
      </c>
      <c r="B705" s="38">
        <f>C$693</f>
        <v>4.9425704922028531E-2</v>
      </c>
      <c r="C705" s="38">
        <f>D$693</f>
        <v>8.3820823266677627E-2</v>
      </c>
      <c r="D705" s="38">
        <f>E$693</f>
        <v>0.86675347181129381</v>
      </c>
      <c r="E705" s="17"/>
    </row>
    <row r="706" spans="1:5">
      <c r="A706" s="4" t="s">
        <v>230</v>
      </c>
      <c r="B706" s="38">
        <f>C$694</f>
        <v>9.5184958470688738E-2</v>
      </c>
      <c r="C706" s="38">
        <f>D$694</f>
        <v>0.16466274749692628</v>
      </c>
      <c r="D706" s="38">
        <f>E$694</f>
        <v>0.74015229403238503</v>
      </c>
      <c r="E706" s="17"/>
    </row>
    <row r="707" spans="1:5">
      <c r="A707" s="4" t="s">
        <v>231</v>
      </c>
      <c r="B707" s="38">
        <f>C$695</f>
        <v>1.6544621504207182E-2</v>
      </c>
      <c r="C707" s="38">
        <f>D$695</f>
        <v>0.56816833822050516</v>
      </c>
      <c r="D707" s="38">
        <f>E$695</f>
        <v>0.41528704027528762</v>
      </c>
      <c r="E707" s="17"/>
    </row>
    <row r="708" spans="1:5">
      <c r="A708" s="4" t="s">
        <v>232</v>
      </c>
      <c r="B708" s="37">
        <v>1</v>
      </c>
      <c r="C708" s="37">
        <v>0</v>
      </c>
      <c r="D708" s="37">
        <v>0</v>
      </c>
      <c r="E708" s="17"/>
    </row>
    <row r="710" spans="1:5" ht="21" customHeight="1">
      <c r="A710" s="1" t="s">
        <v>753</v>
      </c>
    </row>
    <row r="712" spans="1:5">
      <c r="B712" s="15" t="s">
        <v>351</v>
      </c>
      <c r="C712" s="15" t="s">
        <v>352</v>
      </c>
      <c r="D712" s="15" t="s">
        <v>348</v>
      </c>
    </row>
    <row r="713" spans="1:5">
      <c r="A713" s="4" t="s">
        <v>232</v>
      </c>
      <c r="B713" s="37">
        <v>0</v>
      </c>
      <c r="C713" s="37">
        <v>1</v>
      </c>
      <c r="D713" s="37">
        <v>0</v>
      </c>
      <c r="E713" s="17"/>
    </row>
    <row r="715" spans="1:5" ht="21" customHeight="1">
      <c r="A715" s="1" t="s">
        <v>754</v>
      </c>
    </row>
    <row r="717" spans="1:5">
      <c r="B717" s="15" t="s">
        <v>351</v>
      </c>
      <c r="C717" s="15" t="s">
        <v>352</v>
      </c>
      <c r="D717" s="15" t="s">
        <v>348</v>
      </c>
    </row>
    <row r="718" spans="1:5">
      <c r="A718" s="4" t="s">
        <v>232</v>
      </c>
      <c r="B718" s="37">
        <v>0</v>
      </c>
      <c r="C718" s="37">
        <v>0</v>
      </c>
      <c r="D718" s="37">
        <v>1</v>
      </c>
      <c r="E718" s="17"/>
    </row>
    <row r="720" spans="1:5" ht="21" customHeight="1">
      <c r="A720" s="1" t="s">
        <v>755</v>
      </c>
    </row>
    <row r="721" spans="1:6">
      <c r="A721" s="2" t="s">
        <v>379</v>
      </c>
    </row>
    <row r="722" spans="1:6">
      <c r="A722" s="29" t="s">
        <v>606</v>
      </c>
    </row>
    <row r="723" spans="1:6">
      <c r="A723" s="29" t="s">
        <v>607</v>
      </c>
    </row>
    <row r="724" spans="1:6">
      <c r="A724" s="29" t="s">
        <v>756</v>
      </c>
    </row>
    <row r="725" spans="1:6">
      <c r="A725" s="29" t="s">
        <v>757</v>
      </c>
    </row>
    <row r="726" spans="1:6">
      <c r="A726" s="29" t="s">
        <v>758</v>
      </c>
    </row>
    <row r="727" spans="1:6">
      <c r="A727" s="29" t="s">
        <v>611</v>
      </c>
    </row>
    <row r="728" spans="1:6">
      <c r="A728" s="30" t="s">
        <v>382</v>
      </c>
      <c r="B728" s="30" t="s">
        <v>512</v>
      </c>
      <c r="C728" s="30"/>
      <c r="D728" s="30"/>
      <c r="E728" s="30" t="s">
        <v>512</v>
      </c>
    </row>
    <row r="729" spans="1:6" ht="30">
      <c r="A729" s="30" t="s">
        <v>385</v>
      </c>
      <c r="B729" s="30" t="s">
        <v>612</v>
      </c>
      <c r="C729" s="30"/>
      <c r="D729" s="30"/>
      <c r="E729" s="30" t="s">
        <v>613</v>
      </c>
    </row>
    <row r="731" spans="1:6" ht="30">
      <c r="B731" s="28" t="s">
        <v>759</v>
      </c>
      <c r="C731" s="28"/>
      <c r="D731" s="28"/>
    </row>
    <row r="732" spans="1:6" ht="60">
      <c r="B732" s="15" t="s">
        <v>351</v>
      </c>
      <c r="C732" s="15" t="s">
        <v>352</v>
      </c>
      <c r="D732" s="15" t="s">
        <v>348</v>
      </c>
      <c r="E732" s="15" t="s">
        <v>760</v>
      </c>
    </row>
    <row r="733" spans="1:6">
      <c r="A733" s="4" t="s">
        <v>228</v>
      </c>
      <c r="B733" s="36">
        <f>IF($B$142&gt;0,(Loads!$B$348*B$704)/$B$142,0)</f>
        <v>2.9197232826808393E-2</v>
      </c>
      <c r="C733" s="36">
        <f>IF($B$142&gt;0,(Loads!$B$348*C$704)/$B$142,0)</f>
        <v>0.34914809824421322</v>
      </c>
      <c r="D733" s="36">
        <f>IF($B$142&gt;0,(Loads!$B$348*D$704)/$B$142,0)</f>
        <v>0.62165466892897847</v>
      </c>
      <c r="E733" s="34">
        <f>IF($C$679&gt;0,$B733*Input!$F$60*24/$C$679,0)</f>
        <v>0.99406392694063928</v>
      </c>
      <c r="F733" s="17"/>
    </row>
    <row r="734" spans="1:6">
      <c r="A734" s="4" t="s">
        <v>229</v>
      </c>
      <c r="B734" s="36">
        <f>IF($B$143&gt;0,(Loads!$B$349*B$705)/$B$143,0)</f>
        <v>4.9425704922028531E-2</v>
      </c>
      <c r="C734" s="36">
        <f>IF($B$143&gt;0,(Loads!$B$349*C$705)/$B$143,0)</f>
        <v>8.3820823266677627E-2</v>
      </c>
      <c r="D734" s="36">
        <f>IF($B$143&gt;0,(Loads!$B$349*D$705)/$B$143,0)</f>
        <v>0.86675347181129381</v>
      </c>
      <c r="E734" s="34">
        <f>IF($C$679&gt;0,$B734*Input!$F$60*24/$C$679,0)</f>
        <v>1.6827728373453432</v>
      </c>
      <c r="F734" s="17"/>
    </row>
    <row r="735" spans="1:6">
      <c r="A735" s="4" t="s">
        <v>230</v>
      </c>
      <c r="B735" s="36">
        <f>IF($B$144&gt;0,(Loads!$B$350*B$706)/$B$144,0)</f>
        <v>9.5184958470688738E-2</v>
      </c>
      <c r="C735" s="36">
        <f>IF($B$144&gt;0,(Loads!$B$350*C$706)/$B$144,0)</f>
        <v>0.16466274749692625</v>
      </c>
      <c r="D735" s="36">
        <f>IF($B$144&gt;0,(Loads!$B$350*D$706)/$B$144,0)</f>
        <v>0.74015229403238503</v>
      </c>
      <c r="E735" s="34">
        <f>IF($C$679&gt;0,$B735*Input!$F$60*24/$C$679,0)</f>
        <v>3.2407157953741463</v>
      </c>
      <c r="F735" s="17"/>
    </row>
    <row r="736" spans="1:6">
      <c r="A736" s="4" t="s">
        <v>231</v>
      </c>
      <c r="B736" s="36">
        <f>IF($B$145&gt;0,(Loads!$B$351*B$707)/$B$145,0)</f>
        <v>1.6544621504207182E-2</v>
      </c>
      <c r="C736" s="36">
        <f>IF($B$145&gt;0,(Loads!$B$351*C$707)/$B$145,0)</f>
        <v>0.56816833822050516</v>
      </c>
      <c r="D736" s="36">
        <f>IF($B$145&gt;0,(Loads!$B$351*D$707)/$B$145,0)</f>
        <v>0.41528704027528762</v>
      </c>
      <c r="E736" s="34">
        <f>IF($C$679&gt;0,$B736*Input!$F$60*24/$C$679,0)</f>
        <v>0.56328664842230969</v>
      </c>
      <c r="F736" s="17"/>
    </row>
    <row r="738" spans="1:5" ht="21" customHeight="1">
      <c r="A738" s="1" t="s">
        <v>761</v>
      </c>
    </row>
    <row r="739" spans="1:5">
      <c r="A739" s="2" t="s">
        <v>379</v>
      </c>
    </row>
    <row r="740" spans="1:5">
      <c r="A740" s="29" t="s">
        <v>606</v>
      </c>
    </row>
    <row r="741" spans="1:5">
      <c r="A741" s="29" t="s">
        <v>607</v>
      </c>
    </row>
    <row r="742" spans="1:5">
      <c r="A742" s="29" t="s">
        <v>756</v>
      </c>
    </row>
    <row r="743" spans="1:5">
      <c r="A743" s="29" t="s">
        <v>617</v>
      </c>
    </row>
    <row r="744" spans="1:5">
      <c r="A744" s="29" t="s">
        <v>762</v>
      </c>
    </row>
    <row r="745" spans="1:5">
      <c r="A745" s="29" t="s">
        <v>627</v>
      </c>
    </row>
    <row r="746" spans="1:5">
      <c r="A746" s="29" t="s">
        <v>763</v>
      </c>
    </row>
    <row r="747" spans="1:5">
      <c r="A747" s="29" t="s">
        <v>764</v>
      </c>
    </row>
    <row r="748" spans="1:5">
      <c r="A748" s="29" t="s">
        <v>765</v>
      </c>
    </row>
    <row r="749" spans="1:5">
      <c r="A749" s="29" t="s">
        <v>631</v>
      </c>
    </row>
    <row r="750" spans="1:5">
      <c r="A750" s="30" t="s">
        <v>382</v>
      </c>
      <c r="B750" s="30" t="s">
        <v>512</v>
      </c>
      <c r="C750" s="30"/>
      <c r="D750" s="30"/>
      <c r="E750" s="30" t="s">
        <v>512</v>
      </c>
    </row>
    <row r="751" spans="1:5" ht="30">
      <c r="A751" s="30" t="s">
        <v>385</v>
      </c>
      <c r="B751" s="30" t="s">
        <v>632</v>
      </c>
      <c r="C751" s="30"/>
      <c r="D751" s="30"/>
      <c r="E751" s="30" t="s">
        <v>633</v>
      </c>
    </row>
    <row r="753" spans="1:6" ht="30">
      <c r="B753" s="28" t="s">
        <v>766</v>
      </c>
      <c r="C753" s="28"/>
      <c r="D753" s="28"/>
    </row>
    <row r="754" spans="1:6" ht="60">
      <c r="B754" s="15" t="s">
        <v>351</v>
      </c>
      <c r="C754" s="15" t="s">
        <v>352</v>
      </c>
      <c r="D754" s="15" t="s">
        <v>348</v>
      </c>
      <c r="E754" s="15" t="s">
        <v>767</v>
      </c>
    </row>
    <row r="755" spans="1:6">
      <c r="A755" s="4" t="s">
        <v>232</v>
      </c>
      <c r="B755" s="36">
        <f>IF($B$146&gt;0,(Loads!$B$352*B$708+Loads!$C$352*B$713+Loads!$D$352*B$718)/$B$146,0)</f>
        <v>4.8924935871176328E-2</v>
      </c>
      <c r="C755" s="36">
        <f>IF($B$146&gt;0,(Loads!$B$352*C$708+Loads!$C$352*C$713+Loads!$D$352*C$718)/$B$146,0)</f>
        <v>0.13151179874450947</v>
      </c>
      <c r="D755" s="36">
        <f>IF($B$146&gt;0,(Loads!$B$352*D$708+Loads!$C$352*D$713+Loads!$D$352*D$718)/$B$146,0)</f>
        <v>0.81956326538431423</v>
      </c>
      <c r="E755" s="34">
        <f>IF($C$679&gt;0,$B755*Input!$F$60*24/$C$679,0)</f>
        <v>1.6657233980326078</v>
      </c>
      <c r="F755" s="17"/>
    </row>
    <row r="757" spans="1:6" ht="21" customHeight="1">
      <c r="A757" s="1" t="s">
        <v>768</v>
      </c>
    </row>
    <row r="758" spans="1:6">
      <c r="A758" s="2" t="s">
        <v>379</v>
      </c>
    </row>
    <row r="759" spans="1:6">
      <c r="A759" s="29" t="s">
        <v>769</v>
      </c>
    </row>
    <row r="760" spans="1:6">
      <c r="A760" s="29" t="s">
        <v>770</v>
      </c>
    </row>
    <row r="761" spans="1:6">
      <c r="A761" s="29" t="s">
        <v>771</v>
      </c>
    </row>
    <row r="762" spans="1:6">
      <c r="A762" s="29" t="s">
        <v>772</v>
      </c>
    </row>
    <row r="763" spans="1:6">
      <c r="A763" s="29" t="s">
        <v>773</v>
      </c>
    </row>
    <row r="764" spans="1:6">
      <c r="A764" s="29" t="s">
        <v>774</v>
      </c>
    </row>
    <row r="765" spans="1:6">
      <c r="A765" s="30" t="s">
        <v>382</v>
      </c>
      <c r="B765" s="30" t="s">
        <v>547</v>
      </c>
      <c r="C765" s="30" t="s">
        <v>512</v>
      </c>
      <c r="D765" s="30" t="s">
        <v>512</v>
      </c>
    </row>
    <row r="766" spans="1:6" ht="30">
      <c r="A766" s="30" t="s">
        <v>385</v>
      </c>
      <c r="B766" s="30" t="s">
        <v>775</v>
      </c>
      <c r="C766" s="30" t="s">
        <v>776</v>
      </c>
      <c r="D766" s="30" t="s">
        <v>777</v>
      </c>
    </row>
    <row r="768" spans="1:6" ht="45">
      <c r="B768" s="15" t="s">
        <v>778</v>
      </c>
      <c r="C768" s="15" t="s">
        <v>779</v>
      </c>
      <c r="D768" s="15" t="s">
        <v>780</v>
      </c>
    </row>
    <row r="769" spans="1:5">
      <c r="A769" s="4" t="s">
        <v>228</v>
      </c>
      <c r="B769" s="35">
        <f>E$733</f>
        <v>0.99406392694063928</v>
      </c>
      <c r="C769" s="39">
        <f>B769*$B$142/24/Input!$F$60*1000</f>
        <v>1976.6296764172489</v>
      </c>
      <c r="D769" s="39">
        <f>Loads!B$60*B$142/24/Input!F$60*1000</f>
        <v>1988.43316093421</v>
      </c>
      <c r="E769" s="17"/>
    </row>
    <row r="770" spans="1:5">
      <c r="A770" s="4" t="s">
        <v>229</v>
      </c>
      <c r="B770" s="35">
        <f>E$734</f>
        <v>1.6827728373453432</v>
      </c>
      <c r="C770" s="39">
        <f>B770*$B$143/24/Input!$F$60*1000</f>
        <v>1785.9050258506527</v>
      </c>
      <c r="D770" s="39">
        <f>Loads!B$61*B$143/24/Input!F$60*1000</f>
        <v>2243.1981553688247</v>
      </c>
      <c r="E770" s="17"/>
    </row>
    <row r="771" spans="1:5">
      <c r="A771" s="4" t="s">
        <v>230</v>
      </c>
      <c r="B771" s="35">
        <f>E$735</f>
        <v>3.2407157953741463</v>
      </c>
      <c r="C771" s="39">
        <f>B771*$B$144/24/Input!$F$60*1000</f>
        <v>151.72295343587825</v>
      </c>
      <c r="D771" s="39">
        <f>Loads!B$62*B$144/24/Input!F$60*1000</f>
        <v>181.59292082555382</v>
      </c>
      <c r="E771" s="17"/>
    </row>
    <row r="772" spans="1:5">
      <c r="A772" s="4" t="s">
        <v>231</v>
      </c>
      <c r="B772" s="35">
        <f>E$736</f>
        <v>0.56328664842230969</v>
      </c>
      <c r="C772" s="39">
        <f>B772*$B$145/24/Input!$F$60*1000</f>
        <v>3.2964751973785433E-3</v>
      </c>
      <c r="D772" s="39">
        <f>Loads!B$63*B$145/24/Input!F$60*1000</f>
        <v>0</v>
      </c>
      <c r="E772" s="17"/>
    </row>
    <row r="773" spans="1:5">
      <c r="A773" s="4" t="s">
        <v>232</v>
      </c>
      <c r="B773" s="35">
        <f>E$755</f>
        <v>1.6657233980326078</v>
      </c>
      <c r="C773" s="39">
        <f>B773*$B$146/24/Input!$F$60*1000</f>
        <v>40932.970828573067</v>
      </c>
      <c r="D773" s="39">
        <f>Loads!B$64*B$146/24/Input!F$60*1000</f>
        <v>50716.826517607537</v>
      </c>
      <c r="E773" s="17"/>
    </row>
    <row r="775" spans="1:5" ht="21" customHeight="1">
      <c r="A775" s="1" t="s">
        <v>781</v>
      </c>
    </row>
    <row r="776" spans="1:5">
      <c r="A776" s="2" t="s">
        <v>379</v>
      </c>
    </row>
    <row r="777" spans="1:5">
      <c r="A777" s="29" t="s">
        <v>782</v>
      </c>
    </row>
    <row r="778" spans="1:5">
      <c r="A778" s="29" t="s">
        <v>783</v>
      </c>
    </row>
    <row r="779" spans="1:5">
      <c r="A779" s="2" t="s">
        <v>784</v>
      </c>
    </row>
    <row r="781" spans="1:5" ht="45">
      <c r="B781" s="15" t="s">
        <v>785</v>
      </c>
    </row>
    <row r="782" spans="1:5">
      <c r="A782" s="4" t="s">
        <v>785</v>
      </c>
      <c r="B782" s="34">
        <f>IF(SUM($C$769:$C$773),SUM($D$769:$D$773)/SUM($C$769:$C$773),0)</f>
        <v>1.2292854779589173</v>
      </c>
      <c r="C782" s="17"/>
    </row>
    <row r="784" spans="1:5" ht="21" customHeight="1">
      <c r="A784" s="1" t="s">
        <v>786</v>
      </c>
    </row>
    <row r="785" spans="1:7">
      <c r="A785" s="2" t="s">
        <v>379</v>
      </c>
    </row>
    <row r="786" spans="1:7">
      <c r="A786" s="29" t="s">
        <v>655</v>
      </c>
    </row>
    <row r="787" spans="1:7">
      <c r="A787" s="29" t="s">
        <v>787</v>
      </c>
    </row>
    <row r="788" spans="1:7">
      <c r="A788" s="29" t="s">
        <v>788</v>
      </c>
    </row>
    <row r="789" spans="1:7">
      <c r="A789" s="29" t="s">
        <v>789</v>
      </c>
    </row>
    <row r="790" spans="1:7">
      <c r="A790" s="29" t="s">
        <v>790</v>
      </c>
    </row>
    <row r="791" spans="1:7">
      <c r="A791" s="29" t="s">
        <v>791</v>
      </c>
    </row>
    <row r="792" spans="1:7">
      <c r="A792" s="29" t="s">
        <v>792</v>
      </c>
    </row>
    <row r="793" spans="1:7">
      <c r="A793" s="30" t="s">
        <v>382</v>
      </c>
      <c r="B793" s="30" t="s">
        <v>441</v>
      </c>
      <c r="C793" s="30" t="s">
        <v>441</v>
      </c>
      <c r="D793" s="30" t="s">
        <v>441</v>
      </c>
      <c r="E793" s="30" t="s">
        <v>512</v>
      </c>
      <c r="F793" s="30" t="s">
        <v>512</v>
      </c>
    </row>
    <row r="794" spans="1:7" ht="45">
      <c r="A794" s="30" t="s">
        <v>385</v>
      </c>
      <c r="B794" s="30" t="s">
        <v>443</v>
      </c>
      <c r="C794" s="30" t="s">
        <v>443</v>
      </c>
      <c r="D794" s="30" t="s">
        <v>443</v>
      </c>
      <c r="E794" s="30" t="s">
        <v>793</v>
      </c>
      <c r="F794" s="30" t="s">
        <v>794</v>
      </c>
    </row>
    <row r="796" spans="1:7" ht="30">
      <c r="B796" s="15" t="s">
        <v>795</v>
      </c>
      <c r="C796" s="15" t="s">
        <v>796</v>
      </c>
      <c r="D796" s="15" t="s">
        <v>797</v>
      </c>
      <c r="E796" s="15" t="s">
        <v>798</v>
      </c>
      <c r="F796" s="15" t="s">
        <v>361</v>
      </c>
    </row>
    <row r="797" spans="1:7">
      <c r="A797" s="4" t="s">
        <v>148</v>
      </c>
      <c r="B797" s="38">
        <f t="shared" ref="B797:B805" si="70">$C265</f>
        <v>0.86783625730994152</v>
      </c>
      <c r="C797" s="38">
        <f t="shared" ref="C797:C805" si="71">$D265</f>
        <v>0.11461988304093566</v>
      </c>
      <c r="D797" s="38">
        <f t="shared" ref="D797:D805" si="72">$E265</f>
        <v>1.7543859649122806E-2</v>
      </c>
      <c r="E797" s="36">
        <f>IF(Input!$E375,MAX(0,$C797+$B797-Input!$E375),IF($B265,1/0,0))</f>
        <v>0.13040935672514609</v>
      </c>
      <c r="F797" s="36">
        <f t="shared" ref="F797:F805" si="73">1-$E797-$D797</f>
        <v>0.85204678362573105</v>
      </c>
      <c r="G797" s="17"/>
    </row>
    <row r="798" spans="1:7">
      <c r="A798" s="4" t="s">
        <v>149</v>
      </c>
      <c r="B798" s="38">
        <f t="shared" si="70"/>
        <v>0.66828522504892374</v>
      </c>
      <c r="C798" s="38">
        <f t="shared" si="71"/>
        <v>0.2499551532941944</v>
      </c>
      <c r="D798" s="38">
        <f t="shared" si="72"/>
        <v>8.1759621656881942E-2</v>
      </c>
      <c r="E798" s="36">
        <f>IF(Input!$E376,MAX(0,$C798+$B798-Input!$E376),IF($B266,1/0,0))</f>
        <v>0.28334352576647104</v>
      </c>
      <c r="F798" s="36">
        <f t="shared" si="73"/>
        <v>0.63489685257664696</v>
      </c>
      <c r="G798" s="17"/>
    </row>
    <row r="799" spans="1:7">
      <c r="A799" s="4" t="s">
        <v>150</v>
      </c>
      <c r="B799" s="38">
        <f t="shared" si="70"/>
        <v>0.66828522504892374</v>
      </c>
      <c r="C799" s="38">
        <f t="shared" si="71"/>
        <v>0.2499551532941944</v>
      </c>
      <c r="D799" s="38">
        <f t="shared" si="72"/>
        <v>8.1759621656881942E-2</v>
      </c>
      <c r="E799" s="36">
        <f>IF(Input!$E377,MAX(0,$C799+$B799-Input!$E377),IF($B267,1/0,0))</f>
        <v>0.28334352576647104</v>
      </c>
      <c r="F799" s="36">
        <f t="shared" si="73"/>
        <v>0.63489685257664696</v>
      </c>
      <c r="G799" s="17"/>
    </row>
    <row r="800" spans="1:7">
      <c r="A800" s="4" t="s">
        <v>151</v>
      </c>
      <c r="B800" s="38">
        <f t="shared" si="70"/>
        <v>0.5635950837014011</v>
      </c>
      <c r="C800" s="38">
        <f t="shared" si="71"/>
        <v>0.35223729701351925</v>
      </c>
      <c r="D800" s="38">
        <f t="shared" si="72"/>
        <v>8.4167619285079695E-2</v>
      </c>
      <c r="E800" s="36">
        <f>IF(Input!$E378,MAX(0,$C800+$B800-Input!$E378),IF($B268,1/0,0))</f>
        <v>0.3881932986856923</v>
      </c>
      <c r="F800" s="36">
        <f t="shared" si="73"/>
        <v>0.52763908202922805</v>
      </c>
      <c r="G800" s="17"/>
    </row>
    <row r="801" spans="1:7">
      <c r="A801" s="4" t="s">
        <v>152</v>
      </c>
      <c r="B801" s="38">
        <f t="shared" si="70"/>
        <v>0.5635950837014011</v>
      </c>
      <c r="C801" s="38">
        <f t="shared" si="71"/>
        <v>0.35223729701351925</v>
      </c>
      <c r="D801" s="38">
        <f t="shared" si="72"/>
        <v>8.4167619285079695E-2</v>
      </c>
      <c r="E801" s="36">
        <f>IF(Input!$E379,MAX(0,$C801+$B801-Input!$E379),IF($B269,1/0,0))</f>
        <v>0.3881932986856923</v>
      </c>
      <c r="F801" s="36">
        <f t="shared" si="73"/>
        <v>0.52763908202922805</v>
      </c>
      <c r="G801" s="17"/>
    </row>
    <row r="802" spans="1:7">
      <c r="A802" s="4" t="s">
        <v>157</v>
      </c>
      <c r="B802" s="38">
        <f t="shared" si="70"/>
        <v>8.9480874316939893E-2</v>
      </c>
      <c r="C802" s="38">
        <f t="shared" si="71"/>
        <v>0.28904826958105645</v>
      </c>
      <c r="D802" s="38">
        <f t="shared" si="72"/>
        <v>0.62147085610200359</v>
      </c>
      <c r="E802" s="36">
        <f>IF(Input!$E380,MAX(0,$C802+$B802-Input!$E380),IF($B270,1/0,0))</f>
        <v>0</v>
      </c>
      <c r="F802" s="36">
        <f t="shared" si="73"/>
        <v>0.37852914389799641</v>
      </c>
      <c r="G802" s="17"/>
    </row>
    <row r="803" spans="1:7">
      <c r="A803" s="4" t="s">
        <v>153</v>
      </c>
      <c r="B803" s="38">
        <f t="shared" si="70"/>
        <v>0.5635950837014011</v>
      </c>
      <c r="C803" s="38">
        <f t="shared" si="71"/>
        <v>0.35223729701351925</v>
      </c>
      <c r="D803" s="38">
        <f t="shared" si="72"/>
        <v>8.4167619285079695E-2</v>
      </c>
      <c r="E803" s="36">
        <f>IF(Input!$E381,MAX(0,$C803+$B803-Input!$E381),IF($B271,1/0,0))</f>
        <v>0.3881932986856923</v>
      </c>
      <c r="F803" s="36">
        <f t="shared" si="73"/>
        <v>0.52763908202922805</v>
      </c>
      <c r="G803" s="17"/>
    </row>
    <row r="804" spans="1:7">
      <c r="A804" s="4" t="s">
        <v>154</v>
      </c>
      <c r="B804" s="38">
        <f t="shared" si="70"/>
        <v>0.5635950837014011</v>
      </c>
      <c r="C804" s="38">
        <f t="shared" si="71"/>
        <v>0.35223729701351925</v>
      </c>
      <c r="D804" s="38">
        <f t="shared" si="72"/>
        <v>8.4167619285079695E-2</v>
      </c>
      <c r="E804" s="36">
        <f>IF(Input!$E382,MAX(0,$C804+$B804-Input!$E382),IF($B272,1/0,0))</f>
        <v>0.3881932986856923</v>
      </c>
      <c r="F804" s="36">
        <f t="shared" si="73"/>
        <v>0.52763908202922805</v>
      </c>
      <c r="G804" s="17"/>
    </row>
    <row r="805" spans="1:7">
      <c r="A805" s="4" t="s">
        <v>155</v>
      </c>
      <c r="B805" s="38">
        <f t="shared" si="70"/>
        <v>0.5635950837014011</v>
      </c>
      <c r="C805" s="38">
        <f t="shared" si="71"/>
        <v>0.35223729701351925</v>
      </c>
      <c r="D805" s="38">
        <f t="shared" si="72"/>
        <v>8.4167619285079695E-2</v>
      </c>
      <c r="E805" s="36">
        <f>IF(Input!$E383,MAX(0,$C805+$B805-Input!$E383),IF($B273,1/0,0))</f>
        <v>0.3881932986856923</v>
      </c>
      <c r="F805" s="36">
        <f t="shared" si="73"/>
        <v>0.52763908202922805</v>
      </c>
      <c r="G805" s="17"/>
    </row>
    <row r="807" spans="1:7" ht="21" customHeight="1">
      <c r="A807" s="1" t="s">
        <v>799</v>
      </c>
    </row>
    <row r="808" spans="1:7">
      <c r="A808" s="2" t="s">
        <v>379</v>
      </c>
    </row>
    <row r="809" spans="1:7">
      <c r="A809" s="29" t="s">
        <v>800</v>
      </c>
    </row>
    <row r="810" spans="1:7">
      <c r="A810" s="29" t="s">
        <v>801</v>
      </c>
    </row>
    <row r="811" spans="1:7">
      <c r="A811" s="29" t="s">
        <v>802</v>
      </c>
    </row>
    <row r="812" spans="1:7">
      <c r="A812" s="2" t="s">
        <v>422</v>
      </c>
    </row>
    <row r="814" spans="1:7">
      <c r="B814" s="15" t="s">
        <v>351</v>
      </c>
      <c r="C814" s="15" t="s">
        <v>352</v>
      </c>
      <c r="D814" s="15" t="s">
        <v>348</v>
      </c>
    </row>
    <row r="815" spans="1:7">
      <c r="A815" s="4" t="s">
        <v>148</v>
      </c>
      <c r="B815" s="38">
        <f>$F$797</f>
        <v>0.85204678362573105</v>
      </c>
      <c r="C815" s="38">
        <f>$E$797</f>
        <v>0.13040935672514609</v>
      </c>
      <c r="D815" s="38">
        <f>$D$797</f>
        <v>1.7543859649122806E-2</v>
      </c>
      <c r="E815" s="17"/>
    </row>
    <row r="816" spans="1:7">
      <c r="A816" s="4" t="s">
        <v>149</v>
      </c>
      <c r="B816" s="38">
        <f>$F$798</f>
        <v>0.63489685257664696</v>
      </c>
      <c r="C816" s="38">
        <f>$E$798</f>
        <v>0.28334352576647104</v>
      </c>
      <c r="D816" s="38">
        <f>$D$798</f>
        <v>8.1759621656881942E-2</v>
      </c>
      <c r="E816" s="17"/>
    </row>
    <row r="817" spans="1:38">
      <c r="A817" s="4" t="s">
        <v>150</v>
      </c>
      <c r="B817" s="38">
        <f>$F$799</f>
        <v>0.63489685257664696</v>
      </c>
      <c r="C817" s="38">
        <f>$E$799</f>
        <v>0.28334352576647104</v>
      </c>
      <c r="D817" s="38">
        <f>$D$799</f>
        <v>8.1759621656881942E-2</v>
      </c>
      <c r="E817" s="17"/>
    </row>
    <row r="818" spans="1:38">
      <c r="A818" s="4" t="s">
        <v>151</v>
      </c>
      <c r="B818" s="38">
        <f>$F$800</f>
        <v>0.52763908202922805</v>
      </c>
      <c r="C818" s="38">
        <f>$E$800</f>
        <v>0.3881932986856923</v>
      </c>
      <c r="D818" s="38">
        <f>$D$800</f>
        <v>8.4167619285079695E-2</v>
      </c>
      <c r="E818" s="17"/>
    </row>
    <row r="819" spans="1:38">
      <c r="A819" s="4" t="s">
        <v>152</v>
      </c>
      <c r="B819" s="38">
        <f>$F$801</f>
        <v>0.52763908202922805</v>
      </c>
      <c r="C819" s="38">
        <f>$E$801</f>
        <v>0.3881932986856923</v>
      </c>
      <c r="D819" s="38">
        <f>$D$801</f>
        <v>8.4167619285079695E-2</v>
      </c>
      <c r="E819" s="17"/>
    </row>
    <row r="820" spans="1:38">
      <c r="A820" s="4" t="s">
        <v>157</v>
      </c>
      <c r="B820" s="38">
        <f>$F$802</f>
        <v>0.37852914389799641</v>
      </c>
      <c r="C820" s="38">
        <f>$E$802</f>
        <v>0</v>
      </c>
      <c r="D820" s="38">
        <f>$D$802</f>
        <v>0.62147085610200359</v>
      </c>
      <c r="E820" s="17"/>
    </row>
    <row r="821" spans="1:38">
      <c r="A821" s="4" t="s">
        <v>153</v>
      </c>
      <c r="B821" s="38">
        <f>$F$803</f>
        <v>0.52763908202922805</v>
      </c>
      <c r="C821" s="38">
        <f>$E$803</f>
        <v>0.3881932986856923</v>
      </c>
      <c r="D821" s="38">
        <f>$D$803</f>
        <v>8.4167619285079695E-2</v>
      </c>
      <c r="E821" s="17"/>
    </row>
    <row r="822" spans="1:38">
      <c r="A822" s="4" t="s">
        <v>154</v>
      </c>
      <c r="B822" s="38">
        <f>$F$804</f>
        <v>0.52763908202922805</v>
      </c>
      <c r="C822" s="38">
        <f>$E$804</f>
        <v>0.3881932986856923</v>
      </c>
      <c r="D822" s="38">
        <f>$D$804</f>
        <v>8.4167619285079695E-2</v>
      </c>
      <c r="E822" s="17"/>
    </row>
    <row r="823" spans="1:38">
      <c r="A823" s="4" t="s">
        <v>155</v>
      </c>
      <c r="B823" s="38">
        <f>$F$805</f>
        <v>0.52763908202922805</v>
      </c>
      <c r="C823" s="38">
        <f>$E$805</f>
        <v>0.3881932986856923</v>
      </c>
      <c r="D823" s="38">
        <f>$D$805</f>
        <v>8.4167619285079695E-2</v>
      </c>
      <c r="E823" s="17"/>
    </row>
    <row r="825" spans="1:38" ht="21" customHeight="1">
      <c r="A825" s="1" t="s">
        <v>803</v>
      </c>
    </row>
    <row r="826" spans="1:38">
      <c r="A826" s="2" t="s">
        <v>379</v>
      </c>
    </row>
    <row r="827" spans="1:38">
      <c r="A827" s="29" t="s">
        <v>804</v>
      </c>
    </row>
    <row r="828" spans="1:38">
      <c r="A828" s="2" t="s">
        <v>656</v>
      </c>
    </row>
    <row r="830" spans="1:38">
      <c r="B830" s="27" t="s">
        <v>148</v>
      </c>
      <c r="C830" s="15" t="s">
        <v>351</v>
      </c>
      <c r="D830" s="15" t="s">
        <v>352</v>
      </c>
      <c r="E830" s="15" t="s">
        <v>348</v>
      </c>
      <c r="F830" s="27" t="s">
        <v>149</v>
      </c>
      <c r="G830" s="15" t="s">
        <v>351</v>
      </c>
      <c r="H830" s="15" t="s">
        <v>352</v>
      </c>
      <c r="I830" s="15" t="s">
        <v>348</v>
      </c>
      <c r="J830" s="27" t="s">
        <v>150</v>
      </c>
      <c r="K830" s="15" t="s">
        <v>351</v>
      </c>
      <c r="L830" s="15" t="s">
        <v>352</v>
      </c>
      <c r="M830" s="15" t="s">
        <v>348</v>
      </c>
      <c r="N830" s="27" t="s">
        <v>151</v>
      </c>
      <c r="O830" s="15" t="s">
        <v>351</v>
      </c>
      <c r="P830" s="15" t="s">
        <v>352</v>
      </c>
      <c r="Q830" s="15" t="s">
        <v>348</v>
      </c>
      <c r="R830" s="27" t="s">
        <v>152</v>
      </c>
      <c r="S830" s="15" t="s">
        <v>351</v>
      </c>
      <c r="T830" s="15" t="s">
        <v>352</v>
      </c>
      <c r="U830" s="15" t="s">
        <v>348</v>
      </c>
      <c r="V830" s="27" t="s">
        <v>157</v>
      </c>
      <c r="W830" s="15" t="s">
        <v>351</v>
      </c>
      <c r="X830" s="15" t="s">
        <v>352</v>
      </c>
      <c r="Y830" s="15" t="s">
        <v>348</v>
      </c>
      <c r="Z830" s="27" t="s">
        <v>153</v>
      </c>
      <c r="AA830" s="15" t="s">
        <v>351</v>
      </c>
      <c r="AB830" s="15" t="s">
        <v>352</v>
      </c>
      <c r="AC830" s="15" t="s">
        <v>348</v>
      </c>
      <c r="AD830" s="27" t="s">
        <v>154</v>
      </c>
      <c r="AE830" s="15" t="s">
        <v>351</v>
      </c>
      <c r="AF830" s="15" t="s">
        <v>352</v>
      </c>
      <c r="AG830" s="15" t="s">
        <v>348</v>
      </c>
      <c r="AH830" s="27" t="s">
        <v>155</v>
      </c>
      <c r="AI830" s="15" t="s">
        <v>351</v>
      </c>
      <c r="AJ830" s="15" t="s">
        <v>352</v>
      </c>
      <c r="AK830" s="15" t="s">
        <v>348</v>
      </c>
    </row>
    <row r="831" spans="1:38">
      <c r="A831" s="4" t="s">
        <v>657</v>
      </c>
      <c r="C831" s="38">
        <f>B$815</f>
        <v>0.85204678362573105</v>
      </c>
      <c r="D831" s="38">
        <f>C$815</f>
        <v>0.13040935672514609</v>
      </c>
      <c r="E831" s="38">
        <f>D$815</f>
        <v>1.7543859649122806E-2</v>
      </c>
      <c r="G831" s="38">
        <f>B$816</f>
        <v>0.63489685257664696</v>
      </c>
      <c r="H831" s="38">
        <f>C$816</f>
        <v>0.28334352576647104</v>
      </c>
      <c r="I831" s="38">
        <f>D$816</f>
        <v>8.1759621656881942E-2</v>
      </c>
      <c r="K831" s="38">
        <f>B$817</f>
        <v>0.63489685257664696</v>
      </c>
      <c r="L831" s="38">
        <f>C$817</f>
        <v>0.28334352576647104</v>
      </c>
      <c r="M831" s="38">
        <f>D$817</f>
        <v>8.1759621656881942E-2</v>
      </c>
      <c r="O831" s="38">
        <f>B$818</f>
        <v>0.52763908202922805</v>
      </c>
      <c r="P831" s="38">
        <f>C$818</f>
        <v>0.3881932986856923</v>
      </c>
      <c r="Q831" s="38">
        <f>D$818</f>
        <v>8.4167619285079695E-2</v>
      </c>
      <c r="S831" s="38">
        <f>B$819</f>
        <v>0.52763908202922805</v>
      </c>
      <c r="T831" s="38">
        <f>C$819</f>
        <v>0.3881932986856923</v>
      </c>
      <c r="U831" s="38">
        <f>D$819</f>
        <v>8.4167619285079695E-2</v>
      </c>
      <c r="W831" s="38">
        <f>B$820</f>
        <v>0.37852914389799641</v>
      </c>
      <c r="X831" s="38">
        <f>C$820</f>
        <v>0</v>
      </c>
      <c r="Y831" s="38">
        <f>D$820</f>
        <v>0.62147085610200359</v>
      </c>
      <c r="AA831" s="38">
        <f>B$821</f>
        <v>0.52763908202922805</v>
      </c>
      <c r="AB831" s="38">
        <f>C$821</f>
        <v>0.3881932986856923</v>
      </c>
      <c r="AC831" s="38">
        <f>D$821</f>
        <v>8.4167619285079695E-2</v>
      </c>
      <c r="AE831" s="38">
        <f>B$822</f>
        <v>0.52763908202922805</v>
      </c>
      <c r="AF831" s="38">
        <f>C$822</f>
        <v>0.3881932986856923</v>
      </c>
      <c r="AG831" s="38">
        <f>D$822</f>
        <v>8.4167619285079695E-2</v>
      </c>
      <c r="AI831" s="38">
        <f>B$823</f>
        <v>0.52763908202922805</v>
      </c>
      <c r="AJ831" s="38">
        <f>C$823</f>
        <v>0.3881932986856923</v>
      </c>
      <c r="AK831" s="38">
        <f>D$823</f>
        <v>8.4167619285079695E-2</v>
      </c>
      <c r="AL831" s="17"/>
    </row>
    <row r="833" spans="1:38" ht="21" customHeight="1">
      <c r="A833" s="1" t="s">
        <v>805</v>
      </c>
    </row>
    <row r="834" spans="1:38">
      <c r="A834" s="2" t="s">
        <v>379</v>
      </c>
    </row>
    <row r="835" spans="1:38">
      <c r="A835" s="29" t="s">
        <v>806</v>
      </c>
    </row>
    <row r="836" spans="1:38">
      <c r="A836" s="29" t="s">
        <v>807</v>
      </c>
    </row>
    <row r="837" spans="1:38">
      <c r="A837" s="29" t="s">
        <v>808</v>
      </c>
    </row>
    <row r="838" spans="1:38">
      <c r="A838" s="29" t="s">
        <v>584</v>
      </c>
    </row>
    <row r="839" spans="1:38">
      <c r="A839" s="2" t="s">
        <v>662</v>
      </c>
    </row>
    <row r="841" spans="1:38">
      <c r="B841" s="27" t="s">
        <v>148</v>
      </c>
      <c r="C841" s="15" t="s">
        <v>351</v>
      </c>
      <c r="D841" s="15" t="s">
        <v>352</v>
      </c>
      <c r="E841" s="15" t="s">
        <v>348</v>
      </c>
      <c r="F841" s="27" t="s">
        <v>149</v>
      </c>
      <c r="G841" s="15" t="s">
        <v>351</v>
      </c>
      <c r="H841" s="15" t="s">
        <v>352</v>
      </c>
      <c r="I841" s="15" t="s">
        <v>348</v>
      </c>
      <c r="J841" s="27" t="s">
        <v>150</v>
      </c>
      <c r="K841" s="15" t="s">
        <v>351</v>
      </c>
      <c r="L841" s="15" t="s">
        <v>352</v>
      </c>
      <c r="M841" s="15" t="s">
        <v>348</v>
      </c>
      <c r="N841" s="27" t="s">
        <v>151</v>
      </c>
      <c r="O841" s="15" t="s">
        <v>351</v>
      </c>
      <c r="P841" s="15" t="s">
        <v>352</v>
      </c>
      <c r="Q841" s="15" t="s">
        <v>348</v>
      </c>
      <c r="R841" s="27" t="s">
        <v>152</v>
      </c>
      <c r="S841" s="15" t="s">
        <v>351</v>
      </c>
      <c r="T841" s="15" t="s">
        <v>352</v>
      </c>
      <c r="U841" s="15" t="s">
        <v>348</v>
      </c>
      <c r="V841" s="27" t="s">
        <v>157</v>
      </c>
      <c r="W841" s="15" t="s">
        <v>351</v>
      </c>
      <c r="X841" s="15" t="s">
        <v>352</v>
      </c>
      <c r="Y841" s="15" t="s">
        <v>348</v>
      </c>
      <c r="Z841" s="27" t="s">
        <v>153</v>
      </c>
      <c r="AA841" s="15" t="s">
        <v>351</v>
      </c>
      <c r="AB841" s="15" t="s">
        <v>352</v>
      </c>
      <c r="AC841" s="15" t="s">
        <v>348</v>
      </c>
      <c r="AD841" s="27" t="s">
        <v>154</v>
      </c>
      <c r="AE841" s="15" t="s">
        <v>351</v>
      </c>
      <c r="AF841" s="15" t="s">
        <v>352</v>
      </c>
      <c r="AG841" s="15" t="s">
        <v>348</v>
      </c>
      <c r="AH841" s="27" t="s">
        <v>155</v>
      </c>
      <c r="AI841" s="15" t="s">
        <v>351</v>
      </c>
      <c r="AJ841" s="15" t="s">
        <v>352</v>
      </c>
      <c r="AK841" s="15" t="s">
        <v>348</v>
      </c>
    </row>
    <row r="842" spans="1:38" ht="30">
      <c r="A842" s="4" t="s">
        <v>809</v>
      </c>
      <c r="C842" s="34">
        <f>IF(C679&gt;0,$B782*C831*24*Input!$F60/C679,0)</f>
        <v>35.660613765664536</v>
      </c>
      <c r="D842" s="34">
        <f>IF(D679&gt;0,$B782*D831*24*Input!$F60/D679,0)</f>
        <v>0.45913463474817179</v>
      </c>
      <c r="E842" s="34">
        <f>IF(E679&gt;0,$B782*E831*24*Input!$F60/E679,0)</f>
        <v>3.4702209576302864E-2</v>
      </c>
      <c r="G842" s="34">
        <f>IF(C679&gt;0,$B782*G831*24*Input!$F60/C679,0)</f>
        <v>26.572263255813233</v>
      </c>
      <c r="H842" s="34">
        <f>IF(D679&gt;0,$B782*H831*24*Input!$F60/D679,0)</f>
        <v>0.99757279291879886</v>
      </c>
      <c r="I842" s="34">
        <f>IF(E679&gt;0,$B782*I831*24*Input!$F60/E679,0)</f>
        <v>0.16172265296013183</v>
      </c>
      <c r="K842" s="34">
        <f>IF(C679&gt;0,$B782*K831*24*Input!$F60/C679,0)</f>
        <v>26.572263255813233</v>
      </c>
      <c r="L842" s="34">
        <f>IF(D679&gt;0,$B782*L831*24*Input!$F60/D679,0)</f>
        <v>0.99757279291879886</v>
      </c>
      <c r="M842" s="34">
        <f>IF(E679&gt;0,$B782*M831*24*Input!$F60/E679,0)</f>
        <v>0.16172265296013183</v>
      </c>
      <c r="O842" s="34">
        <f>IF(C679&gt;0,$B782*O831*24*Input!$F60/C679,0)</f>
        <v>22.083216407256753</v>
      </c>
      <c r="P842" s="34">
        <f>IF(D679&gt;0,$B782*P831*24*Input!$F60/D679,0)</f>
        <v>1.3667193281183918</v>
      </c>
      <c r="Q842" s="34">
        <f>IF(E679&gt;0,$B782*Q831*24*Input!$F60/E679,0)</f>
        <v>0.16648573474625047</v>
      </c>
      <c r="S842" s="34">
        <f>IF(C679&gt;0,$B782*S831*24*Input!$F60/C679,0)</f>
        <v>22.083216407256753</v>
      </c>
      <c r="T842" s="34">
        <f>IF(D679&gt;0,$B782*T831*24*Input!$F60/D679,0)</f>
        <v>1.3667193281183918</v>
      </c>
      <c r="U842" s="34">
        <f>IF(E679&gt;0,$B782*U831*24*Input!$F60/E679,0)</f>
        <v>0.16648573474625047</v>
      </c>
      <c r="W842" s="34">
        <f>IF(C679&gt;0,$B782*W831*24*Input!$F60/C679,0)</f>
        <v>15.842535714005429</v>
      </c>
      <c r="X842" s="34">
        <f>IF(D679&gt;0,$B782*X831*24*Input!$F60/D679,0)</f>
        <v>0</v>
      </c>
      <c r="Y842" s="34">
        <f>IF(E679&gt;0,$B782*Y831*24*Input!$F60/E679,0)</f>
        <v>1.2292854779589171</v>
      </c>
      <c r="AA842" s="34">
        <f>IF(C679&gt;0,$B782*AA831*24*Input!$F60/C679,0)</f>
        <v>22.083216407256753</v>
      </c>
      <c r="AB842" s="34">
        <f>IF(D679&gt;0,$B782*AB831*24*Input!$F60/D679,0)</f>
        <v>1.3667193281183918</v>
      </c>
      <c r="AC842" s="34">
        <f>IF(E679&gt;0,$B782*AC831*24*Input!$F60/E679,0)</f>
        <v>0.16648573474625047</v>
      </c>
      <c r="AE842" s="34">
        <f>IF(C679&gt;0,$B782*AE831*24*Input!$F60/C679,0)</f>
        <v>22.083216407256753</v>
      </c>
      <c r="AF842" s="34">
        <f>IF(D679&gt;0,$B782*AF831*24*Input!$F60/D679,0)</f>
        <v>1.3667193281183918</v>
      </c>
      <c r="AG842" s="34">
        <f>IF(E679&gt;0,$B782*AG831*24*Input!$F60/E679,0)</f>
        <v>0.16648573474625047</v>
      </c>
      <c r="AI842" s="34">
        <f>IF(C679&gt;0,$B782*AI831*24*Input!$F60/C679,0)</f>
        <v>22.083216407256753</v>
      </c>
      <c r="AJ842" s="34">
        <f>IF(D679&gt;0,$B782*AJ831*24*Input!$F60/D679,0)</f>
        <v>1.3667193281183918</v>
      </c>
      <c r="AK842" s="34">
        <f>IF(E679&gt;0,$B782*AK831*24*Input!$F60/E679,0)</f>
        <v>0.16648573474625047</v>
      </c>
      <c r="AL842" s="17"/>
    </row>
    <row r="844" spans="1:38" ht="21" customHeight="1">
      <c r="A844" s="1" t="s">
        <v>810</v>
      </c>
    </row>
    <row r="845" spans="1:38">
      <c r="A845" s="2" t="s">
        <v>379</v>
      </c>
    </row>
    <row r="846" spans="1:38">
      <c r="A846" s="29" t="s">
        <v>811</v>
      </c>
    </row>
    <row r="847" spans="1:38">
      <c r="A847" s="29" t="s">
        <v>812</v>
      </c>
    </row>
    <row r="848" spans="1:38">
      <c r="A848" s="2" t="s">
        <v>392</v>
      </c>
    </row>
    <row r="850" spans="1:11">
      <c r="B850" s="15" t="s">
        <v>148</v>
      </c>
      <c r="C850" s="15" t="s">
        <v>149</v>
      </c>
      <c r="D850" s="15" t="s">
        <v>150</v>
      </c>
      <c r="E850" s="15" t="s">
        <v>151</v>
      </c>
      <c r="F850" s="15" t="s">
        <v>152</v>
      </c>
      <c r="G850" s="15" t="s">
        <v>157</v>
      </c>
      <c r="H850" s="15" t="s">
        <v>153</v>
      </c>
      <c r="I850" s="15" t="s">
        <v>154</v>
      </c>
      <c r="J850" s="15" t="s">
        <v>155</v>
      </c>
    </row>
    <row r="851" spans="1:11">
      <c r="A851" s="4" t="s">
        <v>228</v>
      </c>
      <c r="B851" s="34">
        <f>SUMPRODUCT($C$842:$E$842,$B704:$D704)</f>
        <v>1.223070018028632</v>
      </c>
      <c r="C851" s="34">
        <f>SUMPRODUCT($G$842:$I$842,$B704:$D704)</f>
        <v>1.2246728428072382</v>
      </c>
      <c r="D851" s="34">
        <f>SUMPRODUCT($K$842:$M$842,$B704:$D704)</f>
        <v>1.2246728428072382</v>
      </c>
      <c r="E851" s="34">
        <f>SUMPRODUCT($O$842:$Q$842,$B704:$D704)</f>
        <v>1.225452899568694</v>
      </c>
      <c r="F851" s="34">
        <f>SUMPRODUCT($S$842:$U$842,$B704:$D704)</f>
        <v>1.225452899568694</v>
      </c>
      <c r="G851" s="34">
        <f>SUMPRODUCT($W$842:$Y$842,$B704:$D704)</f>
        <v>1.2267492606285952</v>
      </c>
      <c r="H851" s="34">
        <f>SUMPRODUCT($AA$842:$AC$842,$B704:$D704)</f>
        <v>1.225452899568694</v>
      </c>
      <c r="I851" s="34">
        <f>SUMPRODUCT($AE$842:$AG$842,$B704:$D704)</f>
        <v>1.225452899568694</v>
      </c>
      <c r="J851" s="34">
        <f>SUMPRODUCT($AI$842:$AK$842,$B704:$D704)</f>
        <v>1.225452899568694</v>
      </c>
      <c r="K851" s="17"/>
    </row>
    <row r="852" spans="1:11">
      <c r="A852" s="4" t="s">
        <v>229</v>
      </c>
      <c r="B852" s="34">
        <f>SUMPRODUCT($C$842:$E$842,$B705:$D705)</f>
        <v>1.8311142770247848</v>
      </c>
      <c r="C852" s="34">
        <f>SUMPRODUCT($G$842:$I$842,$B705:$D705)</f>
        <v>1.537143886486906</v>
      </c>
      <c r="D852" s="34">
        <f>SUMPRODUCT($K$842:$M$842,$B705:$D705)</f>
        <v>1.537143886486906</v>
      </c>
      <c r="E852" s="34">
        <f>SUMPRODUCT($O$842:$Q$842,$B705:$D705)</f>
        <v>1.3503401657301022</v>
      </c>
      <c r="F852" s="34">
        <f>SUMPRODUCT($S$842:$U$842,$B705:$D705)</f>
        <v>1.3503401657301022</v>
      </c>
      <c r="G852" s="34">
        <f>SUMPRODUCT($W$842:$Y$842,$B705:$D705)</f>
        <v>1.8485159512852281</v>
      </c>
      <c r="H852" s="34">
        <f>SUMPRODUCT($AA$842:$AC$842,$B705:$D705)</f>
        <v>1.3503401657301022</v>
      </c>
      <c r="I852" s="34">
        <f>SUMPRODUCT($AE$842:$AG$842,$B705:$D705)</f>
        <v>1.3503401657301022</v>
      </c>
      <c r="J852" s="34">
        <f>SUMPRODUCT($AI$842:$AK$842,$B705:$D705)</f>
        <v>1.3503401657301022</v>
      </c>
      <c r="K852" s="17"/>
    </row>
    <row r="853" spans="1:11">
      <c r="A853" s="4" t="s">
        <v>230</v>
      </c>
      <c r="B853" s="34">
        <f>SUMPRODUCT($C$842:$E$842,$B706:$D706)</f>
        <v>3.4956413307785752</v>
      </c>
      <c r="C853" s="34">
        <f>SUMPRODUCT($G$842:$I$842,$B706:$D706)</f>
        <v>2.8132422439724274</v>
      </c>
      <c r="D853" s="34">
        <f>SUMPRODUCT($K$842:$M$842,$B706:$D706)</f>
        <v>2.8132422439724274</v>
      </c>
      <c r="E853" s="34">
        <f>SUMPRODUCT($O$842:$Q$842,$B706:$D706)</f>
        <v>2.4502625947451984</v>
      </c>
      <c r="F853" s="34">
        <f>SUMPRODUCT($S$842:$U$842,$B706:$D706)</f>
        <v>2.4502625947451984</v>
      </c>
      <c r="G853" s="34">
        <f>SUMPRODUCT($W$842:$Y$842,$B706:$D706)</f>
        <v>2.4178295705399995</v>
      </c>
      <c r="H853" s="34">
        <f>SUMPRODUCT($AA$842:$AC$842,$B706:$D706)</f>
        <v>2.4502625947451984</v>
      </c>
      <c r="I853" s="34">
        <f>SUMPRODUCT($AE$842:$AG$842,$B706:$D706)</f>
        <v>2.4502625947451984</v>
      </c>
      <c r="J853" s="34">
        <f>SUMPRODUCT($AI$842:$AK$842,$B706:$D706)</f>
        <v>2.4502625947451984</v>
      </c>
      <c r="K853" s="17"/>
    </row>
    <row r="854" spans="1:11">
      <c r="A854" s="4" t="s">
        <v>231</v>
      </c>
      <c r="B854" s="34">
        <f>SUMPRODUCT($C$842:$E$842,$B707:$D707)</f>
        <v>0.86526849771094305</v>
      </c>
      <c r="C854" s="34">
        <f>SUMPRODUCT($G$842:$I$842,$B707:$D707)</f>
        <v>1.0735786359775248</v>
      </c>
      <c r="D854" s="34">
        <f>SUMPRODUCT($K$842:$M$842,$B707:$D707)</f>
        <v>1.0735786359775248</v>
      </c>
      <c r="E854" s="34">
        <f>SUMPRODUCT($O$842:$Q$842,$B707:$D707)</f>
        <v>1.2110244745552601</v>
      </c>
      <c r="F854" s="34">
        <f>SUMPRODUCT($S$842:$U$842,$B707:$D707)</f>
        <v>1.2110244745552601</v>
      </c>
      <c r="G854" s="34">
        <f>SUMPRODUCT($W$842:$Y$842,$B707:$D707)</f>
        <v>0.77261508485005548</v>
      </c>
      <c r="H854" s="34">
        <f>SUMPRODUCT($AA$842:$AC$842,$B707:$D707)</f>
        <v>1.2110244745552601</v>
      </c>
      <c r="I854" s="34">
        <f>SUMPRODUCT($AE$842:$AG$842,$B707:$D707)</f>
        <v>1.2110244745552601</v>
      </c>
      <c r="J854" s="34">
        <f>SUMPRODUCT($AI$842:$AK$842,$B707:$D707)</f>
        <v>1.2110244745552601</v>
      </c>
      <c r="K854" s="17"/>
    </row>
    <row r="855" spans="1:11">
      <c r="A855" s="4" t="s">
        <v>232</v>
      </c>
      <c r="B855" s="34">
        <f>SUMPRODUCT($C$842:$E$842,$B708:$D708)</f>
        <v>35.660613765664536</v>
      </c>
      <c r="C855" s="34">
        <f>SUMPRODUCT($G$842:$I$842,$B708:$D708)</f>
        <v>26.572263255813233</v>
      </c>
      <c r="D855" s="34">
        <f>SUMPRODUCT($K$842:$M$842,$B708:$D708)</f>
        <v>26.572263255813233</v>
      </c>
      <c r="E855" s="34">
        <f>SUMPRODUCT($O$842:$Q$842,$B708:$D708)</f>
        <v>22.083216407256753</v>
      </c>
      <c r="F855" s="34">
        <f>SUMPRODUCT($S$842:$U$842,$B708:$D708)</f>
        <v>22.083216407256753</v>
      </c>
      <c r="G855" s="34">
        <f>SUMPRODUCT($W$842:$Y$842,$B708:$D708)</f>
        <v>15.842535714005429</v>
      </c>
      <c r="H855" s="34">
        <f>SUMPRODUCT($AA$842:$AC$842,$B708:$D708)</f>
        <v>22.083216407256753</v>
      </c>
      <c r="I855" s="34">
        <f>SUMPRODUCT($AE$842:$AG$842,$B708:$D708)</f>
        <v>22.083216407256753</v>
      </c>
      <c r="J855" s="34">
        <f>SUMPRODUCT($AI$842:$AK$842,$B708:$D708)</f>
        <v>22.083216407256753</v>
      </c>
      <c r="K855" s="17"/>
    </row>
    <row r="857" spans="1:11" ht="21" customHeight="1">
      <c r="A857" s="1" t="s">
        <v>813</v>
      </c>
    </row>
    <row r="858" spans="1:11">
      <c r="A858" s="2" t="s">
        <v>379</v>
      </c>
    </row>
    <row r="859" spans="1:11">
      <c r="A859" s="29" t="s">
        <v>811</v>
      </c>
    </row>
    <row r="860" spans="1:11">
      <c r="A860" s="29" t="s">
        <v>814</v>
      </c>
    </row>
    <row r="861" spans="1:11">
      <c r="A861" s="2" t="s">
        <v>392</v>
      </c>
    </row>
    <row r="863" spans="1:11">
      <c r="B863" s="15" t="s">
        <v>148</v>
      </c>
      <c r="C863" s="15" t="s">
        <v>149</v>
      </c>
      <c r="D863" s="15" t="s">
        <v>150</v>
      </c>
      <c r="E863" s="15" t="s">
        <v>151</v>
      </c>
      <c r="F863" s="15" t="s">
        <v>152</v>
      </c>
      <c r="G863" s="15" t="s">
        <v>157</v>
      </c>
      <c r="H863" s="15" t="s">
        <v>153</v>
      </c>
      <c r="I863" s="15" t="s">
        <v>154</v>
      </c>
      <c r="J863" s="15" t="s">
        <v>155</v>
      </c>
    </row>
    <row r="864" spans="1:11">
      <c r="A864" s="4" t="s">
        <v>232</v>
      </c>
      <c r="B864" s="34">
        <f>SUMPRODUCT($C$842:$E$842,$B713:$D713)</f>
        <v>0.45913463474817179</v>
      </c>
      <c r="C864" s="34">
        <f>SUMPRODUCT($G$842:$I$842,$B713:$D713)</f>
        <v>0.99757279291879886</v>
      </c>
      <c r="D864" s="34">
        <f>SUMPRODUCT($K$842:$M$842,$B713:$D713)</f>
        <v>0.99757279291879886</v>
      </c>
      <c r="E864" s="34">
        <f>SUMPRODUCT($O$842:$Q$842,$B713:$D713)</f>
        <v>1.3667193281183918</v>
      </c>
      <c r="F864" s="34">
        <f>SUMPRODUCT($S$842:$U$842,$B713:$D713)</f>
        <v>1.3667193281183918</v>
      </c>
      <c r="G864" s="34">
        <f>SUMPRODUCT($W$842:$Y$842,$B713:$D713)</f>
        <v>0</v>
      </c>
      <c r="H864" s="34">
        <f>SUMPRODUCT($AA$842:$AC$842,$B713:$D713)</f>
        <v>1.3667193281183918</v>
      </c>
      <c r="I864" s="34">
        <f>SUMPRODUCT($AE$842:$AG$842,$B713:$D713)</f>
        <v>1.3667193281183918</v>
      </c>
      <c r="J864" s="34">
        <f>SUMPRODUCT($AI$842:$AK$842,$B713:$D713)</f>
        <v>1.3667193281183918</v>
      </c>
      <c r="K864" s="17"/>
    </row>
    <row r="866" spans="1:11" ht="21" customHeight="1">
      <c r="A866" s="1" t="s">
        <v>815</v>
      </c>
    </row>
    <row r="867" spans="1:11">
      <c r="A867" s="2" t="s">
        <v>379</v>
      </c>
    </row>
    <row r="868" spans="1:11">
      <c r="A868" s="29" t="s">
        <v>811</v>
      </c>
    </row>
    <row r="869" spans="1:11">
      <c r="A869" s="29" t="s">
        <v>816</v>
      </c>
    </row>
    <row r="870" spans="1:11">
      <c r="A870" s="2" t="s">
        <v>392</v>
      </c>
    </row>
    <row r="872" spans="1:11">
      <c r="B872" s="15" t="s">
        <v>148</v>
      </c>
      <c r="C872" s="15" t="s">
        <v>149</v>
      </c>
      <c r="D872" s="15" t="s">
        <v>150</v>
      </c>
      <c r="E872" s="15" t="s">
        <v>151</v>
      </c>
      <c r="F872" s="15" t="s">
        <v>152</v>
      </c>
      <c r="G872" s="15" t="s">
        <v>157</v>
      </c>
      <c r="H872" s="15" t="s">
        <v>153</v>
      </c>
      <c r="I872" s="15" t="s">
        <v>154</v>
      </c>
      <c r="J872" s="15" t="s">
        <v>155</v>
      </c>
    </row>
    <row r="873" spans="1:11">
      <c r="A873" s="4" t="s">
        <v>232</v>
      </c>
      <c r="B873" s="34">
        <f>SUMPRODUCT($C$842:$E$842,$B718:$D718)</f>
        <v>3.4702209576302864E-2</v>
      </c>
      <c r="C873" s="34">
        <f>SUMPRODUCT($G$842:$I$842,$B718:$D718)</f>
        <v>0.16172265296013183</v>
      </c>
      <c r="D873" s="34">
        <f>SUMPRODUCT($K$842:$M$842,$B718:$D718)</f>
        <v>0.16172265296013183</v>
      </c>
      <c r="E873" s="34">
        <f>SUMPRODUCT($O$842:$Q$842,$B718:$D718)</f>
        <v>0.16648573474625047</v>
      </c>
      <c r="F873" s="34">
        <f>SUMPRODUCT($S$842:$U$842,$B718:$D718)</f>
        <v>0.16648573474625047</v>
      </c>
      <c r="G873" s="34">
        <f>SUMPRODUCT($W$842:$Y$842,$B718:$D718)</f>
        <v>1.2292854779589171</v>
      </c>
      <c r="H873" s="34">
        <f>SUMPRODUCT($AA$842:$AC$842,$B718:$D718)</f>
        <v>0.16648573474625047</v>
      </c>
      <c r="I873" s="34">
        <f>SUMPRODUCT($AE$842:$AG$842,$B718:$D718)</f>
        <v>0.16648573474625047</v>
      </c>
      <c r="J873" s="34">
        <f>SUMPRODUCT($AI$842:$AK$842,$B718:$D718)</f>
        <v>0.16648573474625047</v>
      </c>
      <c r="K873" s="17"/>
    </row>
    <row r="875" spans="1:11" ht="21" customHeight="1">
      <c r="A875" s="1" t="s">
        <v>817</v>
      </c>
    </row>
    <row r="876" spans="1:11">
      <c r="A876" s="2" t="s">
        <v>379</v>
      </c>
    </row>
    <row r="877" spans="1:11">
      <c r="A877" s="29" t="s">
        <v>818</v>
      </c>
    </row>
    <row r="878" spans="1:11">
      <c r="A878" s="29" t="s">
        <v>819</v>
      </c>
    </row>
    <row r="879" spans="1:11">
      <c r="A879" s="2" t="s">
        <v>397</v>
      </c>
    </row>
    <row r="881" spans="1:11">
      <c r="B881" s="15" t="s">
        <v>148</v>
      </c>
      <c r="C881" s="15" t="s">
        <v>149</v>
      </c>
      <c r="D881" s="15" t="s">
        <v>150</v>
      </c>
      <c r="E881" s="15" t="s">
        <v>151</v>
      </c>
      <c r="F881" s="15" t="s">
        <v>152</v>
      </c>
      <c r="G881" s="15" t="s">
        <v>157</v>
      </c>
      <c r="H881" s="15" t="s">
        <v>153</v>
      </c>
      <c r="I881" s="15" t="s">
        <v>154</v>
      </c>
      <c r="J881" s="15" t="s">
        <v>155</v>
      </c>
    </row>
    <row r="882" spans="1:11">
      <c r="A882" s="4" t="s">
        <v>180</v>
      </c>
      <c r="B882" s="35">
        <f>$B$605</f>
        <v>1.9776068986052378</v>
      </c>
      <c r="C882" s="35">
        <f>$C$605</f>
        <v>1.8770346005874226</v>
      </c>
      <c r="D882" s="35">
        <f>$D$605</f>
        <v>1.8770346005874226</v>
      </c>
      <c r="E882" s="35">
        <f>$E$605</f>
        <v>1.8368662776137759</v>
      </c>
      <c r="F882" s="35">
        <f>$F$605</f>
        <v>1.8368662776137759</v>
      </c>
      <c r="G882" s="35">
        <f>$G$605</f>
        <v>1.4430118986981522</v>
      </c>
      <c r="H882" s="35">
        <f>$H$605</f>
        <v>1.8368662776137759</v>
      </c>
      <c r="I882" s="35">
        <f>$I$605</f>
        <v>1.8368662776137759</v>
      </c>
      <c r="J882" s="35">
        <f>$J$605</f>
        <v>1.8368662776137759</v>
      </c>
      <c r="K882" s="17"/>
    </row>
    <row r="883" spans="1:11">
      <c r="A883" s="4" t="s">
        <v>181</v>
      </c>
      <c r="B883" s="35">
        <f>$B$606</f>
        <v>2.4426334943353156</v>
      </c>
      <c r="C883" s="35">
        <f>$C$606</f>
        <v>2.2970194905667096</v>
      </c>
      <c r="D883" s="35">
        <f>$D$606</f>
        <v>2.2970194905667096</v>
      </c>
      <c r="E883" s="35">
        <f>$E$606</f>
        <v>2.2420362660396838</v>
      </c>
      <c r="F883" s="35">
        <f>$F$606</f>
        <v>2.2420362660396838</v>
      </c>
      <c r="G883" s="35">
        <f>$G$606</f>
        <v>1.6327472979499422</v>
      </c>
      <c r="H883" s="35">
        <f>$H$606</f>
        <v>2.2420362660396838</v>
      </c>
      <c r="I883" s="35">
        <f>$I$606</f>
        <v>2.2420362660396838</v>
      </c>
      <c r="J883" s="35">
        <f>$J$606</f>
        <v>2.2420362660396838</v>
      </c>
      <c r="K883" s="17"/>
    </row>
    <row r="884" spans="1:11">
      <c r="A884" s="4" t="s">
        <v>226</v>
      </c>
      <c r="B884" s="35">
        <f>$B$607</f>
        <v>0.11844881974557264</v>
      </c>
      <c r="C884" s="35">
        <f>$C$607</f>
        <v>0.24305721295618554</v>
      </c>
      <c r="D884" s="35">
        <f>$D$607</f>
        <v>0.24305721295618554</v>
      </c>
      <c r="E884" s="35">
        <f>$E$607</f>
        <v>0.27342508150675809</v>
      </c>
      <c r="F884" s="35">
        <f>$F$607</f>
        <v>0.27342508150675809</v>
      </c>
      <c r="G884" s="35">
        <f>$G$607</f>
        <v>1.000016088598255</v>
      </c>
      <c r="H884" s="35">
        <f>$H$607</f>
        <v>0.27342508150675809</v>
      </c>
      <c r="I884" s="35">
        <f>$I$607</f>
        <v>0.27342508150675809</v>
      </c>
      <c r="J884" s="35">
        <f>$J$607</f>
        <v>0.27342508150675809</v>
      </c>
      <c r="K884" s="17"/>
    </row>
    <row r="885" spans="1:11">
      <c r="A885" s="4" t="s">
        <v>182</v>
      </c>
      <c r="B885" s="35">
        <f>$B$608</f>
        <v>1.6799822752054596</v>
      </c>
      <c r="C885" s="35">
        <f>$C$608</f>
        <v>1.6925958032826289</v>
      </c>
      <c r="D885" s="35">
        <f>$D$608</f>
        <v>1.6925958032826289</v>
      </c>
      <c r="E885" s="35">
        <f>$E$608</f>
        <v>1.7332820991312192</v>
      </c>
      <c r="F885" s="35">
        <f>$F$608</f>
        <v>1.7332820991312192</v>
      </c>
      <c r="G885" s="35">
        <f>$G$608</f>
        <v>1.344203069243763</v>
      </c>
      <c r="H885" s="35">
        <f>$H$608</f>
        <v>1.7332820991312192</v>
      </c>
      <c r="I885" s="35">
        <f>$I$608</f>
        <v>1.7332820991312192</v>
      </c>
      <c r="J885" s="35">
        <f>$J$608</f>
        <v>1.7332820991312192</v>
      </c>
      <c r="K885" s="17"/>
    </row>
    <row r="886" spans="1:11">
      <c r="A886" s="4" t="s">
        <v>183</v>
      </c>
      <c r="B886" s="35">
        <f>$B$609</f>
        <v>1.8333344212907769</v>
      </c>
      <c r="C886" s="35">
        <f>$C$609</f>
        <v>1.8066807927148187</v>
      </c>
      <c r="D886" s="35">
        <f>$D$609</f>
        <v>1.8066807927148187</v>
      </c>
      <c r="E886" s="35">
        <f>$E$609</f>
        <v>1.8302809086217866</v>
      </c>
      <c r="F886" s="35">
        <f>$F$609</f>
        <v>1.8302809086217866</v>
      </c>
      <c r="G886" s="35">
        <f>$G$609</f>
        <v>1.3046610782230521</v>
      </c>
      <c r="H886" s="35">
        <f>$H$609</f>
        <v>1.8302809086217866</v>
      </c>
      <c r="I886" s="35">
        <f>$I$609</f>
        <v>1.8302809086217866</v>
      </c>
      <c r="J886" s="35">
        <f>$J$609</f>
        <v>1.8302809086217866</v>
      </c>
      <c r="K886" s="17"/>
    </row>
    <row r="887" spans="1:11">
      <c r="A887" s="4" t="s">
        <v>227</v>
      </c>
      <c r="B887" s="35">
        <f>$B$610</f>
        <v>6.4996830744499384E-2</v>
      </c>
      <c r="C887" s="35">
        <f>$C$610</f>
        <v>0.1841092084068095</v>
      </c>
      <c r="D887" s="35">
        <f>$D$610</f>
        <v>0.1841092084068095</v>
      </c>
      <c r="E887" s="35">
        <f>$E$610</f>
        <v>0.20446877388679663</v>
      </c>
      <c r="F887" s="35">
        <f>$F$610</f>
        <v>0.20446877388679663</v>
      </c>
      <c r="G887" s="35">
        <f>$G$610</f>
        <v>1.0058721267111823</v>
      </c>
      <c r="H887" s="35">
        <f>$H$610</f>
        <v>0.20446877388679663</v>
      </c>
      <c r="I887" s="35">
        <f>$I$610</f>
        <v>0.20446877388679663</v>
      </c>
      <c r="J887" s="35">
        <f>$J$610</f>
        <v>0.20446877388679663</v>
      </c>
      <c r="K887" s="17"/>
    </row>
    <row r="888" spans="1:11">
      <c r="A888" s="4" t="s">
        <v>184</v>
      </c>
      <c r="B888" s="35">
        <f>$B$611</f>
        <v>1.6906251988632823</v>
      </c>
      <c r="C888" s="35">
        <f>$C$611</f>
        <v>1.6487601186459633</v>
      </c>
      <c r="D888" s="35">
        <f>$D$611</f>
        <v>1.6487601186459633</v>
      </c>
      <c r="E888" s="35">
        <f>$E$611</f>
        <v>1.6632998040257656</v>
      </c>
      <c r="F888" s="35">
        <f>$F$611</f>
        <v>1.6632998040257656</v>
      </c>
      <c r="G888" s="35">
        <f>$G$611</f>
        <v>1.1148753172906045</v>
      </c>
      <c r="H888" s="35">
        <f>$H$611</f>
        <v>1.6632998040257656</v>
      </c>
      <c r="I888" s="35">
        <f>$I$611</f>
        <v>1.6632998040257656</v>
      </c>
      <c r="J888" s="35">
        <f>$J$611</f>
        <v>1.6632998040257656</v>
      </c>
      <c r="K888" s="17"/>
    </row>
    <row r="889" spans="1:11">
      <c r="A889" s="4" t="s">
        <v>185</v>
      </c>
      <c r="B889" s="35">
        <f>$B$612</f>
        <v>4.3966261137351053</v>
      </c>
      <c r="C889" s="35">
        <f>$C$612</f>
        <v>4.295160017688529</v>
      </c>
      <c r="D889" s="35">
        <f>$D$612</f>
        <v>4.295160017688529</v>
      </c>
      <c r="E889" s="35">
        <f>$E$612</f>
        <v>4.3370708069147259</v>
      </c>
      <c r="F889" s="35">
        <f>$F$612</f>
        <v>4.3370708069147259</v>
      </c>
      <c r="G889" s="35">
        <f>$G$612</f>
        <v>2.9258280624275264</v>
      </c>
      <c r="H889" s="35">
        <f>$H$612</f>
        <v>4.3370708069147259</v>
      </c>
      <c r="I889" s="35">
        <f>$I$612</f>
        <v>4.3370708069147259</v>
      </c>
      <c r="J889" s="35">
        <f>$J$612</f>
        <v>4.3370708069147259</v>
      </c>
      <c r="K889" s="17"/>
    </row>
    <row r="890" spans="1:11">
      <c r="A890" s="4" t="s">
        <v>205</v>
      </c>
      <c r="B890" s="35">
        <f>$B$613</f>
        <v>5.3326062314286258</v>
      </c>
      <c r="C890" s="35">
        <f>$C$613</f>
        <v>5.226840658538654</v>
      </c>
      <c r="D890" s="35">
        <f>$D$613</f>
        <v>5.226840658538654</v>
      </c>
      <c r="E890" s="35">
        <f>$E$613</f>
        <v>5.2911432286981768</v>
      </c>
      <c r="F890" s="35">
        <f>$F$613</f>
        <v>5.2911432286981768</v>
      </c>
      <c r="G890" s="35">
        <f>$G$613</f>
        <v>3.5665448233691199</v>
      </c>
      <c r="H890" s="35">
        <f>$H$613</f>
        <v>5.2911432286981768</v>
      </c>
      <c r="I890" s="35">
        <f>$I$613</f>
        <v>5.2911432286981768</v>
      </c>
      <c r="J890" s="35">
        <f>$J$613</f>
        <v>5.2911432286981768</v>
      </c>
      <c r="K890" s="17"/>
    </row>
    <row r="891" spans="1:11">
      <c r="A891" s="4" t="s">
        <v>186</v>
      </c>
      <c r="B891" s="35">
        <f>$B$614</f>
        <v>14.130851208424922</v>
      </c>
      <c r="C891" s="35">
        <f>$C$614</f>
        <v>10.886980294179001</v>
      </c>
      <c r="D891" s="35">
        <f>$D$614</f>
        <v>10.886980294179001</v>
      </c>
      <c r="E891" s="35">
        <f>$E$614</f>
        <v>9.1814975976554685</v>
      </c>
      <c r="F891" s="35">
        <f>$F$614</f>
        <v>9.1814975976554685</v>
      </c>
      <c r="G891" s="35">
        <f>$G$614</f>
        <v>1.4659243778043127</v>
      </c>
      <c r="H891" s="35">
        <f>$H$614</f>
        <v>9.1814975976554685</v>
      </c>
      <c r="I891" s="35">
        <f>$I$614</f>
        <v>9.1814975976554685</v>
      </c>
      <c r="J891" s="35">
        <f>$J$614</f>
        <v>9.1814975976554685</v>
      </c>
      <c r="K891" s="17"/>
    </row>
    <row r="892" spans="1:11">
      <c r="A892" s="4" t="s">
        <v>187</v>
      </c>
      <c r="B892" s="35">
        <f>$B$615</f>
        <v>12.921514334945183</v>
      </c>
      <c r="C892" s="35">
        <f>$C$615</f>
        <v>9.9474604993253717</v>
      </c>
      <c r="D892" s="35">
        <f>$D$615</f>
        <v>9.9474604993253717</v>
      </c>
      <c r="E892" s="35">
        <f>$E$615</f>
        <v>8.3889535653064424</v>
      </c>
      <c r="F892" s="35">
        <f>$F$615</f>
        <v>8.3889535653064424</v>
      </c>
      <c r="G892" s="35">
        <f>$G$615</f>
        <v>1.3283667872625673</v>
      </c>
      <c r="H892" s="35">
        <f>$H$615</f>
        <v>8.3889535653064424</v>
      </c>
      <c r="I892" s="35">
        <f>$I$615</f>
        <v>8.3889535653064424</v>
      </c>
      <c r="J892" s="35">
        <f>$J$615</f>
        <v>8.3889535653064424</v>
      </c>
      <c r="K892" s="17"/>
    </row>
    <row r="893" spans="1:11">
      <c r="A893" s="4" t="s">
        <v>188</v>
      </c>
      <c r="B893" s="35">
        <f>$B$616</f>
        <v>11.586326064183757</v>
      </c>
      <c r="C893" s="35">
        <f>$C$616</f>
        <v>8.922156058902603</v>
      </c>
      <c r="D893" s="35">
        <f>$D$616</f>
        <v>8.922156058902603</v>
      </c>
      <c r="E893" s="35">
        <f>$E$616</f>
        <v>7.5244567773379263</v>
      </c>
      <c r="F893" s="35">
        <f>$F$616</f>
        <v>7.5244567773379263</v>
      </c>
      <c r="G893" s="35">
        <f>$G$616</f>
        <v>1.1946430880382566</v>
      </c>
      <c r="H893" s="35">
        <f>$H$616</f>
        <v>7.5244567773379263</v>
      </c>
      <c r="I893" s="35">
        <f>$I$616</f>
        <v>7.5244567773379263</v>
      </c>
      <c r="J893" s="35">
        <f>$J$616</f>
        <v>7.5244567773379263</v>
      </c>
      <c r="K893" s="17"/>
    </row>
    <row r="894" spans="1:11">
      <c r="A894" s="4" t="s">
        <v>189</v>
      </c>
      <c r="B894" s="35">
        <f>$B$617</f>
        <v>11.3657559310741</v>
      </c>
      <c r="C894" s="35">
        <f>$C$617</f>
        <v>8.7523040161898784</v>
      </c>
      <c r="D894" s="35">
        <f>$D$617</f>
        <v>8.7523040161898784</v>
      </c>
      <c r="E894" s="35">
        <f>$E$617</f>
        <v>7.3812128858954313</v>
      </c>
      <c r="F894" s="35">
        <f>$F$617</f>
        <v>7.3812128858954313</v>
      </c>
      <c r="G894" s="35">
        <f>$G$617</f>
        <v>1.1719005393228632</v>
      </c>
      <c r="H894" s="35">
        <f>$H$617</f>
        <v>7.3812128858954313</v>
      </c>
      <c r="I894" s="35">
        <f>$I$617</f>
        <v>7.3812128858954313</v>
      </c>
      <c r="J894" s="35">
        <f>$J$617</f>
        <v>7.3812128858954313</v>
      </c>
      <c r="K894" s="17"/>
    </row>
    <row r="895" spans="1:11">
      <c r="A895" s="4" t="s">
        <v>206</v>
      </c>
      <c r="B895" s="35">
        <f>$B$618</f>
        <v>10.310728825663622</v>
      </c>
      <c r="C895" s="35">
        <f>$C$618</f>
        <v>7.9398707712855359</v>
      </c>
      <c r="D895" s="35">
        <f>$D$618</f>
        <v>7.9398707712855359</v>
      </c>
      <c r="E895" s="35">
        <f>$E$618</f>
        <v>6.6960512730075461</v>
      </c>
      <c r="F895" s="35">
        <f>$F$618</f>
        <v>6.6960512730075461</v>
      </c>
      <c r="G895" s="35">
        <f>$G$618</f>
        <v>1.0631187881284281</v>
      </c>
      <c r="H895" s="35">
        <f>$H$618</f>
        <v>6.6960512730075461</v>
      </c>
      <c r="I895" s="35">
        <f>$I$618</f>
        <v>6.6960512730075461</v>
      </c>
      <c r="J895" s="35">
        <f>$J$618</f>
        <v>6.6960512730075461</v>
      </c>
      <c r="K895" s="17"/>
    </row>
    <row r="896" spans="1:11">
      <c r="A896" s="4" t="s">
        <v>228</v>
      </c>
      <c r="B896" s="35">
        <f>$B$851</f>
        <v>1.223070018028632</v>
      </c>
      <c r="C896" s="35">
        <f>$C$851</f>
        <v>1.2246728428072382</v>
      </c>
      <c r="D896" s="35">
        <f>$D$851</f>
        <v>1.2246728428072382</v>
      </c>
      <c r="E896" s="35">
        <f>$E$851</f>
        <v>1.225452899568694</v>
      </c>
      <c r="F896" s="35">
        <f>$F$851</f>
        <v>1.225452899568694</v>
      </c>
      <c r="G896" s="35">
        <f>$G$851</f>
        <v>1.2267492606285952</v>
      </c>
      <c r="H896" s="35">
        <f>$H$851</f>
        <v>1.225452899568694</v>
      </c>
      <c r="I896" s="35">
        <f>$I$851</f>
        <v>1.225452899568694</v>
      </c>
      <c r="J896" s="35">
        <f>$J$851</f>
        <v>1.225452899568694</v>
      </c>
      <c r="K896" s="17"/>
    </row>
    <row r="897" spans="1:11">
      <c r="A897" s="4" t="s">
        <v>229</v>
      </c>
      <c r="B897" s="35">
        <f>$B$852</f>
        <v>1.8311142770247848</v>
      </c>
      <c r="C897" s="35">
        <f>$C$852</f>
        <v>1.537143886486906</v>
      </c>
      <c r="D897" s="35">
        <f>$D$852</f>
        <v>1.537143886486906</v>
      </c>
      <c r="E897" s="35">
        <f>$E$852</f>
        <v>1.3503401657301022</v>
      </c>
      <c r="F897" s="35">
        <f>$F$852</f>
        <v>1.3503401657301022</v>
      </c>
      <c r="G897" s="35">
        <f>$G$852</f>
        <v>1.8485159512852281</v>
      </c>
      <c r="H897" s="35">
        <f>$H$852</f>
        <v>1.3503401657301022</v>
      </c>
      <c r="I897" s="35">
        <f>$I$852</f>
        <v>1.3503401657301022</v>
      </c>
      <c r="J897" s="35">
        <f>$J$852</f>
        <v>1.3503401657301022</v>
      </c>
      <c r="K897" s="17"/>
    </row>
    <row r="898" spans="1:11">
      <c r="A898" s="4" t="s">
        <v>230</v>
      </c>
      <c r="B898" s="35">
        <f>$B$853</f>
        <v>3.4956413307785752</v>
      </c>
      <c r="C898" s="35">
        <f>$C$853</f>
        <v>2.8132422439724274</v>
      </c>
      <c r="D898" s="35">
        <f>$D$853</f>
        <v>2.8132422439724274</v>
      </c>
      <c r="E898" s="35">
        <f>$E$853</f>
        <v>2.4502625947451984</v>
      </c>
      <c r="F898" s="35">
        <f>$F$853</f>
        <v>2.4502625947451984</v>
      </c>
      <c r="G898" s="35">
        <f>$G$853</f>
        <v>2.4178295705399995</v>
      </c>
      <c r="H898" s="35">
        <f>$H$853</f>
        <v>2.4502625947451984</v>
      </c>
      <c r="I898" s="35">
        <f>$I$853</f>
        <v>2.4502625947451984</v>
      </c>
      <c r="J898" s="35">
        <f>$J$853</f>
        <v>2.4502625947451984</v>
      </c>
      <c r="K898" s="17"/>
    </row>
    <row r="899" spans="1:11">
      <c r="A899" s="4" t="s">
        <v>231</v>
      </c>
      <c r="B899" s="35">
        <f>$B$854</f>
        <v>0.86526849771094305</v>
      </c>
      <c r="C899" s="35">
        <f>$C$854</f>
        <v>1.0735786359775248</v>
      </c>
      <c r="D899" s="35">
        <f>$D$854</f>
        <v>1.0735786359775248</v>
      </c>
      <c r="E899" s="35">
        <f>$E$854</f>
        <v>1.2110244745552601</v>
      </c>
      <c r="F899" s="35">
        <f>$F$854</f>
        <v>1.2110244745552601</v>
      </c>
      <c r="G899" s="35">
        <f>$G$854</f>
        <v>0.77261508485005548</v>
      </c>
      <c r="H899" s="35">
        <f>$H$854</f>
        <v>1.2110244745552601</v>
      </c>
      <c r="I899" s="35">
        <f>$I$854</f>
        <v>1.2110244745552601</v>
      </c>
      <c r="J899" s="35">
        <f>$J$854</f>
        <v>1.2110244745552601</v>
      </c>
      <c r="K899" s="17"/>
    </row>
    <row r="900" spans="1:11">
      <c r="A900" s="4" t="s">
        <v>232</v>
      </c>
      <c r="B900" s="35">
        <f>$B$855</f>
        <v>35.660613765664536</v>
      </c>
      <c r="C900" s="35">
        <f>$C$855</f>
        <v>26.572263255813233</v>
      </c>
      <c r="D900" s="35">
        <f>$D$855</f>
        <v>26.572263255813233</v>
      </c>
      <c r="E900" s="35">
        <f>$E$855</f>
        <v>22.083216407256753</v>
      </c>
      <c r="F900" s="35">
        <f>$F$855</f>
        <v>22.083216407256753</v>
      </c>
      <c r="G900" s="35">
        <f>$G$855</f>
        <v>15.842535714005429</v>
      </c>
      <c r="H900" s="35">
        <f>$H$855</f>
        <v>22.083216407256753</v>
      </c>
      <c r="I900" s="35">
        <f>$I$855</f>
        <v>22.083216407256753</v>
      </c>
      <c r="J900" s="35">
        <f>$J$855</f>
        <v>22.083216407256753</v>
      </c>
      <c r="K900" s="17"/>
    </row>
    <row r="901" spans="1:11">
      <c r="A901" s="4" t="s">
        <v>194</v>
      </c>
      <c r="B901" s="35">
        <f>$B$619</f>
        <v>-9.6985670282576688</v>
      </c>
      <c r="C901" s="35">
        <f>$C$619</f>
        <v>-7.4684699959665988</v>
      </c>
      <c r="D901" s="35">
        <f>$D$619</f>
        <v>-7.4684699959665988</v>
      </c>
      <c r="E901" s="35">
        <f>$E$619</f>
        <v>-6.2984977293042075</v>
      </c>
      <c r="F901" s="35">
        <f>$F$619</f>
        <v>-6.2984977293042075</v>
      </c>
      <c r="G901" s="35">
        <f>$G$619</f>
        <v>-1</v>
      </c>
      <c r="H901" s="35">
        <f>$H$619</f>
        <v>-6.2984977293042075</v>
      </c>
      <c r="I901" s="35">
        <f>$I$619</f>
        <v>-6.2984977293042075</v>
      </c>
      <c r="J901" s="35">
        <f>$J$619</f>
        <v>-6.2984977293042075</v>
      </c>
      <c r="K901" s="17"/>
    </row>
    <row r="902" spans="1:11">
      <c r="A902" s="4" t="s">
        <v>195</v>
      </c>
      <c r="B902" s="35">
        <f>$B$620</f>
        <v>-9.6985670282576688</v>
      </c>
      <c r="C902" s="35">
        <f>$C$620</f>
        <v>-7.4684699959665988</v>
      </c>
      <c r="D902" s="35">
        <f>$D$620</f>
        <v>-7.4684699959665988</v>
      </c>
      <c r="E902" s="35">
        <f>$E$620</f>
        <v>-6.2984977293042075</v>
      </c>
      <c r="F902" s="35">
        <f>$F$620</f>
        <v>-6.2984977293042075</v>
      </c>
      <c r="G902" s="35">
        <f>$G$620</f>
        <v>-1</v>
      </c>
      <c r="H902" s="35">
        <f>$H$620</f>
        <v>-6.2984977293042075</v>
      </c>
      <c r="I902" s="35">
        <f>$I$620</f>
        <v>-6.2984977293042075</v>
      </c>
      <c r="J902" s="35">
        <f>$J$620</f>
        <v>-6.2984977293042075</v>
      </c>
      <c r="K902" s="17"/>
    </row>
    <row r="903" spans="1:11">
      <c r="A903" s="4" t="s">
        <v>198</v>
      </c>
      <c r="B903" s="35">
        <f>$B$621</f>
        <v>-9.6985670282576688</v>
      </c>
      <c r="C903" s="35">
        <f>$C$621</f>
        <v>-7.4684699959665988</v>
      </c>
      <c r="D903" s="35">
        <f>$D$621</f>
        <v>-7.4684699959665988</v>
      </c>
      <c r="E903" s="35">
        <f>$E$621</f>
        <v>-6.2984977293042075</v>
      </c>
      <c r="F903" s="35">
        <f>$F$621</f>
        <v>-6.2984977293042075</v>
      </c>
      <c r="G903" s="35">
        <f>$G$621</f>
        <v>-1</v>
      </c>
      <c r="H903" s="35">
        <f>$H$621</f>
        <v>-6.2984977293042075</v>
      </c>
      <c r="I903" s="35">
        <f>$I$621</f>
        <v>-6.2984977293042075</v>
      </c>
      <c r="J903" s="35">
        <f>$J$621</f>
        <v>-6.2984977293042075</v>
      </c>
      <c r="K903" s="17"/>
    </row>
    <row r="904" spans="1:11">
      <c r="A904" s="4" t="s">
        <v>199</v>
      </c>
      <c r="B904" s="35">
        <f>$B$622</f>
        <v>-9.6985670282576688</v>
      </c>
      <c r="C904" s="35">
        <f>$C$622</f>
        <v>-7.4684699959665988</v>
      </c>
      <c r="D904" s="35">
        <f>$D$622</f>
        <v>-7.4684699959665988</v>
      </c>
      <c r="E904" s="35">
        <f>$E$622</f>
        <v>-6.2984977293042075</v>
      </c>
      <c r="F904" s="35">
        <f>$F$622</f>
        <v>-6.2984977293042075</v>
      </c>
      <c r="G904" s="35">
        <f>$G$622</f>
        <v>-1</v>
      </c>
      <c r="H904" s="35">
        <f>$H$622</f>
        <v>-6.2984977293042075</v>
      </c>
      <c r="I904" s="35">
        <f>$I$622</f>
        <v>-6.2984977293042075</v>
      </c>
      <c r="J904" s="35">
        <f>$J$622</f>
        <v>-6.2984977293042075</v>
      </c>
      <c r="K904" s="17"/>
    </row>
    <row r="905" spans="1:11">
      <c r="A905" s="4" t="s">
        <v>209</v>
      </c>
      <c r="B905" s="35">
        <f>$B$623</f>
        <v>-9.6985670282576688</v>
      </c>
      <c r="C905" s="35">
        <f>$C$623</f>
        <v>-7.4684699959665988</v>
      </c>
      <c r="D905" s="35">
        <f>$D$623</f>
        <v>-7.4684699959665988</v>
      </c>
      <c r="E905" s="35">
        <f>$E$623</f>
        <v>-6.2984977293042075</v>
      </c>
      <c r="F905" s="35">
        <f>$F$623</f>
        <v>-6.2984977293042075</v>
      </c>
      <c r="G905" s="35">
        <f>$G$623</f>
        <v>-1</v>
      </c>
      <c r="H905" s="35">
        <f>$H$623</f>
        <v>-6.2984977293042075</v>
      </c>
      <c r="I905" s="35">
        <f>$I$623</f>
        <v>-6.2984977293042075</v>
      </c>
      <c r="J905" s="35">
        <f>$J$623</f>
        <v>-6.2984977293042075</v>
      </c>
      <c r="K905" s="17"/>
    </row>
    <row r="906" spans="1:11">
      <c r="A906" s="4" t="s">
        <v>210</v>
      </c>
      <c r="B906" s="35">
        <f>$B$624</f>
        <v>-9.6985670282576688</v>
      </c>
      <c r="C906" s="35">
        <f>$C$624</f>
        <v>-7.4684699959665988</v>
      </c>
      <c r="D906" s="35">
        <f>$D$624</f>
        <v>-7.4684699959665988</v>
      </c>
      <c r="E906" s="35">
        <f>$E$624</f>
        <v>-6.2984977293042075</v>
      </c>
      <c r="F906" s="35">
        <f>$F$624</f>
        <v>-6.2984977293042075</v>
      </c>
      <c r="G906" s="35">
        <f>$G$624</f>
        <v>-1</v>
      </c>
      <c r="H906" s="35">
        <f>$H$624</f>
        <v>-6.2984977293042075</v>
      </c>
      <c r="I906" s="35">
        <f>$I$624</f>
        <v>-6.2984977293042075</v>
      </c>
      <c r="J906" s="35">
        <f>$J$624</f>
        <v>-6.2984977293042075</v>
      </c>
      <c r="K906" s="17"/>
    </row>
    <row r="908" spans="1:11" ht="21" customHeight="1">
      <c r="A908" s="1" t="s">
        <v>820</v>
      </c>
    </row>
    <row r="909" spans="1:11">
      <c r="A909" s="2" t="s">
        <v>379</v>
      </c>
    </row>
    <row r="910" spans="1:11">
      <c r="A910" s="29" t="s">
        <v>821</v>
      </c>
    </row>
    <row r="911" spans="1:11">
      <c r="A911" s="29" t="s">
        <v>822</v>
      </c>
    </row>
    <row r="912" spans="1:11">
      <c r="A912" s="2" t="s">
        <v>397</v>
      </c>
    </row>
    <row r="914" spans="1:11">
      <c r="B914" s="15" t="s">
        <v>148</v>
      </c>
      <c r="C914" s="15" t="s">
        <v>149</v>
      </c>
      <c r="D914" s="15" t="s">
        <v>150</v>
      </c>
      <c r="E914" s="15" t="s">
        <v>151</v>
      </c>
      <c r="F914" s="15" t="s">
        <v>152</v>
      </c>
      <c r="G914" s="15" t="s">
        <v>157</v>
      </c>
      <c r="H914" s="15" t="s">
        <v>153</v>
      </c>
      <c r="I914" s="15" t="s">
        <v>154</v>
      </c>
      <c r="J914" s="15" t="s">
        <v>155</v>
      </c>
    </row>
    <row r="915" spans="1:11">
      <c r="A915" s="4" t="s">
        <v>181</v>
      </c>
      <c r="B915" s="35">
        <f>$B$633</f>
        <v>4.609171565793508E-2</v>
      </c>
      <c r="C915" s="35">
        <f>$C$633</f>
        <v>0.21480121874978467</v>
      </c>
      <c r="D915" s="35">
        <f>$D$633</f>
        <v>0.21480121874978467</v>
      </c>
      <c r="E915" s="35">
        <f>$E$633</f>
        <v>0.2211276244458901</v>
      </c>
      <c r="F915" s="35">
        <f>$F$633</f>
        <v>0.2211276244458901</v>
      </c>
      <c r="G915" s="35">
        <f>$G$633</f>
        <v>1.6327472979499418</v>
      </c>
      <c r="H915" s="35">
        <f>$H$633</f>
        <v>0.2211276244458901</v>
      </c>
      <c r="I915" s="35">
        <f>$I$633</f>
        <v>0.2211276244458901</v>
      </c>
      <c r="J915" s="35">
        <f>$J$633</f>
        <v>0.2211276244458901</v>
      </c>
      <c r="K915" s="17"/>
    </row>
    <row r="916" spans="1:11">
      <c r="A916" s="4" t="s">
        <v>183</v>
      </c>
      <c r="B916" s="35">
        <f>$B$634</f>
        <v>3.6818829171386201E-2</v>
      </c>
      <c r="C916" s="35">
        <f>$C$634</f>
        <v>0.17158008603492725</v>
      </c>
      <c r="D916" s="35">
        <f>$D$634</f>
        <v>0.17158008603492725</v>
      </c>
      <c r="E916" s="35">
        <f>$E$634</f>
        <v>0.17662386836962374</v>
      </c>
      <c r="F916" s="35">
        <f>$F$634</f>
        <v>0.17662386836962374</v>
      </c>
      <c r="G916" s="35">
        <f>$G$634</f>
        <v>1.3046610782230523</v>
      </c>
      <c r="H916" s="35">
        <f>$H$634</f>
        <v>0.17662386836962374</v>
      </c>
      <c r="I916" s="35">
        <f>$I$634</f>
        <v>0.17662386836962374</v>
      </c>
      <c r="J916" s="35">
        <f>$J$634</f>
        <v>0.17662386836962374</v>
      </c>
      <c r="K916" s="17"/>
    </row>
    <row r="917" spans="1:11">
      <c r="A917" s="4" t="s">
        <v>184</v>
      </c>
      <c r="B917" s="35">
        <f>$B$635</f>
        <v>3.1472459087618608E-2</v>
      </c>
      <c r="C917" s="35">
        <f>$C$635</f>
        <v>0.14667105181407741</v>
      </c>
      <c r="D917" s="35">
        <f>$D$635</f>
        <v>0.14667105181407741</v>
      </c>
      <c r="E917" s="35">
        <f>$E$635</f>
        <v>0.15099083140375999</v>
      </c>
      <c r="F917" s="35">
        <f>$F$635</f>
        <v>0.15099083140375999</v>
      </c>
      <c r="G917" s="35">
        <f>$G$635</f>
        <v>1.1148753172906043</v>
      </c>
      <c r="H917" s="35">
        <f>$H$635</f>
        <v>0.15099083140375999</v>
      </c>
      <c r="I917" s="35">
        <f>$I$635</f>
        <v>0.15099083140375999</v>
      </c>
      <c r="J917" s="35">
        <f>$J$635</f>
        <v>0.15099083140375999</v>
      </c>
      <c r="K917" s="17"/>
    </row>
    <row r="918" spans="1:11">
      <c r="A918" s="4" t="s">
        <v>185</v>
      </c>
      <c r="B918" s="35">
        <f>$B$636</f>
        <v>8.2594889817759171E-2</v>
      </c>
      <c r="C918" s="35">
        <f>$C$636</f>
        <v>0.38491683571063495</v>
      </c>
      <c r="D918" s="35">
        <f>$D$636</f>
        <v>0.38491683571063495</v>
      </c>
      <c r="E918" s="35">
        <f>$E$636</f>
        <v>0.39625346874123274</v>
      </c>
      <c r="F918" s="35">
        <f>$F$636</f>
        <v>0.39625346874123274</v>
      </c>
      <c r="G918" s="35">
        <f>$G$636</f>
        <v>2.9258280624275264</v>
      </c>
      <c r="H918" s="35">
        <f>$H$636</f>
        <v>0.39625346874123274</v>
      </c>
      <c r="I918" s="35">
        <f>$I$636</f>
        <v>0.39625346874123274</v>
      </c>
      <c r="J918" s="35">
        <f>$J$636</f>
        <v>0.39625346874123274</v>
      </c>
      <c r="K918" s="17"/>
    </row>
    <row r="919" spans="1:11">
      <c r="A919" s="4" t="s">
        <v>205</v>
      </c>
      <c r="B919" s="35">
        <f>$B$637</f>
        <v>0.10068205322764709</v>
      </c>
      <c r="C919" s="35">
        <f>$C$637</f>
        <v>0.46920841503323707</v>
      </c>
      <c r="D919" s="35">
        <f>$D$637</f>
        <v>0.46920841503323707</v>
      </c>
      <c r="E919" s="35">
        <f>$E$637</f>
        <v>0.48302761731956961</v>
      </c>
      <c r="F919" s="35">
        <f>$F$637</f>
        <v>0.48302761731956961</v>
      </c>
      <c r="G919" s="35">
        <f>$G$637</f>
        <v>3.5665448233691199</v>
      </c>
      <c r="H919" s="35">
        <f>$H$637</f>
        <v>0.48302761731956961</v>
      </c>
      <c r="I919" s="35">
        <f>$I$637</f>
        <v>0.48302761731956961</v>
      </c>
      <c r="J919" s="35">
        <f>$J$637</f>
        <v>0.48302761731956961</v>
      </c>
      <c r="K919" s="17"/>
    </row>
    <row r="920" spans="1:11">
      <c r="A920" s="4" t="s">
        <v>186</v>
      </c>
      <c r="B920" s="35">
        <f>$B$638</f>
        <v>0.5777638154135406</v>
      </c>
      <c r="C920" s="35">
        <f>$C$638</f>
        <v>1.2605715970213842</v>
      </c>
      <c r="D920" s="35">
        <f>$D$638</f>
        <v>1.2605715970213842</v>
      </c>
      <c r="E920" s="35">
        <f>$E$638</f>
        <v>1.77640306494644</v>
      </c>
      <c r="F920" s="35">
        <f>$F$638</f>
        <v>1.77640306494644</v>
      </c>
      <c r="G920" s="35">
        <f>$G$638</f>
        <v>1.4659243778043125</v>
      </c>
      <c r="H920" s="35">
        <f>$H$638</f>
        <v>1.77640306494644</v>
      </c>
      <c r="I920" s="35">
        <f>$I$638</f>
        <v>1.77640306494644</v>
      </c>
      <c r="J920" s="35">
        <f>$J$638</f>
        <v>1.77640306494644</v>
      </c>
      <c r="K920" s="17"/>
    </row>
    <row r="921" spans="1:11">
      <c r="A921" s="4" t="s">
        <v>187</v>
      </c>
      <c r="B921" s="35">
        <f>$B$639</f>
        <v>0.52831802649140136</v>
      </c>
      <c r="C921" s="35">
        <f>$C$639</f>
        <v>1.1517873486595975</v>
      </c>
      <c r="D921" s="35">
        <f>$D$639</f>
        <v>1.1517873486595975</v>
      </c>
      <c r="E921" s="35">
        <f>$E$639</f>
        <v>1.6230645019075158</v>
      </c>
      <c r="F921" s="35">
        <f>$F$639</f>
        <v>1.6230645019075158</v>
      </c>
      <c r="G921" s="35">
        <f>$G$639</f>
        <v>1.3283667872625671</v>
      </c>
      <c r="H921" s="35">
        <f>$H$639</f>
        <v>1.6230645019075158</v>
      </c>
      <c r="I921" s="35">
        <f>$I$639</f>
        <v>1.6230645019075158</v>
      </c>
      <c r="J921" s="35">
        <f>$J$639</f>
        <v>1.6230645019075158</v>
      </c>
      <c r="K921" s="17"/>
    </row>
    <row r="922" spans="1:11">
      <c r="A922" s="4" t="s">
        <v>188</v>
      </c>
      <c r="B922" s="35">
        <f>$B$640</f>
        <v>0.4737265897667261</v>
      </c>
      <c r="C922" s="35">
        <f>$C$640</f>
        <v>1.033070347161221</v>
      </c>
      <c r="D922" s="35">
        <f>$D$640</f>
        <v>1.033070347161221</v>
      </c>
      <c r="E922" s="35">
        <f>$E$640</f>
        <v>1.4558047790300879</v>
      </c>
      <c r="F922" s="35">
        <f>$F$640</f>
        <v>1.4558047790300879</v>
      </c>
      <c r="G922" s="35">
        <f>$G$640</f>
        <v>1.1946430880382566</v>
      </c>
      <c r="H922" s="35">
        <f>$H$640</f>
        <v>1.4558047790300879</v>
      </c>
      <c r="I922" s="35">
        <f>$I$640</f>
        <v>1.4558047790300879</v>
      </c>
      <c r="J922" s="35">
        <f>$J$640</f>
        <v>1.4558047790300879</v>
      </c>
      <c r="K922" s="17"/>
    </row>
    <row r="923" spans="1:11">
      <c r="A923" s="4" t="s">
        <v>189</v>
      </c>
      <c r="B923" s="35">
        <f>$B$641</f>
        <v>0.46470820582141004</v>
      </c>
      <c r="C923" s="35">
        <f>$C$641</f>
        <v>1.0134036760592076</v>
      </c>
      <c r="D923" s="35">
        <f>$D$641</f>
        <v>1.0134036760592076</v>
      </c>
      <c r="E923" s="35">
        <f>$E$641</f>
        <v>1.4280904671668164</v>
      </c>
      <c r="F923" s="35">
        <f>$F$641</f>
        <v>1.4280904671668164</v>
      </c>
      <c r="G923" s="35">
        <f>$G$641</f>
        <v>1.1719005393228632</v>
      </c>
      <c r="H923" s="35">
        <f>$H$641</f>
        <v>1.4280904671668164</v>
      </c>
      <c r="I923" s="35">
        <f>$I$641</f>
        <v>1.4280904671668164</v>
      </c>
      <c r="J923" s="35">
        <f>$J$641</f>
        <v>1.4280904671668164</v>
      </c>
      <c r="K923" s="17"/>
    </row>
    <row r="924" spans="1:11">
      <c r="A924" s="4" t="s">
        <v>206</v>
      </c>
      <c r="B924" s="35">
        <f>$B$642</f>
        <v>0.42157163345249016</v>
      </c>
      <c r="C924" s="35">
        <f>$C$642</f>
        <v>0.91933440750822926</v>
      </c>
      <c r="D924" s="35">
        <f>$D$642</f>
        <v>0.91933440750822926</v>
      </c>
      <c r="E924" s="35">
        <f>$E$642</f>
        <v>1.2955278676374669</v>
      </c>
      <c r="F924" s="35">
        <f>$F$642</f>
        <v>1.2955278676374669</v>
      </c>
      <c r="G924" s="35">
        <f>$G$642</f>
        <v>1.0631187881284279</v>
      </c>
      <c r="H924" s="35">
        <f>$H$642</f>
        <v>1.2955278676374669</v>
      </c>
      <c r="I924" s="35">
        <f>$I$642</f>
        <v>1.2955278676374669</v>
      </c>
      <c r="J924" s="35">
        <f>$J$642</f>
        <v>1.2955278676374669</v>
      </c>
      <c r="K924" s="17"/>
    </row>
    <row r="925" spans="1:11">
      <c r="A925" s="4" t="s">
        <v>232</v>
      </c>
      <c r="B925" s="35">
        <f>$B$864</f>
        <v>0.45913463474817179</v>
      </c>
      <c r="C925" s="35">
        <f>$C$864</f>
        <v>0.99757279291879886</v>
      </c>
      <c r="D925" s="35">
        <f>$D$864</f>
        <v>0.99757279291879886</v>
      </c>
      <c r="E925" s="35">
        <f>$E$864</f>
        <v>1.3667193281183918</v>
      </c>
      <c r="F925" s="35">
        <f>$F$864</f>
        <v>1.3667193281183918</v>
      </c>
      <c r="G925" s="35">
        <f>$G$864</f>
        <v>0</v>
      </c>
      <c r="H925" s="35">
        <f>$H$864</f>
        <v>1.3667193281183918</v>
      </c>
      <c r="I925" s="35">
        <f>$I$864</f>
        <v>1.3667193281183918</v>
      </c>
      <c r="J925" s="35">
        <f>$J$864</f>
        <v>1.3667193281183918</v>
      </c>
      <c r="K925" s="17"/>
    </row>
    <row r="926" spans="1:11">
      <c r="A926" s="4" t="s">
        <v>194</v>
      </c>
      <c r="B926" s="35">
        <f>$B$643</f>
        <v>-0.39654236023299677</v>
      </c>
      <c r="C926" s="35">
        <f>$C$643</f>
        <v>-0.86475229087680339</v>
      </c>
      <c r="D926" s="35">
        <f>$D$643</f>
        <v>-0.86475229087680339</v>
      </c>
      <c r="E926" s="35">
        <f>$E$643</f>
        <v>-1.2186106407903714</v>
      </c>
      <c r="F926" s="35">
        <f>$F$643</f>
        <v>-1.2186106407903714</v>
      </c>
      <c r="G926" s="35">
        <f>$G$643</f>
        <v>-1</v>
      </c>
      <c r="H926" s="35">
        <f>$H$643</f>
        <v>-1.2186106407903714</v>
      </c>
      <c r="I926" s="35">
        <f>$I$643</f>
        <v>-1.2186106407903714</v>
      </c>
      <c r="J926" s="35">
        <f>$J$643</f>
        <v>-1.2186106407903714</v>
      </c>
      <c r="K926" s="17"/>
    </row>
    <row r="927" spans="1:11">
      <c r="A927" s="4" t="s">
        <v>195</v>
      </c>
      <c r="B927" s="35">
        <f>$B$644</f>
        <v>-0.39654236023299677</v>
      </c>
      <c r="C927" s="35">
        <f>$C$644</f>
        <v>-0.86475229087680339</v>
      </c>
      <c r="D927" s="35">
        <f>$D$644</f>
        <v>-0.86475229087680339</v>
      </c>
      <c r="E927" s="35">
        <f>$E$644</f>
        <v>-1.2186106407903714</v>
      </c>
      <c r="F927" s="35">
        <f>$F$644</f>
        <v>-1.2186106407903714</v>
      </c>
      <c r="G927" s="35">
        <f>$G$644</f>
        <v>-1</v>
      </c>
      <c r="H927" s="35">
        <f>$H$644</f>
        <v>-1.2186106407903714</v>
      </c>
      <c r="I927" s="35">
        <f>$I$644</f>
        <v>-1.2186106407903714</v>
      </c>
      <c r="J927" s="35">
        <f>$J$644</f>
        <v>-1.2186106407903714</v>
      </c>
      <c r="K927" s="17"/>
    </row>
    <row r="928" spans="1:11">
      <c r="A928" s="4" t="s">
        <v>198</v>
      </c>
      <c r="B928" s="35">
        <f>$B$645</f>
        <v>-0.39654236023299677</v>
      </c>
      <c r="C928" s="35">
        <f>$C$645</f>
        <v>-0.86475229087680339</v>
      </c>
      <c r="D928" s="35">
        <f>$D$645</f>
        <v>-0.86475229087680339</v>
      </c>
      <c r="E928" s="35">
        <f>$E$645</f>
        <v>-1.2186106407903714</v>
      </c>
      <c r="F928" s="35">
        <f>$F$645</f>
        <v>-1.2186106407903714</v>
      </c>
      <c r="G928" s="35">
        <f>$G$645</f>
        <v>-1</v>
      </c>
      <c r="H928" s="35">
        <f>$H$645</f>
        <v>-1.2186106407903714</v>
      </c>
      <c r="I928" s="35">
        <f>$I$645</f>
        <v>-1.2186106407903714</v>
      </c>
      <c r="J928" s="35">
        <f>$J$645</f>
        <v>-1.2186106407903714</v>
      </c>
      <c r="K928" s="17"/>
    </row>
    <row r="929" spans="1:11">
      <c r="A929" s="4" t="s">
        <v>199</v>
      </c>
      <c r="B929" s="35">
        <f>$B$646</f>
        <v>-0.39654236023299677</v>
      </c>
      <c r="C929" s="35">
        <f>$C$646</f>
        <v>-0.86475229087680339</v>
      </c>
      <c r="D929" s="35">
        <f>$D$646</f>
        <v>-0.86475229087680339</v>
      </c>
      <c r="E929" s="35">
        <f>$E$646</f>
        <v>-1.2186106407903714</v>
      </c>
      <c r="F929" s="35">
        <f>$F$646</f>
        <v>-1.2186106407903714</v>
      </c>
      <c r="G929" s="35">
        <f>$G$646</f>
        <v>-1</v>
      </c>
      <c r="H929" s="35">
        <f>$H$646</f>
        <v>-1.2186106407903714</v>
      </c>
      <c r="I929" s="35">
        <f>$I$646</f>
        <v>-1.2186106407903714</v>
      </c>
      <c r="J929" s="35">
        <f>$J$646</f>
        <v>-1.2186106407903714</v>
      </c>
      <c r="K929" s="17"/>
    </row>
    <row r="930" spans="1:11">
      <c r="A930" s="4" t="s">
        <v>209</v>
      </c>
      <c r="B930" s="35">
        <f>$B$647</f>
        <v>-0.39654236023299677</v>
      </c>
      <c r="C930" s="35">
        <f>$C$647</f>
        <v>-0.86475229087680339</v>
      </c>
      <c r="D930" s="35">
        <f>$D$647</f>
        <v>-0.86475229087680339</v>
      </c>
      <c r="E930" s="35">
        <f>$E$647</f>
        <v>-1.2186106407903714</v>
      </c>
      <c r="F930" s="35">
        <f>$F$647</f>
        <v>-1.2186106407903714</v>
      </c>
      <c r="G930" s="35">
        <f>$G$647</f>
        <v>-1</v>
      </c>
      <c r="H930" s="35">
        <f>$H$647</f>
        <v>-1.2186106407903714</v>
      </c>
      <c r="I930" s="35">
        <f>$I$647</f>
        <v>-1.2186106407903714</v>
      </c>
      <c r="J930" s="35">
        <f>$J$647</f>
        <v>-1.2186106407903714</v>
      </c>
      <c r="K930" s="17"/>
    </row>
    <row r="931" spans="1:11">
      <c r="A931" s="4" t="s">
        <v>210</v>
      </c>
      <c r="B931" s="35">
        <f>$B$648</f>
        <v>-0.39654236023299677</v>
      </c>
      <c r="C931" s="35">
        <f>$C$648</f>
        <v>-0.86475229087680339</v>
      </c>
      <c r="D931" s="35">
        <f>$D$648</f>
        <v>-0.86475229087680339</v>
      </c>
      <c r="E931" s="35">
        <f>$E$648</f>
        <v>-1.2186106407903714</v>
      </c>
      <c r="F931" s="35">
        <f>$F$648</f>
        <v>-1.2186106407903714</v>
      </c>
      <c r="G931" s="35">
        <f>$G$648</f>
        <v>-1</v>
      </c>
      <c r="H931" s="35">
        <f>$H$648</f>
        <v>-1.2186106407903714</v>
      </c>
      <c r="I931" s="35">
        <f>$I$648</f>
        <v>-1.2186106407903714</v>
      </c>
      <c r="J931" s="35">
        <f>$J$648</f>
        <v>-1.2186106407903714</v>
      </c>
      <c r="K931" s="17"/>
    </row>
    <row r="933" spans="1:11" ht="21" customHeight="1">
      <c r="A933" s="1" t="s">
        <v>823</v>
      </c>
    </row>
    <row r="934" spans="1:11">
      <c r="A934" s="2" t="s">
        <v>379</v>
      </c>
    </row>
    <row r="935" spans="1:11">
      <c r="A935" s="29" t="s">
        <v>824</v>
      </c>
    </row>
    <row r="936" spans="1:11">
      <c r="A936" s="29" t="s">
        <v>825</v>
      </c>
    </row>
    <row r="937" spans="1:11">
      <c r="A937" s="2" t="s">
        <v>397</v>
      </c>
    </row>
    <row r="939" spans="1:11">
      <c r="B939" s="15" t="s">
        <v>148</v>
      </c>
      <c r="C939" s="15" t="s">
        <v>149</v>
      </c>
      <c r="D939" s="15" t="s">
        <v>150</v>
      </c>
      <c r="E939" s="15" t="s">
        <v>151</v>
      </c>
      <c r="F939" s="15" t="s">
        <v>152</v>
      </c>
      <c r="G939" s="15" t="s">
        <v>157</v>
      </c>
      <c r="H939" s="15" t="s">
        <v>153</v>
      </c>
      <c r="I939" s="15" t="s">
        <v>154</v>
      </c>
      <c r="J939" s="15" t="s">
        <v>155</v>
      </c>
    </row>
    <row r="940" spans="1:11">
      <c r="A940" s="4" t="s">
        <v>186</v>
      </c>
      <c r="B940" s="35">
        <f>$B$657</f>
        <v>4.1130607964426268E-2</v>
      </c>
      <c r="C940" s="35">
        <f>$C$657</f>
        <v>0.19177584373485806</v>
      </c>
      <c r="D940" s="35">
        <f>$D$657</f>
        <v>0.19177584373485806</v>
      </c>
      <c r="E940" s="35">
        <f>$E$657</f>
        <v>0.1974243986119549</v>
      </c>
      <c r="F940" s="35">
        <f>$F$657</f>
        <v>0.1974243986119549</v>
      </c>
      <c r="G940" s="35">
        <f>$G$657</f>
        <v>1.4659243778043127</v>
      </c>
      <c r="H940" s="35">
        <f>$H$657</f>
        <v>0.1974243986119549</v>
      </c>
      <c r="I940" s="35">
        <f>$I$657</f>
        <v>0.1974243986119549</v>
      </c>
      <c r="J940" s="35">
        <f>$J$657</f>
        <v>0.1974243986119549</v>
      </c>
      <c r="K940" s="17"/>
    </row>
    <row r="941" spans="1:11">
      <c r="A941" s="4" t="s">
        <v>187</v>
      </c>
      <c r="B941" s="35">
        <f>$B$658</f>
        <v>3.7610596317119112E-2</v>
      </c>
      <c r="C941" s="35">
        <f>$C$658</f>
        <v>0.17522605706352623</v>
      </c>
      <c r="D941" s="35">
        <f>$D$658</f>
        <v>0.17522605706352623</v>
      </c>
      <c r="E941" s="35">
        <f>$E$658</f>
        <v>0.18038278559667131</v>
      </c>
      <c r="F941" s="35">
        <f>$F$658</f>
        <v>0.18038278559667131</v>
      </c>
      <c r="G941" s="35">
        <f>$G$658</f>
        <v>1.3283667872625671</v>
      </c>
      <c r="H941" s="35">
        <f>$H$658</f>
        <v>0.18038278559667131</v>
      </c>
      <c r="I941" s="35">
        <f>$I$658</f>
        <v>0.18038278559667131</v>
      </c>
      <c r="J941" s="35">
        <f>$J$658</f>
        <v>0.18038278559667131</v>
      </c>
      <c r="K941" s="17"/>
    </row>
    <row r="942" spans="1:11">
      <c r="A942" s="4" t="s">
        <v>188</v>
      </c>
      <c r="B942" s="35">
        <f>$B$659</f>
        <v>3.3724269547883406E-2</v>
      </c>
      <c r="C942" s="35">
        <f>$C$659</f>
        <v>0.15716516057671021</v>
      </c>
      <c r="D942" s="35">
        <f>$D$659</f>
        <v>0.15716516057671021</v>
      </c>
      <c r="E942" s="35">
        <f>$E$659</f>
        <v>0.16179401435849849</v>
      </c>
      <c r="F942" s="35">
        <f>$F$659</f>
        <v>0.16179401435849849</v>
      </c>
      <c r="G942" s="35">
        <f>$G$659</f>
        <v>1.1946430880382566</v>
      </c>
      <c r="H942" s="35">
        <f>$H$659</f>
        <v>0.16179401435849849</v>
      </c>
      <c r="I942" s="35">
        <f>$I$659</f>
        <v>0.16179401435849849</v>
      </c>
      <c r="J942" s="35">
        <f>$J$659</f>
        <v>0.16179401435849849</v>
      </c>
      <c r="K942" s="17"/>
    </row>
    <row r="943" spans="1:11">
      <c r="A943" s="4" t="s">
        <v>189</v>
      </c>
      <c r="B943" s="35">
        <f>$B$660</f>
        <v>3.3082257008101967E-2</v>
      </c>
      <c r="C943" s="35">
        <f>$C$660</f>
        <v>0.15417319054267445</v>
      </c>
      <c r="D943" s="35">
        <f>$D$660</f>
        <v>0.15417319054267445</v>
      </c>
      <c r="E943" s="35">
        <f>$E$660</f>
        <v>0.15871392433809789</v>
      </c>
      <c r="F943" s="35">
        <f>$F$660</f>
        <v>0.15871392433809789</v>
      </c>
      <c r="G943" s="35">
        <f>$G$660</f>
        <v>1.1719005393228634</v>
      </c>
      <c r="H943" s="35">
        <f>$H$660</f>
        <v>0.15871392433809789</v>
      </c>
      <c r="I943" s="35">
        <f>$I$660</f>
        <v>0.15871392433809789</v>
      </c>
      <c r="J943" s="35">
        <f>$J$660</f>
        <v>0.15871392433809789</v>
      </c>
      <c r="K943" s="17"/>
    </row>
    <row r="944" spans="1:11">
      <c r="A944" s="4" t="s">
        <v>206</v>
      </c>
      <c r="B944" s="35">
        <f>$B$661</f>
        <v>3.0011394140434796E-2</v>
      </c>
      <c r="C944" s="35">
        <f>$C$661</f>
        <v>0.13986205312809824</v>
      </c>
      <c r="D944" s="35">
        <f>$D$661</f>
        <v>0.13986205312809824</v>
      </c>
      <c r="E944" s="35">
        <f>$E$661</f>
        <v>0.14398129298491549</v>
      </c>
      <c r="F944" s="35">
        <f>$F$661</f>
        <v>0.14398129298491549</v>
      </c>
      <c r="G944" s="35">
        <f>$G$661</f>
        <v>1.0631187881284281</v>
      </c>
      <c r="H944" s="35">
        <f>$H$661</f>
        <v>0.14398129298491549</v>
      </c>
      <c r="I944" s="35">
        <f>$I$661</f>
        <v>0.14398129298491549</v>
      </c>
      <c r="J944" s="35">
        <f>$J$661</f>
        <v>0.14398129298491549</v>
      </c>
      <c r="K944" s="17"/>
    </row>
    <row r="945" spans="1:11">
      <c r="A945" s="4" t="s">
        <v>232</v>
      </c>
      <c r="B945" s="35">
        <f>$B$873</f>
        <v>3.4702209576302864E-2</v>
      </c>
      <c r="C945" s="35">
        <f>$C$873</f>
        <v>0.16172265296013183</v>
      </c>
      <c r="D945" s="35">
        <f>$D$873</f>
        <v>0.16172265296013183</v>
      </c>
      <c r="E945" s="35">
        <f>$E$873</f>
        <v>0.16648573474625047</v>
      </c>
      <c r="F945" s="35">
        <f>$F$873</f>
        <v>0.16648573474625047</v>
      </c>
      <c r="G945" s="35">
        <f>$G$873</f>
        <v>1.2292854779589171</v>
      </c>
      <c r="H945" s="35">
        <f>$H$873</f>
        <v>0.16648573474625047</v>
      </c>
      <c r="I945" s="35">
        <f>$I$873</f>
        <v>0.16648573474625047</v>
      </c>
      <c r="J945" s="35">
        <f>$J$873</f>
        <v>0.16648573474625047</v>
      </c>
      <c r="K945" s="17"/>
    </row>
    <row r="946" spans="1:11">
      <c r="A946" s="4" t="s">
        <v>194</v>
      </c>
      <c r="B946" s="35">
        <f>$B$662</f>
        <v>-2.822957742405106E-2</v>
      </c>
      <c r="C946" s="35">
        <f>$C$662</f>
        <v>-0.13155825547427202</v>
      </c>
      <c r="D946" s="35">
        <f>$D$662</f>
        <v>-0.13155825547427202</v>
      </c>
      <c r="E946" s="35">
        <f>$E$662</f>
        <v>-0.13543293053675398</v>
      </c>
      <c r="F946" s="35">
        <f>$F$662</f>
        <v>-0.13543293053675398</v>
      </c>
      <c r="G946" s="35">
        <f>$G$662</f>
        <v>-1</v>
      </c>
      <c r="H946" s="35">
        <f>$H$662</f>
        <v>-0.13543293053675398</v>
      </c>
      <c r="I946" s="35">
        <f>$I$662</f>
        <v>-0.13543293053675398</v>
      </c>
      <c r="J946" s="35">
        <f>$J$662</f>
        <v>-0.13543293053675398</v>
      </c>
      <c r="K946" s="17"/>
    </row>
    <row r="947" spans="1:11">
      <c r="A947" s="4" t="s">
        <v>195</v>
      </c>
      <c r="B947" s="35">
        <f>$B$663</f>
        <v>-2.822957742405106E-2</v>
      </c>
      <c r="C947" s="35">
        <f>$C$663</f>
        <v>-0.13155825547427202</v>
      </c>
      <c r="D947" s="35">
        <f>$D$663</f>
        <v>-0.13155825547427202</v>
      </c>
      <c r="E947" s="35">
        <f>$E$663</f>
        <v>-0.13543293053675398</v>
      </c>
      <c r="F947" s="35">
        <f>$F$663</f>
        <v>-0.13543293053675398</v>
      </c>
      <c r="G947" s="35">
        <f>$G$663</f>
        <v>-1</v>
      </c>
      <c r="H947" s="35">
        <f>$H$663</f>
        <v>-0.13543293053675398</v>
      </c>
      <c r="I947" s="35">
        <f>$I$663</f>
        <v>-0.13543293053675398</v>
      </c>
      <c r="J947" s="35">
        <f>$J$663</f>
        <v>-0.13543293053675398</v>
      </c>
      <c r="K947" s="17"/>
    </row>
    <row r="948" spans="1:11">
      <c r="A948" s="4" t="s">
        <v>198</v>
      </c>
      <c r="B948" s="35">
        <f>$B$664</f>
        <v>-2.822957742405106E-2</v>
      </c>
      <c r="C948" s="35">
        <f>$C$664</f>
        <v>-0.13155825547427202</v>
      </c>
      <c r="D948" s="35">
        <f>$D$664</f>
        <v>-0.13155825547427202</v>
      </c>
      <c r="E948" s="35">
        <f>$E$664</f>
        <v>-0.13543293053675398</v>
      </c>
      <c r="F948" s="35">
        <f>$F$664</f>
        <v>-0.13543293053675398</v>
      </c>
      <c r="G948" s="35">
        <f>$G$664</f>
        <v>-1</v>
      </c>
      <c r="H948" s="35">
        <f>$H$664</f>
        <v>-0.13543293053675398</v>
      </c>
      <c r="I948" s="35">
        <f>$I$664</f>
        <v>-0.13543293053675398</v>
      </c>
      <c r="J948" s="35">
        <f>$J$664</f>
        <v>-0.13543293053675398</v>
      </c>
      <c r="K948" s="17"/>
    </row>
    <row r="949" spans="1:11">
      <c r="A949" s="4" t="s">
        <v>199</v>
      </c>
      <c r="B949" s="35">
        <f>$B$665</f>
        <v>-2.822957742405106E-2</v>
      </c>
      <c r="C949" s="35">
        <f>$C$665</f>
        <v>-0.13155825547427202</v>
      </c>
      <c r="D949" s="35">
        <f>$D$665</f>
        <v>-0.13155825547427202</v>
      </c>
      <c r="E949" s="35">
        <f>$E$665</f>
        <v>-0.13543293053675398</v>
      </c>
      <c r="F949" s="35">
        <f>$F$665</f>
        <v>-0.13543293053675398</v>
      </c>
      <c r="G949" s="35">
        <f>$G$665</f>
        <v>-1</v>
      </c>
      <c r="H949" s="35">
        <f>$H$665</f>
        <v>-0.13543293053675398</v>
      </c>
      <c r="I949" s="35">
        <f>$I$665</f>
        <v>-0.13543293053675398</v>
      </c>
      <c r="J949" s="35">
        <f>$J$665</f>
        <v>-0.13543293053675398</v>
      </c>
      <c r="K949" s="17"/>
    </row>
    <row r="950" spans="1:11">
      <c r="A950" s="4" t="s">
        <v>209</v>
      </c>
      <c r="B950" s="35">
        <f>$B$666</f>
        <v>-2.822957742405106E-2</v>
      </c>
      <c r="C950" s="35">
        <f>$C$666</f>
        <v>-0.13155825547427202</v>
      </c>
      <c r="D950" s="35">
        <f>$D$666</f>
        <v>-0.13155825547427202</v>
      </c>
      <c r="E950" s="35">
        <f>$E$666</f>
        <v>-0.13543293053675398</v>
      </c>
      <c r="F950" s="35">
        <f>$F$666</f>
        <v>-0.13543293053675398</v>
      </c>
      <c r="G950" s="35">
        <f>$G$666</f>
        <v>-1</v>
      </c>
      <c r="H950" s="35">
        <f>$H$666</f>
        <v>-0.13543293053675398</v>
      </c>
      <c r="I950" s="35">
        <f>$I$666</f>
        <v>-0.13543293053675398</v>
      </c>
      <c r="J950" s="35">
        <f>$J$666</f>
        <v>-0.13543293053675398</v>
      </c>
      <c r="K950" s="17"/>
    </row>
    <row r="951" spans="1:11">
      <c r="A951" s="4" t="s">
        <v>210</v>
      </c>
      <c r="B951" s="35">
        <f>$B$667</f>
        <v>-2.822957742405106E-2</v>
      </c>
      <c r="C951" s="35">
        <f>$C$667</f>
        <v>-0.13155825547427202</v>
      </c>
      <c r="D951" s="35">
        <f>$D$667</f>
        <v>-0.13155825547427202</v>
      </c>
      <c r="E951" s="35">
        <f>$E$667</f>
        <v>-0.13543293053675398</v>
      </c>
      <c r="F951" s="35">
        <f>$F$667</f>
        <v>-0.13543293053675398</v>
      </c>
      <c r="G951" s="35">
        <f>$G$667</f>
        <v>-1</v>
      </c>
      <c r="H951" s="35">
        <f>$H$667</f>
        <v>-0.13543293053675398</v>
      </c>
      <c r="I951" s="35">
        <f>$I$667</f>
        <v>-0.13543293053675398</v>
      </c>
      <c r="J951" s="35">
        <f>$J$667</f>
        <v>-0.13543293053675398</v>
      </c>
      <c r="K951" s="17"/>
    </row>
  </sheetData>
  <sheetProtection sheet="1" objects="1" scenarios="1"/>
  <hyperlinks>
    <hyperlink ref="A5" location="'Input'!B367" display="x1 = 1068. Typical annual hours by distribution time band"/>
    <hyperlink ref="A6" location="'Input'!F59" display="x2 = 1010. Days in the charging year (in Financial and general assumptions)"/>
    <hyperlink ref="A7" location="'Multi'!B12" display="x3 = Total hours in the year according to time band hours input data (in Adjust annual hours by distribution time band to match days in year)"/>
    <hyperlink ref="A17" location="'Input'!B328" display="x1 = 1061. Average split of rate 1 units by distribution time band"/>
    <hyperlink ref="A18" location="'Multi'!B25" display="x2 = Total split (in Normalisation of split of rate 1 units by time band)"/>
    <hyperlink ref="A19" location="'Multi'!C12" display="x3 = 2401. Annual hours by distribution time band (reconciled to days in year) (in Adjust annual hours by distribution time band to match days in year)"/>
    <hyperlink ref="A20" location="'Input'!F59" display="x4 = 1010. Days in the charging year (in Financial and general assumptions)"/>
    <hyperlink ref="A38" location="'Multi'!C25" display="x1 = 2402. Normalised split of rate 1 units by distribution time band (in Normalisation of split of rate 1 units by time band)"/>
    <hyperlink ref="A66" location="'Input'!B341" display="x1 = 1062. Average split of rate 2 units by distribution time band"/>
    <hyperlink ref="A67" location="'Multi'!B74" display="x2 = Total split (in Normalisation of split of rate 2 units by time band)"/>
    <hyperlink ref="A68" location="'Multi'!C12" display="x3 = 2401. Annual hours by distribution time band (reconciled to days in year) (in Adjust annual hours by distribution time band to match days in year)"/>
    <hyperlink ref="A69" location="'Input'!F59" display="x4 = 1010. Days in the charging year (in Financial and general assumptions)"/>
    <hyperlink ref="A83" location="'Multi'!C74" display="x1 = 2404. Normalised split of rate 2 units by distribution time band (in Normalisation of split of rate 2 units by time band)"/>
    <hyperlink ref="A122" location="'Loads'!B333" display="x1 = 2305. Rate 1 units (MWh) (in Equivalent volume for each end user)"/>
    <hyperlink ref="A123" location="'Loads'!C333" display="x2 = 2305. Rate 2 units (MWh) (in Equivalent volume for each end user)"/>
    <hyperlink ref="A124" location="'Loads'!D333" display="x3 = 2305. Rate 3 units (MWh) (in Equivalent volume for each end user)"/>
    <hyperlink ref="A164" location="'Multi'!B127" display="x1 = 2407. All units (MWh)"/>
    <hyperlink ref="A165" location="'Loads'!B333" display="x2 = 2305. Rate 1 units (MWh) (in Equivalent volume for each end user)"/>
    <hyperlink ref="A166" location="'Multi'!B42" display="x3 = 2403. Split of rate 1 units between distribution time bands"/>
    <hyperlink ref="A167" location="'Multi'!C12" display="x4 = 2401. Annual hours by distribution time band (reconciled to days in year) (in Adjust annual hours by distribution time band to match days in year)"/>
    <hyperlink ref="A168" location="'Multi'!B174" display="x5 = Use of distribution time bands by units in demand forecast for one-rate tariffs (in Calculation of implied load coefficients for one-rate users)"/>
    <hyperlink ref="A169" location="'Input'!F59" display="x6 = 1010. Days in the charging year (in Financial and general assumptions)"/>
    <hyperlink ref="A180" location="'Multi'!B127" display="x1 = 2407. All units (MWh)"/>
    <hyperlink ref="A181" location="'Loads'!B333" display="x2 = 2305. Rate 1 units (MWh) (in Equivalent volume for each end user)"/>
    <hyperlink ref="A182" location="'Multi'!B42" display="x3 = 2403. Split of rate 1 units between distribution time bands"/>
    <hyperlink ref="A183" location="'Loads'!C333" display="x4 = 2305. Rate 2 units (MWh) (in Equivalent volume for each end user)"/>
    <hyperlink ref="A184" location="'Multi'!B87" display="x5 = 2405. Split of rate 2 units between distribution time bands"/>
    <hyperlink ref="A185" location="'Multi'!C12" display="x6 = 2401. Annual hours by distribution time band (reconciled to days in year) (in Adjust annual hours by distribution time band to match days in year)"/>
    <hyperlink ref="A186" location="'Multi'!B192" display="x7 = Use of distribution time bands by units in demand forecast for two-rate tariffs (in Calculation of implied load coefficients for two-rate users)"/>
    <hyperlink ref="A187" location="'Input'!F59" display="x8 = 1010. Days in the charging year (in Financial and general assumptions)"/>
    <hyperlink ref="A201" location="'Multi'!B127" display="x1 = 2407. All units (MWh)"/>
    <hyperlink ref="A202" location="'Loads'!B333" display="x2 = 2305. Rate 1 units (MWh) (in Equivalent volume for each end user)"/>
    <hyperlink ref="A203" location="'Multi'!B42" display="x3 = 2403. Split of rate 1 units between distribution time bands"/>
    <hyperlink ref="A204" location="'Loads'!C333" display="x4 = 2305. Rate 2 units (MWh) (in Equivalent volume for each end user)"/>
    <hyperlink ref="A205" location="'Multi'!B87" display="x5 = 2405. Split of rate 2 units between distribution time bands"/>
    <hyperlink ref="A206" location="'Loads'!D333" display="x6 = 2305. Rate 3 units (MWh) (in Equivalent volume for each end user)"/>
    <hyperlink ref="A207" location="'Multi'!B107" display="x7 = 2406. Split of rate 3 units between distribution time bands (default)"/>
    <hyperlink ref="A208" location="'Multi'!C12" display="x8 = 2401. Annual hours by distribution time band (reconciled to days in year) (in Adjust annual hours by distribution time band to match days in year)"/>
    <hyperlink ref="A209" location="'Multi'!B215" display="x9 = Use of distribution time bands by units in demand forecast for three-rate tariffs (in Calculation of implied load coefficients for three-rate users)"/>
    <hyperlink ref="A210" location="'Input'!F59" display="x10 = 1010. Days in the charging year (in Financial and general assumptions)"/>
    <hyperlink ref="A224" location="'Multi'!E174" display="x1 = 2408. Peak band load coefficient for one-rate tariffs (in Calculation of implied load coefficients for one-rate users)"/>
    <hyperlink ref="A225" location="'Multi'!E192" display="x2 = 2409. Peak band load coefficient for two-rate tariffs (in Calculation of implied load coefficients for two-rate users)"/>
    <hyperlink ref="A226" location="'Multi'!E215" display="x3 = 2410. Peak band load coefficient for three-rate tariffs (in Calculation of implied load coefficients for three-rate users)"/>
    <hyperlink ref="A227" location="'Multi'!B232" display="x4 = Peak band load coefficient (in Calculation of adjusted time band load coefficients)"/>
    <hyperlink ref="A228" location="'Loads'!B45" display="x5 = 2302. Load coefficient"/>
    <hyperlink ref="A256" location="'Input'!B374" display="x1 = 1069. Red, amber and green peaking probabilities (in Peaking probabilities by network level)"/>
    <hyperlink ref="A257" location="'Multi'!B264" display="x2 = Total probability (should be 100%) (in Normalisation of peaking probabilities)"/>
    <hyperlink ref="A258" location="'Input'!B367" display="x3 = 1068. Typical annual hours by distribution time band"/>
    <hyperlink ref="A259" location="'Multi'!B12" display="x4 = 2401. Total hours in the year according to time band hours input data (in Adjust annual hours by distribution time band to match days in year)"/>
    <hyperlink ref="A277" location="'Multi'!C264" display="x1 = 2412. Normalised peaking probabilities (in Normalisation of peaking probabilities)"/>
    <hyperlink ref="A285" location="'Multi'!C12" display="x1 = 2401. Annual hours by distribution time band (reconciled to days in year) (in Adjust annual hours by distribution time band to match days in year)"/>
    <hyperlink ref="A286" location="'Multi'!C232" display="x2 = 2411. Load coefficient correction factor (kW at peak in band / band average kW) (in Calculation of adjusted time band load coefficients)"/>
    <hyperlink ref="A287" location="'Multi'!B280" display="x3 = 2413. Peaking probabilities by network level (reshaped)"/>
    <hyperlink ref="A288" location="'Input'!F59" display="x4 = 1010. Days in the charging year (in Financial and general assumptions)"/>
    <hyperlink ref="A315" location="'Multi'!B291" display="x1 = 2414. Pseudo load coefficient by time band and network level"/>
    <hyperlink ref="A324" location="'Multi'!B127" display="x1 = 2407. All units (MWh)"/>
    <hyperlink ref="A333" location="'Multi'!B42" display="x1 = 2403. Split of rate 1 units between distribution time bands"/>
    <hyperlink ref="A342" location="'Multi'!B318" display="x1 = 2415. Single rate non half hourly pseudo timeband load coefficients"/>
    <hyperlink ref="A343" location="'Multi'!B336" display="x2 = 2417. Single rate non half hourly timeband use"/>
    <hyperlink ref="A352" location="'Multi'!B127" display="x1 = 2407. All units (MWh)"/>
    <hyperlink ref="A361" location="'Multi'!B291" display="x1 = 2414. Pseudo load coefficient by time band and network level"/>
    <hyperlink ref="A370" location="'Multi'!B192" display="x1 = 2409. Use of distribution time bands by units in demand forecast for two-rate tariffs (in Calculation of implied load coefficients for two-rate users)"/>
    <hyperlink ref="A379" location="'Multi'!B364" display="x1 = 2420. Multi rate non half hourly pseudo timeband load coefficients"/>
    <hyperlink ref="A380" location="'Multi'!B373" display="x2 = 2421. Multi rate non half hourly timeband use"/>
    <hyperlink ref="A389" location="'Multi'!B127" display="x1 = 2407. All units (MWh)"/>
    <hyperlink ref="A398" location="'Multi'!B291" display="x1 = 2414. Pseudo load coefficient by time band and network level"/>
    <hyperlink ref="A407" location="'Multi'!B42" display="x1 = 2403. Split of rate 1 units between distribution time bands"/>
    <hyperlink ref="A416" location="'Multi'!B401" display="x1 = 2424. Off-peak non half hourly pseudo timeband load coefficients"/>
    <hyperlink ref="A417" location="'Multi'!B410" display="x2 = 2425. Off-peak non half hourly timeband use"/>
    <hyperlink ref="A426" location="'Multi'!B127" display="x1 = 2407. All units (MWh)"/>
    <hyperlink ref="A435" location="'Multi'!B291" display="x1 = 2414. Pseudo load coefficient by time band and network level"/>
    <hyperlink ref="A444" location="'Multi'!B215" display="x1 = 2410. Use of distribution time bands by units in demand forecast for three-rate tariffs (in Calculation of implied load coefficients for three-rate users)"/>
    <hyperlink ref="A453" location="'Multi'!B438" display="x1 = 2428. Aggregated half hourly pseudo timeband load coefficients"/>
    <hyperlink ref="A454" location="'Multi'!B447" display="x2 = 2429. Aggregated half hourly timeband use"/>
    <hyperlink ref="A463" location="'Multi'!B327" display="x1 = 2416. Single rate non half hourly units (MWh)"/>
    <hyperlink ref="A464" location="'Multi'!B346" display="x2 = 2418. Single rate non half hourly tariff pseudo load coefficient"/>
    <hyperlink ref="A465" location="'Multi'!B355" display="x3 = 2419. Multi rate non half hourly units (MWh)"/>
    <hyperlink ref="A466" location="'Multi'!B383" display="x4 = 2422. Multi rate non half hourly tariff pseudo load coefficient"/>
    <hyperlink ref="A467" location="'Multi'!B392" display="x5 = 2423. Off-peak non half hourly units (MWh)"/>
    <hyperlink ref="A468" location="'Multi'!B420" display="x6 = 2426. Off-peak non half hourly tariff pseudo load coefficient"/>
    <hyperlink ref="A477" location="'Multi'!B327" display="x1 = 2416. Single rate non half hourly units (MWh)"/>
    <hyperlink ref="A478" location="'Multi'!B336" display="x2 = 2417. Single rate non half hourly timeband use"/>
    <hyperlink ref="A479" location="'Multi'!B355" display="x3 = 2419. Multi rate non half hourly units (MWh)"/>
    <hyperlink ref="A480" location="'Multi'!B373" display="x4 = 2421. Multi rate non half hourly timeband use"/>
    <hyperlink ref="A481" location="'Multi'!B392" display="x5 = 2423. Off-peak non half hourly units (MWh)"/>
    <hyperlink ref="A482" location="'Multi'!B410" display="x6 = 2425. Off-peak non half hourly timeband use"/>
    <hyperlink ref="A491" location="'Multi'!B438" display="x1 = 2428. Aggregated half hourly pseudo timeband load coefficients"/>
    <hyperlink ref="A492" location="'Multi'!B485" display="x2 = 2432. Average non half hourly timeband use"/>
    <hyperlink ref="A501" location="'Multi'!B471" display="x1 = 2431. Average non half hourly tariff pseudo load coefficient"/>
    <hyperlink ref="A502" location="'Multi'!B495" display="x2 = 2433. Aggregated half hourly tariff pseudo load coefficient using average non half hourly unit mix"/>
    <hyperlink ref="A511" location="'Multi'!B327" display="x1 = 2416. Single rate non half hourly units (MWh)"/>
    <hyperlink ref="A512" location="'Multi'!B346" display="x2 = 2418. Single rate non half hourly tariff pseudo load coefficient"/>
    <hyperlink ref="A513" location="'Multi'!B355" display="x3 = 2419. Multi rate non half hourly units (MWh)"/>
    <hyperlink ref="A514" location="'Multi'!B383" display="x4 = 2422. Multi rate non half hourly tariff pseudo load coefficient"/>
    <hyperlink ref="A515" location="'Multi'!B392" display="x5 = 2423. Off-peak non half hourly units (MWh)"/>
    <hyperlink ref="A516" location="'Multi'!B420" display="x6 = 2426. Off-peak non half hourly tariff pseudo load coefficient"/>
    <hyperlink ref="A517" location="'Multi'!B429" display="x7 = 2427. Aggregated half hourly units (MWh)"/>
    <hyperlink ref="A518" location="'Multi'!B457" display="x8 = 2430. Aggregated half hourly tariff pseudo load coefficient"/>
    <hyperlink ref="A519" location="'Multi'!B505" display="x9 = 2434. Relative correction factor for aggregated half hourly tariff"/>
    <hyperlink ref="A528" location="'Multi'!B318" display="x1 = 2415. Single rate non half hourly pseudo timeband load coefficients"/>
    <hyperlink ref="A529" location="'Multi'!B522" display="x2 = 2435. Correction factor for non half hourly tariffs"/>
    <hyperlink ref="A538" location="'Multi'!B364" display="x1 = 2420. Multi rate non half hourly pseudo timeband load coefficients"/>
    <hyperlink ref="A539" location="'Multi'!B522" display="x2 = 2435. Correction factor for non half hourly tariffs"/>
    <hyperlink ref="A548" location="'Multi'!B401" display="x1 = 2424. Off-peak non half hourly pseudo timeband load coefficients"/>
    <hyperlink ref="A549" location="'Multi'!B522" display="x2 = 2435. Correction factor for non half hourly tariffs"/>
    <hyperlink ref="A558" location="'Multi'!B438" display="x1 = 2428. Aggregated half hourly pseudo timeband load coefficients"/>
    <hyperlink ref="A559" location="'Multi'!B522" display="x2 = 2435. Correction factor for non half hourly tariffs"/>
    <hyperlink ref="A560" location="'Multi'!B505" display="x3 = 2434. Relative correction factor for aggregated half hourly tariff"/>
    <hyperlink ref="A569" location="'Multi'!B532" display="x1 = 2436. Single rate non half hourly corrected pseudo timeband load coefficient"/>
    <hyperlink ref="A570" location="'Multi'!B542" display="x2 = 2437. Multi rate non half hourly corrected pseudo timeband load coefficient"/>
    <hyperlink ref="A571" location="'Multi'!B552" display="x3 = 2438. Off-peak non half hourly corrected pseudo timeband load coefficient"/>
    <hyperlink ref="A572" location="'Multi'!B563" display="x4 = 2439. Aggregated half hourly corrected pseudo timeband load coefficient"/>
    <hyperlink ref="A573" location="'Multi'!B291" display="x5 = 2414. Pseudo load coefficient by time band and network level"/>
    <hyperlink ref="A600" location="'Multi'!B576" display="x1 = 2440. Pseudo load coefficient by time band and network level (equalised)"/>
    <hyperlink ref="A601" location="'Multi'!B42" display="x2 = 2403. Split of rate 1 units between distribution time bands"/>
    <hyperlink ref="A628" location="'Multi'!B576" display="x1 = 2440. Pseudo load coefficient by time band and network level (equalised)"/>
    <hyperlink ref="A629" location="'Multi'!B87" display="x2 = 2405. Split of rate 2 units between distribution time bands"/>
    <hyperlink ref="A652" location="'Multi'!B576" display="x1 = 2440. Pseudo load coefficient by time band and network level (equalised)"/>
    <hyperlink ref="A653" location="'Multi'!B107" display="x2 = 2406. Split of rate 3 units between distribution time bands (default)"/>
    <hyperlink ref="A671" location="'Input'!B360" display="x1 = 1066. Typical annual hours by special distribution time band"/>
    <hyperlink ref="A672" location="'Input'!F59" display="x2 = 1010. Days in the charging year (in Financial and general assumptions)"/>
    <hyperlink ref="A673" location="'Multi'!B678" display="x3 = Total hours in the year according to special time band hours input data (in Adjust annual hours by special distribution time band to match days in year)"/>
    <hyperlink ref="A683" location="'Input'!B350" display="x1 = 1064. Average split of rate 1 units by special distribution time band"/>
    <hyperlink ref="A684" location="'Multi'!B691" display="x2 = Total split (in Normalisation of split of rate 1 units by special time band)"/>
    <hyperlink ref="A685" location="'Multi'!C678" display="x3 = 2444. Annual hours by special distribution time band (reconciled to days in year) (in Adjust annual hours by special distribution time band to match days in year)"/>
    <hyperlink ref="A686" location="'Input'!F59" display="x4 = 1010. Days in the charging year (in Financial and general assumptions)"/>
    <hyperlink ref="A699" location="'Multi'!C691" display="x1 = 2445. Normalised split of rate 1 units by special distribution time band (in Normalisation of split of rate 1 units by special time band)"/>
    <hyperlink ref="A722" location="'Multi'!B127" display="x1 = 2407. All units (MWh)"/>
    <hyperlink ref="A723" location="'Loads'!B333" display="x2 = 2305. Rate 1 units (MWh) (in Equivalent volume for each end user)"/>
    <hyperlink ref="A724" location="'Multi'!B703" display="x3 = 2446. Split of rate 1 units between special distribution time bands"/>
    <hyperlink ref="A725" location="'Multi'!C678" display="x4 = 2444. Annual hours by special distribution time band (reconciled to days in year) (in Adjust annual hours by special distribution time band to match days in year)"/>
    <hyperlink ref="A726" location="'Multi'!B732" display="x5 = Use of special distribution time bands by units in demand forecast for one-rate tariffs (in Calculation of implied special load coefficients for one-rate users)"/>
    <hyperlink ref="A727" location="'Input'!F59" display="x6 = 1010. Days in the charging year (in Financial and general assumptions)"/>
    <hyperlink ref="A740" location="'Multi'!B127" display="x1 = 2407. All units (MWh)"/>
    <hyperlink ref="A741" location="'Loads'!B333" display="x2 = 2305. Rate 1 units (MWh) (in Equivalent volume for each end user)"/>
    <hyperlink ref="A742" location="'Multi'!B703" display="x3 = 2446. Split of rate 1 units between special distribution time bands"/>
    <hyperlink ref="A743" location="'Loads'!C333" display="x4 = 2305. Rate 2 units (MWh) (in Equivalent volume for each end user)"/>
    <hyperlink ref="A744" location="'Multi'!B712" display="x5 = 2447. Split of rate 2 units between special distribution time bands (default)"/>
    <hyperlink ref="A745" location="'Loads'!D333" display="x6 = 2305. Rate 3 units (MWh) (in Equivalent volume for each end user)"/>
    <hyperlink ref="A746" location="'Multi'!B717" display="x7 = 2448. Split of rate 3 units between special distribution time bands (default)"/>
    <hyperlink ref="A747" location="'Multi'!C678" display="x8 = 2444. Annual hours by special distribution time band (reconciled to days in year) (in Adjust annual hours by special distribution time band to match days in year)"/>
    <hyperlink ref="A748" location="'Multi'!B754" display="x9 = Use of special distribution time bands by units in demand forecast for three-rate tariffs (in Calculation of implied special load coefficients for three-rate users)"/>
    <hyperlink ref="A749" location="'Input'!F59" display="x10 = 1010. Days in the charging year (in Financial and general assumptions)"/>
    <hyperlink ref="A759" location="'Multi'!E732" display="x1 = 2449. Peak band special load coefficient for one-rate tariffs (in Calculation of implied special load coefficients for one-rate users)"/>
    <hyperlink ref="A760" location="'Multi'!E754" display="x2 = 2450. Peak band special load coefficient for three-rate tariffs (in Calculation of implied special load coefficients for three-rate users)"/>
    <hyperlink ref="A761" location="'Multi'!B768" display="x3 = Peak band special load coefficient (in Estimated contributions to peak demand)"/>
    <hyperlink ref="A762" location="'Multi'!B127" display="x4 = 2407. All units (MWh)"/>
    <hyperlink ref="A763" location="'Input'!F59" display="x5 = 1010. Days in the charging year (in Financial and general assumptions)"/>
    <hyperlink ref="A764" location="'Loads'!B45" display="x6 = 2302. Load coefficient"/>
    <hyperlink ref="A777" location="'Multi'!C768" display="x1 = 2451. Contribution to peak band kW (in Estimated contributions to peak demand)"/>
    <hyperlink ref="A778" location="'Multi'!D768" display="x2 = 2451. Contribution to system-peak-time kW (in Estimated contributions to peak demand)"/>
    <hyperlink ref="A786" location="'Multi'!C264" display="x1 = 2412. Normalised peaking probabilities (in Normalisation of peaking probabilities)"/>
    <hyperlink ref="A787" location="'Input'!E374" display="x2 = 1069. Black peaking probabilities (in Peaking probabilities by network level)"/>
    <hyperlink ref="A788" location="'Multi'!C796" display="x3 = Amber peaking probabilities (in Calculation of special peaking probabilities)"/>
    <hyperlink ref="A789" location="'Multi'!B796" display="x4 = Red peaking probabilities (in Calculation of special peaking probabilities)"/>
    <hyperlink ref="A790" location="'Multi'!B264" display="x5 = 2412. Total probability (should be 100%) (in Normalisation of peaking probabilities)"/>
    <hyperlink ref="A791" location="'Multi'!E796" display="x6 = Yellow peaking probabilities (in Calculation of special peaking probabilities)"/>
    <hyperlink ref="A792" location="'Multi'!D796" display="x7 = Green peaking probabilities (in Calculation of special peaking probabilities)"/>
    <hyperlink ref="A809" location="'Multi'!D796" display="x1 = 2453. Green peaking probabilities (in Calculation of special peaking probabilities)"/>
    <hyperlink ref="A810" location="'Multi'!E796" display="x2 = 2453. Yellow peaking probabilities (in Calculation of special peaking probabilities)"/>
    <hyperlink ref="A811" location="'Multi'!F796" display="x3 = 2453. Black peaking probabilities (in Calculation of special peaking probabilities)"/>
    <hyperlink ref="A827" location="'Multi'!B814" display="x1 = 2454. Special peaking probabilities by network level"/>
    <hyperlink ref="A835" location="'Multi'!C678" display="x1 = 2444. Annual hours by special distribution time band (reconciled to days in year) (in Adjust annual hours by special distribution time band to match days in year)"/>
    <hyperlink ref="A836" location="'Multi'!B781" display="x2 = 2452. Load coefficient correction factor for the group"/>
    <hyperlink ref="A837" location="'Multi'!B830" display="x3 = 2455. Special peaking probabilities by network level (reshaped)"/>
    <hyperlink ref="A838" location="'Input'!F59" display="x4 = 1010. Days in the charging year (in Financial and general assumptions)"/>
    <hyperlink ref="A846" location="'Multi'!B841" display="x1 = 2456. Pseudo load coefficient by special time band and network level"/>
    <hyperlink ref="A847" location="'Multi'!B703" display="x2 = 2446. Split of rate 1 units between special distribution time bands"/>
    <hyperlink ref="A859" location="'Multi'!B841" display="x1 = 2456. Pseudo load coefficient by special time band and network level"/>
    <hyperlink ref="A860" location="'Multi'!B712" display="x2 = 2447. Split of rate 2 units between special distribution time bands (default)"/>
    <hyperlink ref="A868" location="'Multi'!B841" display="x1 = 2456. Pseudo load coefficient by special time band and network level"/>
    <hyperlink ref="A869" location="'Multi'!B717" display="x2 = 2448. Split of rate 3 units between special distribution time bands (default)"/>
    <hyperlink ref="A877" location="'Multi'!B604" display="x1 = 2441. Unit rate 1 pseudo load coefficient by network level"/>
    <hyperlink ref="A878" location="'Multi'!B850" display="x2 = 2457. Unit rate 1 pseudo load coefficient by network level (special)"/>
    <hyperlink ref="A910" location="'Multi'!B632" display="x1 = 2442. Unit rate 2 pseudo load coefficient by network level"/>
    <hyperlink ref="A911" location="'Multi'!B863" display="x2 = 2458. Unit rate 2 pseudo load coefficient by network level (special)"/>
    <hyperlink ref="A935" location="'Multi'!B656" display="x1 = 2443. Unit rate 3 pseudo load coefficient by network level"/>
    <hyperlink ref="A936" location="'Multi'!B872" display="x2 = 2459. Unit rate 3 pseudo load coefficient by network level (special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5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50.7109375" customWidth="1"/>
    <col min="2" max="251" width="16.7109375" customWidth="1"/>
  </cols>
  <sheetData>
    <row r="1" spans="1:11" ht="21" customHeight="1">
      <c r="A1" s="1" t="str">
        <f>"Forecast simultaneous maximum load for "&amp;Input!B7&amp;" in "&amp;Input!C7&amp;" ("&amp;Input!D7&amp;")"</f>
        <v>Forecast simultaneous maximum load for Electricity North West in 2019/20 (Version 1)</v>
      </c>
    </row>
    <row r="3" spans="1:11" ht="21" customHeight="1">
      <c r="A3" s="1" t="s">
        <v>826</v>
      </c>
    </row>
    <row r="4" spans="1:11">
      <c r="A4" s="2" t="s">
        <v>379</v>
      </c>
    </row>
    <row r="5" spans="1:11">
      <c r="A5" s="29" t="s">
        <v>600</v>
      </c>
    </row>
    <row r="6" spans="1:11">
      <c r="A6" s="29" t="s">
        <v>827</v>
      </c>
    </row>
    <row r="7" spans="1:11">
      <c r="A7" s="29" t="s">
        <v>828</v>
      </c>
    </row>
    <row r="8" spans="1:11">
      <c r="A8" s="29" t="s">
        <v>584</v>
      </c>
    </row>
    <row r="9" spans="1:11">
      <c r="A9" s="2" t="s">
        <v>829</v>
      </c>
    </row>
    <row r="11" spans="1:11">
      <c r="B11" s="15" t="s">
        <v>148</v>
      </c>
      <c r="C11" s="15" t="s">
        <v>149</v>
      </c>
      <c r="D11" s="15" t="s">
        <v>150</v>
      </c>
      <c r="E11" s="15" t="s">
        <v>151</v>
      </c>
      <c r="F11" s="15" t="s">
        <v>152</v>
      </c>
      <c r="G11" s="15" t="s">
        <v>157</v>
      </c>
      <c r="H11" s="15" t="s">
        <v>153</v>
      </c>
      <c r="I11" s="15" t="s">
        <v>154</v>
      </c>
      <c r="J11" s="15" t="s">
        <v>155</v>
      </c>
    </row>
    <row r="12" spans="1:11">
      <c r="A12" s="4" t="s">
        <v>180</v>
      </c>
      <c r="B12" s="39">
        <f>(Loads!$B$334*Multi!B$882)*LAFs!B$261/(24*Input!$F$60)*1000</f>
        <v>1632106.3677331202</v>
      </c>
      <c r="C12" s="39">
        <f>(Loads!$B$334*Multi!C$882)*LAFs!C$261/(24*Input!$F$60)*1000</f>
        <v>1533691.7304403917</v>
      </c>
      <c r="D12" s="39">
        <f>(Loads!$B$334*Multi!D$882)*LAFs!D$261/(24*Input!$F$60)*1000</f>
        <v>1526168.3421913579</v>
      </c>
      <c r="E12" s="39">
        <f>(Loads!$B$334*Multi!E$882)*LAFs!E$261/(24*Input!$F$60)*1000</f>
        <v>1484157.8815842113</v>
      </c>
      <c r="F12" s="39">
        <f>(Loads!$B$334*Multi!F$882)*LAFs!F$261/(24*Input!$F$60)*1000</f>
        <v>1476148.7665884381</v>
      </c>
      <c r="G12" s="39">
        <f>(Loads!$B$334*Multi!G$882)*LAFs!G$261/(24*Input!$F$60)*1000</f>
        <v>0</v>
      </c>
      <c r="H12" s="39">
        <f>(Loads!$B$334*Multi!H$882)*LAFs!H$261/(24*Input!$F$60)*1000</f>
        <v>1458575.2185788227</v>
      </c>
      <c r="I12" s="39">
        <f>(Loads!$B$334*Multi!I$882)*LAFs!I$261/(24*Input!$F$60)*1000</f>
        <v>1439387.2013395648</v>
      </c>
      <c r="J12" s="39">
        <f>(Loads!$B$334*Multi!J$882)*LAFs!J$261/(24*Input!$F$60)*1000</f>
        <v>1368734.0819926346</v>
      </c>
      <c r="K12" s="17"/>
    </row>
    <row r="13" spans="1:11">
      <c r="A13" s="4" t="s">
        <v>226</v>
      </c>
      <c r="B13" s="39">
        <f>(Loads!$B$336*Multi!B$884)*LAFs!B$263/(24*Input!$F$60)*1000</f>
        <v>213.26442963715593</v>
      </c>
      <c r="C13" s="39">
        <f>(Loads!$B$336*Multi!C$884)*LAFs!C$263/(24*Input!$F$60)*1000</f>
        <v>433.26490128328749</v>
      </c>
      <c r="D13" s="39">
        <f>(Loads!$B$336*Multi!D$884)*LAFs!D$263/(24*Input!$F$60)*1000</f>
        <v>431.13955888081028</v>
      </c>
      <c r="E13" s="39">
        <f>(Loads!$B$336*Multi!E$884)*LAFs!E$263/(24*Input!$F$60)*1000</f>
        <v>481.97011347325849</v>
      </c>
      <c r="F13" s="39">
        <f>(Loads!$B$336*Multi!F$884)*LAFs!F$263/(24*Input!$F$60)*1000</f>
        <v>479.3692081981319</v>
      </c>
      <c r="G13" s="39">
        <f>(Loads!$B$336*Multi!G$884)*LAFs!G$263/(24*Input!$F$60)*1000</f>
        <v>0</v>
      </c>
      <c r="H13" s="39">
        <f>(Loads!$B$336*Multi!H$884)*LAFs!H$263/(24*Input!$F$60)*1000</f>
        <v>473.66231876714954</v>
      </c>
      <c r="I13" s="39">
        <f>(Loads!$B$336*Multi!I$884)*LAFs!I$263/(24*Input!$F$60)*1000</f>
        <v>467.43114150435025</v>
      </c>
      <c r="J13" s="39">
        <f>(Loads!$B$336*Multi!J$884)*LAFs!J$263/(24*Input!$F$60)*1000</f>
        <v>444.48702459373465</v>
      </c>
      <c r="K13" s="17"/>
    </row>
    <row r="14" spans="1:11">
      <c r="A14" s="4" t="s">
        <v>182</v>
      </c>
      <c r="B14" s="39">
        <f>(Loads!$B$337*Multi!B$885)*LAFs!B$264/(24*Input!$F$60)*1000</f>
        <v>318057.45684643654</v>
      </c>
      <c r="C14" s="39">
        <f>(Loads!$B$337*Multi!C$885)*LAFs!C$264/(24*Input!$F$60)*1000</f>
        <v>317257.17213544989</v>
      </c>
      <c r="D14" s="39">
        <f>(Loads!$B$337*Multi!D$885)*LAFs!D$264/(24*Input!$F$60)*1000</f>
        <v>315700.89532089065</v>
      </c>
      <c r="E14" s="39">
        <f>(Loads!$B$337*Multi!E$885)*LAFs!E$264/(24*Input!$F$60)*1000</f>
        <v>321265.58488620113</v>
      </c>
      <c r="F14" s="39">
        <f>(Loads!$B$337*Multi!F$885)*LAFs!F$264/(24*Input!$F$60)*1000</f>
        <v>319531.90611424233</v>
      </c>
      <c r="G14" s="39">
        <f>(Loads!$B$337*Multi!G$885)*LAFs!G$264/(24*Input!$F$60)*1000</f>
        <v>0</v>
      </c>
      <c r="H14" s="39">
        <f>(Loads!$B$337*Multi!H$885)*LAFs!H$264/(24*Input!$F$60)*1000</f>
        <v>315727.87943359802</v>
      </c>
      <c r="I14" s="39">
        <f>(Loads!$B$337*Multi!I$885)*LAFs!I$264/(24*Input!$F$60)*1000</f>
        <v>311574.37955486774</v>
      </c>
      <c r="J14" s="39">
        <f>(Loads!$B$337*Multi!J$885)*LAFs!J$264/(24*Input!$F$60)*1000</f>
        <v>296280.57827356632</v>
      </c>
      <c r="K14" s="17"/>
    </row>
    <row r="15" spans="1:11">
      <c r="A15" s="4" t="s">
        <v>227</v>
      </c>
      <c r="B15" s="39">
        <f>(Loads!$B$339*Multi!B$887)*LAFs!B$266/(24*Input!$F$60)*1000</f>
        <v>165.89516253918117</v>
      </c>
      <c r="C15" s="39">
        <f>(Loads!$B$339*Multi!C$887)*LAFs!C$266/(24*Input!$F$60)*1000</f>
        <v>465.23712028059867</v>
      </c>
      <c r="D15" s="39">
        <f>(Loads!$B$339*Multi!D$887)*LAFs!D$266/(24*Input!$F$60)*1000</f>
        <v>462.95494100410974</v>
      </c>
      <c r="E15" s="39">
        <f>(Loads!$B$339*Multi!E$887)*LAFs!E$266/(24*Input!$F$60)*1000</f>
        <v>510.93141315713342</v>
      </c>
      <c r="F15" s="39">
        <f>(Loads!$B$339*Multi!F$887)*LAFs!F$266/(24*Input!$F$60)*1000</f>
        <v>508.17422101894903</v>
      </c>
      <c r="G15" s="39">
        <f>(Loads!$B$339*Multi!G$887)*LAFs!G$266/(24*Input!$F$60)*1000</f>
        <v>0</v>
      </c>
      <c r="H15" s="39">
        <f>(Loads!$B$339*Multi!H$887)*LAFs!H$266/(24*Input!$F$60)*1000</f>
        <v>502.12440796998072</v>
      </c>
      <c r="I15" s="39">
        <f>(Loads!$B$339*Multi!I$887)*LAFs!I$266/(24*Input!$F$60)*1000</f>
        <v>495.51880294278993</v>
      </c>
      <c r="J15" s="39">
        <f>(Loads!$B$339*Multi!J$887)*LAFs!J$266/(24*Input!$F$60)*1000</f>
        <v>471.19598758748941</v>
      </c>
      <c r="K15" s="17"/>
    </row>
    <row r="16" spans="1:11">
      <c r="A16" s="4" t="s">
        <v>228</v>
      </c>
      <c r="B16" s="39">
        <f>(Loads!$B$348*Multi!B$896)*LAFs!B$275/(24*Input!$F$60)*1000</f>
        <v>2693.5762112692364</v>
      </c>
      <c r="C16" s="39">
        <f>(Loads!$B$348*Multi!C$896)*LAFs!C$275/(24*Input!$F$60)*1000</f>
        <v>2670.2710166742031</v>
      </c>
      <c r="D16" s="39">
        <f>(Loads!$B$348*Multi!D$896)*LAFs!D$275/(24*Input!$F$60)*1000</f>
        <v>2657.1722399188411</v>
      </c>
      <c r="E16" s="39">
        <f>(Loads!$B$348*Multi!E$896)*LAFs!E$275/(24*Input!$F$60)*1000</f>
        <v>2642.2179717990593</v>
      </c>
      <c r="F16" s="39">
        <f>(Loads!$B$348*Multi!F$896)*LAFs!F$275/(24*Input!$F$60)*1000</f>
        <v>2627.9594971161309</v>
      </c>
      <c r="G16" s="39">
        <f>(Loads!$B$348*Multi!G$896)*LAFs!G$275/(24*Input!$F$60)*1000</f>
        <v>0</v>
      </c>
      <c r="H16" s="39">
        <f>(Loads!$B$348*Multi!H$896)*LAFs!H$275/(24*Input!$F$60)*1000</f>
        <v>2596.6736447446051</v>
      </c>
      <c r="I16" s="39">
        <f>(Loads!$B$348*Multi!I$896)*LAFs!I$275/(24*Input!$F$60)*1000</f>
        <v>2562.5135835935371</v>
      </c>
      <c r="J16" s="39">
        <f>(Loads!$B$348*Multi!J$896)*LAFs!J$275/(24*Input!$F$60)*1000</f>
        <v>2436.7311826653709</v>
      </c>
      <c r="K16" s="17"/>
    </row>
    <row r="17" spans="1:11">
      <c r="A17" s="4" t="s">
        <v>229</v>
      </c>
      <c r="B17" s="39">
        <f>(Loads!$B$349*Multi!B$897)*LAFs!B$276/(24*Input!$F$60)*1000</f>
        <v>2152.3617502085795</v>
      </c>
      <c r="C17" s="39">
        <f>(Loads!$B$349*Multi!C$897)*LAFs!C$276/(24*Input!$F$60)*1000</f>
        <v>1788.8406101922822</v>
      </c>
      <c r="D17" s="39">
        <f>(Loads!$B$349*Multi!D$897)*LAFs!D$276/(24*Input!$F$60)*1000</f>
        <v>1780.0656118278778</v>
      </c>
      <c r="E17" s="39">
        <f>(Loads!$B$349*Multi!E$897)*LAFs!E$276/(24*Input!$F$60)*1000</f>
        <v>1553.9501166523805</v>
      </c>
      <c r="F17" s="39">
        <f>(Loads!$B$349*Multi!F$897)*LAFs!F$276/(24*Input!$F$60)*1000</f>
        <v>1545.5643745851826</v>
      </c>
      <c r="G17" s="39">
        <f>(Loads!$B$349*Multi!G$897)*LAFs!G$276/(24*Input!$F$60)*1000</f>
        <v>0</v>
      </c>
      <c r="H17" s="39">
        <f>(Loads!$B$349*Multi!H$897)*LAFs!H$276/(24*Input!$F$60)*1000</f>
        <v>1527.1644339061031</v>
      </c>
      <c r="I17" s="39">
        <f>(Loads!$B$349*Multi!I$897)*LAFs!I$276/(24*Input!$F$60)*1000</f>
        <v>1507.0741038965725</v>
      </c>
      <c r="J17" s="39">
        <f>(Loads!$B$349*Multi!J$897)*LAFs!J$276/(24*Input!$F$60)*1000</f>
        <v>1433.0985353850715</v>
      </c>
      <c r="K17" s="17"/>
    </row>
    <row r="18" spans="1:11">
      <c r="A18" s="4" t="s">
        <v>230</v>
      </c>
      <c r="B18" s="39">
        <f>(Loads!$B$350*Multi!B$898)*LAFs!B$277/(24*Input!$F$60)*1000</f>
        <v>181.26091095426003</v>
      </c>
      <c r="C18" s="39">
        <f>(Loads!$B$350*Multi!C$898)*LAFs!C$277/(24*Input!$F$60)*1000</f>
        <v>144.4247849813749</v>
      </c>
      <c r="D18" s="39">
        <f>(Loads!$B$350*Multi!D$898)*LAFs!D$277/(24*Input!$F$60)*1000</f>
        <v>143.71632205585195</v>
      </c>
      <c r="E18" s="39">
        <f>(Loads!$B$350*Multi!E$898)*LAFs!E$277/(24*Input!$F$60)*1000</f>
        <v>124.38957776887608</v>
      </c>
      <c r="F18" s="39">
        <f>(Loads!$B$350*Multi!F$898)*LAFs!F$277/(24*Input!$F$60)*1000</f>
        <v>123.71832139852066</v>
      </c>
      <c r="G18" s="39">
        <f>(Loads!$B$350*Multi!G$898)*LAFs!G$277/(24*Input!$F$60)*1000</f>
        <v>0</v>
      </c>
      <c r="H18" s="39">
        <f>(Loads!$B$350*Multi!H$898)*LAFs!H$277/(24*Input!$F$60)*1000</f>
        <v>122.24545503845134</v>
      </c>
      <c r="I18" s="39">
        <f>(Loads!$B$350*Multi!I$898)*LAFs!I$277/(24*Input!$F$60)*1000</f>
        <v>120.63727750408721</v>
      </c>
      <c r="J18" s="39">
        <f>(Loads!$B$350*Multi!J$898)*LAFs!J$277/(24*Input!$F$60)*1000</f>
        <v>114.71572980847567</v>
      </c>
      <c r="K18" s="17"/>
    </row>
    <row r="19" spans="1:11">
      <c r="A19" s="4" t="s">
        <v>231</v>
      </c>
      <c r="B19" s="39">
        <f>(Loads!$B$351*Multi!B$899)*LAFs!B$278/(24*Input!$F$60)*1000</f>
        <v>5.6083898945153352E-3</v>
      </c>
      <c r="C19" s="39">
        <f>(Loads!$B$351*Multi!C$899)*LAFs!C$278/(24*Input!$F$60)*1000</f>
        <v>6.8893535561086322E-3</v>
      </c>
      <c r="D19" s="39">
        <f>(Loads!$B$351*Multi!D$899)*LAFs!D$278/(24*Input!$F$60)*1000</f>
        <v>6.8555584455536672E-3</v>
      </c>
      <c r="E19" s="39">
        <f>(Loads!$B$351*Multi!E$899)*LAFs!E$278/(24*Input!$F$60)*1000</f>
        <v>7.6848305657504787E-3</v>
      </c>
      <c r="F19" s="39">
        <f>(Loads!$B$351*Multi!F$899)*LAFs!F$278/(24*Input!$F$60)*1000</f>
        <v>7.643360118106169E-3</v>
      </c>
      <c r="G19" s="39">
        <f>(Loads!$B$351*Multi!G$899)*LAFs!G$278/(24*Input!$F$60)*1000</f>
        <v>0</v>
      </c>
      <c r="H19" s="39">
        <f>(Loads!$B$351*Multi!H$899)*LAFs!H$278/(24*Input!$F$60)*1000</f>
        <v>7.5523659317270056E-3</v>
      </c>
      <c r="I19" s="39">
        <f>(Loads!$B$351*Multi!I$899)*LAFs!I$278/(24*Input!$F$60)*1000</f>
        <v>7.4530121748214422E-3</v>
      </c>
      <c r="J19" s="39">
        <f>(Loads!$B$351*Multi!J$899)*LAFs!J$278/(24*Input!$F$60)*1000</f>
        <v>7.0871769373038896E-3</v>
      </c>
      <c r="K19" s="17"/>
    </row>
    <row r="21" spans="1:11" ht="21" customHeight="1">
      <c r="A21" s="1" t="s">
        <v>830</v>
      </c>
    </row>
    <row r="22" spans="1:11">
      <c r="A22" s="2" t="s">
        <v>379</v>
      </c>
    </row>
    <row r="23" spans="1:11">
      <c r="A23" s="29" t="s">
        <v>600</v>
      </c>
    </row>
    <row r="24" spans="1:11">
      <c r="A24" s="29" t="s">
        <v>827</v>
      </c>
    </row>
    <row r="25" spans="1:11">
      <c r="A25" s="29" t="s">
        <v>831</v>
      </c>
    </row>
    <row r="26" spans="1:11">
      <c r="A26" s="29" t="s">
        <v>832</v>
      </c>
    </row>
    <row r="27" spans="1:11">
      <c r="A27" s="29" t="s">
        <v>833</v>
      </c>
    </row>
    <row r="28" spans="1:11">
      <c r="A28" s="29" t="s">
        <v>611</v>
      </c>
    </row>
    <row r="29" spans="1:11">
      <c r="A29" s="2" t="s">
        <v>834</v>
      </c>
    </row>
    <row r="31" spans="1:11">
      <c r="B31" s="15" t="s">
        <v>148</v>
      </c>
      <c r="C31" s="15" t="s">
        <v>149</v>
      </c>
      <c r="D31" s="15" t="s">
        <v>150</v>
      </c>
      <c r="E31" s="15" t="s">
        <v>151</v>
      </c>
      <c r="F31" s="15" t="s">
        <v>152</v>
      </c>
      <c r="G31" s="15" t="s">
        <v>157</v>
      </c>
      <c r="H31" s="15" t="s">
        <v>153</v>
      </c>
      <c r="I31" s="15" t="s">
        <v>154</v>
      </c>
      <c r="J31" s="15" t="s">
        <v>155</v>
      </c>
    </row>
    <row r="32" spans="1:11">
      <c r="A32" s="4" t="s">
        <v>181</v>
      </c>
      <c r="B32" s="39">
        <f>(Loads!$B$335*Multi!B$883+Loads!$C$335*Multi!B$915)*LAFs!B$262/(24*Input!$F$60)*1000</f>
        <v>147952.44415790547</v>
      </c>
      <c r="C32" s="39">
        <f>(Loads!$B$335*Multi!C$883+Loads!$C$335*Multi!C$915)*LAFs!C$262/(24*Input!$F$60)*1000</f>
        <v>147749.94904116311</v>
      </c>
      <c r="D32" s="39">
        <f>(Loads!$B$335*Multi!D$883+Loads!$C$335*Multi!D$915)*LAFs!D$262/(24*Input!$F$60)*1000</f>
        <v>147025.17481936273</v>
      </c>
      <c r="E32" s="39">
        <f>(Loads!$B$335*Multi!E$883+Loads!$C$335*Multi!E$915)*LAFs!E$262/(24*Input!$F$60)*1000</f>
        <v>143268.92623879196</v>
      </c>
      <c r="F32" s="39">
        <f>(Loads!$B$335*Multi!F$883+Loads!$C$335*Multi!F$915)*LAFs!F$262/(24*Input!$F$60)*1000</f>
        <v>142495.78928361664</v>
      </c>
      <c r="G32" s="39">
        <f>(Loads!$B$335*Multi!G$883+Loads!$C$335*Multi!G$915)*LAFs!G$262/(24*Input!$F$60)*1000</f>
        <v>0</v>
      </c>
      <c r="H32" s="39">
        <f>(Loads!$B$335*Multi!H$883+Loads!$C$335*Multi!H$915)*LAFs!H$262/(24*Input!$F$60)*1000</f>
        <v>140799.37720725723</v>
      </c>
      <c r="I32" s="39">
        <f>(Loads!$B$335*Multi!I$883+Loads!$C$335*Multi!I$915)*LAFs!I$262/(24*Input!$F$60)*1000</f>
        <v>138947.1169722575</v>
      </c>
      <c r="J32" s="39">
        <f>(Loads!$B$335*Multi!J$883+Loads!$C$335*Multi!J$915)*LAFs!J$262/(24*Input!$F$60)*1000</f>
        <v>132126.82064808806</v>
      </c>
      <c r="K32" s="17"/>
    </row>
    <row r="33" spans="1:11">
      <c r="A33" s="4" t="s">
        <v>183</v>
      </c>
      <c r="B33" s="39">
        <f>(Loads!$B$338*Multi!B$886+Loads!$C$338*Multi!B$916)*LAFs!B$265/(24*Input!$F$60)*1000</f>
        <v>123874.63569995068</v>
      </c>
      <c r="C33" s="39">
        <f>(Loads!$B$338*Multi!C$886+Loads!$C$338*Multi!C$916)*LAFs!C$265/(24*Input!$F$60)*1000</f>
        <v>124164.90304588375</v>
      </c>
      <c r="D33" s="39">
        <f>(Loads!$B$338*Multi!D$886+Loads!$C$338*Multi!D$916)*LAFs!D$265/(24*Input!$F$60)*1000</f>
        <v>123555.82316758929</v>
      </c>
      <c r="E33" s="39">
        <f>(Loads!$B$338*Multi!E$886+Loads!$C$338*Multi!E$916)*LAFs!E$265/(24*Input!$F$60)*1000</f>
        <v>124453.8377069972</v>
      </c>
      <c r="F33" s="39">
        <f>(Loads!$B$338*Multi!F$886+Loads!$C$338*Multi!F$916)*LAFs!F$265/(24*Input!$F$60)*1000</f>
        <v>123782.23456407775</v>
      </c>
      <c r="G33" s="39">
        <f>(Loads!$B$338*Multi!G$886+Loads!$C$338*Multi!G$916)*LAFs!G$265/(24*Input!$F$60)*1000</f>
        <v>0</v>
      </c>
      <c r="H33" s="39">
        <f>(Loads!$B$338*Multi!H$886+Loads!$C$338*Multi!H$916)*LAFs!H$265/(24*Input!$F$60)*1000</f>
        <v>122308.60731790483</v>
      </c>
      <c r="I33" s="39">
        <f>(Loads!$B$338*Multi!I$886+Loads!$C$338*Multi!I$916)*LAFs!I$265/(24*Input!$F$60)*1000</f>
        <v>120699.59899537743</v>
      </c>
      <c r="J33" s="39">
        <f>(Loads!$B$338*Multi!J$886+Loads!$C$338*Multi!J$916)*LAFs!J$265/(24*Input!$F$60)*1000</f>
        <v>114774.99221479008</v>
      </c>
      <c r="K33" s="17"/>
    </row>
    <row r="34" spans="1:11">
      <c r="A34" s="4" t="s">
        <v>184</v>
      </c>
      <c r="B34" s="39">
        <f>(Loads!$B$340*Multi!B$888+Loads!$C$340*Multi!B$917)*LAFs!B$267/(24*Input!$F$60)*1000</f>
        <v>14.538888681930731</v>
      </c>
      <c r="C34" s="39">
        <f>(Loads!$B$340*Multi!C$888+Loads!$C$340*Multi!C$917)*LAFs!C$267/(24*Input!$F$60)*1000</f>
        <v>14.232032848967197</v>
      </c>
      <c r="D34" s="39">
        <f>(Loads!$B$340*Multi!D$888+Loads!$C$340*Multi!D$917)*LAFs!D$267/(24*Input!$F$60)*1000</f>
        <v>14.162218878812295</v>
      </c>
      <c r="E34" s="39">
        <f>(Loads!$B$340*Multi!E$888+Loads!$C$340*Multi!E$917)*LAFs!E$267/(24*Input!$F$60)*1000</f>
        <v>14.202671991716796</v>
      </c>
      <c r="F34" s="39">
        <f>(Loads!$B$340*Multi!F$888+Loads!$C$340*Multi!F$917)*LAFs!F$267/(24*Input!$F$60)*1000</f>
        <v>14.126028640870937</v>
      </c>
      <c r="G34" s="39">
        <f>(Loads!$B$340*Multi!G$888+Loads!$C$340*Multi!G$917)*LAFs!G$267/(24*Input!$F$60)*1000</f>
        <v>0</v>
      </c>
      <c r="H34" s="39">
        <f>(Loads!$B$340*Multi!H$888+Loads!$C$340*Multi!H$917)*LAFs!H$267/(24*Input!$F$60)*1000</f>
        <v>13.957858299151741</v>
      </c>
      <c r="I34" s="39">
        <f>(Loads!$B$340*Multi!I$888+Loads!$C$340*Multi!I$917)*LAFs!I$267/(24*Input!$F$60)*1000</f>
        <v>13.774238268963515</v>
      </c>
      <c r="J34" s="39">
        <f>(Loads!$B$340*Multi!J$888+Loads!$C$340*Multi!J$917)*LAFs!J$267/(24*Input!$F$60)*1000</f>
        <v>13.098122141611242</v>
      </c>
      <c r="K34" s="17"/>
    </row>
    <row r="35" spans="1:11">
      <c r="A35" s="4" t="s">
        <v>185</v>
      </c>
      <c r="B35" s="39">
        <f>(Loads!$B$341*Multi!B$889+Loads!$C$341*Multi!B$918)*LAFs!B$268/(24*Input!$F$60)*1000</f>
        <v>7.4525671338120769E-2</v>
      </c>
      <c r="C35" s="39">
        <f>(Loads!$B$341*Multi!C$889+Loads!$C$341*Multi!C$918)*LAFs!C$268/(24*Input!$F$60)*1000</f>
        <v>8.2483446008526931E-2</v>
      </c>
      <c r="D35" s="39">
        <f>(Loads!$B$341*Multi!D$889+Loads!$C$341*Multi!D$918)*LAFs!D$268/(24*Input!$F$60)*1000</f>
        <v>8.2078830807099101E-2</v>
      </c>
      <c r="E35" s="39">
        <f>(Loads!$B$341*Multi!E$889+Loads!$C$341*Multi!E$918)*LAFs!E$268/(24*Input!$F$60)*1000</f>
        <v>8.261714404749966E-2</v>
      </c>
      <c r="F35" s="39">
        <f>(Loads!$B$341*Multi!F$889+Loads!$C$341*Multi!F$918)*LAFs!F$268/(24*Input!$F$60)*1000</f>
        <v>8.2171308590565331E-2</v>
      </c>
      <c r="G35" s="39">
        <f>(Loads!$B$341*Multi!G$889+Loads!$C$341*Multi!G$918)*LAFs!G$268/(24*Input!$F$60)*1000</f>
        <v>0</v>
      </c>
      <c r="H35" s="39">
        <f>(Loads!$B$341*Multi!H$889+Loads!$C$341*Multi!H$918)*LAFs!H$268/(24*Input!$F$60)*1000</f>
        <v>8.119305933194447E-2</v>
      </c>
      <c r="I35" s="39">
        <f>(Loads!$B$341*Multi!I$889+Loads!$C$341*Multi!I$918)*LAFs!I$268/(24*Input!$F$60)*1000</f>
        <v>8.01249390167732E-2</v>
      </c>
      <c r="J35" s="39">
        <f>(Loads!$B$341*Multi!J$889+Loads!$C$341*Multi!J$918)*LAFs!J$268/(24*Input!$F$60)*1000</f>
        <v>0</v>
      </c>
      <c r="K35" s="17"/>
    </row>
    <row r="36" spans="1:11">
      <c r="A36" s="4" t="s">
        <v>205</v>
      </c>
      <c r="B36" s="39">
        <f>(Loads!$B$342*Multi!B$890+Loads!$C$342*Multi!B$919)*LAFs!B$269/(24*Input!$F$60)*1000</f>
        <v>0.29958294366198318</v>
      </c>
      <c r="C36" s="39">
        <f>(Loads!$B$342*Multi!C$890+Loads!$C$342*Multi!C$919)*LAFs!C$269/(24*Input!$F$60)*1000</f>
        <v>0.34079628645986243</v>
      </c>
      <c r="D36" s="39">
        <f>(Loads!$B$342*Multi!D$890+Loads!$C$342*Multi!D$919)*LAFs!D$269/(24*Input!$F$60)*1000</f>
        <v>0.33912454061551967</v>
      </c>
      <c r="E36" s="39">
        <f>(Loads!$B$342*Multi!E$890+Loads!$C$342*Multi!E$919)*LAFs!E$269/(24*Input!$F$60)*1000</f>
        <v>0.34222268054853194</v>
      </c>
      <c r="F36" s="39">
        <f>(Loads!$B$342*Multi!F$890+Loads!$C$342*Multi!F$919)*LAFs!F$269/(24*Input!$F$60)*1000</f>
        <v>0.34037590882923935</v>
      </c>
      <c r="G36" s="39">
        <f>(Loads!$B$342*Multi!G$890+Loads!$C$342*Multi!G$919)*LAFs!G$269/(24*Input!$F$60)*1000</f>
        <v>0</v>
      </c>
      <c r="H36" s="39">
        <f>(Loads!$B$342*Multi!H$890+Loads!$C$342*Multi!H$919)*LAFs!H$269/(24*Input!$F$60)*1000</f>
        <v>0.33632373433943419</v>
      </c>
      <c r="I36" s="39">
        <f>(Loads!$B$342*Multi!I$890+Loads!$C$342*Multi!I$919)*LAFs!I$269/(24*Input!$F$60)*1000</f>
        <v>0</v>
      </c>
      <c r="J36" s="39">
        <f>(Loads!$B$342*Multi!J$890+Loads!$C$342*Multi!J$919)*LAFs!J$269/(24*Input!$F$60)*1000</f>
        <v>0</v>
      </c>
      <c r="K36" s="17"/>
    </row>
    <row r="38" spans="1:11" ht="21" customHeight="1">
      <c r="A38" s="1" t="s">
        <v>835</v>
      </c>
    </row>
    <row r="39" spans="1:11">
      <c r="A39" s="2" t="s">
        <v>379</v>
      </c>
    </row>
    <row r="40" spans="1:11">
      <c r="A40" s="29" t="s">
        <v>600</v>
      </c>
    </row>
    <row r="41" spans="1:11">
      <c r="A41" s="29" t="s">
        <v>827</v>
      </c>
    </row>
    <row r="42" spans="1:11">
      <c r="A42" s="29" t="s">
        <v>831</v>
      </c>
    </row>
    <row r="43" spans="1:11">
      <c r="A43" s="29" t="s">
        <v>832</v>
      </c>
    </row>
    <row r="44" spans="1:11">
      <c r="A44" s="29" t="s">
        <v>836</v>
      </c>
    </row>
    <row r="45" spans="1:11">
      <c r="A45" s="29" t="s">
        <v>837</v>
      </c>
    </row>
    <row r="46" spans="1:11">
      <c r="A46" s="29" t="s">
        <v>838</v>
      </c>
    </row>
    <row r="47" spans="1:11">
      <c r="A47" s="29" t="s">
        <v>621</v>
      </c>
    </row>
    <row r="48" spans="1:11">
      <c r="A48" s="2" t="s">
        <v>839</v>
      </c>
    </row>
    <row r="50" spans="1:11">
      <c r="B50" s="15" t="s">
        <v>148</v>
      </c>
      <c r="C50" s="15" t="s">
        <v>149</v>
      </c>
      <c r="D50" s="15" t="s">
        <v>150</v>
      </c>
      <c r="E50" s="15" t="s">
        <v>151</v>
      </c>
      <c r="F50" s="15" t="s">
        <v>152</v>
      </c>
      <c r="G50" s="15" t="s">
        <v>157</v>
      </c>
      <c r="H50" s="15" t="s">
        <v>153</v>
      </c>
      <c r="I50" s="15" t="s">
        <v>154</v>
      </c>
      <c r="J50" s="15" t="s">
        <v>155</v>
      </c>
    </row>
    <row r="51" spans="1:11">
      <c r="A51" s="4" t="s">
        <v>186</v>
      </c>
      <c r="B51" s="39">
        <f>(Loads!$B$343*Multi!B$891+Loads!$C$343*Multi!B$920+Loads!$D$343*Multi!B$940)*LAFs!B$270/(24*Input!$F$60)*1000</f>
        <v>139.72472885180684</v>
      </c>
      <c r="C51" s="39">
        <f>(Loads!$B$343*Multi!C$891+Loads!$C$343*Multi!C$920+Loads!$D$343*Multi!C$940)*LAFs!C$270/(24*Input!$F$60)*1000</f>
        <v>135.22461034588744</v>
      </c>
      <c r="D51" s="39">
        <f>(Loads!$B$343*Multi!D$891+Loads!$C$343*Multi!D$920+Loads!$D$343*Multi!D$940)*LAFs!D$270/(24*Input!$F$60)*1000</f>
        <v>134.56127805800693</v>
      </c>
      <c r="E51" s="39">
        <f>(Loads!$B$343*Multi!E$891+Loads!$C$343*Multi!E$920+Loads!$D$343*Multi!E$940)*LAFs!E$270/(24*Input!$F$60)*1000</f>
        <v>132.6419255825646</v>
      </c>
      <c r="F51" s="39">
        <f>(Loads!$B$343*Multi!F$891+Loads!$C$343*Multi!F$920+Loads!$D$343*Multi!F$940)*LAFs!F$270/(24*Input!$F$60)*1000</f>
        <v>131.92613621242188</v>
      </c>
      <c r="G51" s="39">
        <f>(Loads!$B$343*Multi!G$891+Loads!$C$343*Multi!G$920+Loads!$D$343*Multi!G$940)*LAFs!G$270/(24*Input!$F$60)*1000</f>
        <v>0</v>
      </c>
      <c r="H51" s="39">
        <f>(Loads!$B$343*Multi!H$891+Loads!$C$343*Multi!H$920+Loads!$D$343*Multi!H$940)*LAFs!H$270/(24*Input!$F$60)*1000</f>
        <v>130.35555583398875</v>
      </c>
      <c r="I51" s="39">
        <f>(Loads!$B$343*Multi!I$891+Loads!$C$343*Multi!I$920+Loads!$D$343*Multi!I$940)*LAFs!I$270/(24*Input!$F$60)*1000</f>
        <v>128.64068736459797</v>
      </c>
      <c r="J51" s="39">
        <f>(Loads!$B$343*Multi!J$891+Loads!$C$343*Multi!J$920+Loads!$D$343*Multi!J$940)*LAFs!J$270/(24*Input!$F$60)*1000</f>
        <v>122.32628785570728</v>
      </c>
      <c r="K51" s="17"/>
    </row>
    <row r="52" spans="1:11">
      <c r="A52" s="4" t="s">
        <v>187</v>
      </c>
      <c r="B52" s="39">
        <f>(Loads!$B$344*Multi!B$892+Loads!$C$344*Multi!B$921+Loads!$D$344*Multi!B$941)*LAFs!B$271/(24*Input!$F$60)*1000</f>
        <v>42458.790371687603</v>
      </c>
      <c r="C52" s="39">
        <f>(Loads!$B$344*Multi!C$892+Loads!$C$344*Multi!C$921+Loads!$D$344*Multi!C$941)*LAFs!C$271/(24*Input!$F$60)*1000</f>
        <v>41921.33697430553</v>
      </c>
      <c r="D52" s="39">
        <f>(Loads!$B$344*Multi!D$892+Loads!$C$344*Multi!D$921+Loads!$D$344*Multi!D$941)*LAFs!D$271/(24*Input!$F$60)*1000</f>
        <v>41715.695587763184</v>
      </c>
      <c r="E52" s="39">
        <f>(Loads!$B$344*Multi!E$892+Loads!$C$344*Multi!E$921+Loads!$D$344*Multi!E$941)*LAFs!E$271/(24*Input!$F$60)*1000</f>
        <v>41898.896154781323</v>
      </c>
      <c r="F52" s="39">
        <f>(Loads!$B$344*Multi!F$892+Loads!$C$344*Multi!F$921+Loads!$D$344*Multi!F$941)*LAFs!F$271/(24*Input!$F$60)*1000</f>
        <v>41672.792799024188</v>
      </c>
      <c r="G52" s="39">
        <f>(Loads!$B$344*Multi!G$892+Loads!$C$344*Multi!G$921+Loads!$D$344*Multi!G$941)*LAFs!G$271/(24*Input!$F$60)*1000</f>
        <v>0</v>
      </c>
      <c r="H52" s="39">
        <f>(Loads!$B$344*Multi!H$892+Loads!$C$344*Multi!H$921+Loads!$D$344*Multi!H$941)*LAFs!H$271/(24*Input!$F$60)*1000</f>
        <v>41176.678287042494</v>
      </c>
      <c r="I52" s="39">
        <f>(Loads!$B$344*Multi!I$892+Loads!$C$344*Multi!I$921+Loads!$D$344*Multi!I$941)*LAFs!I$271/(24*Input!$F$60)*1000</f>
        <v>40634.986091286562</v>
      </c>
      <c r="J52" s="39">
        <f>(Loads!$B$344*Multi!J$892+Loads!$C$344*Multi!J$921+Loads!$D$344*Multi!J$941)*LAFs!J$271/(24*Input!$F$60)*1000</f>
        <v>38640.395254785704</v>
      </c>
      <c r="K52" s="17"/>
    </row>
    <row r="53" spans="1:11">
      <c r="A53" s="4" t="s">
        <v>188</v>
      </c>
      <c r="B53" s="39">
        <f>(Loads!$B$345*Multi!B$893+Loads!$C$345*Multi!B$922+Loads!$D$345*Multi!B$942)*LAFs!B$272/(24*Input!$F$60)*1000</f>
        <v>450748.00924043811</v>
      </c>
      <c r="C53" s="39">
        <f>(Loads!$B$345*Multi!C$893+Loads!$C$345*Multi!C$922+Loads!$D$345*Multi!C$942)*LAFs!C$272/(24*Input!$F$60)*1000</f>
        <v>443046.33542682015</v>
      </c>
      <c r="D53" s="39">
        <f>(Loads!$B$345*Multi!D$893+Loads!$C$345*Multi!D$922+Loads!$D$345*Multi!D$942)*LAFs!D$272/(24*Input!$F$60)*1000</f>
        <v>440873.01106992958</v>
      </c>
      <c r="E53" s="39">
        <f>(Loads!$B$345*Multi!E$893+Loads!$C$345*Multi!E$922+Loads!$D$345*Multi!E$942)*LAFs!E$272/(24*Input!$F$60)*1000</f>
        <v>442501.88669000566</v>
      </c>
      <c r="F53" s="39">
        <f>(Loads!$B$345*Multi!F$893+Loads!$C$345*Multi!F$922+Loads!$D$345*Multi!F$942)*LAFs!F$272/(24*Input!$F$60)*1000</f>
        <v>440113.96789758996</v>
      </c>
      <c r="G53" s="39">
        <f>(Loads!$B$345*Multi!G$893+Loads!$C$345*Multi!G$922+Loads!$D$345*Multi!G$942)*LAFs!G$272/(24*Input!$F$60)*1000</f>
        <v>0</v>
      </c>
      <c r="H53" s="39">
        <f>(Loads!$B$345*Multi!H$893+Loads!$C$345*Multi!H$922+Loads!$D$345*Multi!H$942)*LAFs!H$272/(24*Input!$F$60)*1000</f>
        <v>434874.41202110087</v>
      </c>
      <c r="I53" s="39">
        <f>(Loads!$B$345*Multi!I$893+Loads!$C$345*Multi!I$922+Loads!$D$345*Multi!I$942)*LAFs!I$272/(24*Input!$F$60)*1000</f>
        <v>429153.50191068271</v>
      </c>
      <c r="J53" s="39">
        <f>(Loads!$B$345*Multi!J$893+Loads!$C$345*Multi!J$922+Loads!$D$345*Multi!J$942)*LAFs!J$272/(24*Input!$F$60)*1000</f>
        <v>408088.26417588117</v>
      </c>
      <c r="K53" s="17"/>
    </row>
    <row r="54" spans="1:11">
      <c r="A54" s="4" t="s">
        <v>189</v>
      </c>
      <c r="B54" s="39">
        <f>(Loads!$B$346*Multi!B$894+Loads!$C$346*Multi!B$923+Loads!$D$346*Multi!B$943)*LAFs!B$273/(24*Input!$F$60)*1000</f>
        <v>201506.26546620313</v>
      </c>
      <c r="C54" s="39">
        <f>(Loads!$B$346*Multi!C$894+Loads!$C$346*Multi!C$923+Loads!$D$346*Multi!C$943)*LAFs!C$273/(24*Input!$F$60)*1000</f>
        <v>199432.20120720429</v>
      </c>
      <c r="D54" s="39">
        <f>(Loads!$B$346*Multi!D$894+Loads!$C$346*Multi!D$923+Loads!$D$346*Multi!D$943)*LAFs!D$273/(24*Input!$F$60)*1000</f>
        <v>198453.90429833959</v>
      </c>
      <c r="E54" s="39">
        <f>(Loads!$B$346*Multi!E$894+Loads!$C$346*Multi!E$923+Loads!$D$346*Multi!E$943)*LAFs!E$273/(24*Input!$F$60)*1000</f>
        <v>199749.54805765094</v>
      </c>
      <c r="F54" s="39">
        <f>(Loads!$B$346*Multi!F$894+Loads!$C$346*Multi!F$923+Loads!$D$346*Multi!F$943)*LAFs!F$273/(24*Input!$F$60)*1000</f>
        <v>198671.61886925503</v>
      </c>
      <c r="G54" s="39">
        <f>(Loads!$B$346*Multi!G$894+Loads!$C$346*Multi!G$923+Loads!$D$346*Multi!G$943)*LAFs!G$273/(24*Input!$F$60)*1000</f>
        <v>0</v>
      </c>
      <c r="H54" s="39">
        <f>(Loads!$B$346*Multi!H$894+Loads!$C$346*Multi!H$923+Loads!$D$346*Multi!H$943)*LAFs!H$273/(24*Input!$F$60)*1000</f>
        <v>196306.43365800031</v>
      </c>
      <c r="I54" s="39">
        <f>(Loads!$B$346*Multi!I$894+Loads!$C$346*Multi!I$923+Loads!$D$346*Multi!I$943)*LAFs!I$273/(24*Input!$F$60)*1000</f>
        <v>193723.96058069338</v>
      </c>
      <c r="J54" s="39">
        <f>(Loads!$B$346*Multi!J$894+Loads!$C$346*Multi!J$923+Loads!$D$346*Multi!J$943)*LAFs!J$273/(24*Input!$F$60)*1000</f>
        <v>0</v>
      </c>
      <c r="K54" s="17"/>
    </row>
    <row r="55" spans="1:11">
      <c r="A55" s="4" t="s">
        <v>206</v>
      </c>
      <c r="B55" s="39">
        <f>(Loads!$B$347*Multi!B$895+Loads!$C$347*Multi!B$924+Loads!$D$347*Multi!B$944)*LAFs!B$274/(24*Input!$F$60)*1000</f>
        <v>648456.67123612808</v>
      </c>
      <c r="C55" s="39">
        <f>(Loads!$B$347*Multi!C$895+Loads!$C$347*Multi!C$924+Loads!$D$347*Multi!C$944)*LAFs!C$274/(24*Input!$F$60)*1000</f>
        <v>639326.06628471648</v>
      </c>
      <c r="D55" s="39">
        <f>(Loads!$B$347*Multi!D$895+Loads!$C$347*Multi!D$924+Loads!$D$347*Multi!D$944)*LAFs!D$274/(24*Input!$F$60)*1000</f>
        <v>636189.90918161569</v>
      </c>
      <c r="E55" s="39">
        <f>(Loads!$B$347*Multi!E$895+Loads!$C$347*Multi!E$924+Loads!$D$347*Multi!E$944)*LAFs!E$274/(24*Input!$F$60)*1000</f>
        <v>635720.30603732506</v>
      </c>
      <c r="F55" s="39">
        <f>(Loads!$B$347*Multi!F$895+Loads!$C$347*Multi!F$924+Loads!$D$347*Multi!F$944)*LAFs!F$274/(24*Input!$F$60)*1000</f>
        <v>632289.70266326482</v>
      </c>
      <c r="G55" s="39">
        <f>(Loads!$B$347*Multi!G$895+Loads!$C$347*Multi!G$924+Loads!$D$347*Multi!G$944)*LAFs!G$274/(24*Input!$F$60)*1000</f>
        <v>0</v>
      </c>
      <c r="H55" s="39">
        <f>(Loads!$B$347*Multi!H$895+Loads!$C$347*Multi!H$924+Loads!$D$347*Multi!H$944)*LAFs!H$274/(24*Input!$F$60)*1000</f>
        <v>624762.29506232322</v>
      </c>
      <c r="I55" s="39">
        <f>(Loads!$B$347*Multi!I$895+Loads!$C$347*Multi!I$924+Loads!$D$347*Multi!I$944)*LAFs!I$274/(24*Input!$F$60)*1000</f>
        <v>0</v>
      </c>
      <c r="J55" s="39">
        <f>(Loads!$B$347*Multi!J$895+Loads!$C$347*Multi!J$924+Loads!$D$347*Multi!J$944)*LAFs!J$274/(24*Input!$F$60)*1000</f>
        <v>0</v>
      </c>
      <c r="K55" s="17"/>
    </row>
    <row r="56" spans="1:11">
      <c r="A56" s="4" t="s">
        <v>232</v>
      </c>
      <c r="B56" s="39">
        <f>(Loads!$B$352*Multi!B$900+Loads!$C$352*Multi!B$925+Loads!$D$352*Multi!B$945)*LAFs!B$279/(24*Input!$F$60)*1000</f>
        <v>49902.456020908103</v>
      </c>
      <c r="C56" s="39">
        <f>(Loads!$B$352*Multi!C$900+Loads!$C$352*Multi!C$925+Loads!$D$352*Multi!C$945)*LAFs!C$279/(24*Input!$F$60)*1000</f>
        <v>42137.669974192511</v>
      </c>
      <c r="D56" s="39">
        <f>(Loads!$B$352*Multi!D$900+Loads!$C$352*Multi!D$925+Loads!$D$352*Multi!D$945)*LAFs!D$279/(24*Input!$F$60)*1000</f>
        <v>41930.967385377953</v>
      </c>
      <c r="E56" s="39">
        <f>(Loads!$B$352*Multi!E$900+Loads!$C$352*Multi!E$925+Loads!$D$352*Multi!E$945)*LAFs!E$279/(24*Input!$F$60)*1000</f>
        <v>37213.890309811679</v>
      </c>
      <c r="F56" s="39">
        <f>(Loads!$B$352*Multi!F$900+Loads!$C$352*Multi!F$925+Loads!$D$352*Multi!F$945)*LAFs!F$279/(24*Input!$F$60)*1000</f>
        <v>37013.069136653728</v>
      </c>
      <c r="G56" s="39">
        <f>(Loads!$B$352*Multi!G$900+Loads!$C$352*Multi!G$925+Loads!$D$352*Multi!G$945)*LAFs!G$279/(24*Input!$F$60)*1000</f>
        <v>0</v>
      </c>
      <c r="H56" s="39">
        <f>(Loads!$B$352*Multi!H$900+Loads!$C$352*Multi!H$925+Loads!$D$352*Multi!H$945)*LAFs!H$279/(24*Input!$F$60)*1000</f>
        <v>36572.428625223794</v>
      </c>
      <c r="I56" s="39">
        <f>(Loads!$B$352*Multi!I$900+Loads!$C$352*Multi!I$925+Loads!$D$352*Multi!I$945)*LAFs!I$279/(24*Input!$F$60)*1000</f>
        <v>36091.306786594119</v>
      </c>
      <c r="J56" s="39">
        <f>(Loads!$B$352*Multi!J$900+Loads!$C$352*Multi!J$925+Loads!$D$352*Multi!J$945)*LAFs!J$279/(24*Input!$F$60)*1000</f>
        <v>34319.744969588392</v>
      </c>
      <c r="K56" s="17"/>
    </row>
    <row r="57" spans="1:11">
      <c r="A57" s="4" t="s">
        <v>194</v>
      </c>
      <c r="B57" s="39">
        <f>(Loads!$B$357*Multi!B$901+Loads!$C$357*Multi!B$926+Loads!$D$357*Multi!B$946)*LAFs!B$284/(24*Input!$F$60)*1000</f>
        <v>-712.95475797712493</v>
      </c>
      <c r="C57" s="39">
        <f>(Loads!$B$357*Multi!C$901+Loads!$C$357*Multi!C$926+Loads!$D$357*Multi!C$946)*LAFs!C$284/(24*Input!$F$60)*1000</f>
        <v>-714.81773715462555</v>
      </c>
      <c r="D57" s="39">
        <f>(Loads!$B$357*Multi!D$901+Loads!$C$357*Multi!D$926+Loads!$D$357*Multi!D$946)*LAFs!D$284/(24*Input!$F$60)*1000</f>
        <v>-711.31126238060699</v>
      </c>
      <c r="E57" s="39">
        <f>(Loads!$B$357*Multi!E$901+Loads!$C$357*Multi!E$926+Loads!$D$357*Multi!E$946)*LAFs!E$284/(24*Input!$F$60)*1000</f>
        <v>-710.78601347897541</v>
      </c>
      <c r="F57" s="39">
        <f>(Loads!$B$357*Multi!F$901+Loads!$C$357*Multi!F$926+Loads!$D$357*Multi!F$946)*LAFs!F$284/(24*Input!$F$60)*1000</f>
        <v>-706.95032524797421</v>
      </c>
      <c r="G57" s="39">
        <f>(Loads!$B$357*Multi!G$901+Loads!$C$357*Multi!G$926+Loads!$D$357*Multi!G$946)*LAFs!G$284/(24*Input!$F$60)*1000</f>
        <v>0</v>
      </c>
      <c r="H57" s="39">
        <f>(Loads!$B$357*Multi!H$901+Loads!$C$357*Multi!H$926+Loads!$D$357*Multi!H$946)*LAFs!H$284/(24*Input!$F$60)*1000</f>
        <v>-698.53408308975929</v>
      </c>
      <c r="I57" s="39">
        <f>(Loads!$B$357*Multi!I$901+Loads!$C$357*Multi!I$926+Loads!$D$357*Multi!I$946)*LAFs!I$284/(24*Input!$F$60)*1000</f>
        <v>-689.34464681125519</v>
      </c>
      <c r="J57" s="39">
        <f>(Loads!$B$357*Multi!J$901+Loads!$C$357*Multi!J$926+Loads!$D$357*Multi!J$946)*LAFs!J$284/(24*Input!$F$60)*1000</f>
        <v>0</v>
      </c>
      <c r="K57" s="17"/>
    </row>
    <row r="58" spans="1:11">
      <c r="A58" s="4" t="s">
        <v>195</v>
      </c>
      <c r="B58" s="39">
        <f>(Loads!$B$358*Multi!B$902+Loads!$C$358*Multi!B$927+Loads!$D$358*Multi!B$947)*LAFs!B$285/(24*Input!$F$60)*1000</f>
        <v>0</v>
      </c>
      <c r="C58" s="39">
        <f>(Loads!$B$358*Multi!C$902+Loads!$C$358*Multi!C$927+Loads!$D$358*Multi!C$947)*LAFs!C$285/(24*Input!$F$60)*1000</f>
        <v>0</v>
      </c>
      <c r="D58" s="39">
        <f>(Loads!$B$358*Multi!D$902+Loads!$C$358*Multi!D$927+Loads!$D$358*Multi!D$947)*LAFs!D$285/(24*Input!$F$60)*1000</f>
        <v>0</v>
      </c>
      <c r="E58" s="39">
        <f>(Loads!$B$358*Multi!E$902+Loads!$C$358*Multi!E$927+Loads!$D$358*Multi!E$947)*LAFs!E$285/(24*Input!$F$60)*1000</f>
        <v>0</v>
      </c>
      <c r="F58" s="39">
        <f>(Loads!$B$358*Multi!F$902+Loads!$C$358*Multi!F$927+Loads!$D$358*Multi!F$947)*LAFs!F$285/(24*Input!$F$60)*1000</f>
        <v>0</v>
      </c>
      <c r="G58" s="39">
        <f>(Loads!$B$358*Multi!G$902+Loads!$C$358*Multi!G$927+Loads!$D$358*Multi!G$947)*LAFs!G$285/(24*Input!$F$60)*1000</f>
        <v>0</v>
      </c>
      <c r="H58" s="39">
        <f>(Loads!$B$358*Multi!H$902+Loads!$C$358*Multi!H$927+Loads!$D$358*Multi!H$947)*LAFs!H$285/(24*Input!$F$60)*1000</f>
        <v>0</v>
      </c>
      <c r="I58" s="39">
        <f>(Loads!$B$358*Multi!I$902+Loads!$C$358*Multi!I$927+Loads!$D$358*Multi!I$947)*LAFs!I$285/(24*Input!$F$60)*1000</f>
        <v>0</v>
      </c>
      <c r="J58" s="39">
        <f>(Loads!$B$358*Multi!J$902+Loads!$C$358*Multi!J$927+Loads!$D$358*Multi!J$947)*LAFs!J$285/(24*Input!$F$60)*1000</f>
        <v>0</v>
      </c>
      <c r="K58" s="17"/>
    </row>
    <row r="59" spans="1:11">
      <c r="A59" s="4" t="s">
        <v>198</v>
      </c>
      <c r="B59" s="39">
        <f>(Loads!$B$361*Multi!B$903+Loads!$C$361*Multi!B$928+Loads!$D$361*Multi!B$948)*LAFs!B$288/(24*Input!$F$60)*1000</f>
        <v>-208.63117628674263</v>
      </c>
      <c r="C59" s="39">
        <f>(Loads!$B$361*Multi!C$903+Loads!$C$361*Multi!C$928+Loads!$D$361*Multi!C$948)*LAFs!C$288/(24*Input!$F$60)*1000</f>
        <v>-200.79894167085209</v>
      </c>
      <c r="D59" s="39">
        <f>(Loads!$B$361*Multi!D$903+Loads!$C$361*Multi!D$928+Loads!$D$361*Multi!D$948)*LAFs!D$288/(24*Input!$F$60)*1000</f>
        <v>-199.81394033831498</v>
      </c>
      <c r="E59" s="39">
        <f>(Loads!$B$361*Multi!E$903+Loads!$C$361*Multi!E$928+Loads!$D$361*Multi!E$948)*LAFs!E$288/(24*Input!$F$60)*1000</f>
        <v>-195.0930313358503</v>
      </c>
      <c r="F59" s="39">
        <f>(Loads!$B$361*Multi!F$903+Loads!$C$361*Multi!F$928+Loads!$D$361*Multi!F$948)*LAFs!F$288/(24*Input!$F$60)*1000</f>
        <v>-194.04023059124557</v>
      </c>
      <c r="G59" s="39">
        <f>(Loads!$B$361*Multi!G$903+Loads!$C$361*Multi!G$928+Loads!$D$361*Multi!G$948)*LAFs!G$288/(24*Input!$F$60)*1000</f>
        <v>0</v>
      </c>
      <c r="H59" s="39">
        <f>(Loads!$B$361*Multi!H$903+Loads!$C$361*Multi!H$928+Loads!$D$361*Multi!H$948)*LAFs!H$288/(24*Input!$F$60)*1000</f>
        <v>-191.73018204785046</v>
      </c>
      <c r="I59" s="39">
        <f>(Loads!$B$361*Multi!I$903+Loads!$C$361*Multi!I$928+Loads!$D$361*Multi!I$948)*LAFs!I$288/(24*Input!$F$60)*1000</f>
        <v>0</v>
      </c>
      <c r="J59" s="39">
        <f>(Loads!$B$361*Multi!J$903+Loads!$C$361*Multi!J$928+Loads!$D$361*Multi!J$948)*LAFs!J$288/(24*Input!$F$60)*1000</f>
        <v>0</v>
      </c>
      <c r="K59" s="17"/>
    </row>
    <row r="60" spans="1:11">
      <c r="A60" s="4" t="s">
        <v>199</v>
      </c>
      <c r="B60" s="39">
        <f>(Loads!$B$362*Multi!B$904+Loads!$C$362*Multi!B$929+Loads!$D$362*Multi!B$949)*LAFs!B$289/(24*Input!$F$60)*1000</f>
        <v>0</v>
      </c>
      <c r="C60" s="39">
        <f>(Loads!$B$362*Multi!C$904+Loads!$C$362*Multi!C$929+Loads!$D$362*Multi!C$949)*LAFs!C$289/(24*Input!$F$60)*1000</f>
        <v>0</v>
      </c>
      <c r="D60" s="39">
        <f>(Loads!$B$362*Multi!D$904+Loads!$C$362*Multi!D$929+Loads!$D$362*Multi!D$949)*LAFs!D$289/(24*Input!$F$60)*1000</f>
        <v>0</v>
      </c>
      <c r="E60" s="39">
        <f>(Loads!$B$362*Multi!E$904+Loads!$C$362*Multi!E$929+Loads!$D$362*Multi!E$949)*LAFs!E$289/(24*Input!$F$60)*1000</f>
        <v>0</v>
      </c>
      <c r="F60" s="39">
        <f>(Loads!$B$362*Multi!F$904+Loads!$C$362*Multi!F$929+Loads!$D$362*Multi!F$949)*LAFs!F$289/(24*Input!$F$60)*1000</f>
        <v>0</v>
      </c>
      <c r="G60" s="39">
        <f>(Loads!$B$362*Multi!G$904+Loads!$C$362*Multi!G$929+Loads!$D$362*Multi!G$949)*LAFs!G$289/(24*Input!$F$60)*1000</f>
        <v>0</v>
      </c>
      <c r="H60" s="39">
        <f>(Loads!$B$362*Multi!H$904+Loads!$C$362*Multi!H$929+Loads!$D$362*Multi!H$949)*LAFs!H$289/(24*Input!$F$60)*1000</f>
        <v>0</v>
      </c>
      <c r="I60" s="39">
        <f>(Loads!$B$362*Multi!I$904+Loads!$C$362*Multi!I$929+Loads!$D$362*Multi!I$949)*LAFs!I$289/(24*Input!$F$60)*1000</f>
        <v>0</v>
      </c>
      <c r="J60" s="39">
        <f>(Loads!$B$362*Multi!J$904+Loads!$C$362*Multi!J$929+Loads!$D$362*Multi!J$949)*LAFs!J$289/(24*Input!$F$60)*1000</f>
        <v>0</v>
      </c>
      <c r="K60" s="17"/>
    </row>
    <row r="61" spans="1:11">
      <c r="A61" s="4" t="s">
        <v>209</v>
      </c>
      <c r="B61" s="39">
        <f>(Loads!$B$365*Multi!B$905+Loads!$C$365*Multi!B$930+Loads!$D$365*Multi!B$950)*LAFs!B$292/(24*Input!$F$60)*1000</f>
        <v>-68283.993034939456</v>
      </c>
      <c r="C61" s="39">
        <f>(Loads!$B$365*Multi!C$905+Loads!$C$365*Multi!C$930+Loads!$D$365*Multi!C$950)*LAFs!C$292/(24*Input!$F$60)*1000</f>
        <v>-64710.080357533428</v>
      </c>
      <c r="D61" s="39">
        <f>(Loads!$B$365*Multi!D$905+Loads!$C$365*Multi!D$930+Loads!$D$365*Multi!D$950)*LAFs!D$292/(24*Input!$F$60)*1000</f>
        <v>-64392.650819058887</v>
      </c>
      <c r="E61" s="39">
        <f>(Loads!$B$365*Multi!E$905+Loads!$C$365*Multi!E$930+Loads!$D$365*Multi!E$950)*LAFs!E$292/(24*Input!$F$60)*1000</f>
        <v>-62606.293758746586</v>
      </c>
      <c r="F61" s="39">
        <f>(Loads!$B$365*Multi!F$905+Loads!$C$365*Multi!F$930+Loads!$D$365*Multi!F$950)*LAFs!F$292/(24*Input!$F$60)*1000</f>
        <v>-62268.444927166929</v>
      </c>
      <c r="G61" s="39">
        <f>(Loads!$B$365*Multi!G$905+Loads!$C$365*Multi!G$930+Loads!$D$365*Multi!G$950)*LAFs!G$292/(24*Input!$F$60)*1000</f>
        <v>0</v>
      </c>
      <c r="H61" s="39">
        <f>(Loads!$B$365*Multi!H$905+Loads!$C$365*Multi!H$930+Loads!$D$365*Multi!H$950)*LAFs!H$292/(24*Input!$F$60)*1000</f>
        <v>0</v>
      </c>
      <c r="I61" s="39">
        <f>(Loads!$B$365*Multi!I$905+Loads!$C$365*Multi!I$930+Loads!$D$365*Multi!I$950)*LAFs!I$292/(24*Input!$F$60)*1000</f>
        <v>0</v>
      </c>
      <c r="J61" s="39">
        <f>(Loads!$B$365*Multi!J$905+Loads!$C$365*Multi!J$930+Loads!$D$365*Multi!J$950)*LAFs!J$292/(24*Input!$F$60)*1000</f>
        <v>0</v>
      </c>
      <c r="K61" s="17"/>
    </row>
    <row r="62" spans="1:11">
      <c r="A62" s="4" t="s">
        <v>210</v>
      </c>
      <c r="B62" s="39">
        <f>(Loads!$B$366*Multi!B$906+Loads!$C$366*Multi!B$931+Loads!$D$366*Multi!B$951)*LAFs!B$293/(24*Input!$F$60)*1000</f>
        <v>0</v>
      </c>
      <c r="C62" s="39">
        <f>(Loads!$B$366*Multi!C$906+Loads!$C$366*Multi!C$931+Loads!$D$366*Multi!C$951)*LAFs!C$293/(24*Input!$F$60)*1000</f>
        <v>0</v>
      </c>
      <c r="D62" s="39">
        <f>(Loads!$B$366*Multi!D$906+Loads!$C$366*Multi!D$931+Loads!$D$366*Multi!D$951)*LAFs!D$293/(24*Input!$F$60)*1000</f>
        <v>0</v>
      </c>
      <c r="E62" s="39">
        <f>(Loads!$B$366*Multi!E$906+Loads!$C$366*Multi!E$931+Loads!$D$366*Multi!E$951)*LAFs!E$293/(24*Input!$F$60)*1000</f>
        <v>0</v>
      </c>
      <c r="F62" s="39">
        <f>(Loads!$B$366*Multi!F$906+Loads!$C$366*Multi!F$931+Loads!$D$366*Multi!F$951)*LAFs!F$293/(24*Input!$F$60)*1000</f>
        <v>0</v>
      </c>
      <c r="G62" s="39">
        <f>(Loads!$B$366*Multi!G$906+Loads!$C$366*Multi!G$931+Loads!$D$366*Multi!G$951)*LAFs!G$293/(24*Input!$F$60)*1000</f>
        <v>0</v>
      </c>
      <c r="H62" s="39">
        <f>(Loads!$B$366*Multi!H$906+Loads!$C$366*Multi!H$931+Loads!$D$366*Multi!H$951)*LAFs!H$293/(24*Input!$F$60)*1000</f>
        <v>0</v>
      </c>
      <c r="I62" s="39">
        <f>(Loads!$B$366*Multi!I$906+Loads!$C$366*Multi!I$931+Loads!$D$366*Multi!I$951)*LAFs!I$293/(24*Input!$F$60)*1000</f>
        <v>0</v>
      </c>
      <c r="J62" s="39">
        <f>(Loads!$B$366*Multi!J$906+Loads!$C$366*Multi!J$931+Loads!$D$366*Multi!J$951)*LAFs!J$293/(24*Input!$F$60)*1000</f>
        <v>0</v>
      </c>
      <c r="K62" s="17"/>
    </row>
    <row r="64" spans="1:11" ht="21" customHeight="1">
      <c r="A64" s="1" t="s">
        <v>840</v>
      </c>
    </row>
    <row r="65" spans="1:11">
      <c r="A65" s="2" t="s">
        <v>379</v>
      </c>
    </row>
    <row r="66" spans="1:11">
      <c r="A66" s="29" t="s">
        <v>606</v>
      </c>
    </row>
    <row r="67" spans="1:11">
      <c r="A67" s="29" t="s">
        <v>841</v>
      </c>
    </row>
    <row r="68" spans="1:11">
      <c r="A68" s="29" t="s">
        <v>828</v>
      </c>
    </row>
    <row r="69" spans="1:11">
      <c r="A69" s="29" t="s">
        <v>584</v>
      </c>
    </row>
    <row r="70" spans="1:11">
      <c r="A70" s="2" t="s">
        <v>842</v>
      </c>
    </row>
    <row r="72" spans="1:11">
      <c r="B72" s="15" t="s">
        <v>148</v>
      </c>
      <c r="C72" s="15" t="s">
        <v>149</v>
      </c>
      <c r="D72" s="15" t="s">
        <v>150</v>
      </c>
      <c r="E72" s="15" t="s">
        <v>151</v>
      </c>
      <c r="F72" s="15" t="s">
        <v>152</v>
      </c>
      <c r="G72" s="15" t="s">
        <v>157</v>
      </c>
      <c r="H72" s="15" t="s">
        <v>153</v>
      </c>
      <c r="I72" s="15" t="s">
        <v>154</v>
      </c>
      <c r="J72" s="15" t="s">
        <v>155</v>
      </c>
    </row>
    <row r="73" spans="1:11">
      <c r="A73" s="4" t="s">
        <v>180</v>
      </c>
      <c r="B73" s="39">
        <f>Multi!$B128*Loads!$B46*LAFs!B261/(24*Input!$F$60)*1000</f>
        <v>1678751.3327234208</v>
      </c>
      <c r="C73" s="39">
        <f>Multi!$B128*Loads!$B46*LAFs!C261/(24*Input!$F$60)*1000</f>
        <v>1662048.4406313242</v>
      </c>
      <c r="D73" s="39">
        <f>Multi!$B128*Loads!$B46*LAFs!D261/(24*Input!$F$60)*1000</f>
        <v>1653895.4099672153</v>
      </c>
      <c r="E73" s="39">
        <f>Multi!$B128*Loads!$B46*LAFs!E261/(24*Input!$F$60)*1000</f>
        <v>1643540.6165473179</v>
      </c>
      <c r="F73" s="39">
        <f>Multi!$B128*Loads!$B46*LAFs!F261/(24*Input!$F$60)*1000</f>
        <v>1634671.4079803017</v>
      </c>
      <c r="G73" s="39">
        <f>Multi!$B128*Loads!$B46*LAFs!G261/(24*Input!$F$60)*1000</f>
        <v>0</v>
      </c>
      <c r="H73" s="39">
        <f>Multi!$B128*Loads!$B46*LAFs!H261/(24*Input!$F$60)*1000</f>
        <v>1615210.6482531647</v>
      </c>
      <c r="I73" s="39">
        <f>Multi!$B128*Loads!$B46*LAFs!I261/(24*Input!$F$60)*1000</f>
        <v>1593962.0425117947</v>
      </c>
      <c r="J73" s="39">
        <f>Multi!$B128*Loads!$B46*LAFs!J261/(24*Input!$F$60)*1000</f>
        <v>1515721.5313281084</v>
      </c>
      <c r="K73" s="17"/>
    </row>
    <row r="74" spans="1:11">
      <c r="A74" s="4" t="s">
        <v>181</v>
      </c>
      <c r="B74" s="39">
        <f>Multi!$B129*Loads!$B47*LAFs!B262/(24*Input!$F$60)*1000</f>
        <v>149951.93508556345</v>
      </c>
      <c r="C74" s="39">
        <f>Multi!$B129*Loads!$B47*LAFs!C262/(24*Input!$F$60)*1000</f>
        <v>148459.97439912162</v>
      </c>
      <c r="D74" s="39">
        <f>Multi!$B129*Loads!$B47*LAFs!D262/(24*Input!$F$60)*1000</f>
        <v>147731.71721113674</v>
      </c>
      <c r="E74" s="39">
        <f>Multi!$B129*Loads!$B47*LAFs!E262/(24*Input!$F$60)*1000</f>
        <v>146806.79088020363</v>
      </c>
      <c r="F74" s="39">
        <f>Multi!$B129*Loads!$B47*LAFs!F262/(24*Input!$F$60)*1000</f>
        <v>146014.56217939663</v>
      </c>
      <c r="G74" s="39">
        <f>Multi!$B129*Loads!$B47*LAFs!G262/(24*Input!$F$60)*1000</f>
        <v>0</v>
      </c>
      <c r="H74" s="39">
        <f>Multi!$B129*Loads!$B47*LAFs!H262/(24*Input!$F$60)*1000</f>
        <v>144276.25911899918</v>
      </c>
      <c r="I74" s="39">
        <f>Multi!$B129*Loads!$B47*LAFs!I262/(24*Input!$F$60)*1000</f>
        <v>142378.25940535509</v>
      </c>
      <c r="J74" s="39">
        <f>Multi!$B129*Loads!$B47*LAFs!J262/(24*Input!$F$60)*1000</f>
        <v>135389.54355126596</v>
      </c>
      <c r="K74" s="17"/>
    </row>
    <row r="75" spans="1:11">
      <c r="A75" s="4" t="s">
        <v>226</v>
      </c>
      <c r="B75" s="39">
        <f>Multi!$B130*Loads!$B48*LAFs!B263/(24*Input!$F$60)*1000</f>
        <v>0</v>
      </c>
      <c r="C75" s="39">
        <f>Multi!$B130*Loads!$B48*LAFs!C263/(24*Input!$F$60)*1000</f>
        <v>0</v>
      </c>
      <c r="D75" s="39">
        <f>Multi!$B130*Loads!$B48*LAFs!D263/(24*Input!$F$60)*1000</f>
        <v>0</v>
      </c>
      <c r="E75" s="39">
        <f>Multi!$B130*Loads!$B48*LAFs!E263/(24*Input!$F$60)*1000</f>
        <v>0</v>
      </c>
      <c r="F75" s="39">
        <f>Multi!$B130*Loads!$B48*LAFs!F263/(24*Input!$F$60)*1000</f>
        <v>0</v>
      </c>
      <c r="G75" s="39">
        <f>Multi!$B130*Loads!$B48*LAFs!G263/(24*Input!$F$60)*1000</f>
        <v>0</v>
      </c>
      <c r="H75" s="39">
        <f>Multi!$B130*Loads!$B48*LAFs!H263/(24*Input!$F$60)*1000</f>
        <v>0</v>
      </c>
      <c r="I75" s="39">
        <f>Multi!$B130*Loads!$B48*LAFs!I263/(24*Input!$F$60)*1000</f>
        <v>0</v>
      </c>
      <c r="J75" s="39">
        <f>Multi!$B130*Loads!$B48*LAFs!J263/(24*Input!$F$60)*1000</f>
        <v>0</v>
      </c>
      <c r="K75" s="17"/>
    </row>
    <row r="76" spans="1:11">
      <c r="A76" s="4" t="s">
        <v>182</v>
      </c>
      <c r="B76" s="39">
        <f>Multi!$B131*Loads!$B49*LAFs!B264/(24*Input!$F$60)*1000</f>
        <v>309583.08128677844</v>
      </c>
      <c r="C76" s="39">
        <f>Multi!$B131*Loads!$B49*LAFs!C264/(24*Input!$F$60)*1000</f>
        <v>306502.8557051355</v>
      </c>
      <c r="D76" s="39">
        <f>Multi!$B131*Loads!$B49*LAFs!D264/(24*Input!$F$60)*1000</f>
        <v>304999.33323243808</v>
      </c>
      <c r="E76" s="39">
        <f>Multi!$B131*Loads!$B49*LAFs!E264/(24*Input!$F$60)*1000</f>
        <v>303089.77772500069</v>
      </c>
      <c r="F76" s="39">
        <f>Multi!$B131*Loads!$B49*LAFs!F264/(24*Input!$F$60)*1000</f>
        <v>301454.18294498196</v>
      </c>
      <c r="G76" s="39">
        <f>Multi!$B131*Loads!$B49*LAFs!G264/(24*Input!$F$60)*1000</f>
        <v>0</v>
      </c>
      <c r="H76" s="39">
        <f>Multi!$B131*Loads!$B49*LAFs!H264/(24*Input!$F$60)*1000</f>
        <v>297865.37152123469</v>
      </c>
      <c r="I76" s="39">
        <f>Multi!$B131*Loads!$B49*LAFs!I264/(24*Input!$F$60)*1000</f>
        <v>293946.85857042763</v>
      </c>
      <c r="J76" s="39">
        <f>Multi!$B131*Loads!$B49*LAFs!J264/(24*Input!$F$60)*1000</f>
        <v>279518.31393636134</v>
      </c>
      <c r="K76" s="17"/>
    </row>
    <row r="77" spans="1:11">
      <c r="A77" s="4" t="s">
        <v>183</v>
      </c>
      <c r="B77" s="39">
        <f>Multi!$B132*Loads!$B50*LAFs!B265/(24*Input!$F$60)*1000</f>
        <v>121453.88977137566</v>
      </c>
      <c r="C77" s="39">
        <f>Multi!$B132*Loads!$B50*LAFs!C265/(24*Input!$F$60)*1000</f>
        <v>120245.4730300316</v>
      </c>
      <c r="D77" s="39">
        <f>Multi!$B132*Loads!$B50*LAFs!D265/(24*Input!$F$60)*1000</f>
        <v>119655.61956675843</v>
      </c>
      <c r="E77" s="39">
        <f>Multi!$B132*Loads!$B50*LAFs!E265/(24*Input!$F$60)*1000</f>
        <v>118906.47351152622</v>
      </c>
      <c r="F77" s="39">
        <f>Multi!$B132*Loads!$B50*LAFs!F265/(24*Input!$F$60)*1000</f>
        <v>118264.80618494831</v>
      </c>
      <c r="G77" s="39">
        <f>Multi!$B132*Loads!$B50*LAFs!G265/(24*Input!$F$60)*1000</f>
        <v>0</v>
      </c>
      <c r="H77" s="39">
        <f>Multi!$B132*Loads!$B50*LAFs!H265/(24*Input!$F$60)*1000</f>
        <v>116856.86391220413</v>
      </c>
      <c r="I77" s="39">
        <f>Multi!$B132*Loads!$B50*LAFs!I265/(24*Input!$F$60)*1000</f>
        <v>115319.57499442194</v>
      </c>
      <c r="J77" s="39">
        <f>Multi!$B132*Loads!$B50*LAFs!J265/(24*Input!$F$60)*1000</f>
        <v>109659.04967674818</v>
      </c>
      <c r="K77" s="17"/>
    </row>
    <row r="78" spans="1:11">
      <c r="A78" s="4" t="s">
        <v>227</v>
      </c>
      <c r="B78" s="39">
        <f>Multi!$B133*Loads!$B51*LAFs!B266/(24*Input!$F$60)*1000</f>
        <v>0</v>
      </c>
      <c r="C78" s="39">
        <f>Multi!$B133*Loads!$B51*LAFs!C266/(24*Input!$F$60)*1000</f>
        <v>0</v>
      </c>
      <c r="D78" s="39">
        <f>Multi!$B133*Loads!$B51*LAFs!D266/(24*Input!$F$60)*1000</f>
        <v>0</v>
      </c>
      <c r="E78" s="39">
        <f>Multi!$B133*Loads!$B51*LAFs!E266/(24*Input!$F$60)*1000</f>
        <v>0</v>
      </c>
      <c r="F78" s="39">
        <f>Multi!$B133*Loads!$B51*LAFs!F266/(24*Input!$F$60)*1000</f>
        <v>0</v>
      </c>
      <c r="G78" s="39">
        <f>Multi!$B133*Loads!$B51*LAFs!G266/(24*Input!$F$60)*1000</f>
        <v>0</v>
      </c>
      <c r="H78" s="39">
        <f>Multi!$B133*Loads!$B51*LAFs!H266/(24*Input!$F$60)*1000</f>
        <v>0</v>
      </c>
      <c r="I78" s="39">
        <f>Multi!$B133*Loads!$B51*LAFs!I266/(24*Input!$F$60)*1000</f>
        <v>0</v>
      </c>
      <c r="J78" s="39">
        <f>Multi!$B133*Loads!$B51*LAFs!J266/(24*Input!$F$60)*1000</f>
        <v>0</v>
      </c>
      <c r="K78" s="17"/>
    </row>
    <row r="79" spans="1:11">
      <c r="A79" s="4" t="s">
        <v>184</v>
      </c>
      <c r="B79" s="39">
        <f>Multi!$B134*Loads!$B52*LAFs!B267/(24*Input!$F$60)*1000</f>
        <v>14.473393122987257</v>
      </c>
      <c r="C79" s="39">
        <f>Multi!$B134*Loads!$B52*LAFs!C267/(24*Input!$F$60)*1000</f>
        <v>14.329388755677204</v>
      </c>
      <c r="D79" s="39">
        <f>Multi!$B134*Loads!$B52*LAFs!D267/(24*Input!$F$60)*1000</f>
        <v>14.259097214788902</v>
      </c>
      <c r="E79" s="39">
        <f>Multi!$B134*Loads!$B52*LAFs!E267/(24*Input!$F$60)*1000</f>
        <v>14.169823125796601</v>
      </c>
      <c r="F79" s="39">
        <f>Multi!$B134*Loads!$B52*LAFs!F267/(24*Input!$F$60)*1000</f>
        <v>14.093357040690389</v>
      </c>
      <c r="G79" s="39">
        <f>Multi!$B134*Loads!$B52*LAFs!G267/(24*Input!$F$60)*1000</f>
        <v>0</v>
      </c>
      <c r="H79" s="39">
        <f>Multi!$B134*Loads!$B52*LAFs!H267/(24*Input!$F$60)*1000</f>
        <v>13.925575654303692</v>
      </c>
      <c r="I79" s="39">
        <f>Multi!$B134*Loads!$B52*LAFs!I267/(24*Input!$F$60)*1000</f>
        <v>13.742380312494911</v>
      </c>
      <c r="J79" s="39">
        <f>Multi!$B134*Loads!$B52*LAFs!J267/(24*Input!$F$60)*1000</f>
        <v>13.067827950610628</v>
      </c>
      <c r="K79" s="17"/>
    </row>
    <row r="80" spans="1:11">
      <c r="A80" s="4" t="s">
        <v>185</v>
      </c>
      <c r="B80" s="39">
        <f>Multi!$B135*Loads!$B53*LAFs!B268/(24*Input!$F$60)*1000</f>
        <v>7.1529847793966747E-2</v>
      </c>
      <c r="C80" s="39">
        <f>Multi!$B135*Loads!$B53*LAFs!C268/(24*Input!$F$60)*1000</f>
        <v>7.0818154938820391E-2</v>
      </c>
      <c r="D80" s="39">
        <f>Multi!$B135*Loads!$B53*LAFs!D268/(24*Input!$F$60)*1000</f>
        <v>7.0470762784249658E-2</v>
      </c>
      <c r="E80" s="39">
        <f>Multi!$B135*Loads!$B53*LAFs!E268/(24*Input!$F$60)*1000</f>
        <v>7.0029555809264482E-2</v>
      </c>
      <c r="F80" s="39">
        <f>Multi!$B135*Loads!$B53*LAFs!F268/(24*Input!$F$60)*1000</f>
        <v>6.9651648059328469E-2</v>
      </c>
      <c r="G80" s="39">
        <f>Multi!$B135*Loads!$B53*LAFs!G268/(24*Input!$F$60)*1000</f>
        <v>0</v>
      </c>
      <c r="H80" s="39">
        <f>Multi!$B135*Loads!$B53*LAFs!H268/(24*Input!$F$60)*1000</f>
        <v>6.8822445333407867E-2</v>
      </c>
      <c r="I80" s="39">
        <f>Multi!$B135*Loads!$B53*LAFs!I268/(24*Input!$F$60)*1000</f>
        <v>6.7917064348811132E-2</v>
      </c>
      <c r="J80" s="39">
        <f>Multi!$B135*Loads!$B53*LAFs!J268/(24*Input!$F$60)*1000</f>
        <v>0</v>
      </c>
      <c r="K80" s="17"/>
    </row>
    <row r="81" spans="1:11">
      <c r="A81" s="4" t="s">
        <v>205</v>
      </c>
      <c r="B81" s="39">
        <f>Multi!$B136*Loads!$B54*LAFs!B269/(24*Input!$F$60)*1000</f>
        <v>0.28446474331504856</v>
      </c>
      <c r="C81" s="39">
        <f>Multi!$B136*Loads!$B54*LAFs!C269/(24*Input!$F$60)*1000</f>
        <v>0.28163443496682583</v>
      </c>
      <c r="D81" s="39">
        <f>Multi!$B136*Loads!$B54*LAFs!D269/(24*Input!$F$60)*1000</f>
        <v>0.28025290231818573</v>
      </c>
      <c r="E81" s="39">
        <f>Multi!$B136*Loads!$B54*LAFs!E269/(24*Input!$F$60)*1000</f>
        <v>0.27849828053778602</v>
      </c>
      <c r="F81" s="39">
        <f>Multi!$B136*Loads!$B54*LAFs!F269/(24*Input!$F$60)*1000</f>
        <v>0.27699539140272222</v>
      </c>
      <c r="G81" s="39">
        <f>Multi!$B136*Loads!$B54*LAFs!G269/(24*Input!$F$60)*1000</f>
        <v>0</v>
      </c>
      <c r="H81" s="39">
        <f>Multi!$B136*Loads!$B54*LAFs!H269/(24*Input!$F$60)*1000</f>
        <v>0.27369776184163946</v>
      </c>
      <c r="I81" s="39">
        <f>Multi!$B136*Loads!$B54*LAFs!I269/(24*Input!$F$60)*1000</f>
        <v>0</v>
      </c>
      <c r="J81" s="39">
        <f>Multi!$B136*Loads!$B54*LAFs!J269/(24*Input!$F$60)*1000</f>
        <v>0</v>
      </c>
      <c r="K81" s="17"/>
    </row>
    <row r="82" spans="1:11">
      <c r="A82" s="4" t="s">
        <v>186</v>
      </c>
      <c r="B82" s="39">
        <f>Multi!$B137*Loads!$B55*LAFs!B270/(24*Input!$F$60)*1000</f>
        <v>168.38758540976093</v>
      </c>
      <c r="C82" s="39">
        <f>Multi!$B137*Loads!$B55*LAFs!C270/(24*Input!$F$60)*1000</f>
        <v>166.71219751047917</v>
      </c>
      <c r="D82" s="39">
        <f>Multi!$B137*Loads!$B55*LAFs!D270/(24*Input!$F$60)*1000</f>
        <v>165.89440566689871</v>
      </c>
      <c r="E82" s="39">
        <f>Multi!$B137*Loads!$B55*LAFs!E270/(24*Input!$F$60)*1000</f>
        <v>164.85576544222366</v>
      </c>
      <c r="F82" s="39">
        <f>Multi!$B137*Loads!$B55*LAFs!F270/(24*Input!$F$60)*1000</f>
        <v>163.96613718937658</v>
      </c>
      <c r="G82" s="39">
        <f>Multi!$B137*Loads!$B55*LAFs!G270/(24*Input!$F$60)*1000</f>
        <v>0</v>
      </c>
      <c r="H82" s="39">
        <f>Multi!$B137*Loads!$B55*LAFs!H270/(24*Input!$F$60)*1000</f>
        <v>162.01412066565715</v>
      </c>
      <c r="I82" s="39">
        <f>Multi!$B137*Loads!$B55*LAFs!I270/(24*Input!$F$60)*1000</f>
        <v>159.88277378636158</v>
      </c>
      <c r="J82" s="39">
        <f>Multi!$B137*Loads!$B55*LAFs!J270/(24*Input!$F$60)*1000</f>
        <v>152.03483913241075</v>
      </c>
      <c r="K82" s="17"/>
    </row>
    <row r="83" spans="1:11">
      <c r="A83" s="4" t="s">
        <v>187</v>
      </c>
      <c r="B83" s="39">
        <f>Multi!$B138*Loads!$B56*LAFs!B271/(24*Input!$F$60)*1000</f>
        <v>44548.335540379376</v>
      </c>
      <c r="C83" s="39">
        <f>Multi!$B138*Loads!$B56*LAFs!C271/(24*Input!$F$60)*1000</f>
        <v>44105.097743983206</v>
      </c>
      <c r="D83" s="39">
        <f>Multi!$B138*Loads!$B56*LAFs!D271/(24*Input!$F$60)*1000</f>
        <v>43888.744113391287</v>
      </c>
      <c r="E83" s="39">
        <f>Multi!$B138*Loads!$B56*LAFs!E271/(24*Input!$F$60)*1000</f>
        <v>43613.963207649547</v>
      </c>
      <c r="F83" s="39">
        <f>Multi!$B138*Loads!$B56*LAFs!F271/(24*Input!$F$60)*1000</f>
        <v>43378.604657804011</v>
      </c>
      <c r="G83" s="39">
        <f>Multi!$B138*Loads!$B56*LAFs!G271/(24*Input!$F$60)*1000</f>
        <v>0</v>
      </c>
      <c r="H83" s="39">
        <f>Multi!$B138*Loads!$B56*LAFs!H271/(24*Input!$F$60)*1000</f>
        <v>42862.182459175718</v>
      </c>
      <c r="I83" s="39">
        <f>Multi!$B138*Loads!$B56*LAFs!I271/(24*Input!$F$60)*1000</f>
        <v>42298.316924191364</v>
      </c>
      <c r="J83" s="39">
        <f>Multi!$B138*Loads!$B56*LAFs!J271/(24*Input!$F$60)*1000</f>
        <v>40222.080570944701</v>
      </c>
      <c r="K83" s="17"/>
    </row>
    <row r="84" spans="1:11">
      <c r="A84" s="4" t="s">
        <v>188</v>
      </c>
      <c r="B84" s="39">
        <f>Multi!$B139*Loads!$B57*LAFs!B272/(24*Input!$F$60)*1000</f>
        <v>447957.39071928471</v>
      </c>
      <c r="C84" s="39">
        <f>Multi!$B139*Loads!$B57*LAFs!C272/(24*Input!$F$60)*1000</f>
        <v>443500.39711148036</v>
      </c>
      <c r="D84" s="39">
        <f>Multi!$B139*Loads!$B57*LAFs!D272/(24*Input!$F$60)*1000</f>
        <v>441324.84539541788</v>
      </c>
      <c r="E84" s="39">
        <f>Multi!$B139*Loads!$B57*LAFs!E272/(24*Input!$F$60)*1000</f>
        <v>438561.77611207776</v>
      </c>
      <c r="F84" s="39">
        <f>Multi!$B139*Loads!$B57*LAFs!F272/(24*Input!$F$60)*1000</f>
        <v>436195.11974673014</v>
      </c>
      <c r="G84" s="39">
        <f>Multi!$B139*Loads!$B57*LAFs!G272/(24*Input!$F$60)*1000</f>
        <v>0</v>
      </c>
      <c r="H84" s="39">
        <f>Multi!$B139*Loads!$B57*LAFs!H272/(24*Input!$F$60)*1000</f>
        <v>431002.21774936235</v>
      </c>
      <c r="I84" s="39">
        <f>Multi!$B139*Loads!$B57*LAFs!I272/(24*Input!$F$60)*1000</f>
        <v>425332.24757642113</v>
      </c>
      <c r="J84" s="39">
        <f>Multi!$B139*Loads!$B57*LAFs!J272/(24*Input!$F$60)*1000</f>
        <v>404454.57823064126</v>
      </c>
      <c r="K84" s="17"/>
    </row>
    <row r="85" spans="1:11">
      <c r="A85" s="4" t="s">
        <v>189</v>
      </c>
      <c r="B85" s="39">
        <f>Multi!$B140*Loads!$B58*LAFs!B273/(24*Input!$F$60)*1000</f>
        <v>199452.44324273412</v>
      </c>
      <c r="C85" s="39">
        <f>Multi!$B140*Loads!$B58*LAFs!C273/(24*Input!$F$60)*1000</f>
        <v>197467.97265912252</v>
      </c>
      <c r="D85" s="39">
        <f>Multi!$B140*Loads!$B58*LAFs!D273/(24*Input!$F$60)*1000</f>
        <v>196499.31109853787</v>
      </c>
      <c r="E85" s="39">
        <f>Multi!$B140*Loads!$B58*LAFs!E273/(24*Input!$F$60)*1000</f>
        <v>195269.05810834555</v>
      </c>
      <c r="F85" s="39">
        <f>Multi!$B140*Loads!$B58*LAFs!F273/(24*Input!$F$60)*1000</f>
        <v>194215.30745222489</v>
      </c>
      <c r="G85" s="39">
        <f>Multi!$B140*Loads!$B58*LAFs!G273/(24*Input!$F$60)*1000</f>
        <v>0</v>
      </c>
      <c r="H85" s="39">
        <f>Multi!$B140*Loads!$B58*LAFs!H273/(24*Input!$F$60)*1000</f>
        <v>191903.17461916231</v>
      </c>
      <c r="I85" s="39">
        <f>Multi!$B140*Loads!$B58*LAFs!I273/(24*Input!$F$60)*1000</f>
        <v>189378.62780391576</v>
      </c>
      <c r="J85" s="39">
        <f>Multi!$B140*Loads!$B58*LAFs!J273/(24*Input!$F$60)*1000</f>
        <v>0</v>
      </c>
      <c r="K85" s="17"/>
    </row>
    <row r="86" spans="1:11">
      <c r="A86" s="4" t="s">
        <v>206</v>
      </c>
      <c r="B86" s="39">
        <f>Multi!$B141*Loads!$B59*LAFs!B274/(24*Input!$F$60)*1000</f>
        <v>646248.23130759364</v>
      </c>
      <c r="C86" s="39">
        <f>Multi!$B141*Loads!$B59*LAFs!C274/(24*Input!$F$60)*1000</f>
        <v>639818.32458952861</v>
      </c>
      <c r="D86" s="39">
        <f>Multi!$B141*Loads!$B59*LAFs!D274/(24*Input!$F$60)*1000</f>
        <v>636679.75275713624</v>
      </c>
      <c r="E86" s="39">
        <f>Multi!$B141*Loads!$B59*LAFs!E274/(24*Input!$F$60)*1000</f>
        <v>632693.59542536014</v>
      </c>
      <c r="F86" s="39">
        <f>Multi!$B141*Loads!$B59*LAFs!F274/(24*Input!$F$60)*1000</f>
        <v>629279.32540346601</v>
      </c>
      <c r="G86" s="39">
        <f>Multi!$B141*Loads!$B59*LAFs!G274/(24*Input!$F$60)*1000</f>
        <v>0</v>
      </c>
      <c r="H86" s="39">
        <f>Multi!$B141*Loads!$B59*LAFs!H274/(24*Input!$F$60)*1000</f>
        <v>621787.75633756886</v>
      </c>
      <c r="I86" s="39">
        <f>Multi!$B141*Loads!$B59*LAFs!I274/(24*Input!$F$60)*1000</f>
        <v>0</v>
      </c>
      <c r="J86" s="39">
        <f>Multi!$B141*Loads!$B59*LAFs!J274/(24*Input!$F$60)*1000</f>
        <v>0</v>
      </c>
      <c r="K86" s="17"/>
    </row>
    <row r="87" spans="1:11">
      <c r="A87" s="4" t="s">
        <v>228</v>
      </c>
      <c r="B87" s="39">
        <f>Multi!$B142*Loads!$B60*LAFs!B275/(24*Input!$F$60)*1000</f>
        <v>2202.3074489314977</v>
      </c>
      <c r="C87" s="39">
        <f>Multi!$B142*Loads!$B60*LAFs!C275/(24*Input!$F$60)*1000</f>
        <v>2180.3953867004298</v>
      </c>
      <c r="D87" s="39">
        <f>Multi!$B142*Loads!$B60*LAFs!D275/(24*Input!$F$60)*1000</f>
        <v>2169.6996512374503</v>
      </c>
      <c r="E87" s="39">
        <f>Multi!$B142*Loads!$B60*LAFs!E275/(24*Input!$F$60)*1000</f>
        <v>2156.1154841030648</v>
      </c>
      <c r="F87" s="39">
        <f>Multi!$B142*Loads!$B60*LAFs!F275/(24*Input!$F$60)*1000</f>
        <v>2144.4802146545644</v>
      </c>
      <c r="G87" s="39">
        <f>Multi!$B142*Loads!$B60*LAFs!G275/(24*Input!$F$60)*1000</f>
        <v>0</v>
      </c>
      <c r="H87" s="39">
        <f>Multi!$B142*Loads!$B60*LAFs!H275/(24*Input!$F$60)*1000</f>
        <v>2118.950182139617</v>
      </c>
      <c r="I87" s="39">
        <f>Multi!$B142*Loads!$B60*LAFs!I275/(24*Input!$F$60)*1000</f>
        <v>2091.0747238799881</v>
      </c>
      <c r="J87" s="39">
        <f>Multi!$B142*Loads!$B60*LAFs!J275/(24*Input!$F$60)*1000</f>
        <v>1988.4331609342098</v>
      </c>
      <c r="K87" s="17"/>
    </row>
    <row r="88" spans="1:11">
      <c r="A88" s="4" t="s">
        <v>229</v>
      </c>
      <c r="B88" s="39">
        <f>Multi!$B143*Loads!$B61*LAFs!B276/(24*Input!$F$60)*1000</f>
        <v>2484.4747633745637</v>
      </c>
      <c r="C88" s="39">
        <f>Multi!$B143*Loads!$B61*LAFs!C276/(24*Input!$F$60)*1000</f>
        <v>2459.7552512769257</v>
      </c>
      <c r="D88" s="39">
        <f>Multi!$B143*Loads!$B61*LAFs!D276/(24*Input!$F$60)*1000</f>
        <v>2447.6891408678653</v>
      </c>
      <c r="E88" s="39">
        <f>Multi!$B143*Loads!$B61*LAFs!E276/(24*Input!$F$60)*1000</f>
        <v>2432.3645228436126</v>
      </c>
      <c r="F88" s="39">
        <f>Multi!$B143*Loads!$B61*LAFs!F276/(24*Input!$F$60)*1000</f>
        <v>2419.2385020766715</v>
      </c>
      <c r="G88" s="39">
        <f>Multi!$B143*Loads!$B61*LAFs!G276/(24*Input!$F$60)*1000</f>
        <v>0</v>
      </c>
      <c r="H88" s="39">
        <f>Multi!$B143*Loads!$B61*LAFs!H276/(24*Input!$F$60)*1000</f>
        <v>2390.4374727188983</v>
      </c>
      <c r="I88" s="39">
        <f>Multi!$B143*Loads!$B61*LAFs!I276/(24*Input!$F$60)*1000</f>
        <v>2358.990513486594</v>
      </c>
      <c r="J88" s="39">
        <f>Multi!$B143*Loads!$B61*LAFs!J276/(24*Input!$F$60)*1000</f>
        <v>2243.1981553688247</v>
      </c>
      <c r="K88" s="17"/>
    </row>
    <row r="89" spans="1:11">
      <c r="A89" s="4" t="s">
        <v>230</v>
      </c>
      <c r="B89" s="39">
        <f>Multi!$B144*Loads!$B62*LAFs!B277/(24*Input!$F$60)*1000</f>
        <v>201.12491084158538</v>
      </c>
      <c r="C89" s="39">
        <f>Multi!$B144*Loads!$B62*LAFs!C277/(24*Input!$F$60)*1000</f>
        <v>199.12379988647467</v>
      </c>
      <c r="D89" s="39">
        <f>Multi!$B144*Loads!$B62*LAFs!D277/(24*Input!$F$60)*1000</f>
        <v>198.14701581283381</v>
      </c>
      <c r="E89" s="39">
        <f>Multi!$B144*Loads!$B62*LAFs!E277/(24*Input!$F$60)*1000</f>
        <v>196.90644678824734</v>
      </c>
      <c r="F89" s="39">
        <f>Multi!$B144*Loads!$B62*LAFs!F277/(24*Input!$F$60)*1000</f>
        <v>195.84386012189296</v>
      </c>
      <c r="G89" s="39">
        <f>Multi!$B144*Loads!$B62*LAFs!G277/(24*Input!$F$60)*1000</f>
        <v>0</v>
      </c>
      <c r="H89" s="39">
        <f>Multi!$B144*Loads!$B62*LAFs!H277/(24*Input!$F$60)*1000</f>
        <v>193.51233937267023</v>
      </c>
      <c r="I89" s="39">
        <f>Multi!$B144*Loads!$B62*LAFs!I277/(24*Input!$F$60)*1000</f>
        <v>190.96662348733537</v>
      </c>
      <c r="J89" s="39">
        <f>Multi!$B144*Loads!$B62*LAFs!J277/(24*Input!$F$60)*1000</f>
        <v>181.59292082555379</v>
      </c>
      <c r="K89" s="17"/>
    </row>
    <row r="90" spans="1:11">
      <c r="A90" s="4" t="s">
        <v>231</v>
      </c>
      <c r="B90" s="39">
        <f>Multi!$B145*Loads!$B63*LAFs!B278/(24*Input!$F$60)*1000</f>
        <v>0</v>
      </c>
      <c r="C90" s="39">
        <f>Multi!$B145*Loads!$B63*LAFs!C278/(24*Input!$F$60)*1000</f>
        <v>0</v>
      </c>
      <c r="D90" s="39">
        <f>Multi!$B145*Loads!$B63*LAFs!D278/(24*Input!$F$60)*1000</f>
        <v>0</v>
      </c>
      <c r="E90" s="39">
        <f>Multi!$B145*Loads!$B63*LAFs!E278/(24*Input!$F$60)*1000</f>
        <v>0</v>
      </c>
      <c r="F90" s="39">
        <f>Multi!$B145*Loads!$B63*LAFs!F278/(24*Input!$F$60)*1000</f>
        <v>0</v>
      </c>
      <c r="G90" s="39">
        <f>Multi!$B145*Loads!$B63*LAFs!G278/(24*Input!$F$60)*1000</f>
        <v>0</v>
      </c>
      <c r="H90" s="39">
        <f>Multi!$B145*Loads!$B63*LAFs!H278/(24*Input!$F$60)*1000</f>
        <v>0</v>
      </c>
      <c r="I90" s="39">
        <f>Multi!$B145*Loads!$B63*LAFs!I278/(24*Input!$F$60)*1000</f>
        <v>0</v>
      </c>
      <c r="J90" s="39">
        <f>Multi!$B145*Loads!$B63*LAFs!J278/(24*Input!$F$60)*1000</f>
        <v>0</v>
      </c>
      <c r="K90" s="17"/>
    </row>
    <row r="91" spans="1:11">
      <c r="A91" s="4" t="s">
        <v>232</v>
      </c>
      <c r="B91" s="39">
        <f>Multi!$B146*Loads!$B64*LAFs!B279/(24*Input!$F$60)*1000</f>
        <v>56171.888007247479</v>
      </c>
      <c r="C91" s="39">
        <f>Multi!$B146*Loads!$B64*LAFs!C279/(24*Input!$F$60)*1000</f>
        <v>55613.000597477097</v>
      </c>
      <c r="D91" s="39">
        <f>Multi!$B146*Loads!$B64*LAFs!D279/(24*Input!$F$60)*1000</f>
        <v>55340.195973911425</v>
      </c>
      <c r="E91" s="39">
        <f>Multi!$B146*Loads!$B64*LAFs!E279/(24*Input!$F$60)*1000</f>
        <v>54993.719229570102</v>
      </c>
      <c r="F91" s="39">
        <f>Multi!$B146*Loads!$B64*LAFs!F279/(24*Input!$F$60)*1000</f>
        <v>54696.950922895921</v>
      </c>
      <c r="G91" s="39">
        <f>Multi!$B146*Loads!$B64*LAFs!G279/(24*Input!$F$60)*1000</f>
        <v>0</v>
      </c>
      <c r="H91" s="39">
        <f>Multi!$B146*Loads!$B64*LAFs!H279/(24*Input!$F$60)*1000</f>
        <v>54045.783835418297</v>
      </c>
      <c r="I91" s="39">
        <f>Multi!$B146*Loads!$B64*LAFs!I279/(24*Input!$F$60)*1000</f>
        <v>53334.794495455673</v>
      </c>
      <c r="J91" s="39">
        <f>Multi!$B146*Loads!$B64*LAFs!J279/(24*Input!$F$60)*1000</f>
        <v>50716.826517607529</v>
      </c>
      <c r="K91" s="17"/>
    </row>
    <row r="92" spans="1:11">
      <c r="A92" s="4" t="s">
        <v>190</v>
      </c>
      <c r="B92" s="39">
        <f>Multi!$B147*Loads!$B65*LAFs!B280/(24*Input!$F$60)*1000</f>
        <v>-411.03122660958343</v>
      </c>
      <c r="C92" s="39">
        <f>Multi!$B147*Loads!$B65*LAFs!C280/(24*Input!$F$60)*1000</f>
        <v>-406.94163329655572</v>
      </c>
      <c r="D92" s="39">
        <f>Multi!$B147*Loads!$B65*LAFs!D280/(24*Input!$F$60)*1000</f>
        <v>-404.94541734179745</v>
      </c>
      <c r="E92" s="39">
        <f>Multi!$B147*Loads!$B65*LAFs!E280/(24*Input!$F$60)*1000</f>
        <v>-402.41011425211076</v>
      </c>
      <c r="F92" s="39">
        <f>Multi!$B147*Loads!$B65*LAFs!F280/(24*Input!$F$60)*1000</f>
        <v>-400.23854684644692</v>
      </c>
      <c r="G92" s="39">
        <f>Multi!$B147*Loads!$B65*LAFs!G280/(24*Input!$F$60)*1000</f>
        <v>0</v>
      </c>
      <c r="H92" s="39">
        <f>Multi!$B147*Loads!$B65*LAFs!H280/(24*Input!$F$60)*1000</f>
        <v>-395.47370777500277</v>
      </c>
      <c r="I92" s="39">
        <f>Multi!$B147*Loads!$B65*LAFs!I280/(24*Input!$F$60)*1000</f>
        <v>-390.27112636144108</v>
      </c>
      <c r="J92" s="39">
        <f>Multi!$B147*Loads!$B65*LAFs!J280/(24*Input!$F$60)*1000</f>
        <v>0</v>
      </c>
      <c r="K92" s="17"/>
    </row>
    <row r="93" spans="1:11">
      <c r="A93" s="4" t="s">
        <v>191</v>
      </c>
      <c r="B93" s="39">
        <f>Multi!$B148*Loads!$B66*LAFs!B281/(24*Input!$F$60)*1000</f>
        <v>-0.11508090594022165</v>
      </c>
      <c r="C93" s="39">
        <f>Multi!$B148*Loads!$B66*LAFs!C281/(24*Input!$F$60)*1000</f>
        <v>-0.11393589779261119</v>
      </c>
      <c r="D93" s="39">
        <f>Multi!$B148*Loads!$B66*LAFs!D281/(24*Input!$F$60)*1000</f>
        <v>-0.11337699538896459</v>
      </c>
      <c r="E93" s="39">
        <f>Multi!$B148*Loads!$B66*LAFs!E281/(24*Input!$F$60)*1000</f>
        <v>-0.11266715886680831</v>
      </c>
      <c r="F93" s="39">
        <f>Multi!$B148*Loads!$B66*LAFs!F281/(24*Input!$F$60)*1000</f>
        <v>-0.11205916140049554</v>
      </c>
      <c r="G93" s="39">
        <f>Multi!$B148*Loads!$B66*LAFs!G281/(24*Input!$F$60)*1000</f>
        <v>0</v>
      </c>
      <c r="H93" s="39">
        <f>Multi!$B148*Loads!$B66*LAFs!H281/(24*Input!$F$60)*1000</f>
        <v>-0.11072509731606041</v>
      </c>
      <c r="I93" s="39">
        <f>Multi!$B148*Loads!$B66*LAFs!I281/(24*Input!$F$60)*1000</f>
        <v>0</v>
      </c>
      <c r="J93" s="39">
        <f>Multi!$B148*Loads!$B66*LAFs!J281/(24*Input!$F$60)*1000</f>
        <v>0</v>
      </c>
      <c r="K93" s="17"/>
    </row>
    <row r="94" spans="1:11">
      <c r="A94" s="4" t="s">
        <v>192</v>
      </c>
      <c r="B94" s="39">
        <f>Multi!$B149*Loads!$B67*LAFs!B282/(24*Input!$F$60)*1000</f>
        <v>-2607.9760304982619</v>
      </c>
      <c r="C94" s="39">
        <f>Multi!$B149*Loads!$B67*LAFs!C282/(24*Input!$F$60)*1000</f>
        <v>-2582.0277310884148</v>
      </c>
      <c r="D94" s="39">
        <f>Multi!$B149*Loads!$B67*LAFs!D282/(24*Input!$F$60)*1000</f>
        <v>-2569.3618239147663</v>
      </c>
      <c r="E94" s="39">
        <f>Multi!$B149*Loads!$B67*LAFs!E282/(24*Input!$F$60)*1000</f>
        <v>-2553.2754313005348</v>
      </c>
      <c r="F94" s="39">
        <f>Multi!$B149*Loads!$B67*LAFs!F282/(24*Input!$F$60)*1000</f>
        <v>-2539.4969264669789</v>
      </c>
      <c r="G94" s="39">
        <f>Multi!$B149*Loads!$B67*LAFs!G282/(24*Input!$F$60)*1000</f>
        <v>0</v>
      </c>
      <c r="H94" s="39">
        <f>Multi!$B149*Loads!$B67*LAFs!H282/(24*Input!$F$60)*1000</f>
        <v>-2509.264220815855</v>
      </c>
      <c r="I94" s="39">
        <f>Multi!$B149*Loads!$B67*LAFs!I282/(24*Input!$F$60)*1000</f>
        <v>-2476.2540582177407</v>
      </c>
      <c r="J94" s="39">
        <f>Multi!$B149*Loads!$B67*LAFs!J282/(24*Input!$F$60)*1000</f>
        <v>0</v>
      </c>
      <c r="K94" s="17"/>
    </row>
    <row r="95" spans="1:11">
      <c r="A95" s="4" t="s">
        <v>193</v>
      </c>
      <c r="B95" s="39">
        <f>Multi!$B150*Loads!$B68*LAFs!B283/(24*Input!$F$60)*1000</f>
        <v>0</v>
      </c>
      <c r="C95" s="39">
        <f>Multi!$B150*Loads!$B68*LAFs!C283/(24*Input!$F$60)*1000</f>
        <v>0</v>
      </c>
      <c r="D95" s="39">
        <f>Multi!$B150*Loads!$B68*LAFs!D283/(24*Input!$F$60)*1000</f>
        <v>0</v>
      </c>
      <c r="E95" s="39">
        <f>Multi!$B150*Loads!$B68*LAFs!E283/(24*Input!$F$60)*1000</f>
        <v>0</v>
      </c>
      <c r="F95" s="39">
        <f>Multi!$B150*Loads!$B68*LAFs!F283/(24*Input!$F$60)*1000</f>
        <v>0</v>
      </c>
      <c r="G95" s="39">
        <f>Multi!$B150*Loads!$B68*LAFs!G283/(24*Input!$F$60)*1000</f>
        <v>0</v>
      </c>
      <c r="H95" s="39">
        <f>Multi!$B150*Loads!$B68*LAFs!H283/(24*Input!$F$60)*1000</f>
        <v>0</v>
      </c>
      <c r="I95" s="39">
        <f>Multi!$B150*Loads!$B68*LAFs!I283/(24*Input!$F$60)*1000</f>
        <v>0</v>
      </c>
      <c r="J95" s="39">
        <f>Multi!$B150*Loads!$B68*LAFs!J283/(24*Input!$F$60)*1000</f>
        <v>0</v>
      </c>
      <c r="K95" s="17"/>
    </row>
    <row r="96" spans="1:11">
      <c r="A96" s="4" t="s">
        <v>194</v>
      </c>
      <c r="B96" s="39">
        <f>Multi!$B151*Loads!$B69*LAFs!B284/(24*Input!$F$60)*1000</f>
        <v>-756.53237373796526</v>
      </c>
      <c r="C96" s="39">
        <f>Multi!$B151*Loads!$B69*LAFs!C284/(24*Input!$F$60)*1000</f>
        <v>-749.00518471573935</v>
      </c>
      <c r="D96" s="39">
        <f>Multi!$B151*Loads!$B69*LAFs!D284/(24*Input!$F$60)*1000</f>
        <v>-745.33100646119681</v>
      </c>
      <c r="E96" s="39">
        <f>Multi!$B151*Loads!$B69*LAFs!E284/(24*Input!$F$60)*1000</f>
        <v>-740.66459977378554</v>
      </c>
      <c r="F96" s="39">
        <f>Multi!$B151*Loads!$B69*LAFs!F284/(24*Input!$F$60)*1000</f>
        <v>-736.66767463091958</v>
      </c>
      <c r="G96" s="39">
        <f>Multi!$B151*Loads!$B69*LAFs!G284/(24*Input!$F$60)*1000</f>
        <v>0</v>
      </c>
      <c r="H96" s="39">
        <f>Multi!$B151*Loads!$B69*LAFs!H284/(24*Input!$F$60)*1000</f>
        <v>-727.89764748983566</v>
      </c>
      <c r="I96" s="39">
        <f>Multi!$B151*Loads!$B69*LAFs!I284/(24*Input!$F$60)*1000</f>
        <v>-718.32192425626874</v>
      </c>
      <c r="J96" s="39">
        <f>Multi!$B151*Loads!$B69*LAFs!J284/(24*Input!$F$60)*1000</f>
        <v>0</v>
      </c>
      <c r="K96" s="17"/>
    </row>
    <row r="97" spans="1:11">
      <c r="A97" s="4" t="s">
        <v>195</v>
      </c>
      <c r="B97" s="39">
        <f>Multi!$B152*Loads!$B70*LAFs!B285/(24*Input!$F$60)*1000</f>
        <v>0</v>
      </c>
      <c r="C97" s="39">
        <f>Multi!$B152*Loads!$B70*LAFs!C285/(24*Input!$F$60)*1000</f>
        <v>0</v>
      </c>
      <c r="D97" s="39">
        <f>Multi!$B152*Loads!$B70*LAFs!D285/(24*Input!$F$60)*1000</f>
        <v>0</v>
      </c>
      <c r="E97" s="39">
        <f>Multi!$B152*Loads!$B70*LAFs!E285/(24*Input!$F$60)*1000</f>
        <v>0</v>
      </c>
      <c r="F97" s="39">
        <f>Multi!$B152*Loads!$B70*LAFs!F285/(24*Input!$F$60)*1000</f>
        <v>0</v>
      </c>
      <c r="G97" s="39">
        <f>Multi!$B152*Loads!$B70*LAFs!G285/(24*Input!$F$60)*1000</f>
        <v>0</v>
      </c>
      <c r="H97" s="39">
        <f>Multi!$B152*Loads!$B70*LAFs!H285/(24*Input!$F$60)*1000</f>
        <v>0</v>
      </c>
      <c r="I97" s="39">
        <f>Multi!$B152*Loads!$B70*LAFs!I285/(24*Input!$F$60)*1000</f>
        <v>0</v>
      </c>
      <c r="J97" s="39">
        <f>Multi!$B152*Loads!$B70*LAFs!J285/(24*Input!$F$60)*1000</f>
        <v>0</v>
      </c>
      <c r="K97" s="17"/>
    </row>
    <row r="98" spans="1:11">
      <c r="A98" s="4" t="s">
        <v>196</v>
      </c>
      <c r="B98" s="39">
        <f>Multi!$B153*Loads!$B71*LAFs!B286/(24*Input!$F$60)*1000</f>
        <v>-501.48803228452721</v>
      </c>
      <c r="C98" s="39">
        <f>Multi!$B153*Loads!$B71*LAFs!C286/(24*Input!$F$60)*1000</f>
        <v>-496.49843059340759</v>
      </c>
      <c r="D98" s="39">
        <f>Multi!$B153*Loads!$B71*LAFs!D286/(24*Input!$F$60)*1000</f>
        <v>-494.06290174217116</v>
      </c>
      <c r="E98" s="39">
        <f>Multi!$B153*Loads!$B71*LAFs!E286/(24*Input!$F$60)*1000</f>
        <v>-490.96964732405974</v>
      </c>
      <c r="F98" s="39">
        <f>Multi!$B153*Loads!$B71*LAFs!F286/(24*Input!$F$60)*1000</f>
        <v>-488.32017693169473</v>
      </c>
      <c r="G98" s="39">
        <f>Multi!$B153*Loads!$B71*LAFs!G286/(24*Input!$F$60)*1000</f>
        <v>0</v>
      </c>
      <c r="H98" s="39">
        <f>Multi!$B153*Loads!$B71*LAFs!H286/(24*Input!$F$60)*1000</f>
        <v>-482.50672623647381</v>
      </c>
      <c r="I98" s="39">
        <f>Multi!$B153*Loads!$B71*LAFs!I286/(24*Input!$F$60)*1000</f>
        <v>0</v>
      </c>
      <c r="J98" s="39">
        <f>Multi!$B153*Loads!$B71*LAFs!J286/(24*Input!$F$60)*1000</f>
        <v>0</v>
      </c>
      <c r="K98" s="17"/>
    </row>
    <row r="99" spans="1:11">
      <c r="A99" s="4" t="s">
        <v>197</v>
      </c>
      <c r="B99" s="39">
        <f>Multi!$B154*Loads!$B72*LAFs!B287/(24*Input!$F$60)*1000</f>
        <v>0</v>
      </c>
      <c r="C99" s="39">
        <f>Multi!$B154*Loads!$B72*LAFs!C287/(24*Input!$F$60)*1000</f>
        <v>0</v>
      </c>
      <c r="D99" s="39">
        <f>Multi!$B154*Loads!$B72*LAFs!D287/(24*Input!$F$60)*1000</f>
        <v>0</v>
      </c>
      <c r="E99" s="39">
        <f>Multi!$B154*Loads!$B72*LAFs!E287/(24*Input!$F$60)*1000</f>
        <v>0</v>
      </c>
      <c r="F99" s="39">
        <f>Multi!$B154*Loads!$B72*LAFs!F287/(24*Input!$F$60)*1000</f>
        <v>0</v>
      </c>
      <c r="G99" s="39">
        <f>Multi!$B154*Loads!$B72*LAFs!G287/(24*Input!$F$60)*1000</f>
        <v>0</v>
      </c>
      <c r="H99" s="39">
        <f>Multi!$B154*Loads!$B72*LAFs!H287/(24*Input!$F$60)*1000</f>
        <v>0</v>
      </c>
      <c r="I99" s="39">
        <f>Multi!$B154*Loads!$B72*LAFs!I287/(24*Input!$F$60)*1000</f>
        <v>0</v>
      </c>
      <c r="J99" s="39">
        <f>Multi!$B154*Loads!$B72*LAFs!J287/(24*Input!$F$60)*1000</f>
        <v>0</v>
      </c>
      <c r="K99" s="17"/>
    </row>
    <row r="100" spans="1:11">
      <c r="A100" s="4" t="s">
        <v>198</v>
      </c>
      <c r="B100" s="39">
        <f>Multi!$B155*Loads!$B73*LAFs!B288/(24*Input!$F$60)*1000</f>
        <v>-191.53297170599726</v>
      </c>
      <c r="C100" s="39">
        <f>Multi!$B155*Loads!$B73*LAFs!C288/(24*Input!$F$60)*1000</f>
        <v>-189.62729663898548</v>
      </c>
      <c r="D100" s="39">
        <f>Multi!$B155*Loads!$B73*LAFs!D288/(24*Input!$F$60)*1000</f>
        <v>-188.697096816613</v>
      </c>
      <c r="E100" s="39">
        <f>Multi!$B155*Loads!$B73*LAFs!E288/(24*Input!$F$60)*1000</f>
        <v>-187.51569233075793</v>
      </c>
      <c r="F100" s="39">
        <f>Multi!$B155*Loads!$B73*LAFs!F288/(24*Input!$F$60)*1000</f>
        <v>-186.50378196594821</v>
      </c>
      <c r="G100" s="39">
        <f>Multi!$B155*Loads!$B73*LAFs!G288/(24*Input!$F$60)*1000</f>
        <v>0</v>
      </c>
      <c r="H100" s="39">
        <f>Multi!$B155*Loads!$B73*LAFs!H288/(24*Input!$F$60)*1000</f>
        <v>-184.28345482783178</v>
      </c>
      <c r="I100" s="39">
        <f>Multi!$B155*Loads!$B73*LAFs!I288/(24*Input!$F$60)*1000</f>
        <v>0</v>
      </c>
      <c r="J100" s="39">
        <f>Multi!$B155*Loads!$B73*LAFs!J288/(24*Input!$F$60)*1000</f>
        <v>0</v>
      </c>
      <c r="K100" s="17"/>
    </row>
    <row r="101" spans="1:11">
      <c r="A101" s="4" t="s">
        <v>199</v>
      </c>
      <c r="B101" s="39">
        <f>Multi!$B156*Loads!$B74*LAFs!B289/(24*Input!$F$60)*1000</f>
        <v>0</v>
      </c>
      <c r="C101" s="39">
        <f>Multi!$B156*Loads!$B74*LAFs!C289/(24*Input!$F$60)*1000</f>
        <v>0</v>
      </c>
      <c r="D101" s="39">
        <f>Multi!$B156*Loads!$B74*LAFs!D289/(24*Input!$F$60)*1000</f>
        <v>0</v>
      </c>
      <c r="E101" s="39">
        <f>Multi!$B156*Loads!$B74*LAFs!E289/(24*Input!$F$60)*1000</f>
        <v>0</v>
      </c>
      <c r="F101" s="39">
        <f>Multi!$B156*Loads!$B74*LAFs!F289/(24*Input!$F$60)*1000</f>
        <v>0</v>
      </c>
      <c r="G101" s="39">
        <f>Multi!$B156*Loads!$B74*LAFs!G289/(24*Input!$F$60)*1000</f>
        <v>0</v>
      </c>
      <c r="H101" s="39">
        <f>Multi!$B156*Loads!$B74*LAFs!H289/(24*Input!$F$60)*1000</f>
        <v>0</v>
      </c>
      <c r="I101" s="39">
        <f>Multi!$B156*Loads!$B74*LAFs!I289/(24*Input!$F$60)*1000</f>
        <v>0</v>
      </c>
      <c r="J101" s="39">
        <f>Multi!$B156*Loads!$B74*LAFs!J289/(24*Input!$F$60)*1000</f>
        <v>0</v>
      </c>
      <c r="K101" s="17"/>
    </row>
    <row r="102" spans="1:11">
      <c r="A102" s="4" t="s">
        <v>207</v>
      </c>
      <c r="B102" s="39">
        <f>Multi!$B157*Loads!$B75*LAFs!B290/(24*Input!$F$60)*1000</f>
        <v>-47997.954923545411</v>
      </c>
      <c r="C102" s="39">
        <f>Multi!$B157*Loads!$B75*LAFs!C290/(24*Input!$F$60)*1000</f>
        <v>-47520.394819138106</v>
      </c>
      <c r="D102" s="39">
        <f>Multi!$B157*Loads!$B75*LAFs!D290/(24*Input!$F$60)*1000</f>
        <v>-47287.2877527858</v>
      </c>
      <c r="E102" s="39">
        <f>Multi!$B157*Loads!$B75*LAFs!E290/(24*Input!$F$60)*1000</f>
        <v>-46991.229070286005</v>
      </c>
      <c r="F102" s="39">
        <f>Multi!$B157*Loads!$B75*LAFs!F290/(24*Input!$F$60)*1000</f>
        <v>-46737.645430643228</v>
      </c>
      <c r="G102" s="39">
        <f>Multi!$B157*Loads!$B75*LAFs!G290/(24*Input!$F$60)*1000</f>
        <v>0</v>
      </c>
      <c r="H102" s="39">
        <f>Multi!$B157*Loads!$B75*LAFs!H290/(24*Input!$F$60)*1000</f>
        <v>0</v>
      </c>
      <c r="I102" s="39">
        <f>Multi!$B157*Loads!$B75*LAFs!I290/(24*Input!$F$60)*1000</f>
        <v>0</v>
      </c>
      <c r="J102" s="39">
        <f>Multi!$B157*Loads!$B75*LAFs!J290/(24*Input!$F$60)*1000</f>
        <v>0</v>
      </c>
      <c r="K102" s="17"/>
    </row>
    <row r="103" spans="1:11">
      <c r="A103" s="4" t="s">
        <v>208</v>
      </c>
      <c r="B103" s="39">
        <f>Multi!$B158*Loads!$B76*LAFs!B291/(24*Input!$F$60)*1000</f>
        <v>0</v>
      </c>
      <c r="C103" s="39">
        <f>Multi!$B158*Loads!$B76*LAFs!C291/(24*Input!$F$60)*1000</f>
        <v>0</v>
      </c>
      <c r="D103" s="39">
        <f>Multi!$B158*Loads!$B76*LAFs!D291/(24*Input!$F$60)*1000</f>
        <v>0</v>
      </c>
      <c r="E103" s="39">
        <f>Multi!$B158*Loads!$B76*LAFs!E291/(24*Input!$F$60)*1000</f>
        <v>0</v>
      </c>
      <c r="F103" s="39">
        <f>Multi!$B158*Loads!$B76*LAFs!F291/(24*Input!$F$60)*1000</f>
        <v>0</v>
      </c>
      <c r="G103" s="39">
        <f>Multi!$B158*Loads!$B76*LAFs!G291/(24*Input!$F$60)*1000</f>
        <v>0</v>
      </c>
      <c r="H103" s="39">
        <f>Multi!$B158*Loads!$B76*LAFs!H291/(24*Input!$F$60)*1000</f>
        <v>0</v>
      </c>
      <c r="I103" s="39">
        <f>Multi!$B158*Loads!$B76*LAFs!I291/(24*Input!$F$60)*1000</f>
        <v>0</v>
      </c>
      <c r="J103" s="39">
        <f>Multi!$B158*Loads!$B76*LAFs!J291/(24*Input!$F$60)*1000</f>
        <v>0</v>
      </c>
      <c r="K103" s="17"/>
    </row>
    <row r="104" spans="1:11">
      <c r="A104" s="4" t="s">
        <v>209</v>
      </c>
      <c r="B104" s="39">
        <f>Multi!$B159*Loads!$B77*LAFs!B292/(24*Input!$F$60)*1000</f>
        <v>-55513.555954469302</v>
      </c>
      <c r="C104" s="39">
        <f>Multi!$B159*Loads!$B77*LAFs!C292/(24*Input!$F$60)*1000</f>
        <v>-54961.218680519494</v>
      </c>
      <c r="D104" s="39">
        <f>Multi!$B159*Loads!$B77*LAFs!D292/(24*Input!$F$60)*1000</f>
        <v>-54691.611315123548</v>
      </c>
      <c r="E104" s="39">
        <f>Multi!$B159*Loads!$B77*LAFs!E292/(24*Input!$F$60)*1000</f>
        <v>-54349.195262961781</v>
      </c>
      <c r="F104" s="39">
        <f>Multi!$B159*Loads!$B77*LAFs!F292/(24*Input!$F$60)*1000</f>
        <v>-54055.905067767628</v>
      </c>
      <c r="G104" s="39">
        <f>Multi!$B159*Loads!$B77*LAFs!G292/(24*Input!$F$60)*1000</f>
        <v>0</v>
      </c>
      <c r="H104" s="39">
        <f>Multi!$B159*Loads!$B77*LAFs!H292/(24*Input!$F$60)*1000</f>
        <v>0</v>
      </c>
      <c r="I104" s="39">
        <f>Multi!$B159*Loads!$B77*LAFs!I292/(24*Input!$F$60)*1000</f>
        <v>0</v>
      </c>
      <c r="J104" s="39">
        <f>Multi!$B159*Loads!$B77*LAFs!J292/(24*Input!$F$60)*1000</f>
        <v>0</v>
      </c>
      <c r="K104" s="17"/>
    </row>
    <row r="105" spans="1:11">
      <c r="A105" s="4" t="s">
        <v>210</v>
      </c>
      <c r="B105" s="39">
        <f>Multi!$B160*Loads!$B78*LAFs!B293/(24*Input!$F$60)*1000</f>
        <v>0</v>
      </c>
      <c r="C105" s="39">
        <f>Multi!$B160*Loads!$B78*LAFs!C293/(24*Input!$F$60)*1000</f>
        <v>0</v>
      </c>
      <c r="D105" s="39">
        <f>Multi!$B160*Loads!$B78*LAFs!D293/(24*Input!$F$60)*1000</f>
        <v>0</v>
      </c>
      <c r="E105" s="39">
        <f>Multi!$B160*Loads!$B78*LAFs!E293/(24*Input!$F$60)*1000</f>
        <v>0</v>
      </c>
      <c r="F105" s="39">
        <f>Multi!$B160*Loads!$B78*LAFs!F293/(24*Input!$F$60)*1000</f>
        <v>0</v>
      </c>
      <c r="G105" s="39">
        <f>Multi!$B160*Loads!$B78*LAFs!G293/(24*Input!$F$60)*1000</f>
        <v>0</v>
      </c>
      <c r="H105" s="39">
        <f>Multi!$B160*Loads!$B78*LAFs!H293/(24*Input!$F$60)*1000</f>
        <v>0</v>
      </c>
      <c r="I105" s="39">
        <f>Multi!$B160*Loads!$B78*LAFs!I293/(24*Input!$F$60)*1000</f>
        <v>0</v>
      </c>
      <c r="J105" s="39">
        <f>Multi!$B160*Loads!$B78*LAFs!J293/(24*Input!$F$60)*1000</f>
        <v>0</v>
      </c>
      <c r="K105" s="17"/>
    </row>
    <row r="107" spans="1:11" ht="21" customHeight="1">
      <c r="A107" s="1" t="s">
        <v>843</v>
      </c>
    </row>
    <row r="108" spans="1:11">
      <c r="A108" s="2" t="s">
        <v>379</v>
      </c>
    </row>
    <row r="109" spans="1:11">
      <c r="A109" s="29" t="s">
        <v>844</v>
      </c>
    </row>
    <row r="110" spans="1:11">
      <c r="A110" s="29" t="s">
        <v>845</v>
      </c>
    </row>
    <row r="111" spans="1:11">
      <c r="A111" s="29" t="s">
        <v>846</v>
      </c>
    </row>
    <row r="112" spans="1:11">
      <c r="A112" s="29" t="s">
        <v>847</v>
      </c>
    </row>
    <row r="113" spans="1:11">
      <c r="A113" s="2" t="s">
        <v>848</v>
      </c>
    </row>
    <row r="115" spans="1:11">
      <c r="B115" s="15" t="s">
        <v>148</v>
      </c>
      <c r="C115" s="15" t="s">
        <v>149</v>
      </c>
      <c r="D115" s="15" t="s">
        <v>150</v>
      </c>
      <c r="E115" s="15" t="s">
        <v>151</v>
      </c>
      <c r="F115" s="15" t="s">
        <v>152</v>
      </c>
      <c r="G115" s="15" t="s">
        <v>157</v>
      </c>
      <c r="H115" s="15" t="s">
        <v>153</v>
      </c>
      <c r="I115" s="15" t="s">
        <v>154</v>
      </c>
      <c r="J115" s="15" t="s">
        <v>155</v>
      </c>
    </row>
    <row r="116" spans="1:11">
      <c r="A116" s="4" t="s">
        <v>180</v>
      </c>
      <c r="B116" s="41">
        <f t="shared" ref="B116:J116" si="0">B$12</f>
        <v>1632106.3677331202</v>
      </c>
      <c r="C116" s="41">
        <f t="shared" si="0"/>
        <v>1533691.7304403917</v>
      </c>
      <c r="D116" s="41">
        <f t="shared" si="0"/>
        <v>1526168.3421913579</v>
      </c>
      <c r="E116" s="41">
        <f t="shared" si="0"/>
        <v>1484157.8815842113</v>
      </c>
      <c r="F116" s="41">
        <f t="shared" si="0"/>
        <v>1476148.7665884381</v>
      </c>
      <c r="G116" s="41">
        <f t="shared" si="0"/>
        <v>0</v>
      </c>
      <c r="H116" s="41">
        <f t="shared" si="0"/>
        <v>1458575.2185788227</v>
      </c>
      <c r="I116" s="41">
        <f t="shared" si="0"/>
        <v>1439387.2013395648</v>
      </c>
      <c r="J116" s="41">
        <f t="shared" si="0"/>
        <v>1368734.0819926346</v>
      </c>
      <c r="K116" s="17"/>
    </row>
    <row r="117" spans="1:11">
      <c r="A117" s="4" t="s">
        <v>181</v>
      </c>
      <c r="B117" s="41">
        <f t="shared" ref="B117:J117" si="1">B$32</f>
        <v>147952.44415790547</v>
      </c>
      <c r="C117" s="41">
        <f t="shared" si="1"/>
        <v>147749.94904116311</v>
      </c>
      <c r="D117" s="41">
        <f t="shared" si="1"/>
        <v>147025.17481936273</v>
      </c>
      <c r="E117" s="41">
        <f t="shared" si="1"/>
        <v>143268.92623879196</v>
      </c>
      <c r="F117" s="41">
        <f t="shared" si="1"/>
        <v>142495.78928361664</v>
      </c>
      <c r="G117" s="41">
        <f t="shared" si="1"/>
        <v>0</v>
      </c>
      <c r="H117" s="41">
        <f t="shared" si="1"/>
        <v>140799.37720725723</v>
      </c>
      <c r="I117" s="41">
        <f t="shared" si="1"/>
        <v>138947.1169722575</v>
      </c>
      <c r="J117" s="41">
        <f t="shared" si="1"/>
        <v>132126.82064808806</v>
      </c>
      <c r="K117" s="17"/>
    </row>
    <row r="118" spans="1:11">
      <c r="A118" s="4" t="s">
        <v>226</v>
      </c>
      <c r="B118" s="41">
        <f t="shared" ref="B118:J118" si="2">B$13</f>
        <v>213.26442963715593</v>
      </c>
      <c r="C118" s="41">
        <f t="shared" si="2"/>
        <v>433.26490128328749</v>
      </c>
      <c r="D118" s="41">
        <f t="shared" si="2"/>
        <v>431.13955888081028</v>
      </c>
      <c r="E118" s="41">
        <f t="shared" si="2"/>
        <v>481.97011347325849</v>
      </c>
      <c r="F118" s="41">
        <f t="shared" si="2"/>
        <v>479.3692081981319</v>
      </c>
      <c r="G118" s="41">
        <f t="shared" si="2"/>
        <v>0</v>
      </c>
      <c r="H118" s="41">
        <f t="shared" si="2"/>
        <v>473.66231876714954</v>
      </c>
      <c r="I118" s="41">
        <f t="shared" si="2"/>
        <v>467.43114150435025</v>
      </c>
      <c r="J118" s="41">
        <f t="shared" si="2"/>
        <v>444.48702459373465</v>
      </c>
      <c r="K118" s="17"/>
    </row>
    <row r="119" spans="1:11">
      <c r="A119" s="4" t="s">
        <v>182</v>
      </c>
      <c r="B119" s="41">
        <f t="shared" ref="B119:J119" si="3">B$14</f>
        <v>318057.45684643654</v>
      </c>
      <c r="C119" s="41">
        <f t="shared" si="3"/>
        <v>317257.17213544989</v>
      </c>
      <c r="D119" s="41">
        <f t="shared" si="3"/>
        <v>315700.89532089065</v>
      </c>
      <c r="E119" s="41">
        <f t="shared" si="3"/>
        <v>321265.58488620113</v>
      </c>
      <c r="F119" s="41">
        <f t="shared" si="3"/>
        <v>319531.90611424233</v>
      </c>
      <c r="G119" s="41">
        <f t="shared" si="3"/>
        <v>0</v>
      </c>
      <c r="H119" s="41">
        <f t="shared" si="3"/>
        <v>315727.87943359802</v>
      </c>
      <c r="I119" s="41">
        <f t="shared" si="3"/>
        <v>311574.37955486774</v>
      </c>
      <c r="J119" s="41">
        <f t="shared" si="3"/>
        <v>296280.57827356632</v>
      </c>
      <c r="K119" s="17"/>
    </row>
    <row r="120" spans="1:11">
      <c r="A120" s="4" t="s">
        <v>183</v>
      </c>
      <c r="B120" s="41">
        <f t="shared" ref="B120:J120" si="4">B$33</f>
        <v>123874.63569995068</v>
      </c>
      <c r="C120" s="41">
        <f t="shared" si="4"/>
        <v>124164.90304588375</v>
      </c>
      <c r="D120" s="41">
        <f t="shared" si="4"/>
        <v>123555.82316758929</v>
      </c>
      <c r="E120" s="41">
        <f t="shared" si="4"/>
        <v>124453.8377069972</v>
      </c>
      <c r="F120" s="41">
        <f t="shared" si="4"/>
        <v>123782.23456407775</v>
      </c>
      <c r="G120" s="41">
        <f t="shared" si="4"/>
        <v>0</v>
      </c>
      <c r="H120" s="41">
        <f t="shared" si="4"/>
        <v>122308.60731790483</v>
      </c>
      <c r="I120" s="41">
        <f t="shared" si="4"/>
        <v>120699.59899537743</v>
      </c>
      <c r="J120" s="41">
        <f t="shared" si="4"/>
        <v>114774.99221479008</v>
      </c>
      <c r="K120" s="17"/>
    </row>
    <row r="121" spans="1:11">
      <c r="A121" s="4" t="s">
        <v>227</v>
      </c>
      <c r="B121" s="41">
        <f t="shared" ref="B121:J121" si="5">B$15</f>
        <v>165.89516253918117</v>
      </c>
      <c r="C121" s="41">
        <f t="shared" si="5"/>
        <v>465.23712028059867</v>
      </c>
      <c r="D121" s="41">
        <f t="shared" si="5"/>
        <v>462.95494100410974</v>
      </c>
      <c r="E121" s="41">
        <f t="shared" si="5"/>
        <v>510.93141315713342</v>
      </c>
      <c r="F121" s="41">
        <f t="shared" si="5"/>
        <v>508.17422101894903</v>
      </c>
      <c r="G121" s="41">
        <f t="shared" si="5"/>
        <v>0</v>
      </c>
      <c r="H121" s="41">
        <f t="shared" si="5"/>
        <v>502.12440796998072</v>
      </c>
      <c r="I121" s="41">
        <f t="shared" si="5"/>
        <v>495.51880294278993</v>
      </c>
      <c r="J121" s="41">
        <f t="shared" si="5"/>
        <v>471.19598758748941</v>
      </c>
      <c r="K121" s="17"/>
    </row>
    <row r="122" spans="1:11">
      <c r="A122" s="4" t="s">
        <v>184</v>
      </c>
      <c r="B122" s="41">
        <f t="shared" ref="B122:J122" si="6">B$34</f>
        <v>14.538888681930731</v>
      </c>
      <c r="C122" s="41">
        <f t="shared" si="6"/>
        <v>14.232032848967197</v>
      </c>
      <c r="D122" s="41">
        <f t="shared" si="6"/>
        <v>14.162218878812295</v>
      </c>
      <c r="E122" s="41">
        <f t="shared" si="6"/>
        <v>14.202671991716796</v>
      </c>
      <c r="F122" s="41">
        <f t="shared" si="6"/>
        <v>14.126028640870937</v>
      </c>
      <c r="G122" s="41">
        <f t="shared" si="6"/>
        <v>0</v>
      </c>
      <c r="H122" s="41">
        <f t="shared" si="6"/>
        <v>13.957858299151741</v>
      </c>
      <c r="I122" s="41">
        <f t="shared" si="6"/>
        <v>13.774238268963515</v>
      </c>
      <c r="J122" s="41">
        <f t="shared" si="6"/>
        <v>13.098122141611242</v>
      </c>
      <c r="K122" s="17"/>
    </row>
    <row r="123" spans="1:11">
      <c r="A123" s="4" t="s">
        <v>185</v>
      </c>
      <c r="B123" s="41">
        <f t="shared" ref="B123:J123" si="7">B$35</f>
        <v>7.4525671338120769E-2</v>
      </c>
      <c r="C123" s="41">
        <f t="shared" si="7"/>
        <v>8.2483446008526931E-2</v>
      </c>
      <c r="D123" s="41">
        <f t="shared" si="7"/>
        <v>8.2078830807099101E-2</v>
      </c>
      <c r="E123" s="41">
        <f t="shared" si="7"/>
        <v>8.261714404749966E-2</v>
      </c>
      <c r="F123" s="41">
        <f t="shared" si="7"/>
        <v>8.2171308590565331E-2</v>
      </c>
      <c r="G123" s="41">
        <f t="shared" si="7"/>
        <v>0</v>
      </c>
      <c r="H123" s="41">
        <f t="shared" si="7"/>
        <v>8.119305933194447E-2</v>
      </c>
      <c r="I123" s="41">
        <f t="shared" si="7"/>
        <v>8.01249390167732E-2</v>
      </c>
      <c r="J123" s="41">
        <f t="shared" si="7"/>
        <v>0</v>
      </c>
      <c r="K123" s="17"/>
    </row>
    <row r="124" spans="1:11">
      <c r="A124" s="4" t="s">
        <v>205</v>
      </c>
      <c r="B124" s="41">
        <f t="shared" ref="B124:J124" si="8">B$36</f>
        <v>0.29958294366198318</v>
      </c>
      <c r="C124" s="41">
        <f t="shared" si="8"/>
        <v>0.34079628645986243</v>
      </c>
      <c r="D124" s="41">
        <f t="shared" si="8"/>
        <v>0.33912454061551967</v>
      </c>
      <c r="E124" s="41">
        <f t="shared" si="8"/>
        <v>0.34222268054853194</v>
      </c>
      <c r="F124" s="41">
        <f t="shared" si="8"/>
        <v>0.34037590882923935</v>
      </c>
      <c r="G124" s="41">
        <f t="shared" si="8"/>
        <v>0</v>
      </c>
      <c r="H124" s="41">
        <f t="shared" si="8"/>
        <v>0.33632373433943419</v>
      </c>
      <c r="I124" s="41">
        <f t="shared" si="8"/>
        <v>0</v>
      </c>
      <c r="J124" s="41">
        <f t="shared" si="8"/>
        <v>0</v>
      </c>
      <c r="K124" s="17"/>
    </row>
    <row r="125" spans="1:11">
      <c r="A125" s="4" t="s">
        <v>186</v>
      </c>
      <c r="B125" s="41">
        <f t="shared" ref="B125:J125" si="9">B$51</f>
        <v>139.72472885180684</v>
      </c>
      <c r="C125" s="41">
        <f t="shared" si="9"/>
        <v>135.22461034588744</v>
      </c>
      <c r="D125" s="41">
        <f t="shared" si="9"/>
        <v>134.56127805800693</v>
      </c>
      <c r="E125" s="41">
        <f t="shared" si="9"/>
        <v>132.6419255825646</v>
      </c>
      <c r="F125" s="41">
        <f t="shared" si="9"/>
        <v>131.92613621242188</v>
      </c>
      <c r="G125" s="41">
        <f t="shared" si="9"/>
        <v>0</v>
      </c>
      <c r="H125" s="41">
        <f t="shared" si="9"/>
        <v>130.35555583398875</v>
      </c>
      <c r="I125" s="41">
        <f t="shared" si="9"/>
        <v>128.64068736459797</v>
      </c>
      <c r="J125" s="41">
        <f t="shared" si="9"/>
        <v>122.32628785570728</v>
      </c>
      <c r="K125" s="17"/>
    </row>
    <row r="126" spans="1:11">
      <c r="A126" s="4" t="s">
        <v>187</v>
      </c>
      <c r="B126" s="41">
        <f t="shared" ref="B126:J126" si="10">B$52</f>
        <v>42458.790371687603</v>
      </c>
      <c r="C126" s="41">
        <f t="shared" si="10"/>
        <v>41921.33697430553</v>
      </c>
      <c r="D126" s="41">
        <f t="shared" si="10"/>
        <v>41715.695587763184</v>
      </c>
      <c r="E126" s="41">
        <f t="shared" si="10"/>
        <v>41898.896154781323</v>
      </c>
      <c r="F126" s="41">
        <f t="shared" si="10"/>
        <v>41672.792799024188</v>
      </c>
      <c r="G126" s="41">
        <f t="shared" si="10"/>
        <v>0</v>
      </c>
      <c r="H126" s="41">
        <f t="shared" si="10"/>
        <v>41176.678287042494</v>
      </c>
      <c r="I126" s="41">
        <f t="shared" si="10"/>
        <v>40634.986091286562</v>
      </c>
      <c r="J126" s="41">
        <f t="shared" si="10"/>
        <v>38640.395254785704</v>
      </c>
      <c r="K126" s="17"/>
    </row>
    <row r="127" spans="1:11">
      <c r="A127" s="4" t="s">
        <v>188</v>
      </c>
      <c r="B127" s="41">
        <f t="shared" ref="B127:J127" si="11">B$53</f>
        <v>450748.00924043811</v>
      </c>
      <c r="C127" s="41">
        <f t="shared" si="11"/>
        <v>443046.33542682015</v>
      </c>
      <c r="D127" s="41">
        <f t="shared" si="11"/>
        <v>440873.01106992958</v>
      </c>
      <c r="E127" s="41">
        <f t="shared" si="11"/>
        <v>442501.88669000566</v>
      </c>
      <c r="F127" s="41">
        <f t="shared" si="11"/>
        <v>440113.96789758996</v>
      </c>
      <c r="G127" s="41">
        <f t="shared" si="11"/>
        <v>0</v>
      </c>
      <c r="H127" s="41">
        <f t="shared" si="11"/>
        <v>434874.41202110087</v>
      </c>
      <c r="I127" s="41">
        <f t="shared" si="11"/>
        <v>429153.50191068271</v>
      </c>
      <c r="J127" s="41">
        <f t="shared" si="11"/>
        <v>408088.26417588117</v>
      </c>
      <c r="K127" s="17"/>
    </row>
    <row r="128" spans="1:11">
      <c r="A128" s="4" t="s">
        <v>189</v>
      </c>
      <c r="B128" s="41">
        <f t="shared" ref="B128:J128" si="12">B$54</f>
        <v>201506.26546620313</v>
      </c>
      <c r="C128" s="41">
        <f t="shared" si="12"/>
        <v>199432.20120720429</v>
      </c>
      <c r="D128" s="41">
        <f t="shared" si="12"/>
        <v>198453.90429833959</v>
      </c>
      <c r="E128" s="41">
        <f t="shared" si="12"/>
        <v>199749.54805765094</v>
      </c>
      <c r="F128" s="41">
        <f t="shared" si="12"/>
        <v>198671.61886925503</v>
      </c>
      <c r="G128" s="41">
        <f t="shared" si="12"/>
        <v>0</v>
      </c>
      <c r="H128" s="41">
        <f t="shared" si="12"/>
        <v>196306.43365800031</v>
      </c>
      <c r="I128" s="41">
        <f t="shared" si="12"/>
        <v>193723.96058069338</v>
      </c>
      <c r="J128" s="41">
        <f t="shared" si="12"/>
        <v>0</v>
      </c>
      <c r="K128" s="17"/>
    </row>
    <row r="129" spans="1:11">
      <c r="A129" s="4" t="s">
        <v>206</v>
      </c>
      <c r="B129" s="41">
        <f t="shared" ref="B129:J129" si="13">B$55</f>
        <v>648456.67123612808</v>
      </c>
      <c r="C129" s="41">
        <f t="shared" si="13"/>
        <v>639326.06628471648</v>
      </c>
      <c r="D129" s="41">
        <f t="shared" si="13"/>
        <v>636189.90918161569</v>
      </c>
      <c r="E129" s="41">
        <f t="shared" si="13"/>
        <v>635720.30603732506</v>
      </c>
      <c r="F129" s="41">
        <f t="shared" si="13"/>
        <v>632289.70266326482</v>
      </c>
      <c r="G129" s="41">
        <f t="shared" si="13"/>
        <v>0</v>
      </c>
      <c r="H129" s="41">
        <f t="shared" si="13"/>
        <v>624762.29506232322</v>
      </c>
      <c r="I129" s="41">
        <f t="shared" si="13"/>
        <v>0</v>
      </c>
      <c r="J129" s="41">
        <f t="shared" si="13"/>
        <v>0</v>
      </c>
      <c r="K129" s="17"/>
    </row>
    <row r="130" spans="1:11">
      <c r="A130" s="4" t="s">
        <v>228</v>
      </c>
      <c r="B130" s="41">
        <f t="shared" ref="B130:J130" si="14">B$16</f>
        <v>2693.5762112692364</v>
      </c>
      <c r="C130" s="41">
        <f t="shared" si="14"/>
        <v>2670.2710166742031</v>
      </c>
      <c r="D130" s="41">
        <f t="shared" si="14"/>
        <v>2657.1722399188411</v>
      </c>
      <c r="E130" s="41">
        <f t="shared" si="14"/>
        <v>2642.2179717990593</v>
      </c>
      <c r="F130" s="41">
        <f t="shared" si="14"/>
        <v>2627.9594971161309</v>
      </c>
      <c r="G130" s="41">
        <f t="shared" si="14"/>
        <v>0</v>
      </c>
      <c r="H130" s="41">
        <f t="shared" si="14"/>
        <v>2596.6736447446051</v>
      </c>
      <c r="I130" s="41">
        <f t="shared" si="14"/>
        <v>2562.5135835935371</v>
      </c>
      <c r="J130" s="41">
        <f t="shared" si="14"/>
        <v>2436.7311826653709</v>
      </c>
      <c r="K130" s="17"/>
    </row>
    <row r="131" spans="1:11">
      <c r="A131" s="4" t="s">
        <v>229</v>
      </c>
      <c r="B131" s="41">
        <f t="shared" ref="B131:J131" si="15">B$17</f>
        <v>2152.3617502085795</v>
      </c>
      <c r="C131" s="41">
        <f t="shared" si="15"/>
        <v>1788.8406101922822</v>
      </c>
      <c r="D131" s="41">
        <f t="shared" si="15"/>
        <v>1780.0656118278778</v>
      </c>
      <c r="E131" s="41">
        <f t="shared" si="15"/>
        <v>1553.9501166523805</v>
      </c>
      <c r="F131" s="41">
        <f t="shared" si="15"/>
        <v>1545.5643745851826</v>
      </c>
      <c r="G131" s="41">
        <f t="shared" si="15"/>
        <v>0</v>
      </c>
      <c r="H131" s="41">
        <f t="shared" si="15"/>
        <v>1527.1644339061031</v>
      </c>
      <c r="I131" s="41">
        <f t="shared" si="15"/>
        <v>1507.0741038965725</v>
      </c>
      <c r="J131" s="41">
        <f t="shared" si="15"/>
        <v>1433.0985353850715</v>
      </c>
      <c r="K131" s="17"/>
    </row>
    <row r="132" spans="1:11">
      <c r="A132" s="4" t="s">
        <v>230</v>
      </c>
      <c r="B132" s="41">
        <f t="shared" ref="B132:J132" si="16">B$18</f>
        <v>181.26091095426003</v>
      </c>
      <c r="C132" s="41">
        <f t="shared" si="16"/>
        <v>144.4247849813749</v>
      </c>
      <c r="D132" s="41">
        <f t="shared" si="16"/>
        <v>143.71632205585195</v>
      </c>
      <c r="E132" s="41">
        <f t="shared" si="16"/>
        <v>124.38957776887608</v>
      </c>
      <c r="F132" s="41">
        <f t="shared" si="16"/>
        <v>123.71832139852066</v>
      </c>
      <c r="G132" s="41">
        <f t="shared" si="16"/>
        <v>0</v>
      </c>
      <c r="H132" s="41">
        <f t="shared" si="16"/>
        <v>122.24545503845134</v>
      </c>
      <c r="I132" s="41">
        <f t="shared" si="16"/>
        <v>120.63727750408721</v>
      </c>
      <c r="J132" s="41">
        <f t="shared" si="16"/>
        <v>114.71572980847567</v>
      </c>
      <c r="K132" s="17"/>
    </row>
    <row r="133" spans="1:11">
      <c r="A133" s="4" t="s">
        <v>231</v>
      </c>
      <c r="B133" s="41">
        <f t="shared" ref="B133:J133" si="17">B$19</f>
        <v>5.6083898945153352E-3</v>
      </c>
      <c r="C133" s="41">
        <f t="shared" si="17"/>
        <v>6.8893535561086322E-3</v>
      </c>
      <c r="D133" s="41">
        <f t="shared" si="17"/>
        <v>6.8555584455536672E-3</v>
      </c>
      <c r="E133" s="41">
        <f t="shared" si="17"/>
        <v>7.6848305657504787E-3</v>
      </c>
      <c r="F133" s="41">
        <f t="shared" si="17"/>
        <v>7.643360118106169E-3</v>
      </c>
      <c r="G133" s="41">
        <f t="shared" si="17"/>
        <v>0</v>
      </c>
      <c r="H133" s="41">
        <f t="shared" si="17"/>
        <v>7.5523659317270056E-3</v>
      </c>
      <c r="I133" s="41">
        <f t="shared" si="17"/>
        <v>7.4530121748214422E-3</v>
      </c>
      <c r="J133" s="41">
        <f t="shared" si="17"/>
        <v>7.0871769373038896E-3</v>
      </c>
      <c r="K133" s="17"/>
    </row>
    <row r="134" spans="1:11">
      <c r="A134" s="4" t="s">
        <v>232</v>
      </c>
      <c r="B134" s="41">
        <f t="shared" ref="B134:J134" si="18">B$56</f>
        <v>49902.456020908103</v>
      </c>
      <c r="C134" s="41">
        <f t="shared" si="18"/>
        <v>42137.669974192511</v>
      </c>
      <c r="D134" s="41">
        <f t="shared" si="18"/>
        <v>41930.967385377953</v>
      </c>
      <c r="E134" s="41">
        <f t="shared" si="18"/>
        <v>37213.890309811679</v>
      </c>
      <c r="F134" s="41">
        <f t="shared" si="18"/>
        <v>37013.069136653728</v>
      </c>
      <c r="G134" s="41">
        <f t="shared" si="18"/>
        <v>0</v>
      </c>
      <c r="H134" s="41">
        <f t="shared" si="18"/>
        <v>36572.428625223794</v>
      </c>
      <c r="I134" s="41">
        <f t="shared" si="18"/>
        <v>36091.306786594119</v>
      </c>
      <c r="J134" s="41">
        <f t="shared" si="18"/>
        <v>34319.744969588392</v>
      </c>
      <c r="K134" s="17"/>
    </row>
    <row r="135" spans="1:11">
      <c r="A135" s="4" t="s">
        <v>190</v>
      </c>
      <c r="B135" s="41">
        <f t="shared" ref="B135:J135" si="19">B92</f>
        <v>-411.03122660958343</v>
      </c>
      <c r="C135" s="41">
        <f t="shared" si="19"/>
        <v>-406.94163329655572</v>
      </c>
      <c r="D135" s="41">
        <f t="shared" si="19"/>
        <v>-404.94541734179745</v>
      </c>
      <c r="E135" s="41">
        <f t="shared" si="19"/>
        <v>-402.41011425211076</v>
      </c>
      <c r="F135" s="41">
        <f t="shared" si="19"/>
        <v>-400.23854684644692</v>
      </c>
      <c r="G135" s="41">
        <f t="shared" si="19"/>
        <v>0</v>
      </c>
      <c r="H135" s="41">
        <f t="shared" si="19"/>
        <v>-395.47370777500277</v>
      </c>
      <c r="I135" s="41">
        <f t="shared" si="19"/>
        <v>-390.27112636144108</v>
      </c>
      <c r="J135" s="41">
        <f t="shared" si="19"/>
        <v>0</v>
      </c>
      <c r="K135" s="17"/>
    </row>
    <row r="136" spans="1:11">
      <c r="A136" s="4" t="s">
        <v>191</v>
      </c>
      <c r="B136" s="41">
        <f t="shared" ref="B136:J136" si="20">B93</f>
        <v>-0.11508090594022165</v>
      </c>
      <c r="C136" s="41">
        <f t="shared" si="20"/>
        <v>-0.11393589779261119</v>
      </c>
      <c r="D136" s="41">
        <f t="shared" si="20"/>
        <v>-0.11337699538896459</v>
      </c>
      <c r="E136" s="41">
        <f t="shared" si="20"/>
        <v>-0.11266715886680831</v>
      </c>
      <c r="F136" s="41">
        <f t="shared" si="20"/>
        <v>-0.11205916140049554</v>
      </c>
      <c r="G136" s="41">
        <f t="shared" si="20"/>
        <v>0</v>
      </c>
      <c r="H136" s="41">
        <f t="shared" si="20"/>
        <v>-0.11072509731606041</v>
      </c>
      <c r="I136" s="41">
        <f t="shared" si="20"/>
        <v>0</v>
      </c>
      <c r="J136" s="41">
        <f t="shared" si="20"/>
        <v>0</v>
      </c>
      <c r="K136" s="17"/>
    </row>
    <row r="137" spans="1:11">
      <c r="A137" s="4" t="s">
        <v>192</v>
      </c>
      <c r="B137" s="41">
        <f t="shared" ref="B137:J137" si="21">B94</f>
        <v>-2607.9760304982619</v>
      </c>
      <c r="C137" s="41">
        <f t="shared" si="21"/>
        <v>-2582.0277310884148</v>
      </c>
      <c r="D137" s="41">
        <f t="shared" si="21"/>
        <v>-2569.3618239147663</v>
      </c>
      <c r="E137" s="41">
        <f t="shared" si="21"/>
        <v>-2553.2754313005348</v>
      </c>
      <c r="F137" s="41">
        <f t="shared" si="21"/>
        <v>-2539.4969264669789</v>
      </c>
      <c r="G137" s="41">
        <f t="shared" si="21"/>
        <v>0</v>
      </c>
      <c r="H137" s="41">
        <f t="shared" si="21"/>
        <v>-2509.264220815855</v>
      </c>
      <c r="I137" s="41">
        <f t="shared" si="21"/>
        <v>-2476.2540582177407</v>
      </c>
      <c r="J137" s="41">
        <f t="shared" si="21"/>
        <v>0</v>
      </c>
      <c r="K137" s="17"/>
    </row>
    <row r="138" spans="1:11">
      <c r="A138" s="4" t="s">
        <v>193</v>
      </c>
      <c r="B138" s="41">
        <f t="shared" ref="B138:J138" si="22">B95</f>
        <v>0</v>
      </c>
      <c r="C138" s="41">
        <f t="shared" si="22"/>
        <v>0</v>
      </c>
      <c r="D138" s="41">
        <f t="shared" si="22"/>
        <v>0</v>
      </c>
      <c r="E138" s="41">
        <f t="shared" si="22"/>
        <v>0</v>
      </c>
      <c r="F138" s="41">
        <f t="shared" si="22"/>
        <v>0</v>
      </c>
      <c r="G138" s="41">
        <f t="shared" si="22"/>
        <v>0</v>
      </c>
      <c r="H138" s="41">
        <f t="shared" si="22"/>
        <v>0</v>
      </c>
      <c r="I138" s="41">
        <f t="shared" si="22"/>
        <v>0</v>
      </c>
      <c r="J138" s="41">
        <f t="shared" si="22"/>
        <v>0</v>
      </c>
      <c r="K138" s="17"/>
    </row>
    <row r="139" spans="1:11">
      <c r="A139" s="4" t="s">
        <v>194</v>
      </c>
      <c r="B139" s="41">
        <f t="shared" ref="B139:J139" si="23">B$57</f>
        <v>-712.95475797712493</v>
      </c>
      <c r="C139" s="41">
        <f t="shared" si="23"/>
        <v>-714.81773715462555</v>
      </c>
      <c r="D139" s="41">
        <f t="shared" si="23"/>
        <v>-711.31126238060699</v>
      </c>
      <c r="E139" s="41">
        <f t="shared" si="23"/>
        <v>-710.78601347897541</v>
      </c>
      <c r="F139" s="41">
        <f t="shared" si="23"/>
        <v>-706.95032524797421</v>
      </c>
      <c r="G139" s="41">
        <f t="shared" si="23"/>
        <v>0</v>
      </c>
      <c r="H139" s="41">
        <f t="shared" si="23"/>
        <v>-698.53408308975929</v>
      </c>
      <c r="I139" s="41">
        <f t="shared" si="23"/>
        <v>-689.34464681125519</v>
      </c>
      <c r="J139" s="41">
        <f t="shared" si="23"/>
        <v>0</v>
      </c>
      <c r="K139" s="17"/>
    </row>
    <row r="140" spans="1:11">
      <c r="A140" s="4" t="s">
        <v>195</v>
      </c>
      <c r="B140" s="41">
        <f t="shared" ref="B140:J140" si="24">B$58</f>
        <v>0</v>
      </c>
      <c r="C140" s="41">
        <f t="shared" si="24"/>
        <v>0</v>
      </c>
      <c r="D140" s="41">
        <f t="shared" si="24"/>
        <v>0</v>
      </c>
      <c r="E140" s="41">
        <f t="shared" si="24"/>
        <v>0</v>
      </c>
      <c r="F140" s="41">
        <f t="shared" si="24"/>
        <v>0</v>
      </c>
      <c r="G140" s="41">
        <f t="shared" si="24"/>
        <v>0</v>
      </c>
      <c r="H140" s="41">
        <f t="shared" si="24"/>
        <v>0</v>
      </c>
      <c r="I140" s="41">
        <f t="shared" si="24"/>
        <v>0</v>
      </c>
      <c r="J140" s="41">
        <f t="shared" si="24"/>
        <v>0</v>
      </c>
      <c r="K140" s="17"/>
    </row>
    <row r="141" spans="1:11">
      <c r="A141" s="4" t="s">
        <v>196</v>
      </c>
      <c r="B141" s="41">
        <f t="shared" ref="B141:J141" si="25">B98</f>
        <v>-501.48803228452721</v>
      </c>
      <c r="C141" s="41">
        <f t="shared" si="25"/>
        <v>-496.49843059340759</v>
      </c>
      <c r="D141" s="41">
        <f t="shared" si="25"/>
        <v>-494.06290174217116</v>
      </c>
      <c r="E141" s="41">
        <f t="shared" si="25"/>
        <v>-490.96964732405974</v>
      </c>
      <c r="F141" s="41">
        <f t="shared" si="25"/>
        <v>-488.32017693169473</v>
      </c>
      <c r="G141" s="41">
        <f t="shared" si="25"/>
        <v>0</v>
      </c>
      <c r="H141" s="41">
        <f t="shared" si="25"/>
        <v>-482.50672623647381</v>
      </c>
      <c r="I141" s="41">
        <f t="shared" si="25"/>
        <v>0</v>
      </c>
      <c r="J141" s="41">
        <f t="shared" si="25"/>
        <v>0</v>
      </c>
      <c r="K141" s="17"/>
    </row>
    <row r="142" spans="1:11">
      <c r="A142" s="4" t="s">
        <v>197</v>
      </c>
      <c r="B142" s="41">
        <f t="shared" ref="B142:J142" si="26">B99</f>
        <v>0</v>
      </c>
      <c r="C142" s="41">
        <f t="shared" si="26"/>
        <v>0</v>
      </c>
      <c r="D142" s="41">
        <f t="shared" si="26"/>
        <v>0</v>
      </c>
      <c r="E142" s="41">
        <f t="shared" si="26"/>
        <v>0</v>
      </c>
      <c r="F142" s="41">
        <f t="shared" si="26"/>
        <v>0</v>
      </c>
      <c r="G142" s="41">
        <f t="shared" si="26"/>
        <v>0</v>
      </c>
      <c r="H142" s="41">
        <f t="shared" si="26"/>
        <v>0</v>
      </c>
      <c r="I142" s="41">
        <f t="shared" si="26"/>
        <v>0</v>
      </c>
      <c r="J142" s="41">
        <f t="shared" si="26"/>
        <v>0</v>
      </c>
      <c r="K142" s="17"/>
    </row>
    <row r="143" spans="1:11">
      <c r="A143" s="4" t="s">
        <v>198</v>
      </c>
      <c r="B143" s="41">
        <f t="shared" ref="B143:J143" si="27">B$59</f>
        <v>-208.63117628674263</v>
      </c>
      <c r="C143" s="41">
        <f t="shared" si="27"/>
        <v>-200.79894167085209</v>
      </c>
      <c r="D143" s="41">
        <f t="shared" si="27"/>
        <v>-199.81394033831498</v>
      </c>
      <c r="E143" s="41">
        <f t="shared" si="27"/>
        <v>-195.0930313358503</v>
      </c>
      <c r="F143" s="41">
        <f t="shared" si="27"/>
        <v>-194.04023059124557</v>
      </c>
      <c r="G143" s="41">
        <f t="shared" si="27"/>
        <v>0</v>
      </c>
      <c r="H143" s="41">
        <f t="shared" si="27"/>
        <v>-191.73018204785046</v>
      </c>
      <c r="I143" s="41">
        <f t="shared" si="27"/>
        <v>0</v>
      </c>
      <c r="J143" s="41">
        <f t="shared" si="27"/>
        <v>0</v>
      </c>
      <c r="K143" s="17"/>
    </row>
    <row r="144" spans="1:11">
      <c r="A144" s="4" t="s">
        <v>199</v>
      </c>
      <c r="B144" s="41">
        <f t="shared" ref="B144:J144" si="28">B$60</f>
        <v>0</v>
      </c>
      <c r="C144" s="41">
        <f t="shared" si="28"/>
        <v>0</v>
      </c>
      <c r="D144" s="41">
        <f t="shared" si="28"/>
        <v>0</v>
      </c>
      <c r="E144" s="41">
        <f t="shared" si="28"/>
        <v>0</v>
      </c>
      <c r="F144" s="41">
        <f t="shared" si="28"/>
        <v>0</v>
      </c>
      <c r="G144" s="41">
        <f t="shared" si="28"/>
        <v>0</v>
      </c>
      <c r="H144" s="41">
        <f t="shared" si="28"/>
        <v>0</v>
      </c>
      <c r="I144" s="41">
        <f t="shared" si="28"/>
        <v>0</v>
      </c>
      <c r="J144" s="41">
        <f t="shared" si="28"/>
        <v>0</v>
      </c>
      <c r="K144" s="17"/>
    </row>
    <row r="145" spans="1:11">
      <c r="A145" s="4" t="s">
        <v>207</v>
      </c>
      <c r="B145" s="41">
        <f t="shared" ref="B145:J145" si="29">B102</f>
        <v>-47997.954923545411</v>
      </c>
      <c r="C145" s="41">
        <f t="shared" si="29"/>
        <v>-47520.394819138106</v>
      </c>
      <c r="D145" s="41">
        <f t="shared" si="29"/>
        <v>-47287.2877527858</v>
      </c>
      <c r="E145" s="41">
        <f t="shared" si="29"/>
        <v>-46991.229070286005</v>
      </c>
      <c r="F145" s="41">
        <f t="shared" si="29"/>
        <v>-46737.645430643228</v>
      </c>
      <c r="G145" s="41">
        <f t="shared" si="29"/>
        <v>0</v>
      </c>
      <c r="H145" s="41">
        <f t="shared" si="29"/>
        <v>0</v>
      </c>
      <c r="I145" s="41">
        <f t="shared" si="29"/>
        <v>0</v>
      </c>
      <c r="J145" s="41">
        <f t="shared" si="29"/>
        <v>0</v>
      </c>
      <c r="K145" s="17"/>
    </row>
    <row r="146" spans="1:11">
      <c r="A146" s="4" t="s">
        <v>208</v>
      </c>
      <c r="B146" s="41">
        <f t="shared" ref="B146:J146" si="30">B103</f>
        <v>0</v>
      </c>
      <c r="C146" s="41">
        <f t="shared" si="30"/>
        <v>0</v>
      </c>
      <c r="D146" s="41">
        <f t="shared" si="30"/>
        <v>0</v>
      </c>
      <c r="E146" s="41">
        <f t="shared" si="30"/>
        <v>0</v>
      </c>
      <c r="F146" s="41">
        <f t="shared" si="30"/>
        <v>0</v>
      </c>
      <c r="G146" s="41">
        <f t="shared" si="30"/>
        <v>0</v>
      </c>
      <c r="H146" s="41">
        <f t="shared" si="30"/>
        <v>0</v>
      </c>
      <c r="I146" s="41">
        <f t="shared" si="30"/>
        <v>0</v>
      </c>
      <c r="J146" s="41">
        <f t="shared" si="30"/>
        <v>0</v>
      </c>
      <c r="K146" s="17"/>
    </row>
    <row r="147" spans="1:11">
      <c r="A147" s="4" t="s">
        <v>209</v>
      </c>
      <c r="B147" s="41">
        <f t="shared" ref="B147:J147" si="31">B$61</f>
        <v>-68283.993034939456</v>
      </c>
      <c r="C147" s="41">
        <f t="shared" si="31"/>
        <v>-64710.080357533428</v>
      </c>
      <c r="D147" s="41">
        <f t="shared" si="31"/>
        <v>-64392.650819058887</v>
      </c>
      <c r="E147" s="41">
        <f t="shared" si="31"/>
        <v>-62606.293758746586</v>
      </c>
      <c r="F147" s="41">
        <f t="shared" si="31"/>
        <v>-62268.444927166929</v>
      </c>
      <c r="G147" s="41">
        <f t="shared" si="31"/>
        <v>0</v>
      </c>
      <c r="H147" s="41">
        <f t="shared" si="31"/>
        <v>0</v>
      </c>
      <c r="I147" s="41">
        <f t="shared" si="31"/>
        <v>0</v>
      </c>
      <c r="J147" s="41">
        <f t="shared" si="31"/>
        <v>0</v>
      </c>
      <c r="K147" s="17"/>
    </row>
    <row r="148" spans="1:11">
      <c r="A148" s="4" t="s">
        <v>210</v>
      </c>
      <c r="B148" s="41">
        <f t="shared" ref="B148:J148" si="32">B$62</f>
        <v>0</v>
      </c>
      <c r="C148" s="41">
        <f t="shared" si="32"/>
        <v>0</v>
      </c>
      <c r="D148" s="41">
        <f t="shared" si="32"/>
        <v>0</v>
      </c>
      <c r="E148" s="41">
        <f t="shared" si="32"/>
        <v>0</v>
      </c>
      <c r="F148" s="41">
        <f t="shared" si="32"/>
        <v>0</v>
      </c>
      <c r="G148" s="41">
        <f t="shared" si="32"/>
        <v>0</v>
      </c>
      <c r="H148" s="41">
        <f t="shared" si="32"/>
        <v>0</v>
      </c>
      <c r="I148" s="41">
        <f t="shared" si="32"/>
        <v>0</v>
      </c>
      <c r="J148" s="41">
        <f t="shared" si="32"/>
        <v>0</v>
      </c>
      <c r="K148" s="17"/>
    </row>
    <row r="150" spans="1:11" ht="21" customHeight="1">
      <c r="A150" s="1" t="s">
        <v>849</v>
      </c>
    </row>
    <row r="151" spans="1:11">
      <c r="A151" s="2" t="s">
        <v>379</v>
      </c>
    </row>
    <row r="152" spans="1:11">
      <c r="A152" s="29" t="s">
        <v>850</v>
      </c>
    </row>
    <row r="153" spans="1:11">
      <c r="A153" s="2" t="s">
        <v>851</v>
      </c>
    </row>
    <row r="155" spans="1:11">
      <c r="B155" s="15" t="s">
        <v>148</v>
      </c>
      <c r="C155" s="15" t="s">
        <v>149</v>
      </c>
      <c r="D155" s="15" t="s">
        <v>150</v>
      </c>
      <c r="E155" s="15" t="s">
        <v>151</v>
      </c>
      <c r="F155" s="15" t="s">
        <v>152</v>
      </c>
      <c r="G155" s="15" t="s">
        <v>157</v>
      </c>
      <c r="H155" s="15" t="s">
        <v>153</v>
      </c>
      <c r="I155" s="15" t="s">
        <v>154</v>
      </c>
      <c r="J155" s="15" t="s">
        <v>155</v>
      </c>
    </row>
    <row r="156" spans="1:11" ht="30">
      <c r="A156" s="4" t="s">
        <v>852</v>
      </c>
      <c r="B156" s="39">
        <f t="shared" ref="B156:J156" si="33">SUM(B$116:B$148)</f>
        <v>3499899.9543088782</v>
      </c>
      <c r="C156" s="39">
        <f t="shared" si="33"/>
        <v>3377747.6161894463</v>
      </c>
      <c r="D156" s="39">
        <f t="shared" si="33"/>
        <v>3361178.3759572231</v>
      </c>
      <c r="E156" s="39">
        <f t="shared" si="33"/>
        <v>3321741.3242469742</v>
      </c>
      <c r="F156" s="39">
        <f t="shared" si="33"/>
        <v>3303815.8672708538</v>
      </c>
      <c r="G156" s="39">
        <f t="shared" si="33"/>
        <v>0</v>
      </c>
      <c r="H156" s="39">
        <f t="shared" si="33"/>
        <v>3372192.3192899297</v>
      </c>
      <c r="I156" s="39">
        <f t="shared" si="33"/>
        <v>2711951.8598129596</v>
      </c>
      <c r="J156" s="39">
        <f t="shared" si="33"/>
        <v>2398000.5374865485</v>
      </c>
      <c r="K156" s="17"/>
    </row>
  </sheetData>
  <sheetProtection sheet="1" objects="1" scenarios="1"/>
  <hyperlinks>
    <hyperlink ref="A5" location="'Loads'!B333" display="x1 = 2305. Rate 1 units (MWh) (in Equivalent volume for each end user)"/>
    <hyperlink ref="A6" location="'Multi'!B881" display="x2 = 2460. Unit rate 1 pseudo load coefficient by network level (combined)"/>
    <hyperlink ref="A7" location="'LAFs'!B260" display="x3 = 2012. Loss adjustment factors between end user meter reading and each network level, scaled by network use"/>
    <hyperlink ref="A8" location="'Input'!F59" display="x4 = 1010. Days in the charging year (in Financial and general assumptions)"/>
    <hyperlink ref="A23" location="'Loads'!B333" display="x1 = 2305. Rate 1 units (MWh) (in Equivalent volume for each end user)"/>
    <hyperlink ref="A24" location="'Multi'!B881" display="x2 = 2460. Unit rate 1 pseudo load coefficient by network level (combined)"/>
    <hyperlink ref="A25" location="'Loads'!C333" display="x3 = 2305. Rate 2 units (MWh) (in Equivalent volume for each end user)"/>
    <hyperlink ref="A26" location="'Multi'!B914" display="x4 = 2461. Unit rate 2 pseudo load coefficient by network level (combined)"/>
    <hyperlink ref="A27" location="'LAFs'!B260" display="x5 = 2012. Loss adjustment factors between end user meter reading and each network level, scaled by network use"/>
    <hyperlink ref="A28" location="'Input'!F59" display="x6 = 1010. Days in the charging year (in Financial and general assumptions)"/>
    <hyperlink ref="A40" location="'Loads'!B333" display="x1 = 2305. Rate 1 units (MWh) (in Equivalent volume for each end user)"/>
    <hyperlink ref="A41" location="'Multi'!B881" display="x2 = 2460. Unit rate 1 pseudo load coefficient by network level (combined)"/>
    <hyperlink ref="A42" location="'Loads'!C333" display="x3 = 2305. Rate 2 units (MWh) (in Equivalent volume for each end user)"/>
    <hyperlink ref="A43" location="'Multi'!B914" display="x4 = 2461. Unit rate 2 pseudo load coefficient by network level (combined)"/>
    <hyperlink ref="A44" location="'Loads'!D333" display="x5 = 2305. Rate 3 units (MWh) (in Equivalent volume for each end user)"/>
    <hyperlink ref="A45" location="'Multi'!B939" display="x6 = 2462. Unit rate 3 pseudo load coefficient by network level (combined)"/>
    <hyperlink ref="A46" location="'LAFs'!B260" display="x7 = 2012. Loss adjustment factors between end user meter reading and each network level, scaled by network use"/>
    <hyperlink ref="A47" location="'Input'!F59" display="x8 = 1010. Days in the charging year (in Financial and general assumptions)"/>
    <hyperlink ref="A66" location="'Multi'!B127" display="x1 = 2407. All units (MWh)"/>
    <hyperlink ref="A67" location="'Loads'!B45" display="x2 = 2302. Load coefficient"/>
    <hyperlink ref="A68" location="'LAFs'!B260" display="x3 = 2012. Loss adjustment factors between end user meter reading and each network level, scaled by network use"/>
    <hyperlink ref="A69" location="'Input'!F59" display="x4 = 1010. Days in the charging year (in Financial and general assumptions)"/>
    <hyperlink ref="A109" location="'SMD'!B11" display="x1 = 2501. Contributions of users on one-rate multi tariffs to system simultaneous maximum load by network level (kW)"/>
    <hyperlink ref="A110" location="'SMD'!B31" display="x2 = 2502. Contributions of users on two-rate multi tariffs to system simultaneous maximum load by network level (kW)"/>
    <hyperlink ref="A111" location="'SMD'!B50" display="x3 = 2503. Contributions of users on three-rate multi tariffs to system simultaneous maximum load by network level (kW)"/>
    <hyperlink ref="A112" location="'SMD'!B72" display="x4 = 2504. Estimated contributions of users on each tariff to system simultaneous maximum load by network level (kW)"/>
    <hyperlink ref="A152" location="'SMD'!B115" display="x1 = 2505. Contributions of users on each tariff to system simultaneous maximum load by network level (kW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50.7109375" customWidth="1"/>
    <col min="2" max="251" width="16.7109375" customWidth="1"/>
  </cols>
  <sheetData>
    <row r="1" spans="1:12" ht="21" customHeight="1">
      <c r="A1" s="1" t="str">
        <f>"Forecast aggregate maximum load for "&amp;Input!B7&amp;" in "&amp;Input!C7&amp;" ("&amp;Input!D7&amp;")"</f>
        <v>Forecast aggregate maximum load for Electricity North West in 2019/20 (Version 1)</v>
      </c>
    </row>
    <row r="3" spans="1:12" ht="21" customHeight="1">
      <c r="A3" s="1" t="s">
        <v>853</v>
      </c>
    </row>
    <row r="4" spans="1:12">
      <c r="A4" s="2" t="s">
        <v>379</v>
      </c>
    </row>
    <row r="5" spans="1:12">
      <c r="A5" s="29" t="s">
        <v>854</v>
      </c>
    </row>
    <row r="6" spans="1:12">
      <c r="A6" s="29" t="s">
        <v>855</v>
      </c>
    </row>
    <row r="7" spans="1:12">
      <c r="A7" s="29" t="s">
        <v>856</v>
      </c>
    </row>
    <row r="8" spans="1:12">
      <c r="A8" s="30" t="s">
        <v>382</v>
      </c>
      <c r="B8" s="31" t="s">
        <v>383</v>
      </c>
      <c r="C8" s="31"/>
      <c r="D8" s="31"/>
      <c r="E8" s="31"/>
      <c r="F8" s="31"/>
      <c r="G8" s="31"/>
      <c r="H8" s="31"/>
      <c r="I8" s="31"/>
      <c r="J8" s="30" t="s">
        <v>383</v>
      </c>
      <c r="K8" s="30" t="s">
        <v>512</v>
      </c>
    </row>
    <row r="9" spans="1:12">
      <c r="A9" s="30" t="s">
        <v>385</v>
      </c>
      <c r="B9" s="31" t="s">
        <v>386</v>
      </c>
      <c r="C9" s="31"/>
      <c r="D9" s="31"/>
      <c r="E9" s="31"/>
      <c r="F9" s="31"/>
      <c r="G9" s="31"/>
      <c r="H9" s="31"/>
      <c r="I9" s="31"/>
      <c r="J9" s="30" t="s">
        <v>386</v>
      </c>
      <c r="K9" s="30" t="s">
        <v>857</v>
      </c>
    </row>
    <row r="11" spans="1:12">
      <c r="B11" s="32" t="s">
        <v>858</v>
      </c>
      <c r="C11" s="32"/>
      <c r="D11" s="32"/>
      <c r="E11" s="32"/>
      <c r="F11" s="32"/>
      <c r="G11" s="32"/>
      <c r="H11" s="32"/>
      <c r="I11" s="32"/>
    </row>
    <row r="12" spans="1:12" ht="45">
      <c r="B12" s="15" t="s">
        <v>148</v>
      </c>
      <c r="C12" s="15" t="s">
        <v>149</v>
      </c>
      <c r="D12" s="15" t="s">
        <v>150</v>
      </c>
      <c r="E12" s="15" t="s">
        <v>151</v>
      </c>
      <c r="F12" s="15" t="s">
        <v>152</v>
      </c>
      <c r="G12" s="15" t="s">
        <v>153</v>
      </c>
      <c r="H12" s="15" t="s">
        <v>154</v>
      </c>
      <c r="I12" s="15" t="s">
        <v>155</v>
      </c>
      <c r="J12" s="15" t="s">
        <v>859</v>
      </c>
      <c r="K12" s="15" t="s">
        <v>860</v>
      </c>
    </row>
    <row r="13" spans="1:12">
      <c r="A13" s="4" t="s">
        <v>180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1</v>
      </c>
      <c r="J13" s="26">
        <v>0</v>
      </c>
      <c r="K13" s="34">
        <f>$C13+0.2*Input!$B$82*$J13</f>
        <v>0</v>
      </c>
      <c r="L13" s="17"/>
    </row>
    <row r="14" spans="1:12">
      <c r="A14" s="4" t="s">
        <v>181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1</v>
      </c>
      <c r="J14" s="26">
        <v>0</v>
      </c>
      <c r="K14" s="34">
        <f>$C14+0.2*Input!$B$82*$J14</f>
        <v>0</v>
      </c>
      <c r="L14" s="17"/>
    </row>
    <row r="15" spans="1:12">
      <c r="A15" s="4" t="s">
        <v>226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1</v>
      </c>
      <c r="J15" s="26">
        <v>0</v>
      </c>
      <c r="K15" s="34">
        <f>$C15+0.2*Input!$B$82*$J15</f>
        <v>0</v>
      </c>
      <c r="L15" s="17"/>
    </row>
    <row r="16" spans="1:12">
      <c r="A16" s="4" t="s">
        <v>182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1</v>
      </c>
      <c r="J16" s="26">
        <v>0</v>
      </c>
      <c r="K16" s="34">
        <f>$C16+0.2*Input!$B$82*$J16</f>
        <v>0</v>
      </c>
      <c r="L16" s="17"/>
    </row>
    <row r="17" spans="1:12">
      <c r="A17" s="4" t="s">
        <v>183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1</v>
      </c>
      <c r="J17" s="26">
        <v>0</v>
      </c>
      <c r="K17" s="34">
        <f>$C17+0.2*Input!$B$82*$J17</f>
        <v>0</v>
      </c>
      <c r="L17" s="17"/>
    </row>
    <row r="18" spans="1:12">
      <c r="A18" s="4" t="s">
        <v>227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1</v>
      </c>
      <c r="J18" s="26">
        <v>0</v>
      </c>
      <c r="K18" s="34">
        <f>$C18+0.2*Input!$B$82*$J18</f>
        <v>0</v>
      </c>
      <c r="L18" s="17"/>
    </row>
    <row r="19" spans="1:12">
      <c r="A19" s="4" t="s">
        <v>184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1</v>
      </c>
      <c r="J19" s="26">
        <v>0</v>
      </c>
      <c r="K19" s="34">
        <f>$C19+0.2*Input!$B$82*$J19</f>
        <v>0</v>
      </c>
      <c r="L19" s="17"/>
    </row>
    <row r="20" spans="1:12">
      <c r="A20" s="4" t="s">
        <v>185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1</v>
      </c>
      <c r="I20" s="26">
        <v>0</v>
      </c>
      <c r="J20" s="26">
        <v>0</v>
      </c>
      <c r="K20" s="34">
        <f>$C20+0.2*Input!$B$82*$J20</f>
        <v>0</v>
      </c>
      <c r="L20" s="17"/>
    </row>
    <row r="21" spans="1:12">
      <c r="A21" s="4" t="s">
        <v>205</v>
      </c>
      <c r="B21" s="26">
        <v>0</v>
      </c>
      <c r="C21" s="26">
        <v>0</v>
      </c>
      <c r="D21" s="26">
        <v>0</v>
      </c>
      <c r="E21" s="26">
        <v>0.2</v>
      </c>
      <c r="F21" s="26">
        <v>1</v>
      </c>
      <c r="G21" s="26">
        <v>1</v>
      </c>
      <c r="H21" s="26">
        <v>0</v>
      </c>
      <c r="I21" s="26">
        <v>0</v>
      </c>
      <c r="J21" s="26">
        <v>1</v>
      </c>
      <c r="K21" s="34">
        <f>$C21+0.2*Input!$B$82*$J21</f>
        <v>0</v>
      </c>
      <c r="L21" s="17"/>
    </row>
    <row r="22" spans="1:12">
      <c r="A22" s="4" t="s">
        <v>186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1</v>
      </c>
      <c r="J22" s="26">
        <v>0</v>
      </c>
      <c r="K22" s="34">
        <f>$C22+0.2*Input!$B$82*$J22</f>
        <v>0</v>
      </c>
      <c r="L22" s="17"/>
    </row>
    <row r="23" spans="1:12">
      <c r="A23" s="4" t="s">
        <v>187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1</v>
      </c>
      <c r="J23" s="26">
        <v>0</v>
      </c>
      <c r="K23" s="34">
        <f>$C23+0.2*Input!$B$82*$J23</f>
        <v>0</v>
      </c>
      <c r="L23" s="17"/>
    </row>
    <row r="24" spans="1:12">
      <c r="A24" s="4" t="s">
        <v>188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0.2</v>
      </c>
      <c r="H24" s="26">
        <v>1</v>
      </c>
      <c r="I24" s="26">
        <v>1</v>
      </c>
      <c r="J24" s="26">
        <v>0</v>
      </c>
      <c r="K24" s="34">
        <f>$C24+0.2*Input!$B$82*$J24</f>
        <v>0</v>
      </c>
      <c r="L24" s="17"/>
    </row>
    <row r="25" spans="1:12">
      <c r="A25" s="4" t="s">
        <v>189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1</v>
      </c>
      <c r="H25" s="26">
        <v>1</v>
      </c>
      <c r="I25" s="26">
        <v>0</v>
      </c>
      <c r="J25" s="26">
        <v>0</v>
      </c>
      <c r="K25" s="34">
        <f>$C25+0.2*Input!$B$82*$J25</f>
        <v>0</v>
      </c>
      <c r="L25" s="17"/>
    </row>
    <row r="26" spans="1:12">
      <c r="A26" s="4" t="s">
        <v>206</v>
      </c>
      <c r="B26" s="26">
        <v>0</v>
      </c>
      <c r="C26" s="26">
        <v>0</v>
      </c>
      <c r="D26" s="26">
        <v>0</v>
      </c>
      <c r="E26" s="26">
        <v>0.2</v>
      </c>
      <c r="F26" s="26">
        <v>1</v>
      </c>
      <c r="G26" s="26">
        <v>1</v>
      </c>
      <c r="H26" s="26">
        <v>0</v>
      </c>
      <c r="I26" s="26">
        <v>0</v>
      </c>
      <c r="J26" s="26">
        <v>1</v>
      </c>
      <c r="K26" s="34">
        <f>$C26+0.2*Input!$B$82*$J26</f>
        <v>0</v>
      </c>
      <c r="L26" s="17"/>
    </row>
    <row r="27" spans="1:12">
      <c r="A27" s="4" t="s">
        <v>228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34">
        <f>$C27+0.2*Input!$B$82*$J27</f>
        <v>0</v>
      </c>
      <c r="L27" s="17"/>
    </row>
    <row r="28" spans="1:12">
      <c r="A28" s="4" t="s">
        <v>229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34">
        <f>$C28+0.2*Input!$B$82*$J28</f>
        <v>0</v>
      </c>
      <c r="L28" s="17"/>
    </row>
    <row r="29" spans="1:12">
      <c r="A29" s="4" t="s">
        <v>230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34">
        <f>$C29+0.2*Input!$B$82*$J29</f>
        <v>0</v>
      </c>
      <c r="L29" s="17"/>
    </row>
    <row r="30" spans="1:12">
      <c r="A30" s="4" t="s">
        <v>231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34">
        <f>$C30+0.2*Input!$B$82*$J30</f>
        <v>0</v>
      </c>
      <c r="L30" s="17"/>
    </row>
    <row r="31" spans="1:12">
      <c r="A31" s="4" t="s">
        <v>232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34">
        <f>$C31+0.2*Input!$B$82*$J31</f>
        <v>0</v>
      </c>
      <c r="L31" s="17"/>
    </row>
    <row r="33" spans="1:11" ht="21" customHeight="1">
      <c r="A33" s="1" t="s">
        <v>861</v>
      </c>
    </row>
    <row r="34" spans="1:11">
      <c r="A34" s="2" t="s">
        <v>379</v>
      </c>
    </row>
    <row r="35" spans="1:11">
      <c r="A35" s="29" t="s">
        <v>862</v>
      </c>
    </row>
    <row r="36" spans="1:11">
      <c r="A36" s="29" t="s">
        <v>863</v>
      </c>
    </row>
    <row r="37" spans="1:11">
      <c r="A37" s="29" t="s">
        <v>864</v>
      </c>
    </row>
    <row r="38" spans="1:11">
      <c r="A38" s="2" t="s">
        <v>422</v>
      </c>
    </row>
    <row r="40" spans="1:11">
      <c r="B40" s="15" t="s">
        <v>148</v>
      </c>
      <c r="C40" s="15" t="s">
        <v>149</v>
      </c>
      <c r="D40" s="15" t="s">
        <v>150</v>
      </c>
      <c r="E40" s="15" t="s">
        <v>151</v>
      </c>
      <c r="F40" s="15" t="s">
        <v>152</v>
      </c>
      <c r="G40" s="15" t="s">
        <v>157</v>
      </c>
      <c r="H40" s="15" t="s">
        <v>153</v>
      </c>
      <c r="I40" s="15" t="s">
        <v>154</v>
      </c>
      <c r="J40" s="15" t="s">
        <v>155</v>
      </c>
    </row>
    <row r="41" spans="1:11">
      <c r="A41" s="4" t="s">
        <v>180</v>
      </c>
      <c r="B41" s="35">
        <f t="shared" ref="B41:B59" si="0">$B13</f>
        <v>0</v>
      </c>
      <c r="C41" s="35">
        <f t="shared" ref="C41:C59" si="1">$K13</f>
        <v>0</v>
      </c>
      <c r="D41" s="35">
        <f t="shared" ref="D41:D59" si="2">$D13</f>
        <v>0</v>
      </c>
      <c r="E41" s="35">
        <f t="shared" ref="E41:E59" si="3">$E13</f>
        <v>0</v>
      </c>
      <c r="F41" s="35">
        <f t="shared" ref="F41:F59" si="4">$F13</f>
        <v>0</v>
      </c>
      <c r="G41" s="26">
        <v>0</v>
      </c>
      <c r="H41" s="35">
        <f t="shared" ref="H41:H59" si="5">$G13</f>
        <v>0</v>
      </c>
      <c r="I41" s="35">
        <f t="shared" ref="I41:I59" si="6">$H13</f>
        <v>0</v>
      </c>
      <c r="J41" s="35">
        <f t="shared" ref="J41:J59" si="7">$I13</f>
        <v>1</v>
      </c>
      <c r="K41" s="17"/>
    </row>
    <row r="42" spans="1:11">
      <c r="A42" s="4" t="s">
        <v>181</v>
      </c>
      <c r="B42" s="35">
        <f t="shared" si="0"/>
        <v>0</v>
      </c>
      <c r="C42" s="35">
        <f t="shared" si="1"/>
        <v>0</v>
      </c>
      <c r="D42" s="35">
        <f t="shared" si="2"/>
        <v>0</v>
      </c>
      <c r="E42" s="35">
        <f t="shared" si="3"/>
        <v>0</v>
      </c>
      <c r="F42" s="35">
        <f t="shared" si="4"/>
        <v>0</v>
      </c>
      <c r="G42" s="26">
        <v>0</v>
      </c>
      <c r="H42" s="35">
        <f t="shared" si="5"/>
        <v>0</v>
      </c>
      <c r="I42" s="35">
        <f t="shared" si="6"/>
        <v>0</v>
      </c>
      <c r="J42" s="35">
        <f t="shared" si="7"/>
        <v>1</v>
      </c>
      <c r="K42" s="17"/>
    </row>
    <row r="43" spans="1:11">
      <c r="A43" s="4" t="s">
        <v>226</v>
      </c>
      <c r="B43" s="35">
        <f t="shared" si="0"/>
        <v>0</v>
      </c>
      <c r="C43" s="35">
        <f t="shared" si="1"/>
        <v>0</v>
      </c>
      <c r="D43" s="35">
        <f t="shared" si="2"/>
        <v>0</v>
      </c>
      <c r="E43" s="35">
        <f t="shared" si="3"/>
        <v>0</v>
      </c>
      <c r="F43" s="35">
        <f t="shared" si="4"/>
        <v>0</v>
      </c>
      <c r="G43" s="26">
        <v>0</v>
      </c>
      <c r="H43" s="35">
        <f t="shared" si="5"/>
        <v>0</v>
      </c>
      <c r="I43" s="35">
        <f t="shared" si="6"/>
        <v>0</v>
      </c>
      <c r="J43" s="35">
        <f t="shared" si="7"/>
        <v>1</v>
      </c>
      <c r="K43" s="17"/>
    </row>
    <row r="44" spans="1:11">
      <c r="A44" s="4" t="s">
        <v>182</v>
      </c>
      <c r="B44" s="35">
        <f t="shared" si="0"/>
        <v>0</v>
      </c>
      <c r="C44" s="35">
        <f t="shared" si="1"/>
        <v>0</v>
      </c>
      <c r="D44" s="35">
        <f t="shared" si="2"/>
        <v>0</v>
      </c>
      <c r="E44" s="35">
        <f t="shared" si="3"/>
        <v>0</v>
      </c>
      <c r="F44" s="35">
        <f t="shared" si="4"/>
        <v>0</v>
      </c>
      <c r="G44" s="26">
        <v>0</v>
      </c>
      <c r="H44" s="35">
        <f t="shared" si="5"/>
        <v>0</v>
      </c>
      <c r="I44" s="35">
        <f t="shared" si="6"/>
        <v>0</v>
      </c>
      <c r="J44" s="35">
        <f t="shared" si="7"/>
        <v>1</v>
      </c>
      <c r="K44" s="17"/>
    </row>
    <row r="45" spans="1:11">
      <c r="A45" s="4" t="s">
        <v>183</v>
      </c>
      <c r="B45" s="35">
        <f t="shared" si="0"/>
        <v>0</v>
      </c>
      <c r="C45" s="35">
        <f t="shared" si="1"/>
        <v>0</v>
      </c>
      <c r="D45" s="35">
        <f t="shared" si="2"/>
        <v>0</v>
      </c>
      <c r="E45" s="35">
        <f t="shared" si="3"/>
        <v>0</v>
      </c>
      <c r="F45" s="35">
        <f t="shared" si="4"/>
        <v>0</v>
      </c>
      <c r="G45" s="26">
        <v>0</v>
      </c>
      <c r="H45" s="35">
        <f t="shared" si="5"/>
        <v>0</v>
      </c>
      <c r="I45" s="35">
        <f t="shared" si="6"/>
        <v>0</v>
      </c>
      <c r="J45" s="35">
        <f t="shared" si="7"/>
        <v>1</v>
      </c>
      <c r="K45" s="17"/>
    </row>
    <row r="46" spans="1:11">
      <c r="A46" s="4" t="s">
        <v>227</v>
      </c>
      <c r="B46" s="35">
        <f t="shared" si="0"/>
        <v>0</v>
      </c>
      <c r="C46" s="35">
        <f t="shared" si="1"/>
        <v>0</v>
      </c>
      <c r="D46" s="35">
        <f t="shared" si="2"/>
        <v>0</v>
      </c>
      <c r="E46" s="35">
        <f t="shared" si="3"/>
        <v>0</v>
      </c>
      <c r="F46" s="35">
        <f t="shared" si="4"/>
        <v>0</v>
      </c>
      <c r="G46" s="26">
        <v>0</v>
      </c>
      <c r="H46" s="35">
        <f t="shared" si="5"/>
        <v>0</v>
      </c>
      <c r="I46" s="35">
        <f t="shared" si="6"/>
        <v>0</v>
      </c>
      <c r="J46" s="35">
        <f t="shared" si="7"/>
        <v>1</v>
      </c>
      <c r="K46" s="17"/>
    </row>
    <row r="47" spans="1:11">
      <c r="A47" s="4" t="s">
        <v>184</v>
      </c>
      <c r="B47" s="35">
        <f t="shared" si="0"/>
        <v>0</v>
      </c>
      <c r="C47" s="35">
        <f t="shared" si="1"/>
        <v>0</v>
      </c>
      <c r="D47" s="35">
        <f t="shared" si="2"/>
        <v>0</v>
      </c>
      <c r="E47" s="35">
        <f t="shared" si="3"/>
        <v>0</v>
      </c>
      <c r="F47" s="35">
        <f t="shared" si="4"/>
        <v>0</v>
      </c>
      <c r="G47" s="26">
        <v>0</v>
      </c>
      <c r="H47" s="35">
        <f t="shared" si="5"/>
        <v>0</v>
      </c>
      <c r="I47" s="35">
        <f t="shared" si="6"/>
        <v>0</v>
      </c>
      <c r="J47" s="35">
        <f t="shared" si="7"/>
        <v>1</v>
      </c>
      <c r="K47" s="17"/>
    </row>
    <row r="48" spans="1:11">
      <c r="A48" s="4" t="s">
        <v>185</v>
      </c>
      <c r="B48" s="35">
        <f t="shared" si="0"/>
        <v>0</v>
      </c>
      <c r="C48" s="35">
        <f t="shared" si="1"/>
        <v>0</v>
      </c>
      <c r="D48" s="35">
        <f t="shared" si="2"/>
        <v>0</v>
      </c>
      <c r="E48" s="35">
        <f t="shared" si="3"/>
        <v>0</v>
      </c>
      <c r="F48" s="35">
        <f t="shared" si="4"/>
        <v>0</v>
      </c>
      <c r="G48" s="26">
        <v>0</v>
      </c>
      <c r="H48" s="35">
        <f t="shared" si="5"/>
        <v>0</v>
      </c>
      <c r="I48" s="35">
        <f t="shared" si="6"/>
        <v>1</v>
      </c>
      <c r="J48" s="35">
        <f t="shared" si="7"/>
        <v>0</v>
      </c>
      <c r="K48" s="17"/>
    </row>
    <row r="49" spans="1:11">
      <c r="A49" s="4" t="s">
        <v>205</v>
      </c>
      <c r="B49" s="35">
        <f t="shared" si="0"/>
        <v>0</v>
      </c>
      <c r="C49" s="35">
        <f t="shared" si="1"/>
        <v>0</v>
      </c>
      <c r="D49" s="35">
        <f t="shared" si="2"/>
        <v>0</v>
      </c>
      <c r="E49" s="35">
        <f t="shared" si="3"/>
        <v>0.2</v>
      </c>
      <c r="F49" s="35">
        <f t="shared" si="4"/>
        <v>1</v>
      </c>
      <c r="G49" s="26">
        <v>1</v>
      </c>
      <c r="H49" s="35">
        <f t="shared" si="5"/>
        <v>1</v>
      </c>
      <c r="I49" s="35">
        <f t="shared" si="6"/>
        <v>0</v>
      </c>
      <c r="J49" s="35">
        <f t="shared" si="7"/>
        <v>0</v>
      </c>
      <c r="K49" s="17"/>
    </row>
    <row r="50" spans="1:11">
      <c r="A50" s="4" t="s">
        <v>186</v>
      </c>
      <c r="B50" s="35">
        <f t="shared" si="0"/>
        <v>0</v>
      </c>
      <c r="C50" s="35">
        <f t="shared" si="1"/>
        <v>0</v>
      </c>
      <c r="D50" s="35">
        <f t="shared" si="2"/>
        <v>0</v>
      </c>
      <c r="E50" s="35">
        <f t="shared" si="3"/>
        <v>0</v>
      </c>
      <c r="F50" s="35">
        <f t="shared" si="4"/>
        <v>0</v>
      </c>
      <c r="G50" s="26">
        <v>0</v>
      </c>
      <c r="H50" s="35">
        <f t="shared" si="5"/>
        <v>0</v>
      </c>
      <c r="I50" s="35">
        <f t="shared" si="6"/>
        <v>0</v>
      </c>
      <c r="J50" s="35">
        <f t="shared" si="7"/>
        <v>1</v>
      </c>
      <c r="K50" s="17"/>
    </row>
    <row r="51" spans="1:11">
      <c r="A51" s="4" t="s">
        <v>187</v>
      </c>
      <c r="B51" s="35">
        <f t="shared" si="0"/>
        <v>0</v>
      </c>
      <c r="C51" s="35">
        <f t="shared" si="1"/>
        <v>0</v>
      </c>
      <c r="D51" s="35">
        <f t="shared" si="2"/>
        <v>0</v>
      </c>
      <c r="E51" s="35">
        <f t="shared" si="3"/>
        <v>0</v>
      </c>
      <c r="F51" s="35">
        <f t="shared" si="4"/>
        <v>0</v>
      </c>
      <c r="G51" s="26">
        <v>0</v>
      </c>
      <c r="H51" s="35">
        <f t="shared" si="5"/>
        <v>0</v>
      </c>
      <c r="I51" s="35">
        <f t="shared" si="6"/>
        <v>0</v>
      </c>
      <c r="J51" s="35">
        <f t="shared" si="7"/>
        <v>1</v>
      </c>
      <c r="K51" s="17"/>
    </row>
    <row r="52" spans="1:11">
      <c r="A52" s="4" t="s">
        <v>188</v>
      </c>
      <c r="B52" s="35">
        <f t="shared" si="0"/>
        <v>0</v>
      </c>
      <c r="C52" s="35">
        <f t="shared" si="1"/>
        <v>0</v>
      </c>
      <c r="D52" s="35">
        <f t="shared" si="2"/>
        <v>0</v>
      </c>
      <c r="E52" s="35">
        <f t="shared" si="3"/>
        <v>0</v>
      </c>
      <c r="F52" s="35">
        <f t="shared" si="4"/>
        <v>0</v>
      </c>
      <c r="G52" s="26">
        <v>0</v>
      </c>
      <c r="H52" s="35">
        <f t="shared" si="5"/>
        <v>0.2</v>
      </c>
      <c r="I52" s="35">
        <f t="shared" si="6"/>
        <v>1</v>
      </c>
      <c r="J52" s="35">
        <f t="shared" si="7"/>
        <v>1</v>
      </c>
      <c r="K52" s="17"/>
    </row>
    <row r="53" spans="1:11">
      <c r="A53" s="4" t="s">
        <v>189</v>
      </c>
      <c r="B53" s="35">
        <f t="shared" si="0"/>
        <v>0</v>
      </c>
      <c r="C53" s="35">
        <f t="shared" si="1"/>
        <v>0</v>
      </c>
      <c r="D53" s="35">
        <f t="shared" si="2"/>
        <v>0</v>
      </c>
      <c r="E53" s="35">
        <f t="shared" si="3"/>
        <v>0</v>
      </c>
      <c r="F53" s="35">
        <f t="shared" si="4"/>
        <v>0</v>
      </c>
      <c r="G53" s="26">
        <v>0</v>
      </c>
      <c r="H53" s="35">
        <f t="shared" si="5"/>
        <v>1</v>
      </c>
      <c r="I53" s="35">
        <f t="shared" si="6"/>
        <v>1</v>
      </c>
      <c r="J53" s="35">
        <f t="shared" si="7"/>
        <v>0</v>
      </c>
      <c r="K53" s="17"/>
    </row>
    <row r="54" spans="1:11">
      <c r="A54" s="4" t="s">
        <v>206</v>
      </c>
      <c r="B54" s="35">
        <f t="shared" si="0"/>
        <v>0</v>
      </c>
      <c r="C54" s="35">
        <f t="shared" si="1"/>
        <v>0</v>
      </c>
      <c r="D54" s="35">
        <f t="shared" si="2"/>
        <v>0</v>
      </c>
      <c r="E54" s="35">
        <f t="shared" si="3"/>
        <v>0.2</v>
      </c>
      <c r="F54" s="35">
        <f t="shared" si="4"/>
        <v>1</v>
      </c>
      <c r="G54" s="26">
        <v>1</v>
      </c>
      <c r="H54" s="35">
        <f t="shared" si="5"/>
        <v>1</v>
      </c>
      <c r="I54" s="35">
        <f t="shared" si="6"/>
        <v>0</v>
      </c>
      <c r="J54" s="35">
        <f t="shared" si="7"/>
        <v>0</v>
      </c>
      <c r="K54" s="17"/>
    </row>
    <row r="55" spans="1:11">
      <c r="A55" s="4" t="s">
        <v>228</v>
      </c>
      <c r="B55" s="35">
        <f t="shared" si="0"/>
        <v>0</v>
      </c>
      <c r="C55" s="35">
        <f t="shared" si="1"/>
        <v>0</v>
      </c>
      <c r="D55" s="35">
        <f t="shared" si="2"/>
        <v>0</v>
      </c>
      <c r="E55" s="35">
        <f t="shared" si="3"/>
        <v>0</v>
      </c>
      <c r="F55" s="35">
        <f t="shared" si="4"/>
        <v>0</v>
      </c>
      <c r="G55" s="26">
        <v>0</v>
      </c>
      <c r="H55" s="35">
        <f t="shared" si="5"/>
        <v>0</v>
      </c>
      <c r="I55" s="35">
        <f t="shared" si="6"/>
        <v>0</v>
      </c>
      <c r="J55" s="35">
        <f t="shared" si="7"/>
        <v>0</v>
      </c>
      <c r="K55" s="17"/>
    </row>
    <row r="56" spans="1:11">
      <c r="A56" s="4" t="s">
        <v>229</v>
      </c>
      <c r="B56" s="35">
        <f t="shared" si="0"/>
        <v>0</v>
      </c>
      <c r="C56" s="35">
        <f t="shared" si="1"/>
        <v>0</v>
      </c>
      <c r="D56" s="35">
        <f t="shared" si="2"/>
        <v>0</v>
      </c>
      <c r="E56" s="35">
        <f t="shared" si="3"/>
        <v>0</v>
      </c>
      <c r="F56" s="35">
        <f t="shared" si="4"/>
        <v>0</v>
      </c>
      <c r="G56" s="26">
        <v>0</v>
      </c>
      <c r="H56" s="35">
        <f t="shared" si="5"/>
        <v>0</v>
      </c>
      <c r="I56" s="35">
        <f t="shared" si="6"/>
        <v>0</v>
      </c>
      <c r="J56" s="35">
        <f t="shared" si="7"/>
        <v>0</v>
      </c>
      <c r="K56" s="17"/>
    </row>
    <row r="57" spans="1:11">
      <c r="A57" s="4" t="s">
        <v>230</v>
      </c>
      <c r="B57" s="35">
        <f t="shared" si="0"/>
        <v>0</v>
      </c>
      <c r="C57" s="35">
        <f t="shared" si="1"/>
        <v>0</v>
      </c>
      <c r="D57" s="35">
        <f t="shared" si="2"/>
        <v>0</v>
      </c>
      <c r="E57" s="35">
        <f t="shared" si="3"/>
        <v>0</v>
      </c>
      <c r="F57" s="35">
        <f t="shared" si="4"/>
        <v>0</v>
      </c>
      <c r="G57" s="26">
        <v>0</v>
      </c>
      <c r="H57" s="35">
        <f t="shared" si="5"/>
        <v>0</v>
      </c>
      <c r="I57" s="35">
        <f t="shared" si="6"/>
        <v>0</v>
      </c>
      <c r="J57" s="35">
        <f t="shared" si="7"/>
        <v>0</v>
      </c>
      <c r="K57" s="17"/>
    </row>
    <row r="58" spans="1:11">
      <c r="A58" s="4" t="s">
        <v>231</v>
      </c>
      <c r="B58" s="35">
        <f t="shared" si="0"/>
        <v>0</v>
      </c>
      <c r="C58" s="35">
        <f t="shared" si="1"/>
        <v>0</v>
      </c>
      <c r="D58" s="35">
        <f t="shared" si="2"/>
        <v>0</v>
      </c>
      <c r="E58" s="35">
        <f t="shared" si="3"/>
        <v>0</v>
      </c>
      <c r="F58" s="35">
        <f t="shared" si="4"/>
        <v>0</v>
      </c>
      <c r="G58" s="26">
        <v>0</v>
      </c>
      <c r="H58" s="35">
        <f t="shared" si="5"/>
        <v>0</v>
      </c>
      <c r="I58" s="35">
        <f t="shared" si="6"/>
        <v>0</v>
      </c>
      <c r="J58" s="35">
        <f t="shared" si="7"/>
        <v>0</v>
      </c>
      <c r="K58" s="17"/>
    </row>
    <row r="59" spans="1:11">
      <c r="A59" s="4" t="s">
        <v>232</v>
      </c>
      <c r="B59" s="35">
        <f t="shared" si="0"/>
        <v>0</v>
      </c>
      <c r="C59" s="35">
        <f t="shared" si="1"/>
        <v>0</v>
      </c>
      <c r="D59" s="35">
        <f t="shared" si="2"/>
        <v>0</v>
      </c>
      <c r="E59" s="35">
        <f t="shared" si="3"/>
        <v>0</v>
      </c>
      <c r="F59" s="35">
        <f t="shared" si="4"/>
        <v>0</v>
      </c>
      <c r="G59" s="26">
        <v>0</v>
      </c>
      <c r="H59" s="35">
        <f t="shared" si="5"/>
        <v>0</v>
      </c>
      <c r="I59" s="35">
        <f t="shared" si="6"/>
        <v>0</v>
      </c>
      <c r="J59" s="35">
        <f t="shared" si="7"/>
        <v>0</v>
      </c>
      <c r="K59" s="17"/>
    </row>
    <row r="61" spans="1:11" ht="21" customHeight="1">
      <c r="A61" s="1" t="s">
        <v>865</v>
      </c>
    </row>
    <row r="62" spans="1:11">
      <c r="A62" s="2" t="s">
        <v>379</v>
      </c>
    </row>
    <row r="63" spans="1:11">
      <c r="A63" s="29" t="s">
        <v>866</v>
      </c>
    </row>
    <row r="64" spans="1:11">
      <c r="A64" s="29" t="s">
        <v>867</v>
      </c>
    </row>
    <row r="65" spans="1:11">
      <c r="A65" s="29" t="s">
        <v>868</v>
      </c>
    </row>
    <row r="66" spans="1:11">
      <c r="A66" s="29" t="s">
        <v>869</v>
      </c>
    </row>
    <row r="67" spans="1:11">
      <c r="A67" s="29" t="s">
        <v>833</v>
      </c>
    </row>
    <row r="68" spans="1:11">
      <c r="A68" s="2" t="s">
        <v>870</v>
      </c>
    </row>
    <row r="70" spans="1:11">
      <c r="B70" s="15" t="s">
        <v>148</v>
      </c>
      <c r="C70" s="15" t="s">
        <v>149</v>
      </c>
      <c r="D70" s="15" t="s">
        <v>150</v>
      </c>
      <c r="E70" s="15" t="s">
        <v>151</v>
      </c>
      <c r="F70" s="15" t="s">
        <v>152</v>
      </c>
      <c r="G70" s="15" t="s">
        <v>157</v>
      </c>
      <c r="H70" s="15" t="s">
        <v>153</v>
      </c>
      <c r="I70" s="15" t="s">
        <v>154</v>
      </c>
      <c r="J70" s="15" t="s">
        <v>155</v>
      </c>
    </row>
    <row r="71" spans="1:11">
      <c r="A71" s="4" t="s">
        <v>188</v>
      </c>
      <c r="B71" s="39">
        <f>(Loads!$F$345+Loads!$G$345)*Input!$E$60*B$52*LAFs!B$272</f>
        <v>0</v>
      </c>
      <c r="C71" s="39">
        <f>(Loads!$F$345+Loads!$G$345)*Input!$E$60*C$52*LAFs!C$272</f>
        <v>0</v>
      </c>
      <c r="D71" s="39">
        <f>(Loads!$F$345+Loads!$G$345)*Input!$E$60*D$52*LAFs!D$272</f>
        <v>0</v>
      </c>
      <c r="E71" s="39">
        <f>(Loads!$F$345+Loads!$G$345)*Input!$E$60*E$52*LAFs!E$272</f>
        <v>0</v>
      </c>
      <c r="F71" s="39">
        <f>(Loads!$F$345+Loads!$G$345)*Input!$E$60*F$52*LAFs!F$272</f>
        <v>0</v>
      </c>
      <c r="G71" s="39">
        <f>(Loads!$F$345+Loads!$G$345)*Input!$E$60*G$52*LAFs!G$272</f>
        <v>0</v>
      </c>
      <c r="H71" s="39">
        <f>(Loads!$F$345+Loads!$G$345)*Input!$E$60*H$52*LAFs!H$272</f>
        <v>261037.33822940564</v>
      </c>
      <c r="I71" s="39">
        <f>(Loads!$F$345+Loads!$G$345)*Input!$E$60*I$52*LAFs!I$272</f>
        <v>1288016.5483863547</v>
      </c>
      <c r="J71" s="39">
        <f>(Loads!$F$345+Loads!$G$345)*Input!$E$60*J$52*LAFs!J$272</f>
        <v>1224793.541519772</v>
      </c>
      <c r="K71" s="17"/>
    </row>
    <row r="72" spans="1:11">
      <c r="A72" s="4" t="s">
        <v>189</v>
      </c>
      <c r="B72" s="39">
        <f>(Loads!$F$346+Loads!$G$346)*Input!$E$60*B$53*LAFs!B$273</f>
        <v>0</v>
      </c>
      <c r="C72" s="39">
        <f>(Loads!$F$346+Loads!$G$346)*Input!$E$60*C$53*LAFs!C$273</f>
        <v>0</v>
      </c>
      <c r="D72" s="39">
        <f>(Loads!$F$346+Loads!$G$346)*Input!$E$60*D$53*LAFs!D$273</f>
        <v>0</v>
      </c>
      <c r="E72" s="39">
        <f>(Loads!$F$346+Loads!$G$346)*Input!$E$60*E$53*LAFs!E$273</f>
        <v>0</v>
      </c>
      <c r="F72" s="39">
        <f>(Loads!$F$346+Loads!$G$346)*Input!$E$60*F$53*LAFs!F$273</f>
        <v>0</v>
      </c>
      <c r="G72" s="39">
        <f>(Loads!$F$346+Loads!$G$346)*Input!$E$60*G$53*LAFs!G$273</f>
        <v>0</v>
      </c>
      <c r="H72" s="39">
        <f>(Loads!$F$346+Loads!$G$346)*Input!$E$60*H$53*LAFs!H$273</f>
        <v>636331.38826968812</v>
      </c>
      <c r="I72" s="39">
        <f>(Loads!$F$346+Loads!$G$346)*Input!$E$60*I$53*LAFs!I$273</f>
        <v>627960.24806898157</v>
      </c>
      <c r="J72" s="39">
        <f>(Loads!$F$346+Loads!$G$346)*Input!$E$60*J$53*LAFs!J$273</f>
        <v>0</v>
      </c>
      <c r="K72" s="17"/>
    </row>
    <row r="73" spans="1:11">
      <c r="A73" s="4" t="s">
        <v>206</v>
      </c>
      <c r="B73" s="39">
        <f>(Loads!$F$347+Loads!$G$347)*Input!$E$60*B$54*LAFs!B$274</f>
        <v>0</v>
      </c>
      <c r="C73" s="39">
        <f>(Loads!$F$347+Loads!$G$347)*Input!$E$60*C$54*LAFs!C$274</f>
        <v>0</v>
      </c>
      <c r="D73" s="39">
        <f>(Loads!$F$347+Loads!$G$347)*Input!$E$60*D$54*LAFs!D$274</f>
        <v>0</v>
      </c>
      <c r="E73" s="39">
        <f>(Loads!$F$347+Loads!$G$347)*Input!$E$60*E$54*LAFs!E$274</f>
        <v>357398.82664079667</v>
      </c>
      <c r="F73" s="39">
        <f>(Loads!$F$347+Loads!$G$347)*Input!$E$60*F$54*LAFs!F$274</f>
        <v>1777350.7915573886</v>
      </c>
      <c r="G73" s="39">
        <f>(Loads!$F$347+Loads!$G$347)*Input!$E$60*G$54*LAFs!G$274</f>
        <v>0</v>
      </c>
      <c r="H73" s="39">
        <f>(Loads!$F$347+Loads!$G$347)*Input!$E$60*H$54*LAFs!H$274</f>
        <v>1756191.4340642085</v>
      </c>
      <c r="I73" s="39">
        <f>(Loads!$F$347+Loads!$G$347)*Input!$E$60*I$54*LAFs!I$274</f>
        <v>0</v>
      </c>
      <c r="J73" s="39">
        <f>(Loads!$F$347+Loads!$G$347)*Input!$E$60*J$54*LAFs!J$274</f>
        <v>0</v>
      </c>
      <c r="K73" s="17"/>
    </row>
    <row r="75" spans="1:11" ht="21" customHeight="1">
      <c r="A75" s="1" t="s">
        <v>871</v>
      </c>
    </row>
    <row r="76" spans="1:11">
      <c r="A76" s="2" t="s">
        <v>379</v>
      </c>
    </row>
    <row r="77" spans="1:11">
      <c r="A77" s="29" t="s">
        <v>606</v>
      </c>
    </row>
    <row r="78" spans="1:11">
      <c r="A78" s="29" t="s">
        <v>527</v>
      </c>
    </row>
    <row r="79" spans="1:11">
      <c r="A79" s="29" t="s">
        <v>872</v>
      </c>
    </row>
    <row r="80" spans="1:11">
      <c r="A80" s="29" t="s">
        <v>873</v>
      </c>
    </row>
    <row r="81" spans="1:11">
      <c r="A81" s="29" t="s">
        <v>773</v>
      </c>
    </row>
    <row r="82" spans="1:11">
      <c r="A82" s="2" t="s">
        <v>874</v>
      </c>
    </row>
    <row r="84" spans="1:11">
      <c r="B84" s="15" t="s">
        <v>148</v>
      </c>
      <c r="C84" s="15" t="s">
        <v>149</v>
      </c>
      <c r="D84" s="15" t="s">
        <v>150</v>
      </c>
      <c r="E84" s="15" t="s">
        <v>151</v>
      </c>
      <c r="F84" s="15" t="s">
        <v>152</v>
      </c>
      <c r="G84" s="15" t="s">
        <v>157</v>
      </c>
      <c r="H84" s="15" t="s">
        <v>153</v>
      </c>
      <c r="I84" s="15" t="s">
        <v>154</v>
      </c>
      <c r="J84" s="15" t="s">
        <v>155</v>
      </c>
    </row>
    <row r="85" spans="1:11">
      <c r="A85" s="4" t="s">
        <v>180</v>
      </c>
      <c r="B85" s="39">
        <f>Multi!$B$128/Input!$C$168*B$41*LAFs!B$261/(24*Input!$F$60)*1000</f>
        <v>0</v>
      </c>
      <c r="C85" s="39">
        <f>Multi!$B$128/Input!$C$168*C$41*LAFs!C$261/(24*Input!$F$60)*1000</f>
        <v>0</v>
      </c>
      <c r="D85" s="39">
        <f>Multi!$B$128/Input!$C$168*D$41*LAFs!D$261/(24*Input!$F$60)*1000</f>
        <v>0</v>
      </c>
      <c r="E85" s="39">
        <f>Multi!$B$128/Input!$C$168*E$41*LAFs!E$261/(24*Input!$F$60)*1000</f>
        <v>0</v>
      </c>
      <c r="F85" s="39">
        <f>Multi!$B$128/Input!$C$168*F$41*LAFs!F$261/(24*Input!$F$60)*1000</f>
        <v>0</v>
      </c>
      <c r="G85" s="39">
        <f>Multi!$B$128/Input!$C$168*G$41*LAFs!G$261/(24*Input!$F$60)*1000</f>
        <v>0</v>
      </c>
      <c r="H85" s="39">
        <f>Multi!$B$128/Input!$C$168*H$41*LAFs!H$261/(24*Input!$F$60)*1000</f>
        <v>0</v>
      </c>
      <c r="I85" s="39">
        <f>Multi!$B$128/Input!$C$168*I$41*LAFs!I$261/(24*Input!$F$60)*1000</f>
        <v>0</v>
      </c>
      <c r="J85" s="39">
        <f>Multi!$B$128/Input!$C$168*J$41*LAFs!J$261/(24*Input!$F$60)*1000</f>
        <v>1670446.4231976999</v>
      </c>
      <c r="K85" s="17"/>
    </row>
    <row r="86" spans="1:11">
      <c r="A86" s="4" t="s">
        <v>181</v>
      </c>
      <c r="B86" s="39">
        <f>Multi!$B$129/Input!$C$169*B$42*LAFs!B$262/(24*Input!$F$60)*1000</f>
        <v>0</v>
      </c>
      <c r="C86" s="39">
        <f>Multi!$B$129/Input!$C$169*C$42*LAFs!C$262/(24*Input!$F$60)*1000</f>
        <v>0</v>
      </c>
      <c r="D86" s="39">
        <f>Multi!$B$129/Input!$C$169*D$42*LAFs!D$262/(24*Input!$F$60)*1000</f>
        <v>0</v>
      </c>
      <c r="E86" s="39">
        <f>Multi!$B$129/Input!$C$169*E$42*LAFs!E$262/(24*Input!$F$60)*1000</f>
        <v>0</v>
      </c>
      <c r="F86" s="39">
        <f>Multi!$B$129/Input!$C$169*F$42*LAFs!F$262/(24*Input!$F$60)*1000</f>
        <v>0</v>
      </c>
      <c r="G86" s="39">
        <f>Multi!$B$129/Input!$C$169*G$42*LAFs!G$262/(24*Input!$F$60)*1000</f>
        <v>0</v>
      </c>
      <c r="H86" s="39">
        <f>Multi!$B$129/Input!$C$169*H$42*LAFs!H$262/(24*Input!$F$60)*1000</f>
        <v>0</v>
      </c>
      <c r="I86" s="39">
        <f>Multi!$B$129/Input!$C$169*I$42*LAFs!I$262/(24*Input!$F$60)*1000</f>
        <v>0</v>
      </c>
      <c r="J86" s="39">
        <f>Multi!$B$129/Input!$C$169*J$42*LAFs!J$262/(24*Input!$F$60)*1000</f>
        <v>434208.50045754906</v>
      </c>
      <c r="K86" s="17"/>
    </row>
    <row r="87" spans="1:11">
      <c r="A87" s="4" t="s">
        <v>182</v>
      </c>
      <c r="B87" s="39">
        <f>Multi!$B$131/Input!$C$171*B$44*LAFs!B$264/(24*Input!$F$60)*1000</f>
        <v>0</v>
      </c>
      <c r="C87" s="39">
        <f>Multi!$B$131/Input!$C$171*C$44*LAFs!C$264/(24*Input!$F$60)*1000</f>
        <v>0</v>
      </c>
      <c r="D87" s="39">
        <f>Multi!$B$131/Input!$C$171*D$44*LAFs!D$264/(24*Input!$F$60)*1000</f>
        <v>0</v>
      </c>
      <c r="E87" s="39">
        <f>Multi!$B$131/Input!$C$171*E$44*LAFs!E$264/(24*Input!$F$60)*1000</f>
        <v>0</v>
      </c>
      <c r="F87" s="39">
        <f>Multi!$B$131/Input!$C$171*F$44*LAFs!F$264/(24*Input!$F$60)*1000</f>
        <v>0</v>
      </c>
      <c r="G87" s="39">
        <f>Multi!$B$131/Input!$C$171*G$44*LAFs!G$264/(24*Input!$F$60)*1000</f>
        <v>0</v>
      </c>
      <c r="H87" s="39">
        <f>Multi!$B$131/Input!$C$171*H$44*LAFs!H$264/(24*Input!$F$60)*1000</f>
        <v>0</v>
      </c>
      <c r="I87" s="39">
        <f>Multi!$B$131/Input!$C$171*I$44*LAFs!I$264/(24*Input!$F$60)*1000</f>
        <v>0</v>
      </c>
      <c r="J87" s="39">
        <f>Multi!$B$131/Input!$C$171*J$44*LAFs!J$264/(24*Input!$F$60)*1000</f>
        <v>434583.42200013995</v>
      </c>
      <c r="K87" s="17"/>
    </row>
    <row r="88" spans="1:11">
      <c r="A88" s="4" t="s">
        <v>183</v>
      </c>
      <c r="B88" s="39">
        <f>Multi!$B$132/Input!$C$172*B$45*LAFs!B$265/(24*Input!$F$60)*1000</f>
        <v>0</v>
      </c>
      <c r="C88" s="39">
        <f>Multi!$B$132/Input!$C$172*C$45*LAFs!C$265/(24*Input!$F$60)*1000</f>
        <v>0</v>
      </c>
      <c r="D88" s="39">
        <f>Multi!$B$132/Input!$C$172*D$45*LAFs!D$265/(24*Input!$F$60)*1000</f>
        <v>0</v>
      </c>
      <c r="E88" s="39">
        <f>Multi!$B$132/Input!$C$172*E$45*LAFs!E$265/(24*Input!$F$60)*1000</f>
        <v>0</v>
      </c>
      <c r="F88" s="39">
        <f>Multi!$B$132/Input!$C$172*F$45*LAFs!F$265/(24*Input!$F$60)*1000</f>
        <v>0</v>
      </c>
      <c r="G88" s="39">
        <f>Multi!$B$132/Input!$C$172*G$45*LAFs!G$265/(24*Input!$F$60)*1000</f>
        <v>0</v>
      </c>
      <c r="H88" s="39">
        <f>Multi!$B$132/Input!$C$172*H$45*LAFs!H$265/(24*Input!$F$60)*1000</f>
        <v>0</v>
      </c>
      <c r="I88" s="39">
        <f>Multi!$B$132/Input!$C$172*I$45*LAFs!I$265/(24*Input!$F$60)*1000</f>
        <v>0</v>
      </c>
      <c r="J88" s="39">
        <f>Multi!$B$132/Input!$C$172*J$45*LAFs!J$265/(24*Input!$F$60)*1000</f>
        <v>141423.53046078756</v>
      </c>
      <c r="K88" s="17"/>
    </row>
    <row r="89" spans="1:11">
      <c r="A89" s="4" t="s">
        <v>184</v>
      </c>
      <c r="B89" s="39">
        <f>Multi!$B$134/Input!$C$174*B$47*LAFs!B$267/(24*Input!$F$60)*1000</f>
        <v>0</v>
      </c>
      <c r="C89" s="39">
        <f>Multi!$B$134/Input!$C$174*C$47*LAFs!C$267/(24*Input!$F$60)*1000</f>
        <v>0</v>
      </c>
      <c r="D89" s="39">
        <f>Multi!$B$134/Input!$C$174*D$47*LAFs!D$267/(24*Input!$F$60)*1000</f>
        <v>0</v>
      </c>
      <c r="E89" s="39">
        <f>Multi!$B$134/Input!$C$174*E$47*LAFs!E$267/(24*Input!$F$60)*1000</f>
        <v>0</v>
      </c>
      <c r="F89" s="39">
        <f>Multi!$B$134/Input!$C$174*F$47*LAFs!F$267/(24*Input!$F$60)*1000</f>
        <v>0</v>
      </c>
      <c r="G89" s="39">
        <f>Multi!$B$134/Input!$C$174*G$47*LAFs!G$267/(24*Input!$F$60)*1000</f>
        <v>0</v>
      </c>
      <c r="H89" s="39">
        <f>Multi!$B$134/Input!$C$174*H$47*LAFs!H$267/(24*Input!$F$60)*1000</f>
        <v>0</v>
      </c>
      <c r="I89" s="39">
        <f>Multi!$B$134/Input!$C$174*I$47*LAFs!I$267/(24*Input!$F$60)*1000</f>
        <v>0</v>
      </c>
      <c r="J89" s="39">
        <f>Multi!$B$134/Input!$C$174*J$47*LAFs!J$267/(24*Input!$F$60)*1000</f>
        <v>18.119441776074574</v>
      </c>
      <c r="K89" s="17"/>
    </row>
    <row r="90" spans="1:11">
      <c r="A90" s="4" t="s">
        <v>185</v>
      </c>
      <c r="B90" s="39">
        <f>Multi!$B$135/Input!$C$175*B$48*LAFs!B$268/(24*Input!$F$60)*1000</f>
        <v>0</v>
      </c>
      <c r="C90" s="39">
        <f>Multi!$B$135/Input!$C$175*C$48*LAFs!C$268/(24*Input!$F$60)*1000</f>
        <v>0</v>
      </c>
      <c r="D90" s="39">
        <f>Multi!$B$135/Input!$C$175*D$48*LAFs!D$268/(24*Input!$F$60)*1000</f>
        <v>0</v>
      </c>
      <c r="E90" s="39">
        <f>Multi!$B$135/Input!$C$175*E$48*LAFs!E$268/(24*Input!$F$60)*1000</f>
        <v>0</v>
      </c>
      <c r="F90" s="39">
        <f>Multi!$B$135/Input!$C$175*F$48*LAFs!F$268/(24*Input!$F$60)*1000</f>
        <v>0</v>
      </c>
      <c r="G90" s="39">
        <f>Multi!$B$135/Input!$C$175*G$48*LAFs!G$268/(24*Input!$F$60)*1000</f>
        <v>0</v>
      </c>
      <c r="H90" s="39">
        <f>Multi!$B$135/Input!$C$175*H$48*LAFs!H$268/(24*Input!$F$60)*1000</f>
        <v>0</v>
      </c>
      <c r="I90" s="39">
        <f>Multi!$B$135/Input!$C$175*I$48*LAFs!I$268/(24*Input!$F$60)*1000</f>
        <v>9.7260595540228131E-2</v>
      </c>
      <c r="J90" s="39">
        <f>Multi!$B$135/Input!$C$175*J$48*LAFs!J$268/(24*Input!$F$60)*1000</f>
        <v>0</v>
      </c>
      <c r="K90" s="17"/>
    </row>
    <row r="91" spans="1:11">
      <c r="A91" s="4" t="s">
        <v>205</v>
      </c>
      <c r="B91" s="39">
        <f>Multi!$B$136/Input!$C$176*B$49*LAFs!B$269/(24*Input!$F$60)*1000</f>
        <v>0</v>
      </c>
      <c r="C91" s="39">
        <f>Multi!$B$136/Input!$C$176*C$49*LAFs!C$269/(24*Input!$F$60)*1000</f>
        <v>0</v>
      </c>
      <c r="D91" s="39">
        <f>Multi!$B$136/Input!$C$176*D$49*LAFs!D$269/(24*Input!$F$60)*1000</f>
        <v>0</v>
      </c>
      <c r="E91" s="39">
        <f>Multi!$B$136/Input!$C$176*E$49*LAFs!E$269/(24*Input!$F$60)*1000</f>
        <v>7.2317742893494713E-2</v>
      </c>
      <c r="F91" s="39">
        <f>Multi!$B$136/Input!$C$176*F$49*LAFs!F$269/(24*Input!$F$60)*1000</f>
        <v>0.35963743581223201</v>
      </c>
      <c r="G91" s="39">
        <f>Multi!$B$136/Input!$C$176*G$49*LAFs!G$269/(24*Input!$F$60)*1000</f>
        <v>0</v>
      </c>
      <c r="H91" s="39">
        <f>Multi!$B$136/Input!$C$176*H$49*LAFs!H$269/(24*Input!$F$60)*1000</f>
        <v>0.35535595288357857</v>
      </c>
      <c r="I91" s="39">
        <f>Multi!$B$136/Input!$C$176*I$49*LAFs!I$269/(24*Input!$F$60)*1000</f>
        <v>0</v>
      </c>
      <c r="J91" s="39">
        <f>Multi!$B$136/Input!$C$176*J$49*LAFs!J$269/(24*Input!$F$60)*1000</f>
        <v>0</v>
      </c>
      <c r="K91" s="17"/>
    </row>
    <row r="92" spans="1:11">
      <c r="A92" s="4" t="s">
        <v>186</v>
      </c>
      <c r="B92" s="39">
        <f>Multi!$B$137/Input!$C$177*B$50*LAFs!B$270/(24*Input!$F$60)*1000</f>
        <v>0</v>
      </c>
      <c r="C92" s="39">
        <f>Multi!$B$137/Input!$C$177*C$50*LAFs!C$270/(24*Input!$F$60)*1000</f>
        <v>0</v>
      </c>
      <c r="D92" s="39">
        <f>Multi!$B$137/Input!$C$177*D$50*LAFs!D$270/(24*Input!$F$60)*1000</f>
        <v>0</v>
      </c>
      <c r="E92" s="39">
        <f>Multi!$B$137/Input!$C$177*E$50*LAFs!E$270/(24*Input!$F$60)*1000</f>
        <v>0</v>
      </c>
      <c r="F92" s="39">
        <f>Multi!$B$137/Input!$C$177*F$50*LAFs!F$270/(24*Input!$F$60)*1000</f>
        <v>0</v>
      </c>
      <c r="G92" s="39">
        <f>Multi!$B$137/Input!$C$177*G$50*LAFs!G$270/(24*Input!$F$60)*1000</f>
        <v>0</v>
      </c>
      <c r="H92" s="39">
        <f>Multi!$B$137/Input!$C$177*H$50*LAFs!H$270/(24*Input!$F$60)*1000</f>
        <v>0</v>
      </c>
      <c r="I92" s="39">
        <f>Multi!$B$137/Input!$C$177*I$50*LAFs!I$270/(24*Input!$F$60)*1000</f>
        <v>0</v>
      </c>
      <c r="J92" s="39">
        <f>Multi!$B$137/Input!$C$177*J$50*LAFs!J$270/(24*Input!$F$60)*1000</f>
        <v>167.55455931779412</v>
      </c>
      <c r="K92" s="17"/>
    </row>
    <row r="93" spans="1:11">
      <c r="A93" s="4" t="s">
        <v>187</v>
      </c>
      <c r="B93" s="39">
        <f>Multi!$B$138/Input!$C$178*B$51*LAFs!B$271/(24*Input!$F$60)*1000</f>
        <v>0</v>
      </c>
      <c r="C93" s="39">
        <f>Multi!$B$138/Input!$C$178*C$51*LAFs!C$271/(24*Input!$F$60)*1000</f>
        <v>0</v>
      </c>
      <c r="D93" s="39">
        <f>Multi!$B$138/Input!$C$178*D$51*LAFs!D$271/(24*Input!$F$60)*1000</f>
        <v>0</v>
      </c>
      <c r="E93" s="39">
        <f>Multi!$B$138/Input!$C$178*E$51*LAFs!E$271/(24*Input!$F$60)*1000</f>
        <v>0</v>
      </c>
      <c r="F93" s="39">
        <f>Multi!$B$138/Input!$C$178*F$51*LAFs!F$271/(24*Input!$F$60)*1000</f>
        <v>0</v>
      </c>
      <c r="G93" s="39">
        <f>Multi!$B$138/Input!$C$178*G$51*LAFs!G$271/(24*Input!$F$60)*1000</f>
        <v>0</v>
      </c>
      <c r="H93" s="39">
        <f>Multi!$B$138/Input!$C$178*H$51*LAFs!H$271/(24*Input!$F$60)*1000</f>
        <v>0</v>
      </c>
      <c r="I93" s="39">
        <f>Multi!$B$138/Input!$C$178*I$51*LAFs!I$271/(24*Input!$F$60)*1000</f>
        <v>0</v>
      </c>
      <c r="J93" s="39">
        <f>Multi!$B$138/Input!$C$178*J$51*LAFs!J$271/(24*Input!$F$60)*1000</f>
        <v>62535.614101000108</v>
      </c>
      <c r="K93" s="17"/>
    </row>
    <row r="95" spans="1:11" ht="21" customHeight="1">
      <c r="A95" s="1" t="s">
        <v>875</v>
      </c>
    </row>
    <row r="96" spans="1:11">
      <c r="A96" s="2" t="s">
        <v>379</v>
      </c>
    </row>
    <row r="97" spans="1:11">
      <c r="A97" s="29" t="s">
        <v>876</v>
      </c>
    </row>
    <row r="98" spans="1:11">
      <c r="A98" s="29" t="s">
        <v>877</v>
      </c>
    </row>
    <row r="99" spans="1:11">
      <c r="A99" s="2" t="s">
        <v>397</v>
      </c>
    </row>
    <row r="101" spans="1:11">
      <c r="B101" s="15" t="s">
        <v>148</v>
      </c>
      <c r="C101" s="15" t="s">
        <v>149</v>
      </c>
      <c r="D101" s="15" t="s">
        <v>150</v>
      </c>
      <c r="E101" s="15" t="s">
        <v>151</v>
      </c>
      <c r="F101" s="15" t="s">
        <v>152</v>
      </c>
      <c r="G101" s="15" t="s">
        <v>157</v>
      </c>
      <c r="H101" s="15" t="s">
        <v>153</v>
      </c>
      <c r="I101" s="15" t="s">
        <v>154</v>
      </c>
      <c r="J101" s="15" t="s">
        <v>155</v>
      </c>
    </row>
    <row r="102" spans="1:11">
      <c r="A102" s="4" t="s">
        <v>180</v>
      </c>
      <c r="B102" s="41">
        <f t="shared" ref="B102:J102" si="8">B$85</f>
        <v>0</v>
      </c>
      <c r="C102" s="41">
        <f t="shared" si="8"/>
        <v>0</v>
      </c>
      <c r="D102" s="41">
        <f t="shared" si="8"/>
        <v>0</v>
      </c>
      <c r="E102" s="41">
        <f t="shared" si="8"/>
        <v>0</v>
      </c>
      <c r="F102" s="41">
        <f t="shared" si="8"/>
        <v>0</v>
      </c>
      <c r="G102" s="41">
        <f t="shared" si="8"/>
        <v>0</v>
      </c>
      <c r="H102" s="41">
        <f t="shared" si="8"/>
        <v>0</v>
      </c>
      <c r="I102" s="41">
        <f t="shared" si="8"/>
        <v>0</v>
      </c>
      <c r="J102" s="41">
        <f t="shared" si="8"/>
        <v>1670446.4231976999</v>
      </c>
      <c r="K102" s="17"/>
    </row>
    <row r="103" spans="1:11">
      <c r="A103" s="4" t="s">
        <v>181</v>
      </c>
      <c r="B103" s="41">
        <f t="shared" ref="B103:J103" si="9">B$86</f>
        <v>0</v>
      </c>
      <c r="C103" s="41">
        <f t="shared" si="9"/>
        <v>0</v>
      </c>
      <c r="D103" s="41">
        <f t="shared" si="9"/>
        <v>0</v>
      </c>
      <c r="E103" s="41">
        <f t="shared" si="9"/>
        <v>0</v>
      </c>
      <c r="F103" s="41">
        <f t="shared" si="9"/>
        <v>0</v>
      </c>
      <c r="G103" s="41">
        <f t="shared" si="9"/>
        <v>0</v>
      </c>
      <c r="H103" s="41">
        <f t="shared" si="9"/>
        <v>0</v>
      </c>
      <c r="I103" s="41">
        <f t="shared" si="9"/>
        <v>0</v>
      </c>
      <c r="J103" s="41">
        <f t="shared" si="9"/>
        <v>434208.50045754906</v>
      </c>
      <c r="K103" s="17"/>
    </row>
    <row r="104" spans="1:11">
      <c r="A104" s="4" t="s">
        <v>182</v>
      </c>
      <c r="B104" s="41">
        <f t="shared" ref="B104:J104" si="10">B$87</f>
        <v>0</v>
      </c>
      <c r="C104" s="41">
        <f t="shared" si="10"/>
        <v>0</v>
      </c>
      <c r="D104" s="41">
        <f t="shared" si="10"/>
        <v>0</v>
      </c>
      <c r="E104" s="41">
        <f t="shared" si="10"/>
        <v>0</v>
      </c>
      <c r="F104" s="41">
        <f t="shared" si="10"/>
        <v>0</v>
      </c>
      <c r="G104" s="41">
        <f t="shared" si="10"/>
        <v>0</v>
      </c>
      <c r="H104" s="41">
        <f t="shared" si="10"/>
        <v>0</v>
      </c>
      <c r="I104" s="41">
        <f t="shared" si="10"/>
        <v>0</v>
      </c>
      <c r="J104" s="41">
        <f t="shared" si="10"/>
        <v>434583.42200013995</v>
      </c>
      <c r="K104" s="17"/>
    </row>
    <row r="105" spans="1:11">
      <c r="A105" s="4" t="s">
        <v>183</v>
      </c>
      <c r="B105" s="41">
        <f t="shared" ref="B105:J105" si="11">B$88</f>
        <v>0</v>
      </c>
      <c r="C105" s="41">
        <f t="shared" si="11"/>
        <v>0</v>
      </c>
      <c r="D105" s="41">
        <f t="shared" si="11"/>
        <v>0</v>
      </c>
      <c r="E105" s="41">
        <f t="shared" si="11"/>
        <v>0</v>
      </c>
      <c r="F105" s="41">
        <f t="shared" si="11"/>
        <v>0</v>
      </c>
      <c r="G105" s="41">
        <f t="shared" si="11"/>
        <v>0</v>
      </c>
      <c r="H105" s="41">
        <f t="shared" si="11"/>
        <v>0</v>
      </c>
      <c r="I105" s="41">
        <f t="shared" si="11"/>
        <v>0</v>
      </c>
      <c r="J105" s="41">
        <f t="shared" si="11"/>
        <v>141423.53046078756</v>
      </c>
      <c r="K105" s="17"/>
    </row>
    <row r="106" spans="1:11">
      <c r="A106" s="4" t="s">
        <v>184</v>
      </c>
      <c r="B106" s="41">
        <f t="shared" ref="B106:J106" si="12">B$89</f>
        <v>0</v>
      </c>
      <c r="C106" s="41">
        <f t="shared" si="12"/>
        <v>0</v>
      </c>
      <c r="D106" s="41">
        <f t="shared" si="12"/>
        <v>0</v>
      </c>
      <c r="E106" s="41">
        <f t="shared" si="12"/>
        <v>0</v>
      </c>
      <c r="F106" s="41">
        <f t="shared" si="12"/>
        <v>0</v>
      </c>
      <c r="G106" s="41">
        <f t="shared" si="12"/>
        <v>0</v>
      </c>
      <c r="H106" s="41">
        <f t="shared" si="12"/>
        <v>0</v>
      </c>
      <c r="I106" s="41">
        <f t="shared" si="12"/>
        <v>0</v>
      </c>
      <c r="J106" s="41">
        <f t="shared" si="12"/>
        <v>18.119441776074574</v>
      </c>
      <c r="K106" s="17"/>
    </row>
    <row r="107" spans="1:11">
      <c r="A107" s="4" t="s">
        <v>185</v>
      </c>
      <c r="B107" s="41">
        <f t="shared" ref="B107:J107" si="13">B$90</f>
        <v>0</v>
      </c>
      <c r="C107" s="41">
        <f t="shared" si="13"/>
        <v>0</v>
      </c>
      <c r="D107" s="41">
        <f t="shared" si="13"/>
        <v>0</v>
      </c>
      <c r="E107" s="41">
        <f t="shared" si="13"/>
        <v>0</v>
      </c>
      <c r="F107" s="41">
        <f t="shared" si="13"/>
        <v>0</v>
      </c>
      <c r="G107" s="41">
        <f t="shared" si="13"/>
        <v>0</v>
      </c>
      <c r="H107" s="41">
        <f t="shared" si="13"/>
        <v>0</v>
      </c>
      <c r="I107" s="41">
        <f t="shared" si="13"/>
        <v>9.7260595540228131E-2</v>
      </c>
      <c r="J107" s="41">
        <f t="shared" si="13"/>
        <v>0</v>
      </c>
      <c r="K107" s="17"/>
    </row>
    <row r="108" spans="1:11">
      <c r="A108" s="4" t="s">
        <v>205</v>
      </c>
      <c r="B108" s="41">
        <f t="shared" ref="B108:J108" si="14">B$91</f>
        <v>0</v>
      </c>
      <c r="C108" s="41">
        <f t="shared" si="14"/>
        <v>0</v>
      </c>
      <c r="D108" s="41">
        <f t="shared" si="14"/>
        <v>0</v>
      </c>
      <c r="E108" s="41">
        <f t="shared" si="14"/>
        <v>7.2317742893494713E-2</v>
      </c>
      <c r="F108" s="41">
        <f t="shared" si="14"/>
        <v>0.35963743581223201</v>
      </c>
      <c r="G108" s="41">
        <f t="shared" si="14"/>
        <v>0</v>
      </c>
      <c r="H108" s="41">
        <f t="shared" si="14"/>
        <v>0.35535595288357857</v>
      </c>
      <c r="I108" s="41">
        <f t="shared" si="14"/>
        <v>0</v>
      </c>
      <c r="J108" s="41">
        <f t="shared" si="14"/>
        <v>0</v>
      </c>
      <c r="K108" s="17"/>
    </row>
    <row r="109" spans="1:11">
      <c r="A109" s="4" t="s">
        <v>186</v>
      </c>
      <c r="B109" s="41">
        <f t="shared" ref="B109:J109" si="15">B$92</f>
        <v>0</v>
      </c>
      <c r="C109" s="41">
        <f t="shared" si="15"/>
        <v>0</v>
      </c>
      <c r="D109" s="41">
        <f t="shared" si="15"/>
        <v>0</v>
      </c>
      <c r="E109" s="41">
        <f t="shared" si="15"/>
        <v>0</v>
      </c>
      <c r="F109" s="41">
        <f t="shared" si="15"/>
        <v>0</v>
      </c>
      <c r="G109" s="41">
        <f t="shared" si="15"/>
        <v>0</v>
      </c>
      <c r="H109" s="41">
        <f t="shared" si="15"/>
        <v>0</v>
      </c>
      <c r="I109" s="41">
        <f t="shared" si="15"/>
        <v>0</v>
      </c>
      <c r="J109" s="41">
        <f t="shared" si="15"/>
        <v>167.55455931779412</v>
      </c>
      <c r="K109" s="17"/>
    </row>
    <row r="110" spans="1:11">
      <c r="A110" s="4" t="s">
        <v>187</v>
      </c>
      <c r="B110" s="41">
        <f t="shared" ref="B110:J110" si="16">B$93</f>
        <v>0</v>
      </c>
      <c r="C110" s="41">
        <f t="shared" si="16"/>
        <v>0</v>
      </c>
      <c r="D110" s="41">
        <f t="shared" si="16"/>
        <v>0</v>
      </c>
      <c r="E110" s="41">
        <f t="shared" si="16"/>
        <v>0</v>
      </c>
      <c r="F110" s="41">
        <f t="shared" si="16"/>
        <v>0</v>
      </c>
      <c r="G110" s="41">
        <f t="shared" si="16"/>
        <v>0</v>
      </c>
      <c r="H110" s="41">
        <f t="shared" si="16"/>
        <v>0</v>
      </c>
      <c r="I110" s="41">
        <f t="shared" si="16"/>
        <v>0</v>
      </c>
      <c r="J110" s="41">
        <f t="shared" si="16"/>
        <v>62535.614101000108</v>
      </c>
      <c r="K110" s="17"/>
    </row>
    <row r="111" spans="1:11">
      <c r="A111" s="4" t="s">
        <v>188</v>
      </c>
      <c r="B111" s="41">
        <f t="shared" ref="B111:J111" si="17">B$71</f>
        <v>0</v>
      </c>
      <c r="C111" s="41">
        <f t="shared" si="17"/>
        <v>0</v>
      </c>
      <c r="D111" s="41">
        <f t="shared" si="17"/>
        <v>0</v>
      </c>
      <c r="E111" s="41">
        <f t="shared" si="17"/>
        <v>0</v>
      </c>
      <c r="F111" s="41">
        <f t="shared" si="17"/>
        <v>0</v>
      </c>
      <c r="G111" s="41">
        <f t="shared" si="17"/>
        <v>0</v>
      </c>
      <c r="H111" s="41">
        <f t="shared" si="17"/>
        <v>261037.33822940564</v>
      </c>
      <c r="I111" s="41">
        <f t="shared" si="17"/>
        <v>1288016.5483863547</v>
      </c>
      <c r="J111" s="41">
        <f t="shared" si="17"/>
        <v>1224793.541519772</v>
      </c>
      <c r="K111" s="17"/>
    </row>
    <row r="112" spans="1:11">
      <c r="A112" s="4" t="s">
        <v>189</v>
      </c>
      <c r="B112" s="41">
        <f t="shared" ref="B112:J112" si="18">B$72</f>
        <v>0</v>
      </c>
      <c r="C112" s="41">
        <f t="shared" si="18"/>
        <v>0</v>
      </c>
      <c r="D112" s="41">
        <f t="shared" si="18"/>
        <v>0</v>
      </c>
      <c r="E112" s="41">
        <f t="shared" si="18"/>
        <v>0</v>
      </c>
      <c r="F112" s="41">
        <f t="shared" si="18"/>
        <v>0</v>
      </c>
      <c r="G112" s="41">
        <f t="shared" si="18"/>
        <v>0</v>
      </c>
      <c r="H112" s="41">
        <f t="shared" si="18"/>
        <v>636331.38826968812</v>
      </c>
      <c r="I112" s="41">
        <f t="shared" si="18"/>
        <v>627960.24806898157</v>
      </c>
      <c r="J112" s="41">
        <f t="shared" si="18"/>
        <v>0</v>
      </c>
      <c r="K112" s="17"/>
    </row>
    <row r="113" spans="1:11">
      <c r="A113" s="4" t="s">
        <v>206</v>
      </c>
      <c r="B113" s="41">
        <f t="shared" ref="B113:J113" si="19">B$73</f>
        <v>0</v>
      </c>
      <c r="C113" s="41">
        <f t="shared" si="19"/>
        <v>0</v>
      </c>
      <c r="D113" s="41">
        <f t="shared" si="19"/>
        <v>0</v>
      </c>
      <c r="E113" s="41">
        <f t="shared" si="19"/>
        <v>357398.82664079667</v>
      </c>
      <c r="F113" s="41">
        <f t="shared" si="19"/>
        <v>1777350.7915573886</v>
      </c>
      <c r="G113" s="41">
        <f t="shared" si="19"/>
        <v>0</v>
      </c>
      <c r="H113" s="41">
        <f t="shared" si="19"/>
        <v>1756191.4340642085</v>
      </c>
      <c r="I113" s="41">
        <f t="shared" si="19"/>
        <v>0</v>
      </c>
      <c r="J113" s="41">
        <f t="shared" si="19"/>
        <v>0</v>
      </c>
      <c r="K113" s="17"/>
    </row>
    <row r="115" spans="1:11" ht="21" customHeight="1">
      <c r="A115" s="1" t="s">
        <v>878</v>
      </c>
    </row>
    <row r="116" spans="1:11">
      <c r="A116" s="2" t="s">
        <v>379</v>
      </c>
    </row>
    <row r="117" spans="1:11">
      <c r="A117" s="29" t="s">
        <v>879</v>
      </c>
    </row>
    <row r="118" spans="1:11">
      <c r="A118" s="2" t="s">
        <v>851</v>
      </c>
    </row>
    <row r="120" spans="1:11">
      <c r="B120" s="15" t="s">
        <v>148</v>
      </c>
      <c r="C120" s="15" t="s">
        <v>149</v>
      </c>
      <c r="D120" s="15" t="s">
        <v>150</v>
      </c>
      <c r="E120" s="15" t="s">
        <v>151</v>
      </c>
      <c r="F120" s="15" t="s">
        <v>152</v>
      </c>
      <c r="G120" s="15" t="s">
        <v>157</v>
      </c>
      <c r="H120" s="15" t="s">
        <v>153</v>
      </c>
      <c r="I120" s="15" t="s">
        <v>154</v>
      </c>
      <c r="J120" s="15" t="s">
        <v>155</v>
      </c>
    </row>
    <row r="121" spans="1:11">
      <c r="A121" s="4" t="s">
        <v>880</v>
      </c>
      <c r="B121" s="39">
        <f t="shared" ref="B121:J121" si="20">SUM(B$102:B$113)</f>
        <v>0</v>
      </c>
      <c r="C121" s="39">
        <f t="shared" si="20"/>
        <v>0</v>
      </c>
      <c r="D121" s="39">
        <f t="shared" si="20"/>
        <v>0</v>
      </c>
      <c r="E121" s="39">
        <f t="shared" si="20"/>
        <v>357398.89895853959</v>
      </c>
      <c r="F121" s="39">
        <f t="shared" si="20"/>
        <v>1777351.1511948244</v>
      </c>
      <c r="G121" s="39">
        <f t="shared" si="20"/>
        <v>0</v>
      </c>
      <c r="H121" s="39">
        <f t="shared" si="20"/>
        <v>2653560.5159192551</v>
      </c>
      <c r="I121" s="39">
        <f t="shared" si="20"/>
        <v>1915976.8937159318</v>
      </c>
      <c r="J121" s="39">
        <f t="shared" si="20"/>
        <v>3968176.7057380425</v>
      </c>
      <c r="K121" s="17"/>
    </row>
    <row r="123" spans="1:11" ht="21" customHeight="1">
      <c r="A123" s="1" t="s">
        <v>881</v>
      </c>
    </row>
    <row r="124" spans="1:11">
      <c r="A124" s="2" t="s">
        <v>379</v>
      </c>
    </row>
    <row r="125" spans="1:11">
      <c r="A125" s="29" t="s">
        <v>850</v>
      </c>
    </row>
    <row r="126" spans="1:11">
      <c r="A126" s="29" t="s">
        <v>882</v>
      </c>
    </row>
    <row r="127" spans="1:11">
      <c r="A127" s="2" t="s">
        <v>721</v>
      </c>
    </row>
    <row r="129" spans="1:11">
      <c r="B129" s="15" t="s">
        <v>148</v>
      </c>
      <c r="C129" s="15" t="s">
        <v>149</v>
      </c>
      <c r="D129" s="15" t="s">
        <v>150</v>
      </c>
      <c r="E129" s="15" t="s">
        <v>151</v>
      </c>
      <c r="F129" s="15" t="s">
        <v>152</v>
      </c>
      <c r="G129" s="15" t="s">
        <v>157</v>
      </c>
      <c r="H129" s="15" t="s">
        <v>153</v>
      </c>
      <c r="I129" s="15" t="s">
        <v>154</v>
      </c>
      <c r="J129" s="15" t="s">
        <v>155</v>
      </c>
    </row>
    <row r="130" spans="1:11">
      <c r="A130" s="4" t="s">
        <v>180</v>
      </c>
      <c r="B130" s="39">
        <f>SMD!B$116*B41</f>
        <v>0</v>
      </c>
      <c r="C130" s="39">
        <f>SMD!C$116*C41</f>
        <v>0</v>
      </c>
      <c r="D130" s="39">
        <f>SMD!D$116*D41</f>
        <v>0</v>
      </c>
      <c r="E130" s="39">
        <f>SMD!E$116*E41</f>
        <v>0</v>
      </c>
      <c r="F130" s="39">
        <f>SMD!F$116*F41</f>
        <v>0</v>
      </c>
      <c r="G130" s="39">
        <f>SMD!G$116*G41</f>
        <v>0</v>
      </c>
      <c r="H130" s="39">
        <f>SMD!H$116*H41</f>
        <v>0</v>
      </c>
      <c r="I130" s="39">
        <f>SMD!I$116*I41</f>
        <v>0</v>
      </c>
      <c r="J130" s="39">
        <f>SMD!J$116*J41</f>
        <v>1368734.0819926346</v>
      </c>
      <c r="K130" s="17"/>
    </row>
    <row r="131" spans="1:11">
      <c r="A131" s="4" t="s">
        <v>181</v>
      </c>
      <c r="B131" s="39">
        <f>SMD!B$117*B42</f>
        <v>0</v>
      </c>
      <c r="C131" s="39">
        <f>SMD!C$117*C42</f>
        <v>0</v>
      </c>
      <c r="D131" s="39">
        <f>SMD!D$117*D42</f>
        <v>0</v>
      </c>
      <c r="E131" s="39">
        <f>SMD!E$117*E42</f>
        <v>0</v>
      </c>
      <c r="F131" s="39">
        <f>SMD!F$117*F42</f>
        <v>0</v>
      </c>
      <c r="G131" s="39">
        <f>SMD!G$117*G42</f>
        <v>0</v>
      </c>
      <c r="H131" s="39">
        <f>SMD!H$117*H42</f>
        <v>0</v>
      </c>
      <c r="I131" s="39">
        <f>SMD!I$117*I42</f>
        <v>0</v>
      </c>
      <c r="J131" s="39">
        <f>SMD!J$117*J42</f>
        <v>132126.82064808806</v>
      </c>
      <c r="K131" s="17"/>
    </row>
    <row r="132" spans="1:11">
      <c r="A132" s="4" t="s">
        <v>226</v>
      </c>
      <c r="B132" s="39">
        <f>SMD!B$118*B43</f>
        <v>0</v>
      </c>
      <c r="C132" s="39">
        <f>SMD!C$118*C43</f>
        <v>0</v>
      </c>
      <c r="D132" s="39">
        <f>SMD!D$118*D43</f>
        <v>0</v>
      </c>
      <c r="E132" s="39">
        <f>SMD!E$118*E43</f>
        <v>0</v>
      </c>
      <c r="F132" s="39">
        <f>SMD!F$118*F43</f>
        <v>0</v>
      </c>
      <c r="G132" s="39">
        <f>SMD!G$118*G43</f>
        <v>0</v>
      </c>
      <c r="H132" s="39">
        <f>SMD!H$118*H43</f>
        <v>0</v>
      </c>
      <c r="I132" s="39">
        <f>SMD!I$118*I43</f>
        <v>0</v>
      </c>
      <c r="J132" s="39">
        <f>SMD!J$118*J43</f>
        <v>444.48702459373465</v>
      </c>
      <c r="K132" s="17"/>
    </row>
    <row r="133" spans="1:11">
      <c r="A133" s="4" t="s">
        <v>182</v>
      </c>
      <c r="B133" s="39">
        <f>SMD!B$119*B44</f>
        <v>0</v>
      </c>
      <c r="C133" s="39">
        <f>SMD!C$119*C44</f>
        <v>0</v>
      </c>
      <c r="D133" s="39">
        <f>SMD!D$119*D44</f>
        <v>0</v>
      </c>
      <c r="E133" s="39">
        <f>SMD!E$119*E44</f>
        <v>0</v>
      </c>
      <c r="F133" s="39">
        <f>SMD!F$119*F44</f>
        <v>0</v>
      </c>
      <c r="G133" s="39">
        <f>SMD!G$119*G44</f>
        <v>0</v>
      </c>
      <c r="H133" s="39">
        <f>SMD!H$119*H44</f>
        <v>0</v>
      </c>
      <c r="I133" s="39">
        <f>SMD!I$119*I44</f>
        <v>0</v>
      </c>
      <c r="J133" s="39">
        <f>SMD!J$119*J44</f>
        <v>296280.57827356632</v>
      </c>
      <c r="K133" s="17"/>
    </row>
    <row r="134" spans="1:11">
      <c r="A134" s="4" t="s">
        <v>183</v>
      </c>
      <c r="B134" s="39">
        <f>SMD!B$120*B45</f>
        <v>0</v>
      </c>
      <c r="C134" s="39">
        <f>SMD!C$120*C45</f>
        <v>0</v>
      </c>
      <c r="D134" s="39">
        <f>SMD!D$120*D45</f>
        <v>0</v>
      </c>
      <c r="E134" s="39">
        <f>SMD!E$120*E45</f>
        <v>0</v>
      </c>
      <c r="F134" s="39">
        <f>SMD!F$120*F45</f>
        <v>0</v>
      </c>
      <c r="G134" s="39">
        <f>SMD!G$120*G45</f>
        <v>0</v>
      </c>
      <c r="H134" s="39">
        <f>SMD!H$120*H45</f>
        <v>0</v>
      </c>
      <c r="I134" s="39">
        <f>SMD!I$120*I45</f>
        <v>0</v>
      </c>
      <c r="J134" s="39">
        <f>SMD!J$120*J45</f>
        <v>114774.99221479008</v>
      </c>
      <c r="K134" s="17"/>
    </row>
    <row r="135" spans="1:11">
      <c r="A135" s="4" t="s">
        <v>227</v>
      </c>
      <c r="B135" s="39">
        <f>SMD!B$121*B46</f>
        <v>0</v>
      </c>
      <c r="C135" s="39">
        <f>SMD!C$121*C46</f>
        <v>0</v>
      </c>
      <c r="D135" s="39">
        <f>SMD!D$121*D46</f>
        <v>0</v>
      </c>
      <c r="E135" s="39">
        <f>SMD!E$121*E46</f>
        <v>0</v>
      </c>
      <c r="F135" s="39">
        <f>SMD!F$121*F46</f>
        <v>0</v>
      </c>
      <c r="G135" s="39">
        <f>SMD!G$121*G46</f>
        <v>0</v>
      </c>
      <c r="H135" s="39">
        <f>SMD!H$121*H46</f>
        <v>0</v>
      </c>
      <c r="I135" s="39">
        <f>SMD!I$121*I46</f>
        <v>0</v>
      </c>
      <c r="J135" s="39">
        <f>SMD!J$121*J46</f>
        <v>471.19598758748941</v>
      </c>
      <c r="K135" s="17"/>
    </row>
    <row r="136" spans="1:11">
      <c r="A136" s="4" t="s">
        <v>184</v>
      </c>
      <c r="B136" s="39">
        <f>SMD!B$122*B47</f>
        <v>0</v>
      </c>
      <c r="C136" s="39">
        <f>SMD!C$122*C47</f>
        <v>0</v>
      </c>
      <c r="D136" s="39">
        <f>SMD!D$122*D47</f>
        <v>0</v>
      </c>
      <c r="E136" s="39">
        <f>SMD!E$122*E47</f>
        <v>0</v>
      </c>
      <c r="F136" s="39">
        <f>SMD!F$122*F47</f>
        <v>0</v>
      </c>
      <c r="G136" s="39">
        <f>SMD!G$122*G47</f>
        <v>0</v>
      </c>
      <c r="H136" s="39">
        <f>SMD!H$122*H47</f>
        <v>0</v>
      </c>
      <c r="I136" s="39">
        <f>SMD!I$122*I47</f>
        <v>0</v>
      </c>
      <c r="J136" s="39">
        <f>SMD!J$122*J47</f>
        <v>13.098122141611242</v>
      </c>
      <c r="K136" s="17"/>
    </row>
    <row r="137" spans="1:11">
      <c r="A137" s="4" t="s">
        <v>185</v>
      </c>
      <c r="B137" s="39">
        <f>SMD!B$123*B48</f>
        <v>0</v>
      </c>
      <c r="C137" s="39">
        <f>SMD!C$123*C48</f>
        <v>0</v>
      </c>
      <c r="D137" s="39">
        <f>SMD!D$123*D48</f>
        <v>0</v>
      </c>
      <c r="E137" s="39">
        <f>SMD!E$123*E48</f>
        <v>0</v>
      </c>
      <c r="F137" s="39">
        <f>SMD!F$123*F48</f>
        <v>0</v>
      </c>
      <c r="G137" s="39">
        <f>SMD!G$123*G48</f>
        <v>0</v>
      </c>
      <c r="H137" s="39">
        <f>SMD!H$123*H48</f>
        <v>0</v>
      </c>
      <c r="I137" s="39">
        <f>SMD!I$123*I48</f>
        <v>8.01249390167732E-2</v>
      </c>
      <c r="J137" s="39">
        <f>SMD!J$123*J48</f>
        <v>0</v>
      </c>
      <c r="K137" s="17"/>
    </row>
    <row r="138" spans="1:11">
      <c r="A138" s="4" t="s">
        <v>205</v>
      </c>
      <c r="B138" s="39">
        <f>SMD!B$124*B49</f>
        <v>0</v>
      </c>
      <c r="C138" s="39">
        <f>SMD!C$124*C49</f>
        <v>0</v>
      </c>
      <c r="D138" s="39">
        <f>SMD!D$124*D49</f>
        <v>0</v>
      </c>
      <c r="E138" s="39">
        <f>SMD!E$124*E49</f>
        <v>6.8444536109706397E-2</v>
      </c>
      <c r="F138" s="39">
        <f>SMD!F$124*F49</f>
        <v>0.34037590882923935</v>
      </c>
      <c r="G138" s="39">
        <f>SMD!G$124*G49</f>
        <v>0</v>
      </c>
      <c r="H138" s="39">
        <f>SMD!H$124*H49</f>
        <v>0.33632373433943419</v>
      </c>
      <c r="I138" s="39">
        <f>SMD!I$124*I49</f>
        <v>0</v>
      </c>
      <c r="J138" s="39">
        <f>SMD!J$124*J49</f>
        <v>0</v>
      </c>
      <c r="K138" s="17"/>
    </row>
    <row r="139" spans="1:11">
      <c r="A139" s="4" t="s">
        <v>186</v>
      </c>
      <c r="B139" s="39">
        <f>SMD!B$125*B50</f>
        <v>0</v>
      </c>
      <c r="C139" s="39">
        <f>SMD!C$125*C50</f>
        <v>0</v>
      </c>
      <c r="D139" s="39">
        <f>SMD!D$125*D50</f>
        <v>0</v>
      </c>
      <c r="E139" s="39">
        <f>SMD!E$125*E50</f>
        <v>0</v>
      </c>
      <c r="F139" s="39">
        <f>SMD!F$125*F50</f>
        <v>0</v>
      </c>
      <c r="G139" s="39">
        <f>SMD!G$125*G50</f>
        <v>0</v>
      </c>
      <c r="H139" s="39">
        <f>SMD!H$125*H50</f>
        <v>0</v>
      </c>
      <c r="I139" s="39">
        <f>SMD!I$125*I50</f>
        <v>0</v>
      </c>
      <c r="J139" s="39">
        <f>SMD!J$125*J50</f>
        <v>122.32628785570728</v>
      </c>
      <c r="K139" s="17"/>
    </row>
    <row r="140" spans="1:11">
      <c r="A140" s="4" t="s">
        <v>187</v>
      </c>
      <c r="B140" s="39">
        <f>SMD!B$126*B51</f>
        <v>0</v>
      </c>
      <c r="C140" s="39">
        <f>SMD!C$126*C51</f>
        <v>0</v>
      </c>
      <c r="D140" s="39">
        <f>SMD!D$126*D51</f>
        <v>0</v>
      </c>
      <c r="E140" s="39">
        <f>SMD!E$126*E51</f>
        <v>0</v>
      </c>
      <c r="F140" s="39">
        <f>SMD!F$126*F51</f>
        <v>0</v>
      </c>
      <c r="G140" s="39">
        <f>SMD!G$126*G51</f>
        <v>0</v>
      </c>
      <c r="H140" s="39">
        <f>SMD!H$126*H51</f>
        <v>0</v>
      </c>
      <c r="I140" s="39">
        <f>SMD!I$126*I51</f>
        <v>0</v>
      </c>
      <c r="J140" s="39">
        <f>SMD!J$126*J51</f>
        <v>38640.395254785704</v>
      </c>
      <c r="K140" s="17"/>
    </row>
    <row r="141" spans="1:11">
      <c r="A141" s="4" t="s">
        <v>188</v>
      </c>
      <c r="B141" s="39">
        <f>SMD!B$127*B52</f>
        <v>0</v>
      </c>
      <c r="C141" s="39">
        <f>SMD!C$127*C52</f>
        <v>0</v>
      </c>
      <c r="D141" s="39">
        <f>SMD!D$127*D52</f>
        <v>0</v>
      </c>
      <c r="E141" s="39">
        <f>SMD!E$127*E52</f>
        <v>0</v>
      </c>
      <c r="F141" s="39">
        <f>SMD!F$127*F52</f>
        <v>0</v>
      </c>
      <c r="G141" s="39">
        <f>SMD!G$127*G52</f>
        <v>0</v>
      </c>
      <c r="H141" s="39">
        <f>SMD!H$127*H52</f>
        <v>86974.882404220174</v>
      </c>
      <c r="I141" s="39">
        <f>SMD!I$127*I52</f>
        <v>429153.50191068271</v>
      </c>
      <c r="J141" s="39">
        <f>SMD!J$127*J52</f>
        <v>408088.26417588117</v>
      </c>
      <c r="K141" s="17"/>
    </row>
    <row r="142" spans="1:11">
      <c r="A142" s="4" t="s">
        <v>189</v>
      </c>
      <c r="B142" s="39">
        <f>SMD!B$128*B53</f>
        <v>0</v>
      </c>
      <c r="C142" s="39">
        <f>SMD!C$128*C53</f>
        <v>0</v>
      </c>
      <c r="D142" s="39">
        <f>SMD!D$128*D53</f>
        <v>0</v>
      </c>
      <c r="E142" s="39">
        <f>SMD!E$128*E53</f>
        <v>0</v>
      </c>
      <c r="F142" s="39">
        <f>SMD!F$128*F53</f>
        <v>0</v>
      </c>
      <c r="G142" s="39">
        <f>SMD!G$128*G53</f>
        <v>0</v>
      </c>
      <c r="H142" s="39">
        <f>SMD!H$128*H53</f>
        <v>196306.43365800031</v>
      </c>
      <c r="I142" s="39">
        <f>SMD!I$128*I53</f>
        <v>193723.96058069338</v>
      </c>
      <c r="J142" s="39">
        <f>SMD!J$128*J53</f>
        <v>0</v>
      </c>
      <c r="K142" s="17"/>
    </row>
    <row r="143" spans="1:11">
      <c r="A143" s="4" t="s">
        <v>206</v>
      </c>
      <c r="B143" s="39">
        <f>SMD!B$129*B54</f>
        <v>0</v>
      </c>
      <c r="C143" s="39">
        <f>SMD!C$129*C54</f>
        <v>0</v>
      </c>
      <c r="D143" s="39">
        <f>SMD!D$129*D54</f>
        <v>0</v>
      </c>
      <c r="E143" s="39">
        <f>SMD!E$129*E54</f>
        <v>127144.06120746501</v>
      </c>
      <c r="F143" s="39">
        <f>SMD!F$129*F54</f>
        <v>632289.70266326482</v>
      </c>
      <c r="G143" s="39">
        <f>SMD!G$129*G54</f>
        <v>0</v>
      </c>
      <c r="H143" s="39">
        <f>SMD!H$129*H54</f>
        <v>624762.29506232322</v>
      </c>
      <c r="I143" s="39">
        <f>SMD!I$129*I54</f>
        <v>0</v>
      </c>
      <c r="J143" s="39">
        <f>SMD!J$129*J54</f>
        <v>0</v>
      </c>
      <c r="K143" s="17"/>
    </row>
    <row r="144" spans="1:11">
      <c r="A144" s="4" t="s">
        <v>228</v>
      </c>
      <c r="B144" s="39">
        <f>SMD!B$130*B55</f>
        <v>0</v>
      </c>
      <c r="C144" s="39">
        <f>SMD!C$130*C55</f>
        <v>0</v>
      </c>
      <c r="D144" s="39">
        <f>SMD!D$130*D55</f>
        <v>0</v>
      </c>
      <c r="E144" s="39">
        <f>SMD!E$130*E55</f>
        <v>0</v>
      </c>
      <c r="F144" s="39">
        <f>SMD!F$130*F55</f>
        <v>0</v>
      </c>
      <c r="G144" s="39">
        <f>SMD!G$130*G55</f>
        <v>0</v>
      </c>
      <c r="H144" s="39">
        <f>SMD!H$130*H55</f>
        <v>0</v>
      </c>
      <c r="I144" s="39">
        <f>SMD!I$130*I55</f>
        <v>0</v>
      </c>
      <c r="J144" s="39">
        <f>SMD!J$130*J55</f>
        <v>0</v>
      </c>
      <c r="K144" s="17"/>
    </row>
    <row r="145" spans="1:11">
      <c r="A145" s="4" t="s">
        <v>229</v>
      </c>
      <c r="B145" s="39">
        <f>SMD!B$131*B56</f>
        <v>0</v>
      </c>
      <c r="C145" s="39">
        <f>SMD!C$131*C56</f>
        <v>0</v>
      </c>
      <c r="D145" s="39">
        <f>SMD!D$131*D56</f>
        <v>0</v>
      </c>
      <c r="E145" s="39">
        <f>SMD!E$131*E56</f>
        <v>0</v>
      </c>
      <c r="F145" s="39">
        <f>SMD!F$131*F56</f>
        <v>0</v>
      </c>
      <c r="G145" s="39">
        <f>SMD!G$131*G56</f>
        <v>0</v>
      </c>
      <c r="H145" s="39">
        <f>SMD!H$131*H56</f>
        <v>0</v>
      </c>
      <c r="I145" s="39">
        <f>SMD!I$131*I56</f>
        <v>0</v>
      </c>
      <c r="J145" s="39">
        <f>SMD!J$131*J56</f>
        <v>0</v>
      </c>
      <c r="K145" s="17"/>
    </row>
    <row r="146" spans="1:11">
      <c r="A146" s="4" t="s">
        <v>230</v>
      </c>
      <c r="B146" s="39">
        <f>SMD!B$132*B57</f>
        <v>0</v>
      </c>
      <c r="C146" s="39">
        <f>SMD!C$132*C57</f>
        <v>0</v>
      </c>
      <c r="D146" s="39">
        <f>SMD!D$132*D57</f>
        <v>0</v>
      </c>
      <c r="E146" s="39">
        <f>SMD!E$132*E57</f>
        <v>0</v>
      </c>
      <c r="F146" s="39">
        <f>SMD!F$132*F57</f>
        <v>0</v>
      </c>
      <c r="G146" s="39">
        <f>SMD!G$132*G57</f>
        <v>0</v>
      </c>
      <c r="H146" s="39">
        <f>SMD!H$132*H57</f>
        <v>0</v>
      </c>
      <c r="I146" s="39">
        <f>SMD!I$132*I57</f>
        <v>0</v>
      </c>
      <c r="J146" s="39">
        <f>SMD!J$132*J57</f>
        <v>0</v>
      </c>
      <c r="K146" s="17"/>
    </row>
    <row r="147" spans="1:11">
      <c r="A147" s="4" t="s">
        <v>231</v>
      </c>
      <c r="B147" s="39">
        <f>SMD!B$133*B58</f>
        <v>0</v>
      </c>
      <c r="C147" s="39">
        <f>SMD!C$133*C58</f>
        <v>0</v>
      </c>
      <c r="D147" s="39">
        <f>SMD!D$133*D58</f>
        <v>0</v>
      </c>
      <c r="E147" s="39">
        <f>SMD!E$133*E58</f>
        <v>0</v>
      </c>
      <c r="F147" s="39">
        <f>SMD!F$133*F58</f>
        <v>0</v>
      </c>
      <c r="G147" s="39">
        <f>SMD!G$133*G58</f>
        <v>0</v>
      </c>
      <c r="H147" s="39">
        <f>SMD!H$133*H58</f>
        <v>0</v>
      </c>
      <c r="I147" s="39">
        <f>SMD!I$133*I58</f>
        <v>0</v>
      </c>
      <c r="J147" s="39">
        <f>SMD!J$133*J58</f>
        <v>0</v>
      </c>
      <c r="K147" s="17"/>
    </row>
    <row r="148" spans="1:11">
      <c r="A148" s="4" t="s">
        <v>232</v>
      </c>
      <c r="B148" s="39">
        <f>SMD!B$134*B59</f>
        <v>0</v>
      </c>
      <c r="C148" s="39">
        <f>SMD!C$134*C59</f>
        <v>0</v>
      </c>
      <c r="D148" s="39">
        <f>SMD!D$134*D59</f>
        <v>0</v>
      </c>
      <c r="E148" s="39">
        <f>SMD!E$134*E59</f>
        <v>0</v>
      </c>
      <c r="F148" s="39">
        <f>SMD!F$134*F59</f>
        <v>0</v>
      </c>
      <c r="G148" s="39">
        <f>SMD!G$134*G59</f>
        <v>0</v>
      </c>
      <c r="H148" s="39">
        <f>SMD!H$134*H59</f>
        <v>0</v>
      </c>
      <c r="I148" s="39">
        <f>SMD!I$134*I59</f>
        <v>0</v>
      </c>
      <c r="J148" s="39">
        <f>SMD!J$134*J59</f>
        <v>0</v>
      </c>
      <c r="K148" s="17"/>
    </row>
    <row r="150" spans="1:11" ht="21" customHeight="1">
      <c r="A150" s="1" t="s">
        <v>883</v>
      </c>
    </row>
    <row r="151" spans="1:11">
      <c r="A151" s="2" t="s">
        <v>379</v>
      </c>
    </row>
    <row r="152" spans="1:11">
      <c r="A152" s="29" t="s">
        <v>884</v>
      </c>
    </row>
    <row r="153" spans="1:11">
      <c r="A153" s="2" t="s">
        <v>851</v>
      </c>
    </row>
    <row r="155" spans="1:11">
      <c r="B155" s="15" t="s">
        <v>148</v>
      </c>
      <c r="C155" s="15" t="s">
        <v>149</v>
      </c>
      <c r="D155" s="15" t="s">
        <v>150</v>
      </c>
      <c r="E155" s="15" t="s">
        <v>151</v>
      </c>
      <c r="F155" s="15" t="s">
        <v>152</v>
      </c>
      <c r="G155" s="15" t="s">
        <v>157</v>
      </c>
      <c r="H155" s="15" t="s">
        <v>153</v>
      </c>
      <c r="I155" s="15" t="s">
        <v>154</v>
      </c>
      <c r="J155" s="15" t="s">
        <v>155</v>
      </c>
    </row>
    <row r="156" spans="1:11" ht="30">
      <c r="A156" s="4" t="s">
        <v>885</v>
      </c>
      <c r="B156" s="39">
        <f t="shared" ref="B156:J156" si="21">SUM(B$130:B$148)</f>
        <v>0</v>
      </c>
      <c r="C156" s="39">
        <f t="shared" si="21"/>
        <v>0</v>
      </c>
      <c r="D156" s="39">
        <f t="shared" si="21"/>
        <v>0</v>
      </c>
      <c r="E156" s="39">
        <f t="shared" si="21"/>
        <v>127144.12965200112</v>
      </c>
      <c r="F156" s="39">
        <f t="shared" si="21"/>
        <v>632290.0430391737</v>
      </c>
      <c r="G156" s="39">
        <f t="shared" si="21"/>
        <v>0</v>
      </c>
      <c r="H156" s="39">
        <f t="shared" si="21"/>
        <v>908043.94744827808</v>
      </c>
      <c r="I156" s="39">
        <f t="shared" si="21"/>
        <v>622877.54261631519</v>
      </c>
      <c r="J156" s="39">
        <f t="shared" si="21"/>
        <v>2359696.2399819242</v>
      </c>
      <c r="K156" s="17"/>
    </row>
    <row r="158" spans="1:11" ht="21" customHeight="1">
      <c r="A158" s="1" t="s">
        <v>886</v>
      </c>
    </row>
    <row r="159" spans="1:11">
      <c r="A159" s="2" t="s">
        <v>379</v>
      </c>
    </row>
    <row r="160" spans="1:11">
      <c r="A160" s="29" t="s">
        <v>887</v>
      </c>
    </row>
    <row r="161" spans="1:11">
      <c r="A161" s="29" t="s">
        <v>888</v>
      </c>
    </row>
    <row r="162" spans="1:11">
      <c r="A162" s="2" t="s">
        <v>889</v>
      </c>
    </row>
    <row r="164" spans="1:11">
      <c r="B164" s="15" t="s">
        <v>155</v>
      </c>
    </row>
    <row r="165" spans="1:11">
      <c r="A165" s="4" t="s">
        <v>890</v>
      </c>
      <c r="B165" s="36">
        <f>$J121/$J156-1</f>
        <v>0.68164725548252747</v>
      </c>
      <c r="C165" s="17"/>
    </row>
    <row r="167" spans="1:11" ht="21" customHeight="1">
      <c r="A167" s="1" t="s">
        <v>891</v>
      </c>
    </row>
    <row r="169" spans="1:11">
      <c r="B169" s="15" t="s">
        <v>148</v>
      </c>
      <c r="C169" s="15" t="s">
        <v>149</v>
      </c>
      <c r="D169" s="15" t="s">
        <v>150</v>
      </c>
      <c r="E169" s="15" t="s">
        <v>151</v>
      </c>
      <c r="F169" s="15" t="s">
        <v>152</v>
      </c>
      <c r="G169" s="15" t="s">
        <v>157</v>
      </c>
      <c r="H169" s="15" t="s">
        <v>153</v>
      </c>
      <c r="I169" s="15" t="s">
        <v>154</v>
      </c>
      <c r="J169" s="15" t="s">
        <v>155</v>
      </c>
    </row>
    <row r="170" spans="1:11">
      <c r="A170" s="4" t="s">
        <v>148</v>
      </c>
      <c r="B170" s="37">
        <v>1</v>
      </c>
      <c r="C170" s="37">
        <v>0</v>
      </c>
      <c r="D170" s="37">
        <v>0</v>
      </c>
      <c r="E170" s="37">
        <v>0</v>
      </c>
      <c r="F170" s="37">
        <v>0</v>
      </c>
      <c r="G170" s="37">
        <v>0</v>
      </c>
      <c r="H170" s="37">
        <v>0</v>
      </c>
      <c r="I170" s="37">
        <v>0</v>
      </c>
      <c r="J170" s="37">
        <v>0</v>
      </c>
      <c r="K170" s="17"/>
    </row>
    <row r="171" spans="1:11">
      <c r="A171" s="4" t="s">
        <v>149</v>
      </c>
      <c r="B171" s="37">
        <v>0</v>
      </c>
      <c r="C171" s="37">
        <v>1</v>
      </c>
      <c r="D171" s="37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17"/>
    </row>
    <row r="172" spans="1:11">
      <c r="A172" s="4" t="s">
        <v>150</v>
      </c>
      <c r="B172" s="37">
        <v>0</v>
      </c>
      <c r="C172" s="37">
        <v>0</v>
      </c>
      <c r="D172" s="37">
        <v>1</v>
      </c>
      <c r="E172" s="37">
        <v>0</v>
      </c>
      <c r="F172" s="37">
        <v>0</v>
      </c>
      <c r="G172" s="37">
        <v>1</v>
      </c>
      <c r="H172" s="37">
        <v>0</v>
      </c>
      <c r="I172" s="37">
        <v>0</v>
      </c>
      <c r="J172" s="37">
        <v>0</v>
      </c>
      <c r="K172" s="17"/>
    </row>
    <row r="173" spans="1:11">
      <c r="A173" s="4" t="s">
        <v>151</v>
      </c>
      <c r="B173" s="37">
        <v>0</v>
      </c>
      <c r="C173" s="37">
        <v>0</v>
      </c>
      <c r="D173" s="37">
        <v>0</v>
      </c>
      <c r="E173" s="37">
        <v>1</v>
      </c>
      <c r="F173" s="37">
        <v>0</v>
      </c>
      <c r="G173" s="37">
        <v>0</v>
      </c>
      <c r="H173" s="37">
        <v>0</v>
      </c>
      <c r="I173" s="37">
        <v>0</v>
      </c>
      <c r="J173" s="37">
        <v>0</v>
      </c>
      <c r="K173" s="17"/>
    </row>
    <row r="174" spans="1:11">
      <c r="A174" s="4" t="s">
        <v>152</v>
      </c>
      <c r="B174" s="37">
        <v>0</v>
      </c>
      <c r="C174" s="37">
        <v>0</v>
      </c>
      <c r="D174" s="37">
        <v>0</v>
      </c>
      <c r="E174" s="37">
        <v>0</v>
      </c>
      <c r="F174" s="37">
        <v>1</v>
      </c>
      <c r="G174" s="37">
        <v>0</v>
      </c>
      <c r="H174" s="37">
        <v>0</v>
      </c>
      <c r="I174" s="37">
        <v>0</v>
      </c>
      <c r="J174" s="37">
        <v>0</v>
      </c>
      <c r="K174" s="17"/>
    </row>
    <row r="175" spans="1:11">
      <c r="A175" s="4" t="s">
        <v>153</v>
      </c>
      <c r="B175" s="37">
        <v>0</v>
      </c>
      <c r="C175" s="37">
        <v>0</v>
      </c>
      <c r="D175" s="37">
        <v>0</v>
      </c>
      <c r="E175" s="37">
        <v>0</v>
      </c>
      <c r="F175" s="37">
        <v>0</v>
      </c>
      <c r="G175" s="37">
        <v>0</v>
      </c>
      <c r="H175" s="37">
        <v>1</v>
      </c>
      <c r="I175" s="37">
        <v>0</v>
      </c>
      <c r="J175" s="37">
        <v>0</v>
      </c>
      <c r="K175" s="17"/>
    </row>
    <row r="176" spans="1:11">
      <c r="A176" s="4" t="s">
        <v>154</v>
      </c>
      <c r="B176" s="37">
        <v>0</v>
      </c>
      <c r="C176" s="37">
        <v>0</v>
      </c>
      <c r="D176" s="37">
        <v>0</v>
      </c>
      <c r="E176" s="37">
        <v>0</v>
      </c>
      <c r="F176" s="37">
        <v>0</v>
      </c>
      <c r="G176" s="37">
        <v>0</v>
      </c>
      <c r="H176" s="37">
        <v>0</v>
      </c>
      <c r="I176" s="37">
        <v>1</v>
      </c>
      <c r="J176" s="37">
        <v>0</v>
      </c>
      <c r="K176" s="17"/>
    </row>
    <row r="177" spans="1:11">
      <c r="A177" s="4" t="s">
        <v>155</v>
      </c>
      <c r="B177" s="37">
        <v>0</v>
      </c>
      <c r="C177" s="37">
        <v>0</v>
      </c>
      <c r="D177" s="37">
        <v>0</v>
      </c>
      <c r="E177" s="37">
        <v>0</v>
      </c>
      <c r="F177" s="37">
        <v>0</v>
      </c>
      <c r="G177" s="37">
        <v>0</v>
      </c>
      <c r="H177" s="37">
        <v>0</v>
      </c>
      <c r="I177" s="37">
        <v>0</v>
      </c>
      <c r="J177" s="37">
        <v>1</v>
      </c>
      <c r="K177" s="17"/>
    </row>
    <row r="179" spans="1:11" ht="21" customHeight="1">
      <c r="A179" s="1" t="s">
        <v>892</v>
      </c>
    </row>
    <row r="180" spans="1:11">
      <c r="A180" s="2" t="s">
        <v>379</v>
      </c>
    </row>
    <row r="181" spans="1:11">
      <c r="A181" s="29" t="s">
        <v>893</v>
      </c>
    </row>
    <row r="182" spans="1:11">
      <c r="A182" s="29" t="s">
        <v>894</v>
      </c>
    </row>
    <row r="183" spans="1:11">
      <c r="A183" s="2" t="s">
        <v>392</v>
      </c>
    </row>
    <row r="185" spans="1:11" ht="60">
      <c r="B185" s="15" t="s">
        <v>895</v>
      </c>
    </row>
    <row r="186" spans="1:11">
      <c r="A186" s="4" t="s">
        <v>148</v>
      </c>
      <c r="B186" s="36">
        <f>SUMPRODUCT(DRM!D$48:D$55,$B$170:$B$177)</f>
        <v>6.3493901402517317E-2</v>
      </c>
      <c r="C186" s="17"/>
    </row>
    <row r="187" spans="1:11">
      <c r="A187" s="4" t="s">
        <v>149</v>
      </c>
      <c r="B187" s="36">
        <f>SUMPRODUCT(DRM!D$48:D$55,$C$170:$C$177)</f>
        <v>0.13616024650143732</v>
      </c>
      <c r="C187" s="17"/>
    </row>
    <row r="188" spans="1:11">
      <c r="A188" s="4" t="s">
        <v>150</v>
      </c>
      <c r="B188" s="36">
        <f>SUMPRODUCT(DRM!D$48:D$55,$D$170:$D$177)</f>
        <v>0.13616024650143732</v>
      </c>
      <c r="C188" s="17"/>
    </row>
    <row r="189" spans="1:11">
      <c r="A189" s="4" t="s">
        <v>151</v>
      </c>
      <c r="B189" s="36">
        <f>SUMPRODUCT(DRM!D$48:D$55,$E$170:$E$177)</f>
        <v>0.24000556987509003</v>
      </c>
      <c r="C189" s="17"/>
    </row>
    <row r="190" spans="1:11">
      <c r="A190" s="4" t="s">
        <v>152</v>
      </c>
      <c r="B190" s="36">
        <f>SUMPRODUCT(DRM!D$48:D$55,$F$170:$F$177)</f>
        <v>0.24000556987509003</v>
      </c>
      <c r="C190" s="17"/>
    </row>
    <row r="191" spans="1:11">
      <c r="A191" s="4" t="s">
        <v>157</v>
      </c>
      <c r="B191" s="36">
        <f>SUMPRODUCT(DRM!D$48:D$55,$G$170:$G$177)</f>
        <v>0.13616024650143732</v>
      </c>
      <c r="C191" s="17"/>
    </row>
    <row r="192" spans="1:11">
      <c r="A192" s="4" t="s">
        <v>153</v>
      </c>
      <c r="B192" s="36">
        <f>SUMPRODUCT(DRM!D$48:D$55,$H$170:$H$177)</f>
        <v>0.53636850835565775</v>
      </c>
      <c r="C192" s="17"/>
    </row>
    <row r="193" spans="1:11">
      <c r="A193" s="4" t="s">
        <v>154</v>
      </c>
      <c r="B193" s="36">
        <f>SUMPRODUCT(DRM!D$48:D$55,$I$170:$I$177)</f>
        <v>0.53636850835565775</v>
      </c>
      <c r="C193" s="17"/>
    </row>
    <row r="194" spans="1:11">
      <c r="A194" s="4" t="s">
        <v>155</v>
      </c>
      <c r="B194" s="36">
        <f>SUMPRODUCT(DRM!D$48:D$55,$J$170:$J$177)</f>
        <v>0</v>
      </c>
      <c r="C194" s="17"/>
    </row>
    <row r="196" spans="1:11" ht="21" customHeight="1">
      <c r="A196" s="1" t="s">
        <v>896</v>
      </c>
    </row>
    <row r="197" spans="1:11">
      <c r="A197" s="2" t="s">
        <v>379</v>
      </c>
    </row>
    <row r="198" spans="1:11">
      <c r="A198" s="29" t="s">
        <v>897</v>
      </c>
    </row>
    <row r="199" spans="1:11">
      <c r="A199" s="29" t="s">
        <v>898</v>
      </c>
    </row>
    <row r="200" spans="1:11">
      <c r="A200" s="2" t="s">
        <v>397</v>
      </c>
    </row>
    <row r="202" spans="1:11">
      <c r="B202" s="15" t="s">
        <v>148</v>
      </c>
      <c r="C202" s="15" t="s">
        <v>149</v>
      </c>
      <c r="D202" s="15" t="s">
        <v>150</v>
      </c>
      <c r="E202" s="15" t="s">
        <v>151</v>
      </c>
      <c r="F202" s="15" t="s">
        <v>152</v>
      </c>
      <c r="G202" s="15" t="s">
        <v>157</v>
      </c>
      <c r="H202" s="15" t="s">
        <v>153</v>
      </c>
      <c r="I202" s="15" t="s">
        <v>154</v>
      </c>
      <c r="J202" s="15" t="s">
        <v>155</v>
      </c>
    </row>
    <row r="203" spans="1:11">
      <c r="A203" s="4" t="s">
        <v>899</v>
      </c>
      <c r="B203" s="38">
        <f>$B$186</f>
        <v>6.3493901402517317E-2</v>
      </c>
      <c r="C203" s="38">
        <f>$B$187</f>
        <v>0.13616024650143732</v>
      </c>
      <c r="D203" s="38">
        <f>$B$188</f>
        <v>0.13616024650143732</v>
      </c>
      <c r="E203" s="38">
        <f>$B$189</f>
        <v>0.24000556987509003</v>
      </c>
      <c r="F203" s="38">
        <f>$B$190</f>
        <v>0.24000556987509003</v>
      </c>
      <c r="G203" s="38">
        <f>$B$191</f>
        <v>0.13616024650143732</v>
      </c>
      <c r="H203" s="38">
        <f>$B$192</f>
        <v>0.53636850835565775</v>
      </c>
      <c r="I203" s="38">
        <f>$B$193</f>
        <v>0.53636850835565775</v>
      </c>
      <c r="J203" s="38">
        <f>$B165</f>
        <v>0.68164725548252747</v>
      </c>
      <c r="K203" s="17"/>
    </row>
    <row r="205" spans="1:11" ht="21" customHeight="1">
      <c r="A205" s="1" t="s">
        <v>900</v>
      </c>
    </row>
    <row r="206" spans="1:11">
      <c r="A206" s="2" t="s">
        <v>379</v>
      </c>
    </row>
    <row r="207" spans="1:11">
      <c r="A207" s="29" t="s">
        <v>901</v>
      </c>
    </row>
    <row r="208" spans="1:11">
      <c r="A208" s="29" t="s">
        <v>888</v>
      </c>
    </row>
    <row r="209" spans="1:11">
      <c r="A209" s="29" t="s">
        <v>902</v>
      </c>
    </row>
    <row r="210" spans="1:11">
      <c r="A210" s="29" t="s">
        <v>903</v>
      </c>
    </row>
    <row r="211" spans="1:11">
      <c r="A211" s="2" t="s">
        <v>904</v>
      </c>
    </row>
    <row r="213" spans="1:11">
      <c r="B213" s="15" t="s">
        <v>148</v>
      </c>
      <c r="C213" s="15" t="s">
        <v>149</v>
      </c>
      <c r="D213" s="15" t="s">
        <v>150</v>
      </c>
      <c r="E213" s="15" t="s">
        <v>151</v>
      </c>
      <c r="F213" s="15" t="s">
        <v>152</v>
      </c>
      <c r="G213" s="15" t="s">
        <v>157</v>
      </c>
      <c r="H213" s="15" t="s">
        <v>153</v>
      </c>
      <c r="I213" s="15" t="s">
        <v>154</v>
      </c>
      <c r="J213" s="15" t="s">
        <v>155</v>
      </c>
    </row>
    <row r="214" spans="1:11" ht="30">
      <c r="A214" s="4" t="s">
        <v>905</v>
      </c>
      <c r="B214" s="39">
        <f>SMD!B156-B156+B121/(1+B203)</f>
        <v>3499899.9543088782</v>
      </c>
      <c r="C214" s="39">
        <f>SMD!C156-C156+C121/(1+C203)</f>
        <v>3377747.6161894463</v>
      </c>
      <c r="D214" s="39">
        <f>SMD!D156-D156+D121/(1+D203)</f>
        <v>3361178.3759572231</v>
      </c>
      <c r="E214" s="39">
        <f>SMD!E156-E156+E121/(1+E203)</f>
        <v>3482820.8184570349</v>
      </c>
      <c r="F214" s="39">
        <f>SMD!F156-F156+F121/(1+F203)</f>
        <v>4104867.0884760516</v>
      </c>
      <c r="G214" s="39">
        <f>SMD!G156-G156+G121/(1+G203)</f>
        <v>0</v>
      </c>
      <c r="H214" s="39">
        <f>SMD!H156-H156+H121/(1+H203)</f>
        <v>4191312.461373338</v>
      </c>
      <c r="I214" s="39">
        <f>SMD!I156-I156+I121/(1+I203)</f>
        <v>3336155.9146752078</v>
      </c>
      <c r="J214" s="39">
        <f>SMD!J156-J156+J121/(1+J203)</f>
        <v>2398000.5374865485</v>
      </c>
      <c r="K214" s="17"/>
    </row>
  </sheetData>
  <sheetProtection sheet="1" objects="1" scenarios="1"/>
  <hyperlinks>
    <hyperlink ref="A5" location="'AMD'!B12" display="x1 = Standing charges factors (in Pre-processing of data for standing charge factors)"/>
    <hyperlink ref="A6" location="'Input'!B81" display="x2 = 1018. Proportion of relevant load going through 132kV/HV direct transformation"/>
    <hyperlink ref="A7" location="'AMD'!J12" display="x3 = Standing charges factors for 132kV/HV (in Pre-processing of data for standing charge factors)"/>
    <hyperlink ref="A35" location="'AMD'!J12" display="x1 = 2601. Standing charges factors for 132kV/HV (in Pre-processing of data for standing charge factors)"/>
    <hyperlink ref="A36" location="'AMD'!K12" display="x2 = 2601. Adjusted standing charges factors for 132kV (in Pre-processing of data for standing charge factors)"/>
    <hyperlink ref="A37" location="'AMD'!B12" display="x3 = 2601. Standing charges factors (in Pre-processing of data for standing charge factors)"/>
    <hyperlink ref="A63" location="'Loads'!F333" display="x1 = 2305. Import capacity (kVA) (in Equivalent volume for each end user)"/>
    <hyperlink ref="A64" location="'Loads'!G333" display="x2 = 2305. Exceeded capacity (kVA) (in Equivalent volume for each end user)"/>
    <hyperlink ref="A65" location="'Input'!E59" display="x3 = 1010. Power factor for all flows in the network model (in Financial and general assumptions)"/>
    <hyperlink ref="A66" location="'AMD'!B40" display="x4 = 2602. Standing charges factors adapted to use 132kV/HV"/>
    <hyperlink ref="A67" location="'LAFs'!B260" display="x5 = 2012. Loss adjustment factors between end user meter reading and each network level, scaled by network use"/>
    <hyperlink ref="A77" location="'Multi'!B127" display="x1 = 2407. All units (MWh)"/>
    <hyperlink ref="A78" location="'Input'!C167" display="x2 = 1041. Load factor for each type of demand user (in Load profile data for demand users)"/>
    <hyperlink ref="A79" location="'AMD'!B40" display="x3 = 2602. Standing charges factors adapted to use 132kV/HV"/>
    <hyperlink ref="A80" location="'LAFs'!B260" display="x4 = 2012. Loss adjustment factors between end user meter reading and each network level, scaled by network use"/>
    <hyperlink ref="A81" location="'Input'!F59" display="x5 = 1010. Days in the charging year (in Financial and general assumptions)"/>
    <hyperlink ref="A97" location="'AMD'!B70" display="x1 = 2603. Capacity-based contributions to chargeable aggregate maximum load by network level (kW)"/>
    <hyperlink ref="A98" location="'AMD'!B84" display="x2 = 2604. Unit-based contributions to chargeable aggregate maximum load (kW)"/>
    <hyperlink ref="A117" location="'AMD'!B101" display="x1 = 2605. Contributions to aggregate maximum load by network level (kW)"/>
    <hyperlink ref="A125" location="'SMD'!B115" display="x1 = 2505. Contributions of users on each tariff to system simultaneous maximum load by network level (kW)"/>
    <hyperlink ref="A126" location="'AMD'!B40" display="x2 = 2602. Standing charges factors adapted to use 132kV/HV"/>
    <hyperlink ref="A152" location="'AMD'!B129" display="x1 = 2607. Forecast simultaneous load subject to standing charge factors (kW)"/>
    <hyperlink ref="A160" location="'AMD'!B120" display="x1 = 2606. Forecast chargeable aggregate maximum load (kW)"/>
    <hyperlink ref="A161" location="'AMD'!B155" display="x2 = 2608. Forecast simultaneous load replaced by standing charge (kW)"/>
    <hyperlink ref="A181" location="'DRM'!D47" display="x1 = 2104. Diversity allowance between level exit and GSP Group (in Diversity calculations)"/>
    <hyperlink ref="A182" location="'AMD'!B169" display="x2 = 2610. Network level mapping for diversity allowances"/>
    <hyperlink ref="A198" location="'AMD'!B164" display="x1 = 2609. Calculated LV diversity allowance"/>
    <hyperlink ref="A199" location="'AMD'!B185" display="x2 = 2611. Diversity allowances including 132kV/HV"/>
    <hyperlink ref="A207" location="'SMD'!B155" display="x1 = 2506. Forecast system simultaneous maximum load (kW) from forecast units"/>
    <hyperlink ref="A208" location="'AMD'!B155" display="x2 = 2608. Forecast simultaneous load replaced by standing charge (kW)"/>
    <hyperlink ref="A209" location="'AMD'!B120" display="x3 = 2606. Forecast chargeable aggregate maximum load (kW)"/>
    <hyperlink ref="A210" location="'AMD'!B202" display="x4 = 2612. Diversity allowances (including calculated LV value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Index</vt:lpstr>
      <vt:lpstr>Input</vt:lpstr>
      <vt:lpstr>LAFs</vt:lpstr>
      <vt:lpstr>DRM</vt:lpstr>
      <vt:lpstr>SM</vt:lpstr>
      <vt:lpstr>Loads</vt:lpstr>
      <vt:lpstr>Multi</vt:lpstr>
      <vt:lpstr>SMD</vt:lpstr>
      <vt:lpstr>AMD</vt:lpstr>
      <vt:lpstr>Otex</vt:lpstr>
      <vt:lpstr>Contrib</vt:lpstr>
      <vt:lpstr>Yard</vt:lpstr>
      <vt:lpstr>Standing</vt:lpstr>
      <vt:lpstr>AggCap</vt:lpstr>
      <vt:lpstr>Reactive</vt:lpstr>
      <vt:lpstr>Aggreg</vt:lpstr>
      <vt:lpstr>Revenue</vt:lpstr>
      <vt:lpstr>Adder</vt:lpstr>
      <vt:lpstr>Adjust</vt:lpstr>
      <vt:lpstr>Tariffs</vt:lpstr>
      <vt:lpstr>Summary</vt:lpstr>
      <vt:lpstr>M-ATW</vt:lpstr>
      <vt:lpstr>M-Rev</vt:lpstr>
      <vt:lpstr>CData</vt:lpstr>
      <vt:lpstr>CTables</vt:lpstr>
      <vt:lpstr>Input!Print_Area</vt:lpstr>
      <vt:lpstr>Multi!Print_Area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Barker, Chris</dc:creator>
  <cp:lastModifiedBy>Barker, Chris</cp:lastModifiedBy>
  <dcterms:created xsi:type="dcterms:W3CDTF">2016-11-20T12:44:16Z</dcterms:created>
  <dcterms:modified xsi:type="dcterms:W3CDTF">2018-01-31T16:46:49Z</dcterms:modified>
</cp:coreProperties>
</file>