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5645" windowHeight="10425" tabRatio="847" activeTab="4"/>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Tax'!$A$1:$L$51</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Financing'!$A$1:$L$85</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c r="B3" i="11" l="1"/>
  <c r="B3" i="3"/>
  <c r="B3" i="17"/>
  <c r="B3" i="27"/>
  <c r="K23" i="15" l="1"/>
  <c r="J23"/>
  <c r="I23"/>
  <c r="H23"/>
  <c r="K18"/>
  <c r="J18"/>
  <c r="I18"/>
  <c r="H18"/>
  <c r="G18"/>
  <c r="G23" s="1"/>
  <c r="F18"/>
  <c r="F23" s="1"/>
  <c r="E18"/>
  <c r="E23" s="1"/>
  <c r="D18"/>
  <c r="D23" s="1"/>
  <c r="E54" i="17" l="1"/>
  <c r="I54" l="1"/>
  <c r="F54"/>
  <c r="K54"/>
  <c r="D54"/>
  <c r="J54"/>
  <c r="G54"/>
  <c r="H54"/>
  <c r="M54" l="1"/>
  <c r="A111" i="5" l="1"/>
  <c r="A110"/>
  <c r="A100"/>
  <c r="A97"/>
  <c r="H73"/>
  <c r="D73"/>
  <c r="K73"/>
  <c r="E69"/>
  <c r="F69"/>
  <c r="G69"/>
  <c r="H69"/>
  <c r="I69"/>
  <c r="J69"/>
  <c r="K69"/>
  <c r="D69"/>
  <c r="A69"/>
  <c r="M16"/>
  <c r="M17"/>
  <c r="A44"/>
  <c r="A45"/>
  <c r="E73" l="1"/>
  <c r="I73"/>
  <c r="F73"/>
  <c r="J73"/>
  <c r="G73"/>
  <c r="M73" l="1"/>
  <c r="M69"/>
  <c r="E21" i="20" l="1"/>
  <c r="F21"/>
  <c r="G21"/>
  <c r="H21"/>
  <c r="I21"/>
  <c r="J21"/>
  <c r="K21"/>
  <c r="D21"/>
  <c r="F153" i="28" l="1"/>
  <c r="F152"/>
  <c r="E182"/>
  <c r="F155" s="1"/>
  <c r="B182"/>
  <c r="F154" s="1"/>
  <c r="E192"/>
  <c r="F157" s="1"/>
  <c r="B192"/>
  <c r="F156" s="1"/>
  <c r="E202"/>
  <c r="F159" s="1"/>
  <c r="B202"/>
  <c r="F158" s="1"/>
  <c r="K46" i="15" l="1"/>
  <c r="J46"/>
  <c r="I46"/>
  <c r="H46"/>
  <c r="G46"/>
  <c r="F46"/>
  <c r="E46"/>
  <c r="D46"/>
  <c r="J43" i="28" l="1"/>
  <c r="G43"/>
  <c r="H43"/>
  <c r="I43"/>
  <c r="E24" l="1"/>
  <c r="E25" s="1"/>
  <c r="E26" s="1"/>
  <c r="E27" s="1"/>
  <c r="F24"/>
  <c r="F25" s="1"/>
  <c r="F26" s="1"/>
  <c r="F27" s="1"/>
  <c r="K68" i="29"/>
  <c r="J68"/>
  <c r="I68"/>
  <c r="H68"/>
  <c r="G68"/>
  <c r="E68"/>
  <c r="D68"/>
  <c r="F68"/>
  <c r="D118" i="28" l="1"/>
  <c r="E118" s="1"/>
  <c r="F118" s="1"/>
  <c r="G118" s="1"/>
  <c r="H118" s="1"/>
  <c r="I118" s="1"/>
  <c r="J118" s="1"/>
  <c r="K118" s="1"/>
  <c r="L118" s="1"/>
  <c r="A22" i="5" l="1"/>
  <c r="A23"/>
  <c r="A24"/>
  <c r="A25"/>
  <c r="A21"/>
  <c r="K19" i="29" l="1"/>
  <c r="J19"/>
  <c r="I19"/>
  <c r="H19"/>
  <c r="G19"/>
  <c r="F19"/>
  <c r="E19"/>
  <c r="D19"/>
  <c r="R100" i="28" l="1"/>
  <c r="Q100"/>
  <c r="P100"/>
  <c r="O100"/>
  <c r="N100"/>
  <c r="M100"/>
  <c r="L100"/>
  <c r="R99"/>
  <c r="Q99"/>
  <c r="P99"/>
  <c r="O99"/>
  <c r="N99"/>
  <c r="M99"/>
  <c r="L99"/>
  <c r="R98"/>
  <c r="Q98"/>
  <c r="P98"/>
  <c r="O98"/>
  <c r="N98"/>
  <c r="M98"/>
  <c r="L98"/>
  <c r="R97"/>
  <c r="Q97"/>
  <c r="P97"/>
  <c r="O97"/>
  <c r="N97"/>
  <c r="M97"/>
  <c r="L97"/>
  <c r="R96"/>
  <c r="Q96"/>
  <c r="P96"/>
  <c r="O96"/>
  <c r="N96"/>
  <c r="M96"/>
  <c r="L96"/>
  <c r="R95"/>
  <c r="Q95"/>
  <c r="P95"/>
  <c r="O95"/>
  <c r="N95"/>
  <c r="M95"/>
  <c r="L95"/>
  <c r="R94"/>
  <c r="Q94"/>
  <c r="P94"/>
  <c r="O94"/>
  <c r="N94"/>
  <c r="M94"/>
  <c r="L94"/>
  <c r="R93"/>
  <c r="Q93"/>
  <c r="P93"/>
  <c r="O93"/>
  <c r="N93"/>
  <c r="M93"/>
  <c r="L93"/>
  <c r="R92"/>
  <c r="Q92"/>
  <c r="P92"/>
  <c r="O92"/>
  <c r="N92"/>
  <c r="M92"/>
  <c r="L92"/>
  <c r="R91"/>
  <c r="Q91"/>
  <c r="P91"/>
  <c r="O91"/>
  <c r="N91"/>
  <c r="M91"/>
  <c r="L91"/>
  <c r="R90"/>
  <c r="Q90"/>
  <c r="P90"/>
  <c r="O90"/>
  <c r="N90"/>
  <c r="M90"/>
  <c r="L90"/>
  <c r="R89"/>
  <c r="Q89"/>
  <c r="P89"/>
  <c r="O89"/>
  <c r="N89"/>
  <c r="M89"/>
  <c r="L89"/>
  <c r="R88"/>
  <c r="Q88"/>
  <c r="P88"/>
  <c r="O88"/>
  <c r="N88"/>
  <c r="M88"/>
  <c r="L88"/>
  <c r="R87"/>
  <c r="Q87"/>
  <c r="P87"/>
  <c r="O87"/>
  <c r="N87"/>
  <c r="M87"/>
  <c r="L87"/>
  <c r="K99"/>
  <c r="K98"/>
  <c r="K96"/>
  <c r="K94"/>
  <c r="K93"/>
  <c r="K92"/>
  <c r="K91"/>
  <c r="K90"/>
  <c r="K89"/>
  <c r="K88"/>
  <c r="K100"/>
  <c r="K97"/>
  <c r="K95"/>
  <c r="K87"/>
  <c r="T86"/>
  <c r="S86"/>
  <c r="R86"/>
  <c r="Q86"/>
  <c r="P86"/>
  <c r="O86"/>
  <c r="N86"/>
  <c r="M86"/>
  <c r="T85"/>
  <c r="S85"/>
  <c r="R85"/>
  <c r="Q85"/>
  <c r="P85"/>
  <c r="O85"/>
  <c r="N85"/>
  <c r="M85"/>
  <c r="T84"/>
  <c r="S84"/>
  <c r="R84"/>
  <c r="Q84"/>
  <c r="P84"/>
  <c r="O84"/>
  <c r="N84"/>
  <c r="M84"/>
  <c r="T83"/>
  <c r="S83"/>
  <c r="R83"/>
  <c r="Q83"/>
  <c r="P83"/>
  <c r="O83"/>
  <c r="N83"/>
  <c r="M83"/>
  <c r="T82"/>
  <c r="S82"/>
  <c r="R82"/>
  <c r="Q82"/>
  <c r="P82"/>
  <c r="O82"/>
  <c r="N82"/>
  <c r="M82"/>
  <c r="T81"/>
  <c r="S81"/>
  <c r="R81"/>
  <c r="Q81"/>
  <c r="P81"/>
  <c r="O81"/>
  <c r="N81"/>
  <c r="M81"/>
  <c r="T80"/>
  <c r="S80"/>
  <c r="R80"/>
  <c r="Q80"/>
  <c r="P80"/>
  <c r="O80"/>
  <c r="N80"/>
  <c r="M80"/>
  <c r="T79"/>
  <c r="S79"/>
  <c r="R79"/>
  <c r="Q79"/>
  <c r="P79"/>
  <c r="O79"/>
  <c r="N79"/>
  <c r="M79"/>
  <c r="T78"/>
  <c r="S78"/>
  <c r="R78"/>
  <c r="Q78"/>
  <c r="P78"/>
  <c r="O78"/>
  <c r="N78"/>
  <c r="M78"/>
  <c r="T77"/>
  <c r="S77"/>
  <c r="R77"/>
  <c r="Q77"/>
  <c r="P77"/>
  <c r="O77"/>
  <c r="N77"/>
  <c r="M77"/>
  <c r="T76"/>
  <c r="S76"/>
  <c r="R76"/>
  <c r="Q76"/>
  <c r="P76"/>
  <c r="O76"/>
  <c r="N76"/>
  <c r="M76"/>
  <c r="T75"/>
  <c r="S75"/>
  <c r="R75"/>
  <c r="Q75"/>
  <c r="P75"/>
  <c r="O75"/>
  <c r="N75"/>
  <c r="M75"/>
  <c r="T74"/>
  <c r="S74"/>
  <c r="R74"/>
  <c r="Q74"/>
  <c r="P74"/>
  <c r="O74"/>
  <c r="N74"/>
  <c r="M74"/>
  <c r="T73"/>
  <c r="S73"/>
  <c r="R73"/>
  <c r="Q73"/>
  <c r="P73"/>
  <c r="O73"/>
  <c r="N73"/>
  <c r="M73"/>
  <c r="D62"/>
  <c r="E62" s="1"/>
  <c r="F62" s="1"/>
  <c r="G62" s="1"/>
  <c r="H62" s="1"/>
  <c r="I62" s="1"/>
  <c r="J62" s="1"/>
  <c r="K62" s="1"/>
  <c r="L62" s="1"/>
  <c r="K13" i="11" l="1"/>
  <c r="J13"/>
  <c r="I13"/>
  <c r="H13"/>
  <c r="G13"/>
  <c r="F13"/>
  <c r="E13"/>
  <c r="D13"/>
  <c r="L72" i="28" l="1"/>
  <c r="M72" s="1"/>
  <c r="N72" s="1"/>
  <c r="O72" s="1"/>
  <c r="P72" s="1"/>
  <c r="Q72" s="1"/>
  <c r="R72" s="1"/>
  <c r="S72" s="1"/>
  <c r="T72" s="1"/>
  <c r="K28" i="10" l="1"/>
  <c r="J28"/>
  <c r="I28"/>
  <c r="H28"/>
  <c r="G28"/>
  <c r="F28"/>
  <c r="E28"/>
  <c r="D28"/>
  <c r="D18"/>
  <c r="A65" i="5" l="1"/>
  <c r="A61"/>
  <c r="A57"/>
  <c r="A53"/>
  <c r="A49"/>
  <c r="A40"/>
  <c r="A41"/>
  <c r="A42"/>
  <c r="A43"/>
  <c r="A39"/>
  <c r="A85"/>
  <c r="A106" s="1"/>
  <c r="A88"/>
  <c r="A107" s="1"/>
  <c r="A91"/>
  <c r="A108" s="1"/>
  <c r="A94"/>
  <c r="A109" s="1"/>
  <c r="A82"/>
  <c r="A105" s="1"/>
  <c r="E19" i="19" l="1"/>
  <c r="F19"/>
  <c r="G19"/>
  <c r="H19"/>
  <c r="I19"/>
  <c r="J19"/>
  <c r="K19"/>
  <c r="D19"/>
  <c r="B86" i="2" l="1"/>
  <c r="E42" i="28"/>
  <c r="E38"/>
  <c r="F38" s="1"/>
  <c r="G38" s="1"/>
  <c r="H38" s="1"/>
  <c r="I38" s="1"/>
  <c r="J38" s="1"/>
  <c r="D30"/>
  <c r="D29"/>
  <c r="D28"/>
  <c r="D27"/>
  <c r="D26"/>
  <c r="D25"/>
  <c r="D24"/>
  <c r="D23"/>
  <c r="D22"/>
  <c r="D21"/>
  <c r="D20"/>
  <c r="D19"/>
  <c r="D18"/>
  <c r="D17"/>
  <c r="D16"/>
  <c r="D15"/>
  <c r="D14"/>
  <c r="B45"/>
  <c r="C48"/>
  <c r="D50"/>
  <c r="E50" s="1"/>
  <c r="F50" s="1"/>
  <c r="G50" s="1"/>
  <c r="H50" s="1"/>
  <c r="I50" s="1"/>
  <c r="J50" s="1"/>
  <c r="C51"/>
  <c r="D51"/>
  <c r="E51"/>
  <c r="F51"/>
  <c r="G51"/>
  <c r="H51"/>
  <c r="I51"/>
  <c r="J51"/>
  <c r="H73"/>
  <c r="H74"/>
  <c r="H75"/>
  <c r="H76"/>
  <c r="H77"/>
  <c r="H78"/>
  <c r="H79"/>
  <c r="H80"/>
  <c r="H81"/>
  <c r="H82"/>
  <c r="H83"/>
  <c r="H84"/>
  <c r="H85"/>
  <c r="H86"/>
  <c r="H87"/>
  <c r="H88"/>
  <c r="H89"/>
  <c r="H90"/>
  <c r="H91"/>
  <c r="H92"/>
  <c r="H93"/>
  <c r="H94"/>
  <c r="H95"/>
  <c r="H96"/>
  <c r="H97"/>
  <c r="F42" l="1"/>
  <c r="G42" s="1"/>
  <c r="H42" s="1"/>
  <c r="I42" s="1"/>
  <c r="J42" s="1"/>
  <c r="K8" i="27" l="1"/>
  <c r="J8"/>
  <c r="I8"/>
  <c r="H8"/>
  <c r="G8"/>
  <c r="F8"/>
  <c r="E8"/>
  <c r="E23" l="1"/>
  <c r="E42" s="1"/>
  <c r="I23"/>
  <c r="I42" s="1"/>
  <c r="F23"/>
  <c r="F42" s="1"/>
  <c r="G23"/>
  <c r="G42" s="1"/>
  <c r="K23"/>
  <c r="K42" s="1"/>
  <c r="J23"/>
  <c r="J42" s="1"/>
  <c r="D23"/>
  <c r="D42" s="1"/>
  <c r="H23"/>
  <c r="H42" s="1"/>
  <c r="H100" i="28" l="1"/>
  <c r="H99"/>
  <c r="H98"/>
  <c r="A3" i="29" l="1"/>
  <c r="A2"/>
  <c r="K78" i="15" l="1"/>
  <c r="J78"/>
  <c r="I78"/>
  <c r="H78"/>
  <c r="F78"/>
  <c r="E78"/>
  <c r="K28" i="4" l="1"/>
  <c r="J28"/>
  <c r="I28"/>
  <c r="H28"/>
  <c r="B129" i="2" l="1"/>
  <c r="B130"/>
  <c r="B131"/>
  <c r="B132"/>
  <c r="B133"/>
  <c r="B128"/>
  <c r="B101"/>
  <c r="B102"/>
  <c r="B103"/>
  <c r="B104"/>
  <c r="B105"/>
  <c r="B100"/>
  <c r="D42"/>
  <c r="M40"/>
  <c r="H42"/>
  <c r="E42"/>
  <c r="M41"/>
  <c r="I42"/>
  <c r="J42"/>
  <c r="G42"/>
  <c r="K42"/>
  <c r="D44"/>
  <c r="E44"/>
  <c r="F44"/>
  <c r="G44"/>
  <c r="H44"/>
  <c r="I44"/>
  <c r="J44"/>
  <c r="J58" s="1"/>
  <c r="K44"/>
  <c r="M50"/>
  <c r="M51"/>
  <c r="M52"/>
  <c r="M53"/>
  <c r="M54"/>
  <c r="M55"/>
  <c r="D56"/>
  <c r="E56"/>
  <c r="F56"/>
  <c r="G56"/>
  <c r="H56"/>
  <c r="I56"/>
  <c r="J56"/>
  <c r="K56"/>
  <c r="D122"/>
  <c r="E122"/>
  <c r="F122"/>
  <c r="G122"/>
  <c r="H122"/>
  <c r="I122"/>
  <c r="J122"/>
  <c r="K122"/>
  <c r="J59" l="1"/>
  <c r="I58"/>
  <c r="I59"/>
  <c r="E59"/>
  <c r="M56"/>
  <c r="F58"/>
  <c r="G47"/>
  <c r="K59"/>
  <c r="G59"/>
  <c r="F59"/>
  <c r="E58"/>
  <c r="H59"/>
  <c r="K47"/>
  <c r="I46"/>
  <c r="I47"/>
  <c r="E46"/>
  <c r="E47"/>
  <c r="H46"/>
  <c r="H47"/>
  <c r="D46"/>
  <c r="D47"/>
  <c r="J47"/>
  <c r="J46"/>
  <c r="J62" s="1"/>
  <c r="M42"/>
  <c r="H58"/>
  <c r="D58"/>
  <c r="K46"/>
  <c r="G46"/>
  <c r="F42"/>
  <c r="D59"/>
  <c r="K58"/>
  <c r="G58"/>
  <c r="J63" l="1"/>
  <c r="J64" s="1"/>
  <c r="I62"/>
  <c r="E63"/>
  <c r="H63"/>
  <c r="I63"/>
  <c r="K63"/>
  <c r="G63"/>
  <c r="E62"/>
  <c r="M59"/>
  <c r="G62"/>
  <c r="D63"/>
  <c r="K62"/>
  <c r="D62"/>
  <c r="M58"/>
  <c r="F47"/>
  <c r="F63" s="1"/>
  <c r="F46"/>
  <c r="F62" s="1"/>
  <c r="H62"/>
  <c r="I64" l="1"/>
  <c r="E64"/>
  <c r="H64"/>
  <c r="K64"/>
  <c r="G64"/>
  <c r="M46"/>
  <c r="M63"/>
  <c r="F64"/>
  <c r="M62"/>
  <c r="D64"/>
  <c r="M47"/>
  <c r="M64" l="1"/>
  <c r="K94" l="1"/>
  <c r="J94"/>
  <c r="I94"/>
  <c r="H94"/>
  <c r="G94"/>
  <c r="F94"/>
  <c r="E94"/>
  <c r="D94"/>
  <c r="D105" i="28" l="1"/>
  <c r="E105" s="1"/>
  <c r="F105" s="1"/>
  <c r="G105" s="1"/>
  <c r="H105" s="1"/>
  <c r="I105" s="1"/>
  <c r="J105" s="1"/>
  <c r="A3"/>
  <c r="A2"/>
  <c r="L6" i="17" l="1"/>
  <c r="K52" i="27" l="1"/>
  <c r="J52"/>
  <c r="I52"/>
  <c r="H52"/>
  <c r="G52"/>
  <c r="F52"/>
  <c r="E52"/>
  <c r="D52"/>
  <c r="A3" l="1"/>
  <c r="A2"/>
  <c r="M6" i="1" l="1"/>
  <c r="M27" i="2" l="1"/>
  <c r="M26"/>
  <c r="M25"/>
  <c r="M24"/>
  <c r="M23"/>
  <c r="M22"/>
  <c r="K64" i="4" l="1"/>
  <c r="J64"/>
  <c r="I64"/>
  <c r="H64"/>
  <c r="F64"/>
  <c r="E64"/>
  <c r="K16" i="2" l="1"/>
  <c r="J16"/>
  <c r="I16"/>
  <c r="H16"/>
  <c r="G16"/>
  <c r="F16"/>
  <c r="E16"/>
  <c r="D16"/>
  <c r="C13" i="13" l="1"/>
  <c r="C33" i="28" l="1"/>
  <c r="C36" s="1"/>
  <c r="D6" i="29"/>
  <c r="D6" i="5"/>
  <c r="D6" i="20"/>
  <c r="D6" i="19"/>
  <c r="D6" i="27"/>
  <c r="D6" i="17"/>
  <c r="D6" i="11"/>
  <c r="D5" s="1"/>
  <c r="D6" i="1"/>
  <c r="D6" i="10"/>
  <c r="D40" l="1"/>
  <c r="D99" i="5"/>
  <c r="D96"/>
  <c r="D74"/>
  <c r="D75" s="1"/>
  <c r="D45" s="1"/>
  <c r="D70"/>
  <c r="D71" s="1"/>
  <c r="D44" s="1"/>
  <c r="D5" i="20"/>
  <c r="D93" i="5"/>
  <c r="D90"/>
  <c r="D87"/>
  <c r="D84"/>
  <c r="D81"/>
  <c r="C32" i="28"/>
  <c r="E6" i="29"/>
  <c r="D33" i="28"/>
  <c r="D36" s="1"/>
  <c r="D5" i="29"/>
  <c r="D54" i="5"/>
  <c r="D58"/>
  <c r="D62"/>
  <c r="D50"/>
  <c r="D66"/>
  <c r="D5" i="10"/>
  <c r="E6"/>
  <c r="E40" s="1"/>
  <c r="E6" i="11"/>
  <c r="E5" s="1"/>
  <c r="E6" i="19"/>
  <c r="D5"/>
  <c r="E6" i="17"/>
  <c r="D5"/>
  <c r="E6" i="20"/>
  <c r="E6" i="1"/>
  <c r="D5"/>
  <c r="D5" i="27"/>
  <c r="E6"/>
  <c r="L6" i="5"/>
  <c r="L6" i="2"/>
  <c r="D6" i="3"/>
  <c r="E6" s="1"/>
  <c r="D6" i="15"/>
  <c r="D5" s="1"/>
  <c r="D6" i="4"/>
  <c r="E6" s="1"/>
  <c r="E5" s="1"/>
  <c r="E33" i="28" l="1"/>
  <c r="E36" s="1"/>
  <c r="E5" i="29"/>
  <c r="F6"/>
  <c r="D28" i="17"/>
  <c r="D30" s="1"/>
  <c r="D33" s="1"/>
  <c r="D32" i="28"/>
  <c r="F6" i="27"/>
  <c r="E5"/>
  <c r="E5" i="1"/>
  <c r="F6"/>
  <c r="E5" i="20"/>
  <c r="F6"/>
  <c r="E5" i="10"/>
  <c r="F6"/>
  <c r="F40" s="1"/>
  <c r="F6" i="17"/>
  <c r="E5"/>
  <c r="E5" i="19"/>
  <c r="F6"/>
  <c r="F6" i="11"/>
  <c r="F5" s="1"/>
  <c r="E6" i="5"/>
  <c r="D5" i="4"/>
  <c r="F6" i="3"/>
  <c r="E5"/>
  <c r="D5"/>
  <c r="D5" i="5"/>
  <c r="E6" i="15"/>
  <c r="E5" s="1"/>
  <c r="F6" i="4"/>
  <c r="E99" i="5" l="1"/>
  <c r="E96"/>
  <c r="E74"/>
  <c r="E75" s="1"/>
  <c r="E45" s="1"/>
  <c r="E70"/>
  <c r="E71" s="1"/>
  <c r="E44" s="1"/>
  <c r="E93"/>
  <c r="E90"/>
  <c r="E87"/>
  <c r="E84"/>
  <c r="E81"/>
  <c r="F33" i="28"/>
  <c r="F36" s="1"/>
  <c r="E32"/>
  <c r="F5" i="29"/>
  <c r="G6"/>
  <c r="D44" i="27"/>
  <c r="D48" s="1"/>
  <c r="D54" s="1"/>
  <c r="E28" i="17"/>
  <c r="E30" s="1"/>
  <c r="E33" s="1"/>
  <c r="E5" i="5"/>
  <c r="E66"/>
  <c r="E62"/>
  <c r="E58"/>
  <c r="E54"/>
  <c r="E50"/>
  <c r="F5" i="10"/>
  <c r="G6"/>
  <c r="G40" s="1"/>
  <c r="F5" i="1"/>
  <c r="G6"/>
  <c r="G6" i="11"/>
  <c r="G5" s="1"/>
  <c r="G6" i="17"/>
  <c r="F5"/>
  <c r="F5" i="19"/>
  <c r="G6"/>
  <c r="G6" i="20"/>
  <c r="F5"/>
  <c r="G6" i="27"/>
  <c r="F5"/>
  <c r="F6" i="5"/>
  <c r="F5" i="3"/>
  <c r="G6"/>
  <c r="F6" i="15"/>
  <c r="F5" s="1"/>
  <c r="F5" i="4"/>
  <c r="G6"/>
  <c r="G5" s="1"/>
  <c r="D37" i="17" l="1"/>
  <c r="D39" s="1"/>
  <c r="D64" s="1"/>
  <c r="F99" i="5"/>
  <c r="F96"/>
  <c r="F70"/>
  <c r="F71" s="1"/>
  <c r="F44" s="1"/>
  <c r="F74"/>
  <c r="F75" s="1"/>
  <c r="F45" s="1"/>
  <c r="G33" i="28"/>
  <c r="G36" s="1"/>
  <c r="E47" i="27"/>
  <c r="F93" i="5"/>
  <c r="F90"/>
  <c r="F87"/>
  <c r="F84"/>
  <c r="F81"/>
  <c r="F32" i="28"/>
  <c r="G5" i="29"/>
  <c r="H6"/>
  <c r="E44" i="27"/>
  <c r="E48" s="1"/>
  <c r="F47" s="1"/>
  <c r="F28" i="17"/>
  <c r="F30" s="1"/>
  <c r="F33" s="1"/>
  <c r="F50" i="5"/>
  <c r="F66"/>
  <c r="F62"/>
  <c r="F58"/>
  <c r="F54"/>
  <c r="G5" i="20"/>
  <c r="H6"/>
  <c r="G5" i="1"/>
  <c r="H6"/>
  <c r="H6" i="27"/>
  <c r="G5"/>
  <c r="G5" i="19"/>
  <c r="H6"/>
  <c r="H6" i="17"/>
  <c r="G5"/>
  <c r="G5" i="10"/>
  <c r="H6"/>
  <c r="H40" s="1"/>
  <c r="H6" i="11"/>
  <c r="H5" s="1"/>
  <c r="G6" i="5"/>
  <c r="F5"/>
  <c r="H6" i="3"/>
  <c r="G5"/>
  <c r="G6" i="15"/>
  <c r="G5" s="1"/>
  <c r="H6" i="4"/>
  <c r="H33" i="28" l="1"/>
  <c r="H36" s="1"/>
  <c r="G99" i="5"/>
  <c r="G96"/>
  <c r="G70"/>
  <c r="G71" s="1"/>
  <c r="G44" s="1"/>
  <c r="G74"/>
  <c r="G75" s="1"/>
  <c r="G45" s="1"/>
  <c r="G32" i="28"/>
  <c r="E54" i="27"/>
  <c r="G93" i="5"/>
  <c r="G90"/>
  <c r="G87"/>
  <c r="G84"/>
  <c r="G81"/>
  <c r="I6" i="29"/>
  <c r="H5"/>
  <c r="F44" i="27"/>
  <c r="F48" s="1"/>
  <c r="G47" s="1"/>
  <c r="G28" i="17"/>
  <c r="G30" s="1"/>
  <c r="G33" s="1"/>
  <c r="G50" i="5"/>
  <c r="G66"/>
  <c r="G62"/>
  <c r="G58"/>
  <c r="G54"/>
  <c r="I6" i="11"/>
  <c r="I5" s="1"/>
  <c r="H5" i="20"/>
  <c r="I6"/>
  <c r="H5" i="10"/>
  <c r="H32" s="1"/>
  <c r="I6"/>
  <c r="I40" s="1"/>
  <c r="I6" i="17"/>
  <c r="H5"/>
  <c r="I6" i="1"/>
  <c r="H5"/>
  <c r="H5" i="19"/>
  <c r="I6"/>
  <c r="H5" i="27"/>
  <c r="I6"/>
  <c r="H5" i="4"/>
  <c r="G5" i="5"/>
  <c r="H6"/>
  <c r="I6" i="3"/>
  <c r="H5"/>
  <c r="H6" i="15"/>
  <c r="H5" s="1"/>
  <c r="I6" i="4"/>
  <c r="I5" s="1"/>
  <c r="L54" i="17" l="1"/>
  <c r="H32" i="28"/>
  <c r="I33"/>
  <c r="I36" s="1"/>
  <c r="E37" i="17"/>
  <c r="E39" s="1"/>
  <c r="E64" s="1"/>
  <c r="H99" i="5"/>
  <c r="H96"/>
  <c r="H74"/>
  <c r="H75" s="1"/>
  <c r="H70"/>
  <c r="H71" s="1"/>
  <c r="F54" i="27"/>
  <c r="H50" i="15"/>
  <c r="H93" i="5"/>
  <c r="H90"/>
  <c r="H87"/>
  <c r="H84"/>
  <c r="H81"/>
  <c r="J6" i="29"/>
  <c r="I5"/>
  <c r="G44" i="27"/>
  <c r="G48" s="1"/>
  <c r="H47" s="1"/>
  <c r="H28" i="17"/>
  <c r="H30" s="1"/>
  <c r="H33" s="1"/>
  <c r="H50" i="5"/>
  <c r="H66"/>
  <c r="H62"/>
  <c r="H58"/>
  <c r="H54"/>
  <c r="J6" i="1"/>
  <c r="I5"/>
  <c r="J6" i="19"/>
  <c r="I5"/>
  <c r="I5" i="10"/>
  <c r="I32" s="1"/>
  <c r="J6"/>
  <c r="J40" s="1"/>
  <c r="J6" i="11"/>
  <c r="J5" s="1"/>
  <c r="J6" i="27"/>
  <c r="I5"/>
  <c r="J6" i="17"/>
  <c r="I5"/>
  <c r="J6" i="20"/>
  <c r="I5"/>
  <c r="H5" i="5"/>
  <c r="I6"/>
  <c r="L73" s="1"/>
  <c r="J6" i="3"/>
  <c r="I5"/>
  <c r="I6" i="15"/>
  <c r="I5" s="1"/>
  <c r="J6" i="4"/>
  <c r="I32" i="28" l="1"/>
  <c r="J33"/>
  <c r="J36" s="1"/>
  <c r="F37" i="17"/>
  <c r="F39" s="1"/>
  <c r="F64" s="1"/>
  <c r="J5" i="29"/>
  <c r="L69" i="5"/>
  <c r="L17"/>
  <c r="H45"/>
  <c r="H44"/>
  <c r="I99"/>
  <c r="I96"/>
  <c r="I70"/>
  <c r="I71" s="1"/>
  <c r="I44" s="1"/>
  <c r="I74"/>
  <c r="I75" s="1"/>
  <c r="I45" s="1"/>
  <c r="G54" i="27"/>
  <c r="I87" i="5"/>
  <c r="I84"/>
  <c r="I81"/>
  <c r="I93"/>
  <c r="I90"/>
  <c r="I50" i="15"/>
  <c r="K6" i="29"/>
  <c r="J32" i="28"/>
  <c r="H44" i="27"/>
  <c r="H48" s="1"/>
  <c r="I47" s="1"/>
  <c r="I28" i="17"/>
  <c r="I30" s="1"/>
  <c r="I33" s="1"/>
  <c r="I66" i="5"/>
  <c r="I62"/>
  <c r="I58"/>
  <c r="I54"/>
  <c r="I50"/>
  <c r="K6" i="20"/>
  <c r="J5"/>
  <c r="K6" i="27"/>
  <c r="J5"/>
  <c r="K6" i="19"/>
  <c r="K5" s="1"/>
  <c r="J5"/>
  <c r="J5" i="10"/>
  <c r="J32" s="1"/>
  <c r="K6"/>
  <c r="K40" s="1"/>
  <c r="K6" i="17"/>
  <c r="J5"/>
  <c r="K6" i="11"/>
  <c r="K5" s="1"/>
  <c r="K6" i="1"/>
  <c r="J5"/>
  <c r="J6" i="5"/>
  <c r="J5" i="4"/>
  <c r="I5" i="5"/>
  <c r="J5" i="3"/>
  <c r="K6"/>
  <c r="J6" i="15"/>
  <c r="J5" s="1"/>
  <c r="J82" s="1"/>
  <c r="K6" i="4"/>
  <c r="K5" s="1"/>
  <c r="K5" i="1" l="1"/>
  <c r="G37" i="17"/>
  <c r="G39" s="1"/>
  <c r="G64" s="1"/>
  <c r="L45" i="5"/>
  <c r="L44"/>
  <c r="L71"/>
  <c r="L75"/>
  <c r="J99"/>
  <c r="J96"/>
  <c r="J70"/>
  <c r="J71" s="1"/>
  <c r="J44" s="1"/>
  <c r="J74"/>
  <c r="J75" s="1"/>
  <c r="J45" s="1"/>
  <c r="H54" i="27"/>
  <c r="J50" i="15"/>
  <c r="J90" i="5"/>
  <c r="J87"/>
  <c r="J84"/>
  <c r="J81"/>
  <c r="J93"/>
  <c r="K5" i="29"/>
  <c r="K5" i="27"/>
  <c r="I44"/>
  <c r="I48" s="1"/>
  <c r="J47" s="1"/>
  <c r="K5" i="17"/>
  <c r="J28"/>
  <c r="J30" s="1"/>
  <c r="J33" s="1"/>
  <c r="K5" i="20"/>
  <c r="K5" i="10"/>
  <c r="K32" s="1"/>
  <c r="J5" i="5"/>
  <c r="J66"/>
  <c r="J62"/>
  <c r="J58"/>
  <c r="J54"/>
  <c r="J50"/>
  <c r="K6"/>
  <c r="K5" i="3"/>
  <c r="K6" i="15"/>
  <c r="K5" s="1"/>
  <c r="K82" s="1"/>
  <c r="H37" i="17" l="1"/>
  <c r="H39" s="1"/>
  <c r="H64" s="1"/>
  <c r="K74" i="5"/>
  <c r="K75" s="1"/>
  <c r="K99"/>
  <c r="K96"/>
  <c r="L16"/>
  <c r="K70"/>
  <c r="K71" s="1"/>
  <c r="I54" i="27"/>
  <c r="K93" i="5"/>
  <c r="K90"/>
  <c r="K87"/>
  <c r="K84"/>
  <c r="K81"/>
  <c r="K50" i="15"/>
  <c r="J44" i="27"/>
  <c r="J48" s="1"/>
  <c r="K47" s="1"/>
  <c r="K28" i="17"/>
  <c r="K30" s="1"/>
  <c r="K33" s="1"/>
  <c r="K50" i="5"/>
  <c r="K66"/>
  <c r="K62"/>
  <c r="K58"/>
  <c r="K54"/>
  <c r="K5"/>
  <c r="I37" i="17" l="1"/>
  <c r="I39" s="1"/>
  <c r="I64" s="1"/>
  <c r="M71" i="5"/>
  <c r="K44"/>
  <c r="M44" s="1"/>
  <c r="M75"/>
  <c r="K45"/>
  <c r="M45" s="1"/>
  <c r="J54" i="27"/>
  <c r="K44"/>
  <c r="K48" s="1"/>
  <c r="K54" s="1"/>
  <c r="K37" i="17" l="1"/>
  <c r="K39" s="1"/>
  <c r="K64" s="1"/>
  <c r="J37"/>
  <c r="J39" s="1"/>
  <c r="J64" s="1"/>
  <c r="C6" i="13" l="1"/>
  <c r="D36" i="10" s="1"/>
  <c r="C14" i="13"/>
  <c r="C95" i="29" s="1"/>
  <c r="C94" l="1"/>
  <c r="C92"/>
  <c r="C31" i="10"/>
  <c r="C69" i="17"/>
  <c r="C55"/>
  <c r="C45" i="5"/>
  <c r="C44"/>
  <c r="C69"/>
  <c r="C73"/>
  <c r="C35" i="28"/>
  <c r="D34" i="10" s="1"/>
  <c r="D35" i="28"/>
  <c r="E34" i="10" s="1"/>
  <c r="E35" i="28"/>
  <c r="F34" i="10" s="1"/>
  <c r="F35" i="28"/>
  <c r="G34" i="10" s="1"/>
  <c r="G35" i="28"/>
  <c r="H34" i="10" s="1"/>
  <c r="I35" i="28"/>
  <c r="J34" i="10" s="1"/>
  <c r="H35" i="28"/>
  <c r="I34" i="10" s="1"/>
  <c r="J35" i="28"/>
  <c r="K34" i="10" s="1"/>
  <c r="C8" i="20"/>
  <c r="C16" i="5"/>
  <c r="C17"/>
  <c r="C61" i="1"/>
  <c r="C87" i="29"/>
  <c r="C62" i="1"/>
  <c r="C59"/>
  <c r="C63"/>
  <c r="C59" i="29"/>
  <c r="C60" i="1"/>
  <c r="C85" i="29"/>
  <c r="C89" i="17"/>
  <c r="C68"/>
  <c r="C87"/>
  <c r="E153" i="28"/>
  <c r="E157"/>
  <c r="E154"/>
  <c r="E158"/>
  <c r="E155"/>
  <c r="E159"/>
  <c r="E156"/>
  <c r="E152"/>
  <c r="C43" i="17"/>
  <c r="C79" i="2"/>
  <c r="B46" i="1"/>
  <c r="C28" i="3"/>
  <c r="C68" i="29"/>
  <c r="C73"/>
  <c r="C78"/>
  <c r="C67"/>
  <c r="C72"/>
  <c r="C77"/>
  <c r="C74"/>
  <c r="C79"/>
  <c r="C34" i="28"/>
  <c r="D34"/>
  <c r="E34"/>
  <c r="G34"/>
  <c r="F34"/>
  <c r="H34"/>
  <c r="I34"/>
  <c r="J34"/>
  <c r="B149"/>
  <c r="C80" i="29"/>
  <c r="C49" i="10"/>
  <c r="C51"/>
  <c r="C45"/>
  <c r="C29"/>
  <c r="C25"/>
  <c r="C21"/>
  <c r="C17"/>
  <c r="C28"/>
  <c r="C24"/>
  <c r="C20"/>
  <c r="C16"/>
  <c r="C27"/>
  <c r="C23"/>
  <c r="C19"/>
  <c r="C11"/>
  <c r="C26"/>
  <c r="C22"/>
  <c r="C18"/>
  <c r="C79" i="17"/>
  <c r="C19" i="19"/>
  <c r="C18"/>
  <c r="C14"/>
  <c r="B51" i="28"/>
  <c r="B38" i="2" s="1"/>
  <c r="B116" s="1"/>
  <c r="B48" i="28"/>
  <c r="C66" i="1"/>
  <c r="C51"/>
  <c r="C55"/>
  <c r="C54"/>
  <c r="C65"/>
  <c r="C52"/>
  <c r="C56"/>
  <c r="C58"/>
  <c r="C49"/>
  <c r="C53"/>
  <c r="C57"/>
  <c r="C50"/>
  <c r="C48"/>
  <c r="C89" i="29"/>
  <c r="C47"/>
  <c r="C66"/>
  <c r="C62" i="27"/>
  <c r="C63"/>
  <c r="C61"/>
  <c r="C40" i="2"/>
  <c r="C58"/>
  <c r="C62"/>
  <c r="C70"/>
  <c r="C41"/>
  <c r="C46"/>
  <c r="C51"/>
  <c r="C53"/>
  <c r="C55"/>
  <c r="C59"/>
  <c r="C63"/>
  <c r="C71"/>
  <c r="C42"/>
  <c r="C47"/>
  <c r="C64"/>
  <c r="C50"/>
  <c r="C52"/>
  <c r="C54"/>
  <c r="C56"/>
  <c r="C69"/>
  <c r="C17" i="19"/>
  <c r="C85" i="17"/>
  <c r="C78"/>
  <c r="C50" i="10"/>
  <c r="C46"/>
  <c r="C47"/>
  <c r="C77" i="2"/>
  <c r="C36"/>
  <c r="C65" i="5"/>
  <c r="C61"/>
  <c r="C57"/>
  <c r="C53"/>
  <c r="C49"/>
  <c r="C14"/>
  <c r="C13"/>
  <c r="C15"/>
  <c r="C11"/>
  <c r="C46"/>
  <c r="C43"/>
  <c r="C42"/>
  <c r="C41"/>
  <c r="C40"/>
  <c r="C39"/>
  <c r="C12"/>
  <c r="C18"/>
  <c r="C10" i="4"/>
  <c r="C12"/>
  <c r="C11"/>
  <c r="C14" i="2"/>
  <c r="C22"/>
  <c r="C26"/>
  <c r="C31"/>
  <c r="C13"/>
  <c r="C23"/>
  <c r="C27"/>
  <c r="C34"/>
  <c r="C18"/>
  <c r="C24"/>
  <c r="C28"/>
  <c r="C35"/>
  <c r="C12"/>
  <c r="C19"/>
  <c r="C25"/>
  <c r="C30"/>
  <c r="G41" i="17" l="1"/>
  <c r="G55" s="1"/>
  <c r="G45" i="29"/>
  <c r="K41" i="17"/>
  <c r="K55" s="1"/>
  <c r="K45" i="29"/>
  <c r="H41" i="17"/>
  <c r="H55" s="1"/>
  <c r="H45" i="29"/>
  <c r="D41" i="17"/>
  <c r="D55" s="1"/>
  <c r="D45" i="29"/>
  <c r="J41" i="17"/>
  <c r="J55" s="1"/>
  <c r="J45" i="29"/>
  <c r="F41" i="17"/>
  <c r="F55" s="1"/>
  <c r="F45" i="29"/>
  <c r="I41" i="17"/>
  <c r="I55" s="1"/>
  <c r="I45" i="29"/>
  <c r="E41" i="17"/>
  <c r="E55" s="1"/>
  <c r="E45" i="29"/>
  <c r="B159" i="28"/>
  <c r="B17" i="5" s="1"/>
  <c r="B45" s="1"/>
  <c r="B160" i="28"/>
  <c r="B158"/>
  <c r="B16" i="5" s="1"/>
  <c r="B44" s="1"/>
  <c r="B157" i="28"/>
  <c r="B15" i="5" s="1"/>
  <c r="B153" i="28"/>
  <c r="B11" i="5" s="1"/>
  <c r="B156" i="28"/>
  <c r="B14" i="5" s="1"/>
  <c r="B155" i="28"/>
  <c r="B13" i="5" s="1"/>
  <c r="B154" i="28"/>
  <c r="B12" i="5" s="1"/>
  <c r="E35" i="10"/>
  <c r="K35"/>
  <c r="I35"/>
  <c r="H35"/>
  <c r="F35"/>
  <c r="D35"/>
  <c r="J35"/>
  <c r="G35"/>
  <c r="K14" i="19"/>
  <c r="B10" i="2"/>
  <c r="B88" s="1"/>
  <c r="E28"/>
  <c r="F28"/>
  <c r="G28"/>
  <c r="H28"/>
  <c r="I28"/>
  <c r="J28"/>
  <c r="K28"/>
  <c r="D28"/>
  <c r="E30"/>
  <c r="M55" i="17" l="1"/>
  <c r="L55"/>
  <c r="B69" i="5"/>
  <c r="B97"/>
  <c r="B100"/>
  <c r="B73"/>
  <c r="I43" i="17"/>
  <c r="K43"/>
  <c r="E43"/>
  <c r="G43"/>
  <c r="F43"/>
  <c r="D43"/>
  <c r="J43"/>
  <c r="H43"/>
  <c r="E14" i="19"/>
  <c r="D14"/>
  <c r="G14"/>
  <c r="F14"/>
  <c r="H14"/>
  <c r="J14"/>
  <c r="I14"/>
  <c r="B41" i="5"/>
  <c r="B57"/>
  <c r="B65"/>
  <c r="B43"/>
  <c r="B42"/>
  <c r="B61"/>
  <c r="B53"/>
  <c r="B40"/>
  <c r="B49"/>
  <c r="B39"/>
  <c r="K30" i="2"/>
  <c r="J30"/>
  <c r="I30"/>
  <c r="H30"/>
  <c r="G31"/>
  <c r="F31"/>
  <c r="E31"/>
  <c r="B82" i="5"/>
  <c r="B94"/>
  <c r="B91"/>
  <c r="B88"/>
  <c r="B85"/>
  <c r="K31" i="2"/>
  <c r="J31"/>
  <c r="M28"/>
  <c r="I31"/>
  <c r="G30"/>
  <c r="D31"/>
  <c r="H31"/>
  <c r="D30"/>
  <c r="F14"/>
  <c r="F18" s="1"/>
  <c r="J14"/>
  <c r="J18" s="1"/>
  <c r="F30"/>
  <c r="K14"/>
  <c r="K18" s="1"/>
  <c r="I14"/>
  <c r="I19" s="1"/>
  <c r="E14"/>
  <c r="E19" s="1"/>
  <c r="H14"/>
  <c r="D14"/>
  <c r="E35" l="1"/>
  <c r="B53" i="1"/>
  <c r="B55"/>
  <c r="B52"/>
  <c r="B54"/>
  <c r="B51"/>
  <c r="J34" i="2"/>
  <c r="J69" s="1"/>
  <c r="K34"/>
  <c r="K69" s="1"/>
  <c r="M31"/>
  <c r="M30"/>
  <c r="I35"/>
  <c r="F19"/>
  <c r="F35" s="1"/>
  <c r="J19"/>
  <c r="J35" s="1"/>
  <c r="F34"/>
  <c r="F69" s="1"/>
  <c r="E18"/>
  <c r="K19"/>
  <c r="K35" s="1"/>
  <c r="I18"/>
  <c r="H18"/>
  <c r="H19"/>
  <c r="H35" s="1"/>
  <c r="D19"/>
  <c r="F70" l="1"/>
  <c r="F71" s="1"/>
  <c r="F49" i="1"/>
  <c r="I70" i="2"/>
  <c r="I49" i="1"/>
  <c r="H70" i="2"/>
  <c r="H49" i="1"/>
  <c r="E70" i="2"/>
  <c r="E49" i="1"/>
  <c r="K70" i="2"/>
  <c r="K71" s="1"/>
  <c r="K49" i="1"/>
  <c r="J70" i="2"/>
  <c r="J71" s="1"/>
  <c r="J49" i="1"/>
  <c r="E34" i="2"/>
  <c r="E69" s="1"/>
  <c r="H34"/>
  <c r="H69" s="1"/>
  <c r="I34"/>
  <c r="I69" s="1"/>
  <c r="K36"/>
  <c r="J36"/>
  <c r="D35"/>
  <c r="F36"/>
  <c r="I71" l="1"/>
  <c r="E71"/>
  <c r="D70"/>
  <c r="D49" i="1"/>
  <c r="H71" i="2"/>
  <c r="H36"/>
  <c r="E36"/>
  <c r="I36"/>
  <c r="D18"/>
  <c r="E48" i="15"/>
  <c r="F48"/>
  <c r="G48"/>
  <c r="H48"/>
  <c r="H80" s="1"/>
  <c r="I48"/>
  <c r="I80" s="1"/>
  <c r="J48"/>
  <c r="J80" s="1"/>
  <c r="K48"/>
  <c r="K80" s="1"/>
  <c r="E80" l="1"/>
  <c r="E50"/>
  <c r="F80"/>
  <c r="F50"/>
  <c r="D34" i="2"/>
  <c r="D69" s="1"/>
  <c r="D71" l="1"/>
  <c r="D36"/>
  <c r="H45" i="4" l="1"/>
  <c r="I45"/>
  <c r="J45"/>
  <c r="K45"/>
  <c r="J66" l="1"/>
  <c r="J68" s="1"/>
  <c r="K66"/>
  <c r="K68" s="1"/>
  <c r="I66"/>
  <c r="I68" s="1"/>
  <c r="H66"/>
  <c r="H68" s="1"/>
  <c r="E45" l="1"/>
  <c r="F45"/>
  <c r="B31" i="1"/>
  <c r="B37"/>
  <c r="B38"/>
  <c r="B39"/>
  <c r="B42"/>
  <c r="B30"/>
  <c r="B12"/>
  <c r="B18"/>
  <c r="B19"/>
  <c r="B20"/>
  <c r="B21"/>
  <c r="B22"/>
  <c r="B23"/>
  <c r="B11"/>
  <c r="D36" i="19" l="1"/>
  <c r="D35"/>
  <c r="A3" i="3" l="1"/>
  <c r="C11" i="13"/>
  <c r="C12"/>
  <c r="C10"/>
  <c r="I52" i="29" l="1"/>
  <c r="E52"/>
  <c r="G52"/>
  <c r="H52"/>
  <c r="D52"/>
  <c r="K52"/>
  <c r="J52"/>
  <c r="F52"/>
  <c r="I61" i="17"/>
  <c r="E61"/>
  <c r="H61"/>
  <c r="D61"/>
  <c r="K61"/>
  <c r="G61"/>
  <c r="J61"/>
  <c r="F61"/>
  <c r="H42" i="10"/>
  <c r="F42"/>
  <c r="I42"/>
  <c r="D42"/>
  <c r="K42"/>
  <c r="G42"/>
  <c r="J42"/>
  <c r="E42"/>
  <c r="K41"/>
  <c r="G41"/>
  <c r="D41"/>
  <c r="F41"/>
  <c r="E41"/>
  <c r="H41"/>
  <c r="J41"/>
  <c r="I41"/>
  <c r="J65" i="27"/>
  <c r="F65"/>
  <c r="I65"/>
  <c r="E65"/>
  <c r="H65"/>
  <c r="D65"/>
  <c r="K65"/>
  <c r="G65"/>
  <c r="H58"/>
  <c r="D58"/>
  <c r="E58"/>
  <c r="K58"/>
  <c r="G58"/>
  <c r="I58"/>
  <c r="J58"/>
  <c r="F58"/>
  <c r="D6" i="2"/>
  <c r="D78" s="1"/>
  <c r="A3" i="17"/>
  <c r="D77" i="2" l="1"/>
  <c r="E43" i="10"/>
  <c r="D43"/>
  <c r="I43"/>
  <c r="G43"/>
  <c r="F43"/>
  <c r="J43"/>
  <c r="K43"/>
  <c r="H43"/>
  <c r="E6" i="2"/>
  <c r="D5"/>
  <c r="E77" l="1"/>
  <c r="E78"/>
  <c r="D79"/>
  <c r="D50" i="1" s="1"/>
  <c r="F6" i="2"/>
  <c r="E5"/>
  <c r="D23" i="29" l="1"/>
  <c r="E79" i="2"/>
  <c r="E50" i="1" s="1"/>
  <c r="F77" i="2"/>
  <c r="F78"/>
  <c r="G6"/>
  <c r="F5"/>
  <c r="A3" i="13"/>
  <c r="A2"/>
  <c r="A3" i="19"/>
  <c r="E23" i="29" l="1"/>
  <c r="F79" i="2"/>
  <c r="F50" i="1" s="1"/>
  <c r="G77" i="2"/>
  <c r="G78"/>
  <c r="H6"/>
  <c r="H78" s="1"/>
  <c r="G5"/>
  <c r="F23" i="29" l="1"/>
  <c r="G79" i="2"/>
  <c r="G50" i="1" s="1"/>
  <c r="H77" i="2"/>
  <c r="I6"/>
  <c r="H5"/>
  <c r="A3" i="15"/>
  <c r="A2"/>
  <c r="G23" i="29" l="1"/>
  <c r="I77" i="2"/>
  <c r="I78"/>
  <c r="H79"/>
  <c r="H50" i="1" s="1"/>
  <c r="J6" i="2"/>
  <c r="I5"/>
  <c r="A3" i="14"/>
  <c r="A2"/>
  <c r="A3" i="21"/>
  <c r="A2"/>
  <c r="A3" i="20"/>
  <c r="A2"/>
  <c r="A2" i="19"/>
  <c r="A3" i="11"/>
  <c r="A2"/>
  <c r="A3" i="10"/>
  <c r="A2"/>
  <c r="A2" i="17"/>
  <c r="A3" i="2"/>
  <c r="A2"/>
  <c r="A2" i="3"/>
  <c r="A3" i="5"/>
  <c r="A2"/>
  <c r="A3" i="4"/>
  <c r="A2"/>
  <c r="A3" i="1"/>
  <c r="A2"/>
  <c r="H23" i="29" l="1"/>
  <c r="I79" i="2"/>
  <c r="I50" i="1" s="1"/>
  <c r="M50" s="1"/>
  <c r="J77" i="2"/>
  <c r="J78"/>
  <c r="K6"/>
  <c r="K78" s="1"/>
  <c r="J5"/>
  <c r="I23" i="29" l="1"/>
  <c r="J79" i="2"/>
  <c r="J50" i="1" s="1"/>
  <c r="L54" i="2"/>
  <c r="K77"/>
  <c r="L41"/>
  <c r="L56"/>
  <c r="L77"/>
  <c r="L31"/>
  <c r="L47"/>
  <c r="L46"/>
  <c r="L27"/>
  <c r="L24"/>
  <c r="L58"/>
  <c r="L79"/>
  <c r="L22"/>
  <c r="L51"/>
  <c r="L59"/>
  <c r="L63"/>
  <c r="L52"/>
  <c r="L23"/>
  <c r="L26"/>
  <c r="L40"/>
  <c r="L62"/>
  <c r="L30"/>
  <c r="L55"/>
  <c r="L53"/>
  <c r="L50"/>
  <c r="L25"/>
  <c r="L64"/>
  <c r="K14" i="4"/>
  <c r="H14"/>
  <c r="I14"/>
  <c r="J14"/>
  <c r="E86" i="2"/>
  <c r="K5"/>
  <c r="L28"/>
  <c r="M77" l="1"/>
  <c r="J23" i="29"/>
  <c r="K79" i="2"/>
  <c r="K50" i="1" s="1"/>
  <c r="L42" i="2"/>
  <c r="F86"/>
  <c r="F101" s="1"/>
  <c r="H86"/>
  <c r="H128" s="1"/>
  <c r="I86"/>
  <c r="I105" s="1"/>
  <c r="K86"/>
  <c r="K119" s="1"/>
  <c r="D86"/>
  <c r="G86"/>
  <c r="G119" s="1"/>
  <c r="J86"/>
  <c r="J105" s="1"/>
  <c r="E119"/>
  <c r="E118"/>
  <c r="E105"/>
  <c r="E101"/>
  <c r="E128"/>
  <c r="E129"/>
  <c r="E104"/>
  <c r="E100"/>
  <c r="E130"/>
  <c r="E131"/>
  <c r="E132"/>
  <c r="E103"/>
  <c r="E133"/>
  <c r="E102"/>
  <c r="E91"/>
  <c r="E90"/>
  <c r="E82" i="15" l="1"/>
  <c r="K23" i="29"/>
  <c r="M79" i="2"/>
  <c r="E81" i="15"/>
  <c r="D128" i="2"/>
  <c r="D118"/>
  <c r="F132"/>
  <c r="F103"/>
  <c r="F119"/>
  <c r="F118"/>
  <c r="F104"/>
  <c r="I118"/>
  <c r="F131"/>
  <c r="I101"/>
  <c r="I131"/>
  <c r="I133"/>
  <c r="F129"/>
  <c r="F133"/>
  <c r="F128"/>
  <c r="F91"/>
  <c r="F130"/>
  <c r="F105"/>
  <c r="I103"/>
  <c r="I130"/>
  <c r="F90"/>
  <c r="F82" i="15" s="1"/>
  <c r="F102" i="2"/>
  <c r="F100"/>
  <c r="I102"/>
  <c r="I100"/>
  <c r="I119"/>
  <c r="H131"/>
  <c r="H100"/>
  <c r="H90"/>
  <c r="H101"/>
  <c r="H102"/>
  <c r="H118"/>
  <c r="I90"/>
  <c r="I82" i="15" s="1"/>
  <c r="I129" i="2"/>
  <c r="I128"/>
  <c r="K118"/>
  <c r="K120" s="1"/>
  <c r="K124" s="1"/>
  <c r="H133"/>
  <c r="H129"/>
  <c r="I91"/>
  <c r="I132"/>
  <c r="I104"/>
  <c r="G118"/>
  <c r="G120" s="1"/>
  <c r="G125" s="1"/>
  <c r="K133"/>
  <c r="K131"/>
  <c r="K129"/>
  <c r="K90"/>
  <c r="K91"/>
  <c r="K100"/>
  <c r="K101"/>
  <c r="K102"/>
  <c r="K103"/>
  <c r="K104"/>
  <c r="K105"/>
  <c r="H132"/>
  <c r="H103"/>
  <c r="H104"/>
  <c r="H105"/>
  <c r="J118"/>
  <c r="K132"/>
  <c r="K130"/>
  <c r="K128"/>
  <c r="H91"/>
  <c r="H119"/>
  <c r="H130"/>
  <c r="D132"/>
  <c r="D131"/>
  <c r="D100"/>
  <c r="D102"/>
  <c r="D129"/>
  <c r="D91"/>
  <c r="D101"/>
  <c r="D104"/>
  <c r="D133"/>
  <c r="D103"/>
  <c r="D105"/>
  <c r="D90"/>
  <c r="D119"/>
  <c r="D130"/>
  <c r="G101"/>
  <c r="J129"/>
  <c r="J91"/>
  <c r="G103"/>
  <c r="J131"/>
  <c r="G131"/>
  <c r="J132"/>
  <c r="J130"/>
  <c r="J128"/>
  <c r="J119"/>
  <c r="J90"/>
  <c r="J102"/>
  <c r="J100"/>
  <c r="J101"/>
  <c r="G100"/>
  <c r="J133"/>
  <c r="J103"/>
  <c r="J104"/>
  <c r="G132"/>
  <c r="G129"/>
  <c r="G133"/>
  <c r="G104"/>
  <c r="G105"/>
  <c r="G102"/>
  <c r="G130"/>
  <c r="G128"/>
  <c r="E92"/>
  <c r="E96" s="1"/>
  <c r="N50" i="1"/>
  <c r="E106" i="2"/>
  <c r="E134"/>
  <c r="E120"/>
  <c r="E14" i="20"/>
  <c r="F14"/>
  <c r="G14"/>
  <c r="H14"/>
  <c r="I14"/>
  <c r="J14"/>
  <c r="K14"/>
  <c r="D14"/>
  <c r="H82" i="15" l="1"/>
  <c r="I81"/>
  <c r="J81"/>
  <c r="H81"/>
  <c r="K81"/>
  <c r="K16" i="20"/>
  <c r="J16"/>
  <c r="F16"/>
  <c r="E16"/>
  <c r="G16"/>
  <c r="I16"/>
  <c r="D16"/>
  <c r="H16"/>
  <c r="D81" i="15"/>
  <c r="F81"/>
  <c r="L128" i="2"/>
  <c r="L118"/>
  <c r="H92"/>
  <c r="H96" s="1"/>
  <c r="F120"/>
  <c r="F124" s="1"/>
  <c r="I120"/>
  <c r="I124" s="1"/>
  <c r="F134"/>
  <c r="F137" s="1"/>
  <c r="L129"/>
  <c r="I106"/>
  <c r="I108" s="1"/>
  <c r="F92"/>
  <c r="F97" s="1"/>
  <c r="D120"/>
  <c r="D124" s="1"/>
  <c r="F106"/>
  <c r="F108" s="1"/>
  <c r="I92"/>
  <c r="I97" s="1"/>
  <c r="I134"/>
  <c r="I137" s="1"/>
  <c r="H120"/>
  <c r="H124" s="1"/>
  <c r="K134"/>
  <c r="K136" s="1"/>
  <c r="K140" s="1"/>
  <c r="H134"/>
  <c r="H136" s="1"/>
  <c r="K106"/>
  <c r="K108" s="1"/>
  <c r="H106"/>
  <c r="H109" s="1"/>
  <c r="K92"/>
  <c r="K97" s="1"/>
  <c r="J120"/>
  <c r="J125" s="1"/>
  <c r="L105"/>
  <c r="L101"/>
  <c r="L100"/>
  <c r="L130"/>
  <c r="L103"/>
  <c r="L131"/>
  <c r="L104"/>
  <c r="L102"/>
  <c r="L132"/>
  <c r="M118"/>
  <c r="D92"/>
  <c r="D96" s="1"/>
  <c r="L119"/>
  <c r="M130"/>
  <c r="M105"/>
  <c r="M103"/>
  <c r="D134"/>
  <c r="D136" s="1"/>
  <c r="M102"/>
  <c r="M100"/>
  <c r="D106"/>
  <c r="D108" s="1"/>
  <c r="L133"/>
  <c r="M131"/>
  <c r="J134"/>
  <c r="J137" s="1"/>
  <c r="M129"/>
  <c r="M132"/>
  <c r="J106"/>
  <c r="J108" s="1"/>
  <c r="M101"/>
  <c r="M133"/>
  <c r="G106"/>
  <c r="M128"/>
  <c r="M104"/>
  <c r="K125"/>
  <c r="M119"/>
  <c r="J92"/>
  <c r="J97" s="1"/>
  <c r="G134"/>
  <c r="G136" s="1"/>
  <c r="G124"/>
  <c r="E97"/>
  <c r="E125"/>
  <c r="E124"/>
  <c r="E136"/>
  <c r="E137"/>
  <c r="E109"/>
  <c r="E108"/>
  <c r="E112" s="1"/>
  <c r="K109" l="1"/>
  <c r="K113" s="1"/>
  <c r="H8" i="20"/>
  <c r="H57" i="1" s="1"/>
  <c r="E8" i="20"/>
  <c r="E57" i="1" s="1"/>
  <c r="D8" i="20"/>
  <c r="D57" i="1" s="1"/>
  <c r="F8" i="20"/>
  <c r="F57" i="1" s="1"/>
  <c r="I8" i="20"/>
  <c r="I57" i="1" s="1"/>
  <c r="J8" i="20"/>
  <c r="J57" i="1" s="1"/>
  <c r="G8" i="20"/>
  <c r="G57" i="1" s="1"/>
  <c r="K8" i="20"/>
  <c r="K57" i="1" s="1"/>
  <c r="L120" i="2"/>
  <c r="H97"/>
  <c r="H113" s="1"/>
  <c r="I125"/>
  <c r="I141" s="1"/>
  <c r="F136"/>
  <c r="F140" s="1"/>
  <c r="F125"/>
  <c r="F141" s="1"/>
  <c r="F96"/>
  <c r="F112" s="1"/>
  <c r="I109"/>
  <c r="I113" s="1"/>
  <c r="D125"/>
  <c r="F109"/>
  <c r="F113" s="1"/>
  <c r="I96"/>
  <c r="I112" s="1"/>
  <c r="I136"/>
  <c r="I140" s="1"/>
  <c r="K137"/>
  <c r="K141" s="1"/>
  <c r="K142" s="1"/>
  <c r="H125"/>
  <c r="H140"/>
  <c r="H137"/>
  <c r="K96"/>
  <c r="K112" s="1"/>
  <c r="K147" s="1"/>
  <c r="H108"/>
  <c r="H112" s="1"/>
  <c r="J124"/>
  <c r="L134"/>
  <c r="D97"/>
  <c r="L106"/>
  <c r="M120"/>
  <c r="D109"/>
  <c r="D137"/>
  <c r="M106"/>
  <c r="G137"/>
  <c r="G141" s="1"/>
  <c r="G108"/>
  <c r="M134"/>
  <c r="J136"/>
  <c r="J109"/>
  <c r="J113" s="1"/>
  <c r="J96"/>
  <c r="J112" s="1"/>
  <c r="G109"/>
  <c r="G140"/>
  <c r="E113"/>
  <c r="E114" s="1"/>
  <c r="J141"/>
  <c r="E141"/>
  <c r="D140"/>
  <c r="L124"/>
  <c r="D112"/>
  <c r="E140"/>
  <c r="E147" s="1"/>
  <c r="M57" i="1" l="1"/>
  <c r="N57"/>
  <c r="L43" i="17"/>
  <c r="M43"/>
  <c r="L136" i="2"/>
  <c r="M125"/>
  <c r="D141"/>
  <c r="D142" s="1"/>
  <c r="L125"/>
  <c r="I114"/>
  <c r="I148"/>
  <c r="H147"/>
  <c r="M136"/>
  <c r="L108"/>
  <c r="H141"/>
  <c r="H142" s="1"/>
  <c r="K114"/>
  <c r="J140"/>
  <c r="J142" s="1"/>
  <c r="M124"/>
  <c r="D113"/>
  <c r="G142"/>
  <c r="L109"/>
  <c r="M137"/>
  <c r="I147"/>
  <c r="L137"/>
  <c r="H114"/>
  <c r="M108"/>
  <c r="M109"/>
  <c r="K148"/>
  <c r="K149" s="1"/>
  <c r="E148"/>
  <c r="E149" s="1"/>
  <c r="J148"/>
  <c r="F142"/>
  <c r="F147"/>
  <c r="I142"/>
  <c r="F148"/>
  <c r="D147"/>
  <c r="L140"/>
  <c r="E142"/>
  <c r="J114"/>
  <c r="F114"/>
  <c r="B13" i="1"/>
  <c r="B32"/>
  <c r="B16"/>
  <c r="B35"/>
  <c r="B14"/>
  <c r="B33"/>
  <c r="B15"/>
  <c r="B34"/>
  <c r="B17"/>
  <c r="B36"/>
  <c r="H148" i="2" l="1"/>
  <c r="H149" s="1"/>
  <c r="I149"/>
  <c r="D148"/>
  <c r="M141"/>
  <c r="L141"/>
  <c r="M140"/>
  <c r="J147"/>
  <c r="D114"/>
  <c r="F149"/>
  <c r="M142"/>
  <c r="L142"/>
  <c r="D149" l="1"/>
  <c r="J149"/>
  <c r="D48" i="15" l="1"/>
  <c r="D50" s="1"/>
  <c r="D78" l="1"/>
  <c r="D80" s="1"/>
  <c r="D82" s="1"/>
  <c r="G50" l="1"/>
  <c r="G78" l="1"/>
  <c r="G80" s="1"/>
  <c r="G45" i="4" l="1"/>
  <c r="G64"/>
  <c r="M13" i="2" l="1"/>
  <c r="L13"/>
  <c r="G91"/>
  <c r="L91" l="1"/>
  <c r="M91"/>
  <c r="G14"/>
  <c r="M12"/>
  <c r="M14" s="1"/>
  <c r="L12"/>
  <c r="L14" s="1"/>
  <c r="G90"/>
  <c r="G19" l="1"/>
  <c r="G18"/>
  <c r="L90"/>
  <c r="L92" s="1"/>
  <c r="M90"/>
  <c r="M92" s="1"/>
  <c r="G92"/>
  <c r="G81" i="15"/>
  <c r="G82"/>
  <c r="G96" i="2" l="1"/>
  <c r="G97"/>
  <c r="G34"/>
  <c r="M18"/>
  <c r="L18"/>
  <c r="G35"/>
  <c r="M19"/>
  <c r="L19"/>
  <c r="G69" l="1"/>
  <c r="G36"/>
  <c r="M34"/>
  <c r="L34"/>
  <c r="M97"/>
  <c r="G113"/>
  <c r="L97"/>
  <c r="G49" i="1"/>
  <c r="G70" i="2"/>
  <c r="M35"/>
  <c r="L35"/>
  <c r="L96"/>
  <c r="M96"/>
  <c r="G112"/>
  <c r="N49" i="1" l="1"/>
  <c r="M49"/>
  <c r="L112" i="2"/>
  <c r="M112"/>
  <c r="G147"/>
  <c r="G114"/>
  <c r="G148"/>
  <c r="L113"/>
  <c r="M113"/>
  <c r="M36"/>
  <c r="L36"/>
  <c r="M70"/>
  <c r="L70"/>
  <c r="G71"/>
  <c r="M69"/>
  <c r="L69"/>
  <c r="G149" l="1"/>
  <c r="L147"/>
  <c r="M147"/>
  <c r="M148"/>
  <c r="L148"/>
  <c r="M71"/>
  <c r="L71"/>
  <c r="M114"/>
  <c r="L114"/>
  <c r="M149" l="1"/>
  <c r="L149"/>
  <c r="D64" i="4"/>
  <c r="D45"/>
  <c r="D66" s="1"/>
  <c r="D68" s="1"/>
  <c r="G66"/>
  <c r="G68" s="1"/>
  <c r="F66"/>
  <c r="F68" s="1"/>
  <c r="E66"/>
  <c r="E68" s="1"/>
  <c r="G14"/>
  <c r="F14"/>
  <c r="E14"/>
  <c r="D14"/>
  <c r="K74" i="29" l="1"/>
  <c r="K76" s="1"/>
  <c r="J74"/>
  <c r="J76" s="1"/>
  <c r="I74"/>
  <c r="I76" s="1"/>
  <c r="H74"/>
  <c r="H76" s="1"/>
  <c r="G74"/>
  <c r="G76" s="1"/>
  <c r="F74"/>
  <c r="F76" s="1"/>
  <c r="E74"/>
  <c r="E76" s="1"/>
  <c r="D74"/>
  <c r="D76" s="1"/>
  <c r="K17" i="3" l="1"/>
  <c r="K18" i="4" s="1"/>
  <c r="J17" i="3"/>
  <c r="J18" i="4" s="1"/>
  <c r="I17" i="3"/>
  <c r="I18" i="4" s="1"/>
  <c r="H17" i="3"/>
  <c r="H18" i="4" s="1"/>
  <c r="G17" i="3"/>
  <c r="G18" i="4" s="1"/>
  <c r="F17" i="3"/>
  <c r="F18" i="4" s="1"/>
  <c r="E17" i="3"/>
  <c r="E18" i="4" s="1"/>
  <c r="D17" i="3"/>
  <c r="D18" i="4" s="1"/>
  <c r="D24" i="10" l="1"/>
  <c r="E24"/>
  <c r="F24"/>
  <c r="G24"/>
  <c r="H24"/>
  <c r="I24"/>
  <c r="J24"/>
  <c r="K24"/>
  <c r="H31" l="1"/>
  <c r="H21"/>
  <c r="D21"/>
  <c r="D29" s="1"/>
  <c r="D31"/>
  <c r="I31"/>
  <c r="I21"/>
  <c r="E31"/>
  <c r="E21"/>
  <c r="J31"/>
  <c r="J21"/>
  <c r="F31"/>
  <c r="F21"/>
  <c r="K31"/>
  <c r="K21"/>
  <c r="G31"/>
  <c r="G21"/>
  <c r="D32" l="1"/>
  <c r="E16"/>
  <c r="E18" s="1"/>
  <c r="E29" s="1"/>
  <c r="E32" s="1"/>
  <c r="D38"/>
  <c r="D47"/>
  <c r="F16" l="1"/>
  <c r="F18" s="1"/>
  <c r="F29" s="1"/>
  <c r="E38"/>
  <c r="E47"/>
  <c r="D56" i="27"/>
  <c r="E56"/>
  <c r="D63"/>
  <c r="D46" i="10"/>
  <c r="D45"/>
  <c r="E57" i="27" l="1"/>
  <c r="E55"/>
  <c r="G16" i="10"/>
  <c r="G18" s="1"/>
  <c r="G29" s="1"/>
  <c r="F38"/>
  <c r="F56" i="27" s="1"/>
  <c r="F47" i="10"/>
  <c r="F32"/>
  <c r="D50"/>
  <c r="D54"/>
  <c r="D65" i="1"/>
  <c r="E63" i="27"/>
  <c r="E45" i="10"/>
  <c r="E46"/>
  <c r="D49"/>
  <c r="D53"/>
  <c r="D55" i="27"/>
  <c r="D57"/>
  <c r="D61" l="1"/>
  <c r="D64" s="1"/>
  <c r="D59"/>
  <c r="D53" i="29"/>
  <c r="D79" i="17"/>
  <c r="D51" i="10"/>
  <c r="D57"/>
  <c r="F63" i="27"/>
  <c r="F46" i="10"/>
  <c r="F45"/>
  <c r="E59" i="27"/>
  <c r="E53" i="29"/>
  <c r="E62" i="27"/>
  <c r="E66" i="1" s="1"/>
  <c r="E61" i="27"/>
  <c r="E64" s="1"/>
  <c r="D62"/>
  <c r="D66" i="1" s="1"/>
  <c r="D55" i="10"/>
  <c r="E50"/>
  <c r="E65" i="1"/>
  <c r="E54" i="10"/>
  <c r="F55" i="27"/>
  <c r="F57"/>
  <c r="D12" i="1"/>
  <c r="D11"/>
  <c r="D19"/>
  <c r="E49" i="10"/>
  <c r="E53"/>
  <c r="D58"/>
  <c r="D48" i="1"/>
  <c r="H16" i="10"/>
  <c r="H18" s="1"/>
  <c r="H29" s="1"/>
  <c r="G38"/>
  <c r="G56" i="27" s="1"/>
  <c r="G47" i="10"/>
  <c r="G32"/>
  <c r="G57" i="27" l="1"/>
  <c r="G55"/>
  <c r="G63"/>
  <c r="G45" i="10"/>
  <c r="G46"/>
  <c r="E48" i="1"/>
  <c r="E58" i="10"/>
  <c r="E19" i="1"/>
  <c r="E12"/>
  <c r="E11"/>
  <c r="D59" i="10"/>
  <c r="F59" i="27"/>
  <c r="F53" i="29"/>
  <c r="E62" i="17"/>
  <c r="E66" i="27"/>
  <c r="F49" i="10"/>
  <c r="F53"/>
  <c r="D62" i="17"/>
  <c r="D66" i="27"/>
  <c r="D10" i="1"/>
  <c r="D29"/>
  <c r="I16" i="10"/>
  <c r="I18" s="1"/>
  <c r="I29" s="1"/>
  <c r="H38"/>
  <c r="H56" i="27" s="1"/>
  <c r="H47" i="10"/>
  <c r="E51"/>
  <c r="E79" i="17"/>
  <c r="E85" s="1"/>
  <c r="E57" i="10"/>
  <c r="E59" s="1"/>
  <c r="D38" i="1"/>
  <c r="D31"/>
  <c r="D30"/>
  <c r="F62" i="27"/>
  <c r="F66" i="1" s="1"/>
  <c r="F61" i="27"/>
  <c r="F64" s="1"/>
  <c r="E30" i="1"/>
  <c r="E31"/>
  <c r="E38"/>
  <c r="F50" i="10"/>
  <c r="F65" i="1"/>
  <c r="F54" i="10"/>
  <c r="D85" i="17"/>
  <c r="E55" i="10"/>
  <c r="F55" l="1"/>
  <c r="M38" i="1"/>
  <c r="G50" i="10"/>
  <c r="G65" i="1"/>
  <c r="G54" i="10"/>
  <c r="D69" i="17"/>
  <c r="D65"/>
  <c r="E69"/>
  <c r="E65"/>
  <c r="E29" i="1"/>
  <c r="E10"/>
  <c r="H63" i="27"/>
  <c r="H46" i="10"/>
  <c r="H45"/>
  <c r="G62" i="27"/>
  <c r="G66" i="1" s="1"/>
  <c r="G61" i="27"/>
  <c r="G64" s="1"/>
  <c r="I56"/>
  <c r="F48" i="1"/>
  <c r="F58" i="10"/>
  <c r="F62" i="17"/>
  <c r="F66" i="27"/>
  <c r="J16" i="10"/>
  <c r="J18" s="1"/>
  <c r="J29" s="1"/>
  <c r="I38"/>
  <c r="I47"/>
  <c r="G59" i="27"/>
  <c r="G53" i="29"/>
  <c r="F19" i="1"/>
  <c r="F12"/>
  <c r="F11"/>
  <c r="M12"/>
  <c r="M19"/>
  <c r="M11"/>
  <c r="H57" i="27"/>
  <c r="H55"/>
  <c r="F38" i="1"/>
  <c r="F31"/>
  <c r="F30"/>
  <c r="F79" i="17"/>
  <c r="F51" i="10"/>
  <c r="F57"/>
  <c r="F59" s="1"/>
  <c r="G49"/>
  <c r="G53"/>
  <c r="F69" i="17" l="1"/>
  <c r="F65"/>
  <c r="G62"/>
  <c r="G66" i="27"/>
  <c r="E56" i="29"/>
  <c r="E66" i="17"/>
  <c r="E68" s="1"/>
  <c r="E87" s="1"/>
  <c r="G79"/>
  <c r="G51" i="10"/>
  <c r="G57"/>
  <c r="H50"/>
  <c r="H65" i="1"/>
  <c r="H54" i="10"/>
  <c r="I63" i="27"/>
  <c r="I45" i="10"/>
  <c r="I46"/>
  <c r="H62" i="27"/>
  <c r="H66" i="1" s="1"/>
  <c r="H61" i="27"/>
  <c r="H64" s="1"/>
  <c r="F85" i="17"/>
  <c r="H59" i="27"/>
  <c r="H53" i="29"/>
  <c r="K16" i="10"/>
  <c r="K18" s="1"/>
  <c r="K29" s="1"/>
  <c r="J38"/>
  <c r="J47"/>
  <c r="F29" i="1"/>
  <c r="F10"/>
  <c r="M48"/>
  <c r="I55" i="27"/>
  <c r="I57"/>
  <c r="H49" i="10"/>
  <c r="H53"/>
  <c r="H55" s="1"/>
  <c r="D56" i="29"/>
  <c r="D66" i="17"/>
  <c r="D68" s="1"/>
  <c r="G48" i="1"/>
  <c r="M10" s="1"/>
  <c r="G58" i="10"/>
  <c r="G38" i="1"/>
  <c r="G31"/>
  <c r="G30"/>
  <c r="M30"/>
  <c r="M31"/>
  <c r="G12"/>
  <c r="G19"/>
  <c r="G11"/>
  <c r="G55" i="10"/>
  <c r="J56" i="27"/>
  <c r="D87" i="17" l="1"/>
  <c r="I59" i="27"/>
  <c r="I53" i="29"/>
  <c r="J63" i="27"/>
  <c r="J45" i="10"/>
  <c r="J46"/>
  <c r="H38" i="1"/>
  <c r="H30"/>
  <c r="H31"/>
  <c r="G10"/>
  <c r="G29"/>
  <c r="M29"/>
  <c r="H79" i="17"/>
  <c r="H51" i="10"/>
  <c r="H57"/>
  <c r="H62" i="17"/>
  <c r="H66" i="27"/>
  <c r="I62"/>
  <c r="I66" i="1" s="1"/>
  <c r="I61" i="27"/>
  <c r="I64" s="1"/>
  <c r="G59" i="10"/>
  <c r="K38"/>
  <c r="K56" i="27" s="1"/>
  <c r="K47" i="10"/>
  <c r="I49"/>
  <c r="I53"/>
  <c r="H48" i="1"/>
  <c r="H58" i="10"/>
  <c r="E89" i="17"/>
  <c r="F66"/>
  <c r="F68" s="1"/>
  <c r="F87" s="1"/>
  <c r="F56" i="29"/>
  <c r="J57" i="27"/>
  <c r="J55"/>
  <c r="I50" i="10"/>
  <c r="I65" i="1"/>
  <c r="I54" i="10"/>
  <c r="H19" i="1"/>
  <c r="H12"/>
  <c r="H11"/>
  <c r="G85" i="17"/>
  <c r="L79"/>
  <c r="G69"/>
  <c r="G65"/>
  <c r="H59" i="10" l="1"/>
  <c r="I48" i="1"/>
  <c r="I58" i="10"/>
  <c r="H10" i="1"/>
  <c r="H29"/>
  <c r="I62" i="17"/>
  <c r="I66" i="27"/>
  <c r="J50" i="10"/>
  <c r="J65" i="1"/>
  <c r="J54" i="10"/>
  <c r="K55" i="27"/>
  <c r="K57"/>
  <c r="I12" i="1"/>
  <c r="I19"/>
  <c r="I11"/>
  <c r="H69" i="17"/>
  <c r="H65"/>
  <c r="L85"/>
  <c r="L69"/>
  <c r="J59" i="27"/>
  <c r="J53" i="29"/>
  <c r="I79" i="17"/>
  <c r="I85" s="1"/>
  <c r="I51" i="10"/>
  <c r="I57"/>
  <c r="K63" i="27"/>
  <c r="K46" i="10"/>
  <c r="K45"/>
  <c r="H85" i="17"/>
  <c r="J61" i="27"/>
  <c r="J64" s="1"/>
  <c r="J62"/>
  <c r="J66" i="1" s="1"/>
  <c r="G56" i="29"/>
  <c r="G66" i="17"/>
  <c r="G68" s="1"/>
  <c r="G87" s="1"/>
  <c r="G89" s="1"/>
  <c r="I38" i="1"/>
  <c r="I31"/>
  <c r="I30"/>
  <c r="J49" i="10"/>
  <c r="J53"/>
  <c r="J55" s="1"/>
  <c r="L87" i="17"/>
  <c r="D89"/>
  <c r="I55" i="10"/>
  <c r="F89" i="17"/>
  <c r="L89" l="1"/>
  <c r="J38" i="1"/>
  <c r="J31"/>
  <c r="J30"/>
  <c r="K49" i="10"/>
  <c r="K53"/>
  <c r="H66" i="17"/>
  <c r="H68" s="1"/>
  <c r="H87" s="1"/>
  <c r="H89" s="1"/>
  <c r="H56" i="29"/>
  <c r="I69" i="17"/>
  <c r="I65"/>
  <c r="I10" i="1"/>
  <c r="I29"/>
  <c r="I59" i="10"/>
  <c r="K61" i="27"/>
  <c r="K64" s="1"/>
  <c r="K62"/>
  <c r="K66" i="1" s="1"/>
  <c r="K59" i="27"/>
  <c r="K53" i="29"/>
  <c r="J48" i="1"/>
  <c r="J58" i="10"/>
  <c r="J79" i="17"/>
  <c r="J51" i="10"/>
  <c r="J57"/>
  <c r="J62" i="17"/>
  <c r="J66" i="27"/>
  <c r="K50" i="10"/>
  <c r="K65" i="1"/>
  <c r="K54" i="10"/>
  <c r="J19" i="1"/>
  <c r="J12"/>
  <c r="J11"/>
  <c r="L68" i="17"/>
  <c r="J59" i="10" l="1"/>
  <c r="K55"/>
  <c r="N30" i="1"/>
  <c r="K12"/>
  <c r="K19"/>
  <c r="K11"/>
  <c r="N19"/>
  <c r="N12"/>
  <c r="J29"/>
  <c r="J10"/>
  <c r="K66" i="27"/>
  <c r="K62" i="17"/>
  <c r="J69"/>
  <c r="J65"/>
  <c r="K38" i="1"/>
  <c r="K31"/>
  <c r="K30"/>
  <c r="N38"/>
  <c r="K79" i="17"/>
  <c r="K85" s="1"/>
  <c r="K51" i="10"/>
  <c r="K57"/>
  <c r="N11" i="1"/>
  <c r="J85" i="17"/>
  <c r="I56" i="29"/>
  <c r="I66" i="17"/>
  <c r="I68" s="1"/>
  <c r="K48" i="1"/>
  <c r="K58" i="10"/>
  <c r="N31" i="1"/>
  <c r="K59" i="10" l="1"/>
  <c r="K10" i="1"/>
  <c r="K29"/>
  <c r="N48"/>
  <c r="M85" i="17"/>
  <c r="J56" i="29"/>
  <c r="J66" i="17"/>
  <c r="J68" s="1"/>
  <c r="J87" s="1"/>
  <c r="N10" i="1"/>
  <c r="M79" i="17"/>
  <c r="N29" i="1"/>
  <c r="I87" i="17"/>
  <c r="K69"/>
  <c r="M69" s="1"/>
  <c r="K65"/>
  <c r="J89" l="1"/>
  <c r="I89"/>
  <c r="K66"/>
  <c r="K68" s="1"/>
  <c r="K87" s="1"/>
  <c r="M87" s="1"/>
  <c r="K56" i="29"/>
  <c r="K65" i="5"/>
  <c r="K67" s="1"/>
  <c r="K43" s="1"/>
  <c r="K55" i="1" s="1"/>
  <c r="J65" i="5"/>
  <c r="J67" s="1"/>
  <c r="J43" s="1"/>
  <c r="J55" i="1" s="1"/>
  <c r="I65" i="5"/>
  <c r="I67" s="1"/>
  <c r="I43" s="1"/>
  <c r="I55" i="1" s="1"/>
  <c r="H65" i="5"/>
  <c r="H67" s="1"/>
  <c r="H43" s="1"/>
  <c r="H55" i="1" s="1"/>
  <c r="G65" i="5"/>
  <c r="G67" s="1"/>
  <c r="G43" s="1"/>
  <c r="G55" i="1" s="1"/>
  <c r="F65" i="5"/>
  <c r="F67" s="1"/>
  <c r="F43" s="1"/>
  <c r="F55" i="1" s="1"/>
  <c r="E65" i="5"/>
  <c r="E67" s="1"/>
  <c r="E43" s="1"/>
  <c r="E55" i="1" s="1"/>
  <c r="K57" i="5"/>
  <c r="K59" s="1"/>
  <c r="K41" s="1"/>
  <c r="K53" i="1" s="1"/>
  <c r="J57" i="5"/>
  <c r="J59" s="1"/>
  <c r="J41" s="1"/>
  <c r="J53" i="1" s="1"/>
  <c r="I57" i="5"/>
  <c r="I59" s="1"/>
  <c r="I41" s="1"/>
  <c r="I53" i="1" s="1"/>
  <c r="H57" i="5"/>
  <c r="H59" s="1"/>
  <c r="H41" s="1"/>
  <c r="H53" i="1" s="1"/>
  <c r="G57" i="5"/>
  <c r="G59" s="1"/>
  <c r="G41" s="1"/>
  <c r="G53" i="1" s="1"/>
  <c r="F57" i="5"/>
  <c r="F59" s="1"/>
  <c r="F41" s="1"/>
  <c r="F53" i="1" s="1"/>
  <c r="E57" i="5"/>
  <c r="E59" s="1"/>
  <c r="E41" s="1"/>
  <c r="E53" i="1" s="1"/>
  <c r="F34" l="1"/>
  <c r="F15"/>
  <c r="G36"/>
  <c r="G17"/>
  <c r="I34"/>
  <c r="I15"/>
  <c r="F36"/>
  <c r="F17"/>
  <c r="J36"/>
  <c r="J17"/>
  <c r="D65" i="5"/>
  <c r="L15"/>
  <c r="M15"/>
  <c r="H34" i="1"/>
  <c r="H15"/>
  <c r="E36"/>
  <c r="E17"/>
  <c r="I36"/>
  <c r="I17"/>
  <c r="M68" i="17"/>
  <c r="J34" i="1"/>
  <c r="J15"/>
  <c r="K36"/>
  <c r="K17"/>
  <c r="E34"/>
  <c r="E15"/>
  <c r="D57" i="5"/>
  <c r="L13"/>
  <c r="M13"/>
  <c r="G34" i="1"/>
  <c r="G15"/>
  <c r="K34"/>
  <c r="K15"/>
  <c r="H36"/>
  <c r="H17"/>
  <c r="K89" i="17"/>
  <c r="M89" s="1"/>
  <c r="D67" i="5" l="1"/>
  <c r="L65"/>
  <c r="M65"/>
  <c r="D59"/>
  <c r="M57"/>
  <c r="L57"/>
  <c r="D41" l="1"/>
  <c r="L59"/>
  <c r="M59"/>
  <c r="D43"/>
  <c r="M67"/>
  <c r="L67"/>
  <c r="D53" i="1" l="1"/>
  <c r="L41" i="5"/>
  <c r="M41"/>
  <c r="D55" i="1"/>
  <c r="M43" i="5"/>
  <c r="L43"/>
  <c r="M55" i="1" l="1"/>
  <c r="N55"/>
  <c r="D17"/>
  <c r="N17"/>
  <c r="M17"/>
  <c r="M36"/>
  <c r="N36"/>
  <c r="D36"/>
  <c r="N53"/>
  <c r="M53"/>
  <c r="N15"/>
  <c r="M15"/>
  <c r="D15"/>
  <c r="M34"/>
  <c r="N34"/>
  <c r="D34"/>
  <c r="D102" i="5" l="1"/>
  <c r="E102"/>
  <c r="D22" i="29" l="1"/>
  <c r="D40" s="1"/>
  <c r="D43" s="1"/>
  <c r="D15" i="4"/>
  <c r="E22" i="29"/>
  <c r="E40" s="1"/>
  <c r="E43" s="1"/>
  <c r="E15" i="4"/>
  <c r="D55" i="29" l="1"/>
  <c r="D57" s="1"/>
  <c r="D59" s="1"/>
  <c r="D87" s="1"/>
  <c r="D47"/>
  <c r="D85" s="1"/>
  <c r="E55"/>
  <c r="E57" s="1"/>
  <c r="E59" s="1"/>
  <c r="E87" s="1"/>
  <c r="E47"/>
  <c r="E85" s="1"/>
  <c r="E89" l="1"/>
  <c r="D89"/>
  <c r="H80" l="1"/>
  <c r="I80"/>
  <c r="D80"/>
  <c r="F80"/>
  <c r="G80"/>
  <c r="E80"/>
  <c r="J80"/>
  <c r="K80"/>
  <c r="E92" l="1"/>
  <c r="F92" l="1"/>
  <c r="E94" l="1"/>
  <c r="F94" l="1"/>
  <c r="E59" i="1"/>
  <c r="E61"/>
  <c r="E95" i="29"/>
  <c r="E22" i="1" l="1"/>
  <c r="F59"/>
  <c r="F95" i="29"/>
  <c r="F60" i="1" s="1"/>
  <c r="E60"/>
  <c r="E62"/>
  <c r="E21"/>
  <c r="E41" l="1"/>
  <c r="E40"/>
  <c r="F40"/>
  <c r="F21"/>
  <c r="D92" i="29" l="1"/>
  <c r="D94" l="1"/>
  <c r="D59" i="1" l="1"/>
  <c r="D61"/>
  <c r="D95" i="29"/>
  <c r="D21" i="1" l="1"/>
  <c r="D22"/>
  <c r="D60"/>
  <c r="D62"/>
  <c r="D41" l="1"/>
  <c r="D40"/>
  <c r="G92" i="29" l="1"/>
  <c r="G94" l="1"/>
  <c r="G59" i="1" l="1"/>
  <c r="G95" i="29"/>
  <c r="G60" i="1" s="1"/>
  <c r="M60" l="1"/>
  <c r="G21"/>
  <c r="G40"/>
  <c r="M21"/>
  <c r="M40"/>
  <c r="M59"/>
  <c r="J92" i="29" l="1"/>
  <c r="I92"/>
  <c r="H92" l="1"/>
  <c r="I94" l="1"/>
  <c r="H94" l="1"/>
  <c r="I59" i="1"/>
  <c r="I95" i="29"/>
  <c r="I60" i="1" s="1"/>
  <c r="J94" i="29"/>
  <c r="J59" i="1" l="1"/>
  <c r="J95" i="29"/>
  <c r="J60" i="1" s="1"/>
  <c r="H59"/>
  <c r="H95" i="29"/>
  <c r="H60" i="1" s="1"/>
  <c r="I21"/>
  <c r="I40"/>
  <c r="J21" l="1"/>
  <c r="J40"/>
  <c r="H21"/>
  <c r="H40"/>
  <c r="K92" i="29" l="1"/>
  <c r="K94" l="1"/>
  <c r="K59" i="1" l="1"/>
  <c r="K95" i="29"/>
  <c r="K60" i="1" s="1"/>
  <c r="N60" l="1"/>
  <c r="K21"/>
  <c r="K40"/>
  <c r="N21"/>
  <c r="N59"/>
  <c r="N40"/>
  <c r="K61" i="5" l="1"/>
  <c r="K63" s="1"/>
  <c r="K42" s="1"/>
  <c r="K54" i="1" s="1"/>
  <c r="J61" i="5"/>
  <c r="J63" s="1"/>
  <c r="J42" s="1"/>
  <c r="J54" i="1" s="1"/>
  <c r="E61" i="5"/>
  <c r="E63" s="1"/>
  <c r="E42" s="1"/>
  <c r="E54" i="1" s="1"/>
  <c r="F49" i="5" l="1"/>
  <c r="F51" s="1"/>
  <c r="F39" s="1"/>
  <c r="F51" i="1" s="1"/>
  <c r="G61" i="5"/>
  <c r="G63" s="1"/>
  <c r="G42" s="1"/>
  <c r="G54" i="1" s="1"/>
  <c r="K49" i="5"/>
  <c r="K51" s="1"/>
  <c r="K39" s="1"/>
  <c r="H49"/>
  <c r="H51" s="1"/>
  <c r="H39" s="1"/>
  <c r="D61"/>
  <c r="F61"/>
  <c r="F63" s="1"/>
  <c r="F42" s="1"/>
  <c r="F54" i="1" s="1"/>
  <c r="E35"/>
  <c r="E16"/>
  <c r="K35"/>
  <c r="K16"/>
  <c r="G49" i="5"/>
  <c r="G51" s="1"/>
  <c r="G39" s="1"/>
  <c r="D49"/>
  <c r="L11"/>
  <c r="M11"/>
  <c r="I61"/>
  <c r="I63" s="1"/>
  <c r="I42" s="1"/>
  <c r="I54" i="1" s="1"/>
  <c r="I49" i="5"/>
  <c r="I51" s="1"/>
  <c r="I39" s="1"/>
  <c r="J49"/>
  <c r="J51" s="1"/>
  <c r="J39" s="1"/>
  <c r="E49"/>
  <c r="E51" s="1"/>
  <c r="E39" s="1"/>
  <c r="H61"/>
  <c r="H63" s="1"/>
  <c r="H42" s="1"/>
  <c r="H54" i="1" s="1"/>
  <c r="J35"/>
  <c r="J16"/>
  <c r="I35" l="1"/>
  <c r="I16"/>
  <c r="D51" i="5"/>
  <c r="M49"/>
  <c r="L49"/>
  <c r="D63"/>
  <c r="L61"/>
  <c r="M61"/>
  <c r="E51" i="1"/>
  <c r="I51"/>
  <c r="G51"/>
  <c r="F32"/>
  <c r="F13"/>
  <c r="M14" i="5"/>
  <c r="L14"/>
  <c r="H35" i="1"/>
  <c r="H16"/>
  <c r="J51"/>
  <c r="F35"/>
  <c r="F16"/>
  <c r="K51"/>
  <c r="H51"/>
  <c r="G35"/>
  <c r="G16"/>
  <c r="I32" l="1"/>
  <c r="I13"/>
  <c r="E53" i="5"/>
  <c r="E55" s="1"/>
  <c r="E40" s="1"/>
  <c r="E18"/>
  <c r="D42"/>
  <c r="M63"/>
  <c r="L63"/>
  <c r="J32" i="1"/>
  <c r="J13"/>
  <c r="D53" i="5"/>
  <c r="D18"/>
  <c r="D39"/>
  <c r="M51"/>
  <c r="L51"/>
  <c r="K32" i="1"/>
  <c r="K13"/>
  <c r="H32"/>
  <c r="H13"/>
  <c r="G32"/>
  <c r="G13"/>
  <c r="E32"/>
  <c r="E13"/>
  <c r="D54" l="1"/>
  <c r="L42" i="5"/>
  <c r="M42"/>
  <c r="L39"/>
  <c r="M39"/>
  <c r="D51" i="1"/>
  <c r="D55" i="5"/>
  <c r="E52" i="1"/>
  <c r="E46" i="5"/>
  <c r="E33" i="1" l="1"/>
  <c r="E14"/>
  <c r="N51"/>
  <c r="M51"/>
  <c r="M13"/>
  <c r="N13"/>
  <c r="D13"/>
  <c r="N32"/>
  <c r="M32"/>
  <c r="D32"/>
  <c r="M54"/>
  <c r="N54"/>
  <c r="N16"/>
  <c r="M16"/>
  <c r="D16"/>
  <c r="M35"/>
  <c r="D35"/>
  <c r="N35"/>
  <c r="D40" i="5"/>
  <c r="D46" l="1"/>
  <c r="D52" i="1"/>
  <c r="D14" l="1"/>
  <c r="D33"/>
  <c r="D28" i="3" l="1"/>
  <c r="D56" i="1" s="1"/>
  <c r="D12" i="3"/>
  <c r="D17" i="4" s="1"/>
  <c r="D26" s="1"/>
  <c r="D28" s="1"/>
  <c r="D18" i="1" l="1"/>
  <c r="D20" s="1"/>
  <c r="D23" s="1"/>
  <c r="D37"/>
  <c r="D58"/>
  <c r="D63" s="1"/>
  <c r="D39" l="1"/>
  <c r="G53" i="5"/>
  <c r="G55" s="1"/>
  <c r="G40" s="1"/>
  <c r="G18"/>
  <c r="I53"/>
  <c r="I55" s="1"/>
  <c r="I40" s="1"/>
  <c r="I18"/>
  <c r="H53"/>
  <c r="H55" s="1"/>
  <c r="H40" s="1"/>
  <c r="H18"/>
  <c r="J53"/>
  <c r="J55" s="1"/>
  <c r="J40" s="1"/>
  <c r="J18"/>
  <c r="F53"/>
  <c r="F18"/>
  <c r="L12"/>
  <c r="L18" s="1"/>
  <c r="M12"/>
  <c r="M18" s="1"/>
  <c r="K53"/>
  <c r="K55" s="1"/>
  <c r="K40" s="1"/>
  <c r="K18"/>
  <c r="D42" i="1" l="1"/>
  <c r="K52"/>
  <c r="K46" i="5"/>
  <c r="F55"/>
  <c r="M53"/>
  <c r="L53"/>
  <c r="H52" i="1"/>
  <c r="H46" i="5"/>
  <c r="G52" i="1"/>
  <c r="G46" i="5"/>
  <c r="H102"/>
  <c r="F102"/>
  <c r="J52" i="1"/>
  <c r="J46" i="5"/>
  <c r="I52" i="1"/>
  <c r="I46" i="5"/>
  <c r="G102"/>
  <c r="I33" i="1" l="1"/>
  <c r="I14"/>
  <c r="F22" i="29"/>
  <c r="F40" s="1"/>
  <c r="F43" s="1"/>
  <c r="F15" i="4"/>
  <c r="K33" i="1"/>
  <c r="K14"/>
  <c r="J33"/>
  <c r="J14"/>
  <c r="H33"/>
  <c r="H14"/>
  <c r="G22" i="29"/>
  <c r="G40" s="1"/>
  <c r="G43" s="1"/>
  <c r="G15" i="4"/>
  <c r="H22" i="29"/>
  <c r="H40" s="1"/>
  <c r="H43" s="1"/>
  <c r="H15" i="4"/>
  <c r="F40" i="5"/>
  <c r="M55"/>
  <c r="L55"/>
  <c r="G33" i="1"/>
  <c r="G14"/>
  <c r="H55" i="29" l="1"/>
  <c r="H57" s="1"/>
  <c r="H59" s="1"/>
  <c r="H87" s="1"/>
  <c r="H61" i="1" s="1"/>
  <c r="H47" i="29"/>
  <c r="H85" s="1"/>
  <c r="F46" i="5"/>
  <c r="F52" i="1"/>
  <c r="L40" i="5"/>
  <c r="L46" s="1"/>
  <c r="M40"/>
  <c r="M46" s="1"/>
  <c r="G55" i="29"/>
  <c r="G57" s="1"/>
  <c r="G59" s="1"/>
  <c r="G87" s="1"/>
  <c r="G61" i="1" s="1"/>
  <c r="G47" i="29"/>
  <c r="G85" s="1"/>
  <c r="F55"/>
  <c r="F57" s="1"/>
  <c r="F59" s="1"/>
  <c r="F87" s="1"/>
  <c r="F61" i="1" s="1"/>
  <c r="F47" i="29"/>
  <c r="F85" s="1"/>
  <c r="G22" i="1" l="1"/>
  <c r="H89" i="29"/>
  <c r="H62" i="1" s="1"/>
  <c r="H22"/>
  <c r="F22"/>
  <c r="M61"/>
  <c r="M22"/>
  <c r="F33"/>
  <c r="F14"/>
  <c r="N14"/>
  <c r="M33"/>
  <c r="M14"/>
  <c r="N52"/>
  <c r="M52"/>
  <c r="N33"/>
  <c r="F89" i="29"/>
  <c r="F62" i="1" s="1"/>
  <c r="G89" i="29"/>
  <c r="G62" i="1" s="1"/>
  <c r="G41" l="1"/>
  <c r="H41"/>
  <c r="M41"/>
  <c r="F41"/>
  <c r="M62"/>
  <c r="I102" i="5" l="1"/>
  <c r="K102"/>
  <c r="J102"/>
  <c r="J22" i="29" l="1"/>
  <c r="J40" s="1"/>
  <c r="J43" s="1"/>
  <c r="J15" i="4"/>
  <c r="I22" i="29"/>
  <c r="I40" s="1"/>
  <c r="I43" s="1"/>
  <c r="I15" i="4"/>
  <c r="K22" i="29"/>
  <c r="K40" s="1"/>
  <c r="K43" s="1"/>
  <c r="K15" i="4"/>
  <c r="J47" i="29" l="1"/>
  <c r="J85" s="1"/>
  <c r="J55"/>
  <c r="J57" s="1"/>
  <c r="J59" s="1"/>
  <c r="J87" s="1"/>
  <c r="J61" i="1" s="1"/>
  <c r="K55" i="29"/>
  <c r="K57" s="1"/>
  <c r="K59" s="1"/>
  <c r="K87" s="1"/>
  <c r="K61" i="1" s="1"/>
  <c r="K47" i="29"/>
  <c r="K85" s="1"/>
  <c r="I55"/>
  <c r="I57" s="1"/>
  <c r="I59" s="1"/>
  <c r="I87" s="1"/>
  <c r="I61" i="1" s="1"/>
  <c r="I47" i="29"/>
  <c r="I85" s="1"/>
  <c r="J89" l="1"/>
  <c r="J62" i="1" s="1"/>
  <c r="J41" s="1"/>
  <c r="K22"/>
  <c r="J22"/>
  <c r="I22"/>
  <c r="N22"/>
  <c r="N61"/>
  <c r="K89" i="29"/>
  <c r="K62" i="1" s="1"/>
  <c r="I89" i="29"/>
  <c r="I62" i="1" s="1"/>
  <c r="I41" l="1"/>
  <c r="K41"/>
  <c r="E28" i="3"/>
  <c r="E56" i="1" s="1"/>
  <c r="E12" i="3"/>
  <c r="E17" i="4" s="1"/>
  <c r="E26" s="1"/>
  <c r="E28" s="1"/>
  <c r="N62" i="1"/>
  <c r="N41"/>
  <c r="E37" l="1"/>
  <c r="E18"/>
  <c r="E20" s="1"/>
  <c r="E23" s="1"/>
  <c r="E58"/>
  <c r="E63" s="1"/>
  <c r="E39" l="1"/>
  <c r="F28" i="3"/>
  <c r="F56" i="1" s="1"/>
  <c r="F12" i="3"/>
  <c r="F17" i="4" s="1"/>
  <c r="F26" s="1"/>
  <c r="F28" s="1"/>
  <c r="E42" i="1" l="1"/>
  <c r="F37"/>
  <c r="F18"/>
  <c r="F20" s="1"/>
  <c r="F23" s="1"/>
  <c r="F58"/>
  <c r="F63" s="1"/>
  <c r="F39" l="1"/>
  <c r="H28" i="3"/>
  <c r="H56" i="1" s="1"/>
  <c r="H12" i="3"/>
  <c r="H17" i="4" s="1"/>
  <c r="H26" s="1"/>
  <c r="F42" i="1" l="1"/>
  <c r="H37"/>
  <c r="H18"/>
  <c r="H20" s="1"/>
  <c r="H23" s="1"/>
  <c r="H58"/>
  <c r="H63" s="1"/>
  <c r="H39" l="1"/>
  <c r="I28" i="3"/>
  <c r="I56" i="1" s="1"/>
  <c r="I12" i="3"/>
  <c r="I17" i="4" s="1"/>
  <c r="I26" s="1"/>
  <c r="H42" i="1" l="1"/>
  <c r="I37"/>
  <c r="I18"/>
  <c r="I20" s="1"/>
  <c r="I23" s="1"/>
  <c r="I58"/>
  <c r="I63" s="1"/>
  <c r="I39" l="1"/>
  <c r="J28" i="3"/>
  <c r="J56" i="1" s="1"/>
  <c r="J12" i="3"/>
  <c r="J17" i="4" s="1"/>
  <c r="J26" s="1"/>
  <c r="I42" i="1" l="1"/>
  <c r="J37"/>
  <c r="J18"/>
  <c r="J20" s="1"/>
  <c r="J23" s="1"/>
  <c r="J58"/>
  <c r="J63" s="1"/>
  <c r="J39" l="1"/>
  <c r="K28" i="3"/>
  <c r="K56" i="1" s="1"/>
  <c r="K12" i="3"/>
  <c r="K17" i="4" s="1"/>
  <c r="K26" s="1"/>
  <c r="G28" i="3"/>
  <c r="G56" i="1" s="1"/>
  <c r="G12" i="3"/>
  <c r="G17" i="4" s="1"/>
  <c r="G26" s="1"/>
  <c r="G28" s="1"/>
  <c r="J42" i="1" l="1"/>
  <c r="K37"/>
  <c r="K18"/>
  <c r="K20" s="1"/>
  <c r="K23" s="1"/>
  <c r="K58"/>
  <c r="K63" s="1"/>
  <c r="G37"/>
  <c r="G18"/>
  <c r="G20" s="1"/>
  <c r="G23" s="1"/>
  <c r="G58"/>
  <c r="G63" s="1"/>
  <c r="M18"/>
  <c r="M20" s="1"/>
  <c r="M23" s="1"/>
  <c r="M37"/>
  <c r="M56"/>
  <c r="M58" s="1"/>
  <c r="M63" s="1"/>
  <c r="N56"/>
  <c r="N58" s="1"/>
  <c r="N63" s="1"/>
  <c r="N18"/>
  <c r="N20" s="1"/>
  <c r="N23" s="1"/>
  <c r="N37"/>
  <c r="N39" l="1"/>
  <c r="K39"/>
  <c r="M39"/>
  <c r="G39"/>
  <c r="M42" l="1"/>
  <c r="N42"/>
  <c r="G42"/>
  <c r="K42"/>
</calcChain>
</file>

<file path=xl/sharedStrings.xml><?xml version="1.0" encoding="utf-8"?>
<sst xmlns="http://schemas.openxmlformats.org/spreadsheetml/2006/main" count="1323" uniqueCount="592">
  <si>
    <t>Input cells</t>
  </si>
  <si>
    <t>Totals cells (of formula within worksheet)</t>
  </si>
  <si>
    <t>Referencing to other worksheets</t>
  </si>
  <si>
    <t>Referencing to other workbooks</t>
  </si>
  <si>
    <t>Check cells</t>
  </si>
  <si>
    <t>No Input</t>
  </si>
  <si>
    <t>Descriptions and pack data</t>
  </si>
  <si>
    <t>%</t>
  </si>
  <si>
    <t>Total</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</si>
  <si>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</si>
  <si>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</si>
  <si>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</si>
  <si>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</si>
  <si>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</si>
  <si>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</si>
  <si>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</si>
  <si>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</si>
  <si>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</si>
  <si>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</si>
  <si>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</si>
  <si>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</si>
  <si>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</si>
  <si>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</si>
  <si>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</si>
  <si>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</si>
  <si>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</si>
  <si>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</si>
  <si>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</si>
  <si>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</si>
  <si>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</si>
  <si>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</si>
  <si>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</si>
  <si>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</si>
  <si>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</si>
  <si>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</si>
  <si>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</si>
  <si>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</si>
  <si>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</si>
  <si>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</si>
  <si>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</si>
  <si>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</si>
  <si>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</si>
  <si>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</si>
  <si>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</si>
  <si>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</si>
  <si>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</si>
  <si>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</si>
  <si>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</si>
  <si>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</si>
  <si>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</si>
  <si>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</si>
  <si>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</si>
  <si>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</si>
  <si>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</si>
  <si>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</si>
  <si>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</si>
  <si>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</si>
  <si>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</si>
  <si>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</si>
  <si>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</si>
  <si>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</si>
  <si>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</si>
  <si>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</si>
  <si>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</si>
  <si>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</si>
  <si>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</si>
  <si>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</si>
  <si>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</si>
  <si>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</si>
  <si>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</si>
  <si>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</si>
  <si>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</si>
  <si>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</si>
  <si>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</si>
  <si>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</si>
  <si>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</si>
  <si>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</si>
  <si>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</si>
  <si>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</si>
  <si>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</si>
  <si>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</si>
  <si>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</si>
  <si>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</si>
  <si>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</si>
  <si>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</si>
  <si>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</si>
  <si>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</si>
  <si>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</si>
  <si>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</si>
  <si>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</si>
  <si>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</si>
  <si>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</si>
  <si>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</si>
  <si>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</si>
  <si>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</si>
  <si>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</si>
  <si>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</si>
  <si>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</si>
  <si>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</si>
  <si>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</si>
  <si>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</si>
  <si>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</si>
  <si>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</si>
  <si>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</si>
  <si>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</si>
  <si>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</si>
  <si>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</si>
  <si>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</si>
  <si>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</si>
  <si>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</si>
  <si>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</si>
  <si>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</si>
  <si>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</si>
  <si>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</si>
  <si>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</si>
  <si>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</si>
  <si>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</si>
  <si>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</si>
  <si>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</si>
  <si>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</si>
  <si>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</si>
  <si>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</si>
  <si>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</si>
  <si>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</si>
  <si>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</si>
  <si>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</si>
  <si>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</si>
  <si>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</si>
  <si>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</si>
  <si>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</si>
  <si>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</si>
  <si>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</si>
  <si>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</si>
  <si>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</si>
  <si>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</si>
  <si>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</si>
  <si>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</si>
  <si>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</si>
  <si>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</si>
  <si>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</si>
  <si>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</si>
  <si>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</si>
  <si>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</si>
  <si>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</si>
  <si>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</si>
  <si>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</si>
  <si>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</si>
  <si>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</si>
  <si>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</si>
  <si>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</si>
  <si>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</si>
  <si>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</si>
  <si>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</si>
  <si>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</si>
  <si>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</si>
  <si>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</si>
  <si>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</si>
  <si>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</si>
  <si>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</si>
  <si>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</si>
  <si>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</si>
  <si>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</si>
  <si>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</si>
  <si>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</si>
  <si>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</si>
  <si>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</si>
  <si>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</si>
  <si>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</si>
  <si>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</si>
  <si>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</si>
  <si>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</si>
  <si>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</si>
  <si>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</si>
  <si>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</si>
  <si>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</si>
  <si>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</si>
  <si>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</si>
  <si>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</si>
  <si>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</si>
  <si>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</si>
  <si>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</si>
  <si>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</si>
  <si>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</si>
  <si>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</si>
  <si>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</si>
  <si>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</si>
  <si>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</si>
  <si>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</si>
  <si>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</si>
  <si>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</si>
  <si>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</si>
  <si>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</si>
  <si>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</si>
  <si>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</si>
  <si>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</si>
  <si>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</si>
  <si>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</si>
  <si>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</si>
  <si>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</si>
  <si>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</si>
  <si>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</si>
  <si>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</si>
  <si>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</si>
  <si>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</si>
  <si>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</si>
  <si>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</si>
  <si>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</si>
  <si>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</si>
  <si>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</si>
  <si>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</si>
  <si>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</si>
  <si>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</si>
  <si>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</si>
  <si>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</si>
  <si>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</si>
  <si>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</si>
  <si>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</si>
  <si>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</si>
  <si>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</si>
  <si>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</si>
  <si>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</si>
  <si>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</si>
  <si>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</si>
  <si>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</si>
  <si>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</si>
  <si>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</si>
  <si>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</si>
  <si>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</si>
  <si>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</si>
  <si>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</si>
  <si>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</si>
  <si>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</si>
  <si>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</si>
  <si>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</si>
  <si>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</si>
  <si>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</si>
  <si>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</si>
  <si>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</si>
  <si>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</si>
  <si>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</si>
  <si>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</si>
  <si>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</si>
  <si>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</si>
  <si>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</si>
  <si>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</si>
  <si>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</si>
  <si>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</si>
  <si>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</si>
  <si>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</si>
  <si>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</si>
  <si>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</si>
  <si>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</si>
  <si>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</si>
  <si>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</si>
  <si>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</si>
  <si>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</si>
  <si>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</si>
  <si>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</si>
  <si>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</si>
  <si>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</si>
  <si>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</si>
  <si>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</si>
  <si>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</si>
  <si>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</si>
  <si>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</si>
  <si>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</si>
  <si>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</si>
  <si>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</si>
  <si>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</si>
  <si>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</si>
  <si>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</si>
  <si>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</si>
  <si>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</si>
  <si>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</si>
  <si>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</si>
  <si>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</si>
  <si>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</si>
  <si>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</si>
  <si>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</si>
  <si>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</si>
  <si>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</si>
  <si>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</si>
  <si>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</si>
  <si>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</si>
  <si>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</si>
  <si>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</si>
  <si>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</si>
  <si>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</si>
  <si>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</si>
  <si>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</si>
  <si>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</si>
  <si>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</si>
  <si>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</si>
  <si>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</si>
  <si>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</si>
  <si>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</si>
  <si>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</si>
  <si>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</si>
  <si>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</si>
  <si>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</si>
  <si>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</si>
  <si>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</si>
  <si>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</si>
  <si>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</si>
  <si>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</si>
  <si>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</si>
  <si>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</si>
  <si>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</si>
  <si>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</si>
  <si>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</si>
  <si>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</si>
  <si>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</si>
  <si>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</si>
  <si>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</si>
  <si>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</si>
  <si>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</si>
  <si>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</si>
  <si>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</si>
  <si>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</si>
  <si>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</si>
  <si>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</si>
  <si>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</si>
  <si>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</si>
  <si>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</si>
  <si>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</si>
  <si>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</si>
  <si>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</si>
  <si>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</si>
  <si>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</si>
  <si>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</si>
  <si>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</si>
  <si>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</si>
  <si>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</si>
  <si>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</si>
  <si>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</si>
  <si>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</si>
  <si>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</si>
  <si>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</si>
  <si>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</si>
  <si>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</si>
  <si>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</si>
  <si>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</si>
  <si>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</si>
  <si>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</si>
  <si>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</si>
  <si>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</si>
  <si>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</si>
  <si>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</si>
  <si>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</si>
  <si>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</si>
  <si>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</si>
  <si>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</si>
  <si>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</si>
  <si>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</si>
  <si>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</si>
  <si>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</si>
  <si>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</si>
  <si>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</si>
  <si>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</si>
  <si>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</si>
  <si>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</si>
  <si>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</si>
  <si>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</si>
  <si>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</si>
  <si>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</si>
  <si>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</si>
  <si>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</si>
  <si>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</si>
  <si>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</si>
  <si>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</si>
  <si>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</si>
  <si>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</si>
  <si>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</si>
  <si>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</si>
  <si>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</si>
  <si>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</si>
  <si>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</si>
  <si>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</si>
  <si>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</si>
  <si>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</si>
  <si>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</si>
  <si>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</si>
  <si>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</si>
  <si>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</si>
  <si>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</si>
  <si>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</si>
  <si>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</si>
  <si>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</si>
  <si>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</si>
  <si>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</si>
  <si>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</si>
  <si>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</si>
  <si>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</si>
  <si>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</si>
  <si>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</si>
  <si>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</si>
  <si>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</si>
  <si>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</si>
  <si>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</si>
  <si>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</si>
  <si>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</si>
  <si>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</si>
  <si>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</si>
  <si>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</si>
  <si>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</si>
  <si>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</si>
  <si>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</si>
  <si>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</si>
  <si>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</si>
  <si>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</si>
  <si>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</si>
  <si>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</si>
  <si>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</si>
  <si>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</si>
  <si>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</si>
  <si>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</si>
  <si>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</si>
  <si>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</si>
  <si>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</si>
  <si>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</si>
  <si>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</si>
  <si>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</si>
  <si>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</si>
  <si>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</si>
  <si>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</si>
  <si>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</si>
  <si>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</si>
  <si>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</si>
  <si>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</si>
  <si>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</si>
  <si>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</si>
  <si>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</si>
  <si>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</si>
  <si>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</si>
  <si>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</si>
  <si>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</si>
  <si>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</si>
  <si>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</si>
  <si>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</si>
  <si>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</si>
  <si>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</si>
  <si>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</si>
  <si>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</si>
  <si>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</si>
  <si>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</si>
  <si>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</si>
  <si>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</si>
  <si>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</si>
  <si>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</si>
  <si>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</si>
  <si>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</si>
  <si>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</si>
  <si>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</si>
  <si>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</si>
  <si>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</si>
  <si>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</si>
  <si>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</si>
  <si>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</si>
  <si>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</si>
  <si>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</si>
  <si>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</si>
  <si>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</si>
  <si>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</si>
  <si>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</si>
  <si>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</si>
  <si>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</si>
  <si>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</si>
  <si>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</si>
  <si>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</si>
  <si>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</si>
  <si>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</si>
  <si>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</si>
  <si>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</si>
  <si>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</si>
  <si>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</si>
  <si>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</si>
  <si>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</si>
  <si>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</si>
  <si>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</si>
  <si>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</si>
  <si>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</si>
  <si>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</si>
  <si>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</si>
  <si>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</si>
  <si>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</si>
  <si>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</si>
  <si>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</si>
  <si>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</si>
  <si>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</si>
  <si>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</si>
  <si>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</si>
  <si>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</si>
  <si>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</si>
  <si>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</si>
  <si>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</si>
  <si>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</si>
  <si>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</si>
  <si>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</si>
  <si>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</si>
  <si>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Tax impact of financing performance (at actual gearing)</t>
  </si>
  <si>
    <t>Tax impact of financing performance (at notional gearing)</t>
  </si>
  <si>
    <t>To address this timing issue, network operators should forecast the allowance in row 79 (linked to R9-RAV table) - which will be trued-up over time.</t>
  </si>
  <si>
    <t>Tax impact of financing performance relating to deviating from notional levels of gearing</t>
  </si>
  <si>
    <t>Tax liability per latest submitted CT600 (pre-group relief)</t>
  </si>
  <si>
    <t>Memo: Net interest (RIIO-1) Definition that relates to non-cash principal inflation accretion on bonds and loans</t>
  </si>
  <si>
    <t>May_2019 Publication</t>
  </si>
  <si>
    <t>rfpr_template-decision_2</t>
  </si>
  <si>
    <t>Data</t>
  </si>
  <si>
    <t>RPI section updated per Mick Watson's email dated 19 June 2019</t>
  </si>
  <si>
    <t>Row inserted at row 26 to link in unamortised issue costs.  Sub-total updated to capture new row.  Per serial 7 in the "Post RFPR changes" workbook issued by Ofgem 14 June 2019</t>
  </si>
  <si>
    <t>Clawback Direction  - sums unpaid</t>
  </si>
  <si>
    <t>Connections performance standards payments adjustment</t>
  </si>
  <si>
    <t>DPCR4 residual distribution losses incentive and Growth Term (ENWL, NPg, UKPN and SP licensees)</t>
  </si>
  <si>
    <t>SoLR</t>
  </si>
  <si>
    <t>Sole Use Cust Conts to remove - as per RIGs log not Revenue</t>
  </si>
  <si>
    <t>LCNF / NIA revenue / NIC revenue deferral</t>
  </si>
  <si>
    <t>DRS1 Connections revenue</t>
  </si>
  <si>
    <t>IFRIC 18 / IFRS 15</t>
  </si>
  <si>
    <t>Income from Sale of Assets / Scrap</t>
  </si>
  <si>
    <t>Third party cable damage recoveries (cost recovery on C1) + "Umets"</t>
  </si>
  <si>
    <t>Theft in Conveyance income</t>
  </si>
  <si>
    <t>LA training grant</t>
  </si>
  <si>
    <t>Insurance recoveries paid to DNO (cost recovery on C1) / other misc</t>
  </si>
  <si>
    <t>Dividends + System Studies income + R&amp;D Tax Credit</t>
  </si>
  <si>
    <t>Customer Contributions/Connections - cash received v WIP basis</t>
  </si>
  <si>
    <t>Unmetered Customer Contributions - included in Revenue in Regulatory Accounts</t>
  </si>
  <si>
    <t>Atypicals - Provision charges in Regulatory Accounts but shown as Utilised in RRP</t>
  </si>
  <si>
    <t>Third party cable damage income</t>
  </si>
  <si>
    <t>Removal of IAS19 pensions and inclusion of cash contributions</t>
  </si>
  <si>
    <t>Related party recharges grossed up in C1</t>
  </si>
  <si>
    <t>Incremental Deficit Pension Contributions</t>
  </si>
  <si>
    <t>Established Deficit Pension Contributions</t>
  </si>
  <si>
    <t>Supplier of Last Resort payments shown net of income received (DUoS)</t>
  </si>
  <si>
    <t>ENWS depreciation charge to ENWL not included in C1</t>
  </si>
  <si>
    <t>ENWS non operational capital expenditure</t>
  </si>
  <si>
    <t>Addition of Strategic Stock items in CV7</t>
  </si>
  <si>
    <t>Profit &amp; Loss v Proceeds on Sale of Assets</t>
  </si>
  <si>
    <t>Rounding to £0.1m in Statutory Accounts</t>
  </si>
  <si>
    <t>Income from theft recovery</t>
  </si>
  <si>
    <t>Value added services (DRS 8)</t>
  </si>
  <si>
    <t>Fines and Penalties removed from PCFM input</t>
  </si>
  <si>
    <t>Non-regulated business expenditure</t>
  </si>
  <si>
    <t>Direct pass through costs to other regulated entities</t>
  </si>
  <si>
    <t>NIC/NIA/LCNF not included in Totex input to PCFM</t>
  </si>
  <si>
    <t>Atypicals Non Severe Weather (excluded from Totex)</t>
  </si>
  <si>
    <t>Guaranteed Standard/Ex-gratia Compensation/Bad Debt expense</t>
  </si>
  <si>
    <t>Disallowed related party costs and margin</t>
  </si>
  <si>
    <t>Re-phasing within ED1</t>
  </si>
  <si>
    <t>Streetworks re-opener allowance</t>
  </si>
  <si>
    <t>Please see separate commentary</t>
  </si>
  <si>
    <t>Fines</t>
  </si>
  <si>
    <t>Revenue receivable relating to previous price control (tax allowance previously received)</t>
  </si>
  <si>
    <t>RPI adjustment</t>
  </si>
  <si>
    <t>Tax performance on MTM bond</t>
  </si>
  <si>
    <t>Provision for costs paid to EATL</t>
  </si>
  <si>
    <t>2015/16</t>
  </si>
  <si>
    <t>OK</t>
  </si>
  <si>
    <t>Appendix 1 - Enduring Value methodology</t>
  </si>
  <si>
    <t>Net Interest Per Statutory Accounts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</si>
  <si>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</si>
  <si>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</si>
  <si>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</si>
  <si>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</si>
  <si>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</si>
  <si>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</si>
  <si>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</si>
  <si>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</si>
  <si>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Remove principal indexation relating to index-linked debt</t>
  </si>
  <si>
    <t>3. Other adjustment (Overwrite)</t>
  </si>
  <si>
    <t>4. Other adjustment (Overwrite)</t>
  </si>
  <si>
    <t>5. Other adjustment (Overwrite)</t>
  </si>
  <si>
    <t>6. Other adjustment (Overwrite)</t>
  </si>
  <si>
    <t>7. Other adjustment (Overwrite)</t>
  </si>
  <si>
    <t>8. Other adjustment (Overwrite)</t>
  </si>
  <si>
    <t>9. Other adjustment (Overwrite)</t>
  </si>
  <si>
    <t>Add back Debt Issuance expenses</t>
  </si>
  <si>
    <t>Costs of early redemption on long term debt (excluding exceptional costs of buy backs associated with M&amp;A activity)</t>
  </si>
  <si>
    <t>Add accrual for inflation accretion on index-linked swaps (if applicable)</t>
  </si>
  <si>
    <t>Reverse removal of index-linked debt (inflation needed here as it's removed on row 37 of the R7 tab)</t>
  </si>
  <si>
    <t>Add back Interest capitalised in statutory accounts</t>
  </si>
  <si>
    <t xml:space="preserve">Movements relating to pension fund liabilities reported within net interest </t>
  </si>
  <si>
    <t>Restatment of 2016-2018 on an effective rate rather than coupon rate</t>
  </si>
  <si>
    <t>Unamortised Issue Costs</t>
  </si>
  <si>
    <t>Fixed asset investments not readily convertible to cash</t>
  </si>
  <si>
    <t>Preference shares</t>
  </si>
  <si>
    <t>Long term loans (Not for benefit of regulated business or distribution in nature)</t>
  </si>
  <si>
    <t>Less: Fair value adj debt ref B1.2-B1.4</t>
  </si>
  <si>
    <t>Less: Derivative fair value adjustments in Regulatory Accounts</t>
  </si>
  <si>
    <t>Reverse "Analysis of other amounts due to/(from) group companies per Balance Sheet"</t>
  </si>
  <si>
    <t>Reverse unamortised issue costs (in line with row 511 on R7a - puts things back at an effective rate)</t>
  </si>
  <si>
    <t>Restatement of FV bond to amortised cost basis, consistent with IFRS9 treatment for FY19 onwards</t>
  </si>
  <si>
    <t>Remove accretion on index-linked swaps (cash paid)</t>
  </si>
</sst>
</file>

<file path=xl/styles.xml><?xml version="1.0" encoding="utf-8"?>
<styleSheet xmlns="http://schemas.openxmlformats.org/spreadsheetml/2006/main">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11"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58">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01759/PU797_Forecast_for_the_UK_Economy_May_2019_covers.pdf" TargetMode="External"/><Relationship Id="rId1" Type="http://schemas.openxmlformats.org/officeDocument/2006/relationships/hyperlink" Target="https://assets.publishing.service.gov.uk/government/uploads/system/uploads/attachment_data/file/801759/PU797_Forecast_for_the_UK_Economy_May_2019_cover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N38" sqref="N38"/>
    </sheetView>
  </sheetViews>
  <sheetFormatPr defaultRowHeight="12.75"/>
  <cols>
    <col min="1" max="1" width="8.375" customWidth="1"/>
    <col min="2" max="2" width="27.125" customWidth="1"/>
    <col min="3" max="6" width="14.125" customWidth="1"/>
    <col min="7" max="7" width="14.125" style="223" customWidth="1"/>
    <col min="8" max="11" width="14.125" customWidth="1"/>
  </cols>
  <sheetData>
    <row r="1" spans="1:11" s="32" customFormat="1" ht="20.25">
      <c r="A1" s="30" t="s">
        <v>296</v>
      </c>
      <c r="B1" s="28"/>
      <c r="C1" s="28"/>
      <c r="D1" s="265"/>
      <c r="E1" s="266"/>
      <c r="F1" s="28"/>
      <c r="G1" s="576"/>
      <c r="H1" s="28"/>
      <c r="I1" s="28"/>
      <c r="J1" s="28"/>
      <c r="K1" s="28"/>
    </row>
    <row r="2" spans="1:11" s="32" customFormat="1" ht="20.25">
      <c r="A2" s="30" t="str">
        <f>'RFPR cover'!C5</f>
        <v>ENWL</v>
      </c>
      <c r="B2" s="28"/>
      <c r="C2" s="28"/>
      <c r="D2" s="266"/>
      <c r="E2" s="266"/>
      <c r="F2" s="28"/>
      <c r="G2" s="576"/>
      <c r="H2" s="28"/>
      <c r="I2" s="28"/>
      <c r="J2" s="28"/>
      <c r="K2" s="28"/>
    </row>
    <row r="3" spans="1:11" s="32" customFormat="1" ht="20.25">
      <c r="A3" s="30">
        <f>'RFPR cover'!C7</f>
        <v>2019</v>
      </c>
      <c r="B3" s="28"/>
      <c r="C3" s="28"/>
      <c r="D3" s="266"/>
      <c r="E3" s="266"/>
      <c r="F3" s="28"/>
      <c r="G3" s="576"/>
      <c r="H3" s="28"/>
      <c r="I3" s="28"/>
      <c r="J3" s="28"/>
      <c r="K3" s="28"/>
    </row>
    <row r="4" spans="1:11" ht="14.25">
      <c r="A4" s="31"/>
      <c r="B4" s="31"/>
      <c r="C4" s="31"/>
      <c r="D4" s="31"/>
      <c r="E4" s="31"/>
      <c r="H4" s="10"/>
      <c r="I4" s="10"/>
      <c r="J4" s="10"/>
    </row>
    <row r="5" spans="1:11" ht="13.5" customHeight="1">
      <c r="A5" s="31"/>
      <c r="B5" s="79" t="s">
        <v>52</v>
      </c>
      <c r="C5" s="46" t="s">
        <v>33</v>
      </c>
      <c r="D5" s="358"/>
      <c r="E5" s="19"/>
      <c r="F5" s="11"/>
      <c r="G5" s="577" t="s">
        <v>0</v>
      </c>
      <c r="H5" s="10"/>
      <c r="I5" s="10"/>
      <c r="J5" s="10"/>
    </row>
    <row r="6" spans="1:11" ht="13.5" customHeight="1">
      <c r="A6" s="31"/>
      <c r="B6" s="79" t="s">
        <v>179</v>
      </c>
      <c r="C6" s="84" t="str">
        <f>INDEX(Data!$A$73:$A$100,MATCH($C$5,Data!$B$73:$B$100,0),0)&amp;"1"</f>
        <v>ED1</v>
      </c>
      <c r="D6" s="19"/>
      <c r="E6" s="19"/>
      <c r="F6" s="9"/>
      <c r="G6" s="577" t="s">
        <v>1</v>
      </c>
      <c r="H6" s="10"/>
      <c r="I6" s="10"/>
      <c r="J6" s="10"/>
    </row>
    <row r="7" spans="1:11" ht="25.5">
      <c r="A7" s="31"/>
      <c r="B7" s="80" t="s">
        <v>178</v>
      </c>
      <c r="C7" s="85">
        <v>2019</v>
      </c>
      <c r="D7" s="18"/>
      <c r="E7" s="19"/>
      <c r="F7" s="8"/>
      <c r="G7" s="578" t="s">
        <v>2</v>
      </c>
      <c r="H7" s="10"/>
      <c r="I7" s="10"/>
      <c r="J7" s="10"/>
    </row>
    <row r="8" spans="1:11" ht="14.25">
      <c r="A8" s="31"/>
      <c r="B8" s="79" t="s">
        <v>27</v>
      </c>
      <c r="C8" s="86">
        <v>1</v>
      </c>
      <c r="D8" s="19"/>
      <c r="E8" s="18"/>
      <c r="F8" s="7"/>
      <c r="G8" s="577" t="s">
        <v>3</v>
      </c>
      <c r="H8" s="10"/>
      <c r="I8" s="10"/>
      <c r="J8" s="10"/>
    </row>
    <row r="9" spans="1:11" ht="14.25">
      <c r="A9" s="31"/>
      <c r="B9" s="79" t="s">
        <v>28</v>
      </c>
      <c r="C9" s="87">
        <v>43677</v>
      </c>
      <c r="D9" s="18"/>
      <c r="E9" s="18"/>
      <c r="F9" s="6"/>
      <c r="G9" s="577" t="s">
        <v>4</v>
      </c>
      <c r="H9" s="10"/>
      <c r="I9" s="10"/>
      <c r="J9" s="10"/>
    </row>
    <row r="10" spans="1:11" ht="14.25">
      <c r="A10" s="31"/>
      <c r="B10" s="79" t="s">
        <v>60</v>
      </c>
      <c r="C10" s="88">
        <f>SUMIF(Data!$B$72:$B$100,C5,Data!$C$72:$C$100)</f>
        <v>0.06</v>
      </c>
      <c r="D10" s="18"/>
      <c r="E10" s="18"/>
      <c r="F10" s="5"/>
      <c r="G10" s="577" t="s">
        <v>5</v>
      </c>
      <c r="H10" s="10"/>
      <c r="I10" s="10"/>
      <c r="J10" s="10"/>
    </row>
    <row r="11" spans="1:11" ht="14.25">
      <c r="A11" s="31"/>
      <c r="B11" s="79" t="s">
        <v>61</v>
      </c>
      <c r="C11" s="89">
        <f>SUMIF(Data!$B$72:$B$100,C5,Data!$D$72:$D$100)</f>
        <v>0.58109999999999995</v>
      </c>
      <c r="D11" s="19"/>
      <c r="E11" s="19"/>
      <c r="F11" s="4"/>
      <c r="G11" s="577" t="s">
        <v>6</v>
      </c>
      <c r="H11" s="10"/>
      <c r="I11" s="10"/>
      <c r="J11" s="10"/>
    </row>
    <row r="12" spans="1:11">
      <c r="A12" s="31"/>
      <c r="B12" s="79" t="s">
        <v>105</v>
      </c>
      <c r="C12" s="88">
        <f>SUMIF(Data!$B$72:$B$100,C5,Data!$E$72:$E$100)</f>
        <v>0.65</v>
      </c>
      <c r="D12" s="18"/>
      <c r="E12" s="18"/>
      <c r="F12" s="18"/>
      <c r="G12" s="579"/>
    </row>
    <row r="13" spans="1:11">
      <c r="A13" s="31"/>
      <c r="B13" s="79" t="s">
        <v>484</v>
      </c>
      <c r="C13" s="84">
        <f>INDEX(Data!$G$73:$G$100,MATCH($C$5,Data!$B$73:$B$100,0),0)</f>
        <v>2016</v>
      </c>
      <c r="D13" s="18"/>
      <c r="E13" s="18"/>
      <c r="F13" s="78" t="s">
        <v>181</v>
      </c>
    </row>
    <row r="14" spans="1:11">
      <c r="A14" s="31"/>
      <c r="B14" s="81" t="s">
        <v>175</v>
      </c>
      <c r="C14" s="84" t="str">
        <f>INDEX(Data!$H$73:$H$100,MATCH($C$5,Data!$B$73:$B$100,0),0)</f>
        <v>£m 12/13</v>
      </c>
      <c r="D14" s="18"/>
      <c r="E14" s="18"/>
      <c r="F14" s="91">
        <v>0.1</v>
      </c>
      <c r="G14" s="579"/>
    </row>
    <row r="15" spans="1:11">
      <c r="A15" s="31"/>
      <c r="B15" s="18"/>
      <c r="C15" s="18"/>
      <c r="D15" s="18"/>
      <c r="E15" s="18"/>
      <c r="F15" s="18"/>
      <c r="G15" s="579"/>
    </row>
    <row r="85" spans="1:1">
      <c r="A85" s="214"/>
    </row>
  </sheetData>
  <sheetProtection password="FE19" sheet="1" objects="1" scenarios="1"/>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N14" sqref="N14"/>
    </sheetView>
  </sheetViews>
  <sheetFormatPr defaultRowHeight="12.75"/>
  <cols>
    <col min="1" max="1" width="8.375" customWidth="1"/>
    <col min="2" max="2" width="79.625" customWidth="1"/>
    <col min="3" max="3" width="14.125" style="144" customWidth="1"/>
    <col min="4" max="11" width="11.125" customWidth="1"/>
    <col min="12" max="12" width="5" customWidth="1"/>
  </cols>
  <sheetData>
    <row r="1" spans="1:12" s="32" customFormat="1" ht="20.25">
      <c r="A1" s="268" t="s">
        <v>90</v>
      </c>
      <c r="B1" s="269"/>
      <c r="C1" s="292"/>
      <c r="D1" s="269"/>
      <c r="E1" s="269"/>
      <c r="F1" s="269"/>
      <c r="G1" s="269"/>
      <c r="H1" s="269"/>
      <c r="I1" s="270"/>
      <c r="J1" s="270"/>
      <c r="K1" s="271"/>
      <c r="L1" s="272"/>
    </row>
    <row r="2" spans="1:12" s="32" customFormat="1" ht="20.25">
      <c r="A2" s="126" t="str">
        <f>'RFPR cover'!C5</f>
        <v>ENWL</v>
      </c>
      <c r="B2" s="30"/>
      <c r="C2" s="142"/>
      <c r="D2" s="30"/>
      <c r="E2" s="30"/>
      <c r="F2" s="30"/>
      <c r="G2" s="30"/>
      <c r="H2" s="30"/>
      <c r="I2" s="27"/>
      <c r="J2" s="27"/>
      <c r="K2" s="27"/>
      <c r="L2" s="127"/>
    </row>
    <row r="3" spans="1:12" s="38" customFormat="1" ht="23.25">
      <c r="A3" s="293">
        <f>'RFPR cover'!C7</f>
        <v>2019</v>
      </c>
      <c r="B3" s="944" t="str">
        <f>'R1 - RoRE'!B3</f>
        <v/>
      </c>
      <c r="C3" s="295"/>
      <c r="D3" s="294"/>
      <c r="E3" s="294"/>
      <c r="F3" s="294"/>
      <c r="G3" s="294"/>
      <c r="H3" s="294"/>
      <c r="I3" s="267"/>
      <c r="J3" s="267"/>
      <c r="K3" s="267"/>
      <c r="L3" s="275"/>
    </row>
    <row r="4" spans="1:12" s="2" customFormat="1" ht="12.75" customHeight="1">
      <c r="C4" s="144"/>
    </row>
    <row r="5" spans="1:12" s="2" customFormat="1">
      <c r="B5" s="3"/>
      <c r="C5" s="144"/>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124</v>
      </c>
      <c r="C8" s="145"/>
      <c r="D8" s="58"/>
      <c r="E8" s="58"/>
      <c r="F8" s="58"/>
      <c r="G8" s="58"/>
      <c r="H8" s="58"/>
      <c r="I8" s="58"/>
      <c r="J8" s="58"/>
      <c r="K8" s="58"/>
    </row>
    <row r="9" spans="1:12" s="2" customFormat="1">
      <c r="B9" s="235" t="s">
        <v>491</v>
      </c>
      <c r="C9" s="160" t="s">
        <v>118</v>
      </c>
      <c r="D9" s="623">
        <v>2.7865334844130447</v>
      </c>
      <c r="E9" s="624">
        <v>3.1833136338685937</v>
      </c>
      <c r="F9" s="624">
        <v>3.0467877464257791</v>
      </c>
      <c r="G9" s="624">
        <v>3.1306140699999996</v>
      </c>
      <c r="H9" s="624">
        <v>3.2619724149775475</v>
      </c>
      <c r="I9" s="624">
        <v>3.3310199384677395</v>
      </c>
      <c r="J9" s="624">
        <v>3.4004741929859859</v>
      </c>
      <c r="K9" s="624">
        <v>3.4716963664293088</v>
      </c>
    </row>
    <row r="10" spans="1:12" s="2" customFormat="1">
      <c r="B10" s="235" t="s">
        <v>474</v>
      </c>
      <c r="C10" s="160" t="s">
        <v>118</v>
      </c>
      <c r="D10" s="625">
        <v>0</v>
      </c>
      <c r="E10" s="626">
        <v>0</v>
      </c>
      <c r="F10" s="626">
        <v>0</v>
      </c>
      <c r="G10" s="626">
        <v>0</v>
      </c>
      <c r="H10" s="626">
        <v>0</v>
      </c>
      <c r="I10" s="626">
        <v>0</v>
      </c>
      <c r="J10" s="626">
        <v>0</v>
      </c>
      <c r="K10" s="626">
        <v>0</v>
      </c>
    </row>
    <row r="11" spans="1:12" s="2" customFormat="1">
      <c r="B11" s="235" t="s">
        <v>490</v>
      </c>
      <c r="C11" s="160" t="s">
        <v>118</v>
      </c>
      <c r="D11" s="886">
        <v>0.26115484003294442</v>
      </c>
      <c r="E11" s="887">
        <v>0.31833136338685941</v>
      </c>
      <c r="F11" s="887">
        <v>0.31775086708969891</v>
      </c>
      <c r="G11" s="887">
        <v>0.33795394459827666</v>
      </c>
      <c r="H11" s="887">
        <v>0.39245656876129376</v>
      </c>
      <c r="I11" s="887">
        <v>0.4594838876874765</v>
      </c>
      <c r="J11" s="887">
        <v>0.43495950709272568</v>
      </c>
      <c r="K11" s="887">
        <v>0.40073058538849082</v>
      </c>
    </row>
    <row r="12" spans="1:12" s="12" customFormat="1">
      <c r="B12" s="52" t="s">
        <v>122</v>
      </c>
      <c r="C12" s="160" t="s">
        <v>118</v>
      </c>
      <c r="D12" s="639">
        <f>D9-D10-D11</f>
        <v>2.5253786443801003</v>
      </c>
      <c r="E12" s="640">
        <f t="shared" ref="E12:K12" si="1">E9-E10-E11</f>
        <v>2.8649822704817343</v>
      </c>
      <c r="F12" s="640">
        <f t="shared" si="1"/>
        <v>2.7290368793360802</v>
      </c>
      <c r="G12" s="640">
        <f t="shared" si="1"/>
        <v>2.7926601254017229</v>
      </c>
      <c r="H12" s="640">
        <f t="shared" si="1"/>
        <v>2.8695158462162538</v>
      </c>
      <c r="I12" s="640">
        <f t="shared" si="1"/>
        <v>2.871536050780263</v>
      </c>
      <c r="J12" s="640">
        <f t="shared" si="1"/>
        <v>2.9655146858932602</v>
      </c>
      <c r="K12" s="640">
        <f t="shared" si="1"/>
        <v>3.070965781040818</v>
      </c>
      <c r="L12" s="2"/>
    </row>
    <row r="13" spans="1:12" s="12" customFormat="1">
      <c r="B13" s="52"/>
      <c r="C13" s="144"/>
      <c r="D13" s="53"/>
      <c r="E13" s="53"/>
      <c r="F13" s="53"/>
      <c r="G13" s="53"/>
      <c r="H13" s="53"/>
      <c r="I13" s="53"/>
      <c r="J13" s="53"/>
      <c r="K13" s="53"/>
      <c r="L13" s="2"/>
    </row>
    <row r="14" spans="1:12" s="2" customFormat="1">
      <c r="B14" s="52" t="s">
        <v>146</v>
      </c>
      <c r="C14" s="145"/>
      <c r="D14" s="58"/>
      <c r="E14" s="58"/>
      <c r="F14" s="58"/>
      <c r="G14" s="58"/>
      <c r="H14" s="58"/>
      <c r="I14" s="58"/>
      <c r="J14" s="58"/>
      <c r="K14" s="58"/>
    </row>
    <row r="15" spans="1:12" s="2" customFormat="1" ht="12.95" customHeight="1">
      <c r="B15" s="235" t="s">
        <v>493</v>
      </c>
      <c r="C15" s="160" t="s">
        <v>118</v>
      </c>
      <c r="D15" s="623">
        <v>1.6461309099999999</v>
      </c>
      <c r="E15" s="624">
        <v>8.7207129999999994E-2</v>
      </c>
      <c r="F15" s="624">
        <v>0.25213538000000002</v>
      </c>
      <c r="G15" s="624">
        <v>0.68253417000000005</v>
      </c>
      <c r="H15" s="624">
        <v>9.3236239999999998E-2</v>
      </c>
      <c r="I15" s="624">
        <v>0</v>
      </c>
      <c r="J15" s="624">
        <v>0</v>
      </c>
      <c r="K15" s="624">
        <v>0</v>
      </c>
    </row>
    <row r="16" spans="1:12" s="2" customFormat="1">
      <c r="B16" s="235" t="s">
        <v>492</v>
      </c>
      <c r="C16" s="160" t="s">
        <v>118</v>
      </c>
      <c r="D16" s="625">
        <v>0</v>
      </c>
      <c r="E16" s="626">
        <v>0</v>
      </c>
      <c r="F16" s="626">
        <v>0</v>
      </c>
      <c r="G16" s="626">
        <v>0</v>
      </c>
      <c r="H16" s="626">
        <v>0</v>
      </c>
      <c r="I16" s="626">
        <v>0</v>
      </c>
      <c r="J16" s="626">
        <v>0</v>
      </c>
      <c r="K16" s="626">
        <v>0</v>
      </c>
    </row>
    <row r="17" spans="2:12" s="12" customFormat="1">
      <c r="B17" s="52" t="s">
        <v>123</v>
      </c>
      <c r="C17" s="160" t="s">
        <v>118</v>
      </c>
      <c r="D17" s="639">
        <f>D15-D16</f>
        <v>1.6461309099999999</v>
      </c>
      <c r="E17" s="639">
        <f t="shared" ref="E17:K17" si="2">E15-E16</f>
        <v>8.7207129999999994E-2</v>
      </c>
      <c r="F17" s="639">
        <f t="shared" si="2"/>
        <v>0.25213538000000002</v>
      </c>
      <c r="G17" s="639">
        <f t="shared" si="2"/>
        <v>0.68253417000000005</v>
      </c>
      <c r="H17" s="639">
        <f t="shared" si="2"/>
        <v>9.3236239999999998E-2</v>
      </c>
      <c r="I17" s="639">
        <f t="shared" si="2"/>
        <v>0</v>
      </c>
      <c r="J17" s="639">
        <f t="shared" si="2"/>
        <v>0</v>
      </c>
      <c r="K17" s="639">
        <f t="shared" si="2"/>
        <v>0</v>
      </c>
      <c r="L17" s="2"/>
    </row>
    <row r="18" spans="2:12" s="12" customFormat="1">
      <c r="B18" s="52"/>
      <c r="C18" s="144"/>
      <c r="D18" s="53"/>
      <c r="E18" s="53"/>
      <c r="F18" s="53"/>
      <c r="G18" s="53"/>
      <c r="H18" s="53"/>
      <c r="I18" s="53"/>
      <c r="J18" s="53"/>
      <c r="K18" s="53"/>
      <c r="L18" s="2"/>
    </row>
    <row r="19" spans="2:12" s="2" customFormat="1">
      <c r="B19" s="52" t="s">
        <v>147</v>
      </c>
      <c r="C19" s="145"/>
      <c r="D19" s="58"/>
      <c r="E19" s="58"/>
      <c r="F19" s="58"/>
      <c r="G19" s="58"/>
      <c r="H19" s="58"/>
      <c r="I19" s="58"/>
      <c r="J19" s="58"/>
      <c r="K19" s="58"/>
    </row>
    <row r="20" spans="2:12" s="2" customFormat="1">
      <c r="B20" s="235" t="s">
        <v>423</v>
      </c>
      <c r="C20" s="160" t="s">
        <v>118</v>
      </c>
      <c r="D20" s="623">
        <v>0.11430751049999997</v>
      </c>
      <c r="E20" s="624">
        <v>1.6093514906274384</v>
      </c>
      <c r="F20" s="624">
        <v>0.88143785241718042</v>
      </c>
      <c r="G20" s="624">
        <v>0.89991596159999998</v>
      </c>
      <c r="H20" s="624">
        <v>0.65331769288792119</v>
      </c>
      <c r="I20" s="624">
        <v>1.7684122331883527E-7</v>
      </c>
      <c r="J20" s="624">
        <v>1.9014749394480832E-7</v>
      </c>
      <c r="K20" s="624">
        <v>2.5548177381330291E-7</v>
      </c>
    </row>
    <row r="21" spans="2:12" s="2" customFormat="1">
      <c r="B21" s="235" t="s">
        <v>490</v>
      </c>
      <c r="C21" s="160" t="s">
        <v>118</v>
      </c>
      <c r="D21" s="661">
        <v>1.2700834499999997E-2</v>
      </c>
      <c r="E21" s="662">
        <v>0.17881683229193762</v>
      </c>
      <c r="F21" s="662">
        <v>9.7937539157464504E-2</v>
      </c>
      <c r="G21" s="662">
        <v>9.9990662399999999E-2</v>
      </c>
      <c r="H21" s="662">
        <v>7.2590854765324578E-2</v>
      </c>
      <c r="I21" s="662">
        <v>1.9649024813203921E-8</v>
      </c>
      <c r="J21" s="662">
        <v>2.1127499327200924E-8</v>
      </c>
      <c r="K21" s="662">
        <v>2.8386863757033656E-8</v>
      </c>
    </row>
    <row r="22" spans="2:12" s="2" customFormat="1">
      <c r="B22" s="36"/>
      <c r="C22" s="146"/>
      <c r="D22" s="36"/>
      <c r="E22" s="36"/>
      <c r="F22" s="36"/>
      <c r="G22" s="36"/>
      <c r="H22" s="36"/>
      <c r="I22" s="36"/>
      <c r="J22" s="36"/>
      <c r="K22" s="36"/>
    </row>
    <row r="23" spans="2:12" s="2" customFormat="1">
      <c r="B23" s="235" t="s">
        <v>477</v>
      </c>
      <c r="C23" s="160" t="s">
        <v>118</v>
      </c>
      <c r="D23" s="661">
        <v>1.659</v>
      </c>
      <c r="E23" s="662">
        <v>0.05</v>
      </c>
      <c r="F23" s="662">
        <v>0</v>
      </c>
      <c r="G23" s="662">
        <v>0</v>
      </c>
      <c r="H23" s="662">
        <v>0</v>
      </c>
      <c r="I23" s="662">
        <v>0</v>
      </c>
      <c r="J23" s="662">
        <v>0</v>
      </c>
      <c r="K23" s="662">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369</v>
      </c>
      <c r="C27" s="146"/>
      <c r="D27" s="36"/>
      <c r="E27" s="36"/>
      <c r="F27" s="36"/>
      <c r="G27" s="36"/>
      <c r="H27" s="36"/>
      <c r="I27" s="36"/>
      <c r="J27" s="36"/>
      <c r="K27" s="36"/>
    </row>
    <row r="28" spans="2:12" s="2" customFormat="1">
      <c r="B28" s="235" t="s">
        <v>475</v>
      </c>
      <c r="C28" s="163" t="str">
        <f>'RFPR cover'!$C$14</f>
        <v>£m 12/13</v>
      </c>
      <c r="D28" s="709">
        <f>(SUM(D10,D11,D21)-D23)/Data!C34</f>
        <v>-1.3063495693826608</v>
      </c>
      <c r="E28" s="709">
        <f>(SUM(E10,E11,E21)-E23)/Data!D34</f>
        <v>0.41286523660227348</v>
      </c>
      <c r="F28" s="709">
        <f>(SUM(F10,F11,F21)-F23)/Data!E34</f>
        <v>0.36997308480846214</v>
      </c>
      <c r="G28" s="709">
        <f>(SUM(G10,G11,G21)-G23)/Data!F34</f>
        <v>0.37822474733259687</v>
      </c>
      <c r="H28" s="709">
        <f>(SUM(H10,H11,H21)-H23)/Data!G34</f>
        <v>0.39135855449117557</v>
      </c>
      <c r="I28" s="709">
        <f>(SUM(I10,I11,I21)-I23)/Data!H34</f>
        <v>0.37623605217371342</v>
      </c>
      <c r="J28" s="709">
        <f>(SUM(J10,J11,J21)-J23)/Data!I34</f>
        <v>0.3456975717077484</v>
      </c>
      <c r="K28" s="709">
        <f>(SUM(K10,K11,K21)-K23)/Data!J34</f>
        <v>0.3089915892577153</v>
      </c>
      <c r="L28" s="36"/>
    </row>
  </sheetData>
  <sheetProtection password="FE19" sheet="1" objects="1" scenarios="1"/>
  <conditionalFormatting sqref="D6:K6">
    <cfRule type="expression" dxfId="30" priority="24">
      <formula>AND(D$5="Actuals",E$5="Forecast")</formula>
    </cfRule>
  </conditionalFormatting>
  <conditionalFormatting sqref="D5:K5">
    <cfRule type="expression" dxfId="2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sheetPr codeName="Sheet21">
    <tabColor rgb="FFFFFFCC"/>
    <pageSetUpPr fitToPage="1"/>
  </sheetPr>
  <dimension ref="A1:O90"/>
  <sheetViews>
    <sheetView showGridLines="0" zoomScale="80" zoomScaleNormal="80" workbookViewId="0">
      <pane ySplit="6" topLeftCell="A7" activePane="bottomLeft" state="frozen"/>
      <selection activeCell="B75" sqref="A1:XFD1048576"/>
      <selection pane="bottomLeft" activeCell="M19" sqref="M19"/>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2" customFormat="1" ht="20.25">
      <c r="A1" s="268" t="s">
        <v>255</v>
      </c>
      <c r="B1" s="269"/>
      <c r="C1" s="269"/>
      <c r="D1" s="269"/>
      <c r="E1" s="269"/>
      <c r="F1" s="269"/>
      <c r="G1" s="269"/>
      <c r="H1" s="269"/>
      <c r="I1" s="270"/>
      <c r="J1" s="270"/>
      <c r="K1" s="271"/>
      <c r="L1" s="271"/>
      <c r="M1" s="271"/>
      <c r="N1" s="272"/>
    </row>
    <row r="2" spans="1:14" s="32" customFormat="1" ht="20.25">
      <c r="A2" s="126" t="str">
        <f>'RFPR cover'!C5</f>
        <v>ENWL</v>
      </c>
      <c r="B2" s="30"/>
      <c r="C2" s="30"/>
      <c r="D2" s="30"/>
      <c r="E2" s="30"/>
      <c r="F2" s="30"/>
      <c r="G2" s="30"/>
      <c r="H2" s="30"/>
      <c r="I2" s="27"/>
      <c r="J2" s="27"/>
      <c r="K2" s="27"/>
      <c r="L2" s="27"/>
      <c r="M2" s="27"/>
      <c r="N2" s="127"/>
    </row>
    <row r="3" spans="1:14" s="32" customFormat="1" ht="23.25">
      <c r="A3" s="273">
        <f>'RFPR cover'!C7</f>
        <v>2019</v>
      </c>
      <c r="B3" s="944"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4" s="2" customFormat="1" ht="25.5">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99</v>
      </c>
    </row>
    <row r="7" spans="1:14" s="2" customFormat="1"/>
    <row r="8" spans="1:14">
      <c r="B8" s="506" t="s">
        <v>558</v>
      </c>
      <c r="C8" s="160" t="s">
        <v>118</v>
      </c>
      <c r="D8" s="367">
        <v>93.133847825396813</v>
      </c>
      <c r="E8" s="407">
        <v>178.40435555395075</v>
      </c>
      <c r="F8" s="407">
        <v>42.010452085122871</v>
      </c>
      <c r="G8" s="407">
        <v>103.46558244928286</v>
      </c>
      <c r="H8" s="407">
        <v>54.104619418720247</v>
      </c>
      <c r="I8" s="407">
        <v>57.194130366954532</v>
      </c>
      <c r="J8" s="407">
        <v>56.927522821995218</v>
      </c>
      <c r="K8" s="408">
        <v>67.006167760726058</v>
      </c>
      <c r="L8" s="36"/>
      <c r="M8" s="36"/>
    </row>
    <row r="9" spans="1:14">
      <c r="B9" s="14"/>
      <c r="C9" s="160"/>
      <c r="D9" s="239"/>
      <c r="E9" s="239"/>
      <c r="F9" s="239"/>
      <c r="G9" s="239"/>
      <c r="H9" s="239"/>
      <c r="I9" s="239"/>
      <c r="J9" s="239"/>
      <c r="K9" s="239"/>
      <c r="L9" s="36"/>
      <c r="M9" s="36"/>
    </row>
    <row r="10" spans="1:14">
      <c r="B10" s="14" t="s">
        <v>453</v>
      </c>
      <c r="C10" s="16"/>
      <c r="D10" s="240"/>
      <c r="E10" s="240"/>
      <c r="F10" s="240"/>
      <c r="G10" s="240"/>
      <c r="H10" s="240"/>
      <c r="I10" s="240"/>
      <c r="J10" s="240"/>
      <c r="K10" s="240"/>
      <c r="L10" s="36"/>
      <c r="M10" s="36"/>
    </row>
    <row r="11" spans="1:14">
      <c r="B11" s="391" t="s">
        <v>559</v>
      </c>
      <c r="C11" s="160" t="s">
        <v>118</v>
      </c>
      <c r="D11" s="399">
        <v>0</v>
      </c>
      <c r="E11" s="400">
        <v>0</v>
      </c>
      <c r="F11" s="400">
        <v>0</v>
      </c>
      <c r="G11" s="400">
        <v>0</v>
      </c>
      <c r="H11" s="400">
        <v>0</v>
      </c>
      <c r="I11" s="400">
        <v>0</v>
      </c>
      <c r="J11" s="400">
        <v>0</v>
      </c>
      <c r="K11" s="404">
        <v>0</v>
      </c>
      <c r="L11" s="36"/>
      <c r="M11" s="36"/>
    </row>
    <row r="12" spans="1:14">
      <c r="B12" s="391" t="s">
        <v>560</v>
      </c>
      <c r="C12" s="160" t="s">
        <v>118</v>
      </c>
      <c r="D12" s="366">
        <v>-42.8</v>
      </c>
      <c r="E12" s="401">
        <v>-106.2</v>
      </c>
      <c r="F12" s="401">
        <v>30.1</v>
      </c>
      <c r="G12" s="401">
        <v>-47.307158000000001</v>
      </c>
      <c r="H12" s="401">
        <v>0</v>
      </c>
      <c r="I12" s="401">
        <v>0</v>
      </c>
      <c r="J12" s="401">
        <v>0</v>
      </c>
      <c r="K12" s="405">
        <v>0</v>
      </c>
      <c r="L12" s="36"/>
      <c r="M12" s="36"/>
    </row>
    <row r="13" spans="1:14">
      <c r="B13" s="391" t="s">
        <v>561</v>
      </c>
      <c r="C13" s="160" t="s">
        <v>118</v>
      </c>
      <c r="D13" s="366">
        <v>0</v>
      </c>
      <c r="E13" s="401">
        <v>0</v>
      </c>
      <c r="F13" s="401">
        <v>0</v>
      </c>
      <c r="G13" s="401">
        <v>0</v>
      </c>
      <c r="H13" s="401">
        <v>0</v>
      </c>
      <c r="I13" s="401">
        <v>0</v>
      </c>
      <c r="J13" s="401">
        <v>0</v>
      </c>
      <c r="K13" s="405">
        <v>0</v>
      </c>
      <c r="L13" s="36"/>
      <c r="M13" s="36"/>
    </row>
    <row r="14" spans="1:14">
      <c r="B14" s="391" t="s">
        <v>562</v>
      </c>
      <c r="C14" s="160" t="s">
        <v>118</v>
      </c>
      <c r="D14" s="366">
        <v>0</v>
      </c>
      <c r="E14" s="401">
        <v>0</v>
      </c>
      <c r="F14" s="401">
        <v>0</v>
      </c>
      <c r="G14" s="401">
        <v>0</v>
      </c>
      <c r="H14" s="401">
        <v>0</v>
      </c>
      <c r="I14" s="401">
        <v>0</v>
      </c>
      <c r="J14" s="401">
        <v>0</v>
      </c>
      <c r="K14" s="405">
        <v>0</v>
      </c>
      <c r="L14" s="36"/>
      <c r="M14" s="36"/>
    </row>
    <row r="15" spans="1:14">
      <c r="B15" s="391" t="s">
        <v>563</v>
      </c>
      <c r="C15" s="160" t="s">
        <v>118</v>
      </c>
      <c r="D15" s="366">
        <v>0</v>
      </c>
      <c r="E15" s="401">
        <v>0</v>
      </c>
      <c r="F15" s="401">
        <v>0</v>
      </c>
      <c r="G15" s="401">
        <v>0</v>
      </c>
      <c r="H15" s="401">
        <v>0</v>
      </c>
      <c r="I15" s="401">
        <v>0</v>
      </c>
      <c r="J15" s="401">
        <v>0</v>
      </c>
      <c r="K15" s="405">
        <v>0</v>
      </c>
      <c r="L15" s="36"/>
      <c r="M15" s="36"/>
    </row>
    <row r="16" spans="1:14">
      <c r="B16" s="391" t="s">
        <v>564</v>
      </c>
      <c r="C16" s="160" t="s">
        <v>118</v>
      </c>
      <c r="D16" s="366">
        <v>0</v>
      </c>
      <c r="E16" s="401">
        <v>-0.1</v>
      </c>
      <c r="F16" s="401">
        <v>-1.1000000000000001</v>
      </c>
      <c r="G16" s="401">
        <v>-0.33600000000000002</v>
      </c>
      <c r="H16" s="401">
        <v>-0.33600000000000002</v>
      </c>
      <c r="I16" s="401">
        <v>-0.33600000000000002</v>
      </c>
      <c r="J16" s="401">
        <v>-0.33600000000000002</v>
      </c>
      <c r="K16" s="405">
        <v>-0.33600000000000002</v>
      </c>
      <c r="L16" s="36"/>
    </row>
    <row r="17" spans="2:12">
      <c r="B17" s="391" t="s">
        <v>565</v>
      </c>
      <c r="C17" s="160" t="s">
        <v>118</v>
      </c>
      <c r="D17" s="366">
        <v>-0.7797075</v>
      </c>
      <c r="E17" s="401">
        <v>-0.58231305</v>
      </c>
      <c r="F17" s="401">
        <v>-0.80999320000000008</v>
      </c>
      <c r="G17" s="401">
        <v>3.8301258000000002</v>
      </c>
      <c r="H17" s="401">
        <v>4.2370295228396184</v>
      </c>
      <c r="I17" s="401">
        <v>4.5266516812075146</v>
      </c>
      <c r="J17" s="401">
        <v>4.8738452054799888</v>
      </c>
      <c r="K17" s="405">
        <v>5.3006901946372267</v>
      </c>
      <c r="L17" s="36"/>
    </row>
    <row r="18" spans="2:12" ht="12.75" customHeight="1">
      <c r="B18" s="391" t="s">
        <v>566</v>
      </c>
      <c r="C18" s="160" t="s">
        <v>118</v>
      </c>
      <c r="D18" s="366">
        <v>0</v>
      </c>
      <c r="E18" s="401">
        <v>0</v>
      </c>
      <c r="F18" s="401">
        <v>0</v>
      </c>
      <c r="G18" s="401">
        <v>-9.452555E-2</v>
      </c>
      <c r="H18" s="401">
        <v>-6.2861E-2</v>
      </c>
      <c r="I18" s="401">
        <v>-2.8667000000000002E-2</v>
      </c>
      <c r="J18" s="401">
        <v>0</v>
      </c>
      <c r="K18" s="405">
        <v>0</v>
      </c>
      <c r="L18" s="36"/>
    </row>
    <row r="19" spans="2:12">
      <c r="B19" s="391" t="s">
        <v>567</v>
      </c>
      <c r="C19" s="160" t="s">
        <v>118</v>
      </c>
      <c r="D19" s="366">
        <v>-3.9</v>
      </c>
      <c r="E19" s="401">
        <v>-9.5</v>
      </c>
      <c r="F19" s="401">
        <v>-15.3</v>
      </c>
      <c r="G19" s="401">
        <v>-11.414448759999999</v>
      </c>
      <c r="H19" s="401">
        <v>-9.7981264632353451</v>
      </c>
      <c r="I19" s="401">
        <v>-14.481416837663577</v>
      </c>
      <c r="J19" s="401">
        <v>-15.920543311986172</v>
      </c>
      <c r="K19" s="405">
        <v>-16.282512574133285</v>
      </c>
      <c r="L19" s="36"/>
    </row>
    <row r="20" spans="2:12">
      <c r="B20" s="391" t="s">
        <v>591</v>
      </c>
      <c r="C20" s="160" t="s">
        <v>118</v>
      </c>
      <c r="D20" s="366">
        <v>0</v>
      </c>
      <c r="E20" s="401">
        <v>-16.2</v>
      </c>
      <c r="F20" s="401">
        <v>-8.8000000000000007</v>
      </c>
      <c r="G20" s="401">
        <v>0</v>
      </c>
      <c r="H20" s="401">
        <v>0</v>
      </c>
      <c r="I20" s="401">
        <v>0</v>
      </c>
      <c r="J20" s="401">
        <v>0</v>
      </c>
      <c r="K20" s="405">
        <v>-13.01179928678442</v>
      </c>
      <c r="L20" s="36"/>
    </row>
    <row r="21" spans="2:12">
      <c r="B21" s="391" t="s">
        <v>568</v>
      </c>
      <c r="C21" s="160" t="s">
        <v>118</v>
      </c>
      <c r="D21" s="366">
        <v>0</v>
      </c>
      <c r="E21" s="401">
        <v>0</v>
      </c>
      <c r="F21" s="401">
        <v>0</v>
      </c>
      <c r="G21" s="401">
        <v>0</v>
      </c>
      <c r="H21" s="401">
        <v>0</v>
      </c>
      <c r="I21" s="401">
        <v>0</v>
      </c>
      <c r="J21" s="401">
        <v>0</v>
      </c>
      <c r="K21" s="405">
        <v>0</v>
      </c>
      <c r="L21" s="36"/>
    </row>
    <row r="22" spans="2:12">
      <c r="B22" s="391" t="s">
        <v>569</v>
      </c>
      <c r="C22" s="160" t="s">
        <v>118</v>
      </c>
      <c r="D22" s="366">
        <v>0</v>
      </c>
      <c r="E22" s="401">
        <v>0</v>
      </c>
      <c r="F22" s="401">
        <v>0</v>
      </c>
      <c r="G22" s="401">
        <v>0</v>
      </c>
      <c r="H22" s="401">
        <v>0</v>
      </c>
      <c r="I22" s="401">
        <v>0</v>
      </c>
      <c r="J22" s="401">
        <v>0</v>
      </c>
      <c r="K22" s="405">
        <v>0</v>
      </c>
      <c r="L22" s="36"/>
    </row>
    <row r="23" spans="2:12">
      <c r="B23" s="391" t="s">
        <v>570</v>
      </c>
      <c r="C23" s="160" t="s">
        <v>118</v>
      </c>
      <c r="D23" s="366">
        <v>0</v>
      </c>
      <c r="E23" s="401">
        <v>0</v>
      </c>
      <c r="F23" s="401">
        <v>0</v>
      </c>
      <c r="G23" s="401">
        <v>0</v>
      </c>
      <c r="H23" s="401">
        <v>0</v>
      </c>
      <c r="I23" s="401">
        <v>0</v>
      </c>
      <c r="J23" s="401">
        <v>0</v>
      </c>
      <c r="K23" s="405">
        <v>0</v>
      </c>
      <c r="L23" s="36"/>
    </row>
    <row r="24" spans="2:12">
      <c r="B24" s="391" t="s">
        <v>571</v>
      </c>
      <c r="C24" s="160" t="s">
        <v>118</v>
      </c>
      <c r="D24" s="366">
        <v>0</v>
      </c>
      <c r="E24" s="401">
        <v>0</v>
      </c>
      <c r="F24" s="401">
        <v>0</v>
      </c>
      <c r="G24" s="401">
        <v>0</v>
      </c>
      <c r="H24" s="401">
        <v>0</v>
      </c>
      <c r="I24" s="401">
        <v>0</v>
      </c>
      <c r="J24" s="401">
        <v>0</v>
      </c>
      <c r="K24" s="405">
        <v>0</v>
      </c>
      <c r="L24" s="36"/>
    </row>
    <row r="25" spans="2:12">
      <c r="B25" s="391" t="s">
        <v>572</v>
      </c>
      <c r="C25" s="160" t="s">
        <v>118</v>
      </c>
      <c r="D25" s="366">
        <v>0</v>
      </c>
      <c r="E25" s="401">
        <v>0</v>
      </c>
      <c r="F25" s="401">
        <v>0</v>
      </c>
      <c r="G25" s="401">
        <v>0</v>
      </c>
      <c r="H25" s="401">
        <v>0</v>
      </c>
      <c r="I25" s="401">
        <v>0</v>
      </c>
      <c r="J25" s="401">
        <v>0</v>
      </c>
      <c r="K25" s="405">
        <v>0</v>
      </c>
      <c r="L25" s="36"/>
    </row>
    <row r="26" spans="2:12">
      <c r="B26" s="391" t="s">
        <v>573</v>
      </c>
      <c r="C26" s="160" t="s">
        <v>118</v>
      </c>
      <c r="D26" s="366">
        <v>0</v>
      </c>
      <c r="E26" s="401">
        <v>0</v>
      </c>
      <c r="F26" s="401">
        <v>0</v>
      </c>
      <c r="G26" s="401">
        <v>0</v>
      </c>
      <c r="H26" s="401">
        <v>0</v>
      </c>
      <c r="I26" s="401">
        <v>0</v>
      </c>
      <c r="J26" s="401">
        <v>0</v>
      </c>
      <c r="K26" s="405">
        <v>0</v>
      </c>
      <c r="L26" s="36"/>
    </row>
    <row r="27" spans="2:12">
      <c r="B27" s="391" t="s">
        <v>574</v>
      </c>
      <c r="C27" s="160" t="s">
        <v>118</v>
      </c>
      <c r="D27" s="402">
        <v>0</v>
      </c>
      <c r="E27" s="403">
        <v>0</v>
      </c>
      <c r="F27" s="403">
        <v>0</v>
      </c>
      <c r="G27" s="403">
        <v>0</v>
      </c>
      <c r="H27" s="403">
        <v>0</v>
      </c>
      <c r="I27" s="403">
        <v>0</v>
      </c>
      <c r="J27" s="403">
        <v>0</v>
      </c>
      <c r="K27" s="406">
        <v>0</v>
      </c>
      <c r="L27" s="36"/>
    </row>
    <row r="28" spans="2:12">
      <c r="B28" s="13" t="s">
        <v>9</v>
      </c>
      <c r="C28" s="160" t="s">
        <v>118</v>
      </c>
      <c r="D28" s="150">
        <f t="shared" ref="D28:K28" si="1">SUM(D8,D11:D27)</f>
        <v>45.654140325396817</v>
      </c>
      <c r="E28" s="151">
        <f t="shared" si="1"/>
        <v>45.822042503950755</v>
      </c>
      <c r="F28" s="151">
        <f t="shared" si="1"/>
        <v>46.10045888512289</v>
      </c>
      <c r="G28" s="151">
        <f t="shared" si="1"/>
        <v>48.143575939282861</v>
      </c>
      <c r="H28" s="151">
        <f t="shared" si="1"/>
        <v>48.144661478324522</v>
      </c>
      <c r="I28" s="151">
        <f t="shared" si="1"/>
        <v>46.87469821049848</v>
      </c>
      <c r="J28" s="151">
        <f t="shared" si="1"/>
        <v>45.544824715489035</v>
      </c>
      <c r="K28" s="152">
        <f t="shared" si="1"/>
        <v>42.676546094445584</v>
      </c>
      <c r="L28" s="36"/>
    </row>
    <row r="29" spans="2:12">
      <c r="B29" s="392" t="s">
        <v>294</v>
      </c>
      <c r="C29" s="160" t="s">
        <v>118</v>
      </c>
      <c r="D29" s="409"/>
      <c r="E29" s="410"/>
      <c r="F29" s="410"/>
      <c r="G29" s="710"/>
      <c r="H29" s="710">
        <v>1.4391778446752035</v>
      </c>
      <c r="I29" s="710">
        <v>7.5228076008064182</v>
      </c>
      <c r="J29" s="710">
        <v>7.5435598003376674</v>
      </c>
      <c r="K29" s="711">
        <v>12.51497763581289</v>
      </c>
      <c r="L29" s="36"/>
    </row>
    <row r="30" spans="2:12">
      <c r="B30" s="365" t="s">
        <v>293</v>
      </c>
      <c r="C30" s="160" t="s">
        <v>118</v>
      </c>
      <c r="D30" s="150">
        <f>SUM(D28:D29)</f>
        <v>45.654140325396817</v>
      </c>
      <c r="E30" s="151">
        <f t="shared" ref="E30:K30" si="2">SUM(E28:E29)</f>
        <v>45.822042503950755</v>
      </c>
      <c r="F30" s="151">
        <f t="shared" si="2"/>
        <v>46.10045888512289</v>
      </c>
      <c r="G30" s="151">
        <f t="shared" si="2"/>
        <v>48.143575939282861</v>
      </c>
      <c r="H30" s="151">
        <f t="shared" si="2"/>
        <v>49.583839322999722</v>
      </c>
      <c r="I30" s="151">
        <f t="shared" si="2"/>
        <v>54.397505811304896</v>
      </c>
      <c r="J30" s="151">
        <f t="shared" si="2"/>
        <v>53.088384515826704</v>
      </c>
      <c r="K30" s="152">
        <f t="shared" si="2"/>
        <v>55.191523730258474</v>
      </c>
    </row>
    <row r="31" spans="2:12">
      <c r="B31" s="223" t="s">
        <v>11</v>
      </c>
      <c r="C31" s="160" t="s">
        <v>118</v>
      </c>
      <c r="D31" s="615">
        <v>30.325894611111103</v>
      </c>
      <c r="E31" s="616">
        <v>31.130802911111161</v>
      </c>
      <c r="F31" s="616">
        <v>31.379595384444464</v>
      </c>
      <c r="G31" s="616">
        <v>33.888479359999991</v>
      </c>
      <c r="H31" s="616">
        <v>35.299742743716855</v>
      </c>
      <c r="I31" s="616">
        <v>40.113409232022029</v>
      </c>
      <c r="J31" s="616">
        <v>47.295383826954797</v>
      </c>
      <c r="K31" s="712">
        <v>53.157427150975607</v>
      </c>
    </row>
    <row r="32" spans="2:12">
      <c r="B32" s="223" t="s">
        <v>447</v>
      </c>
      <c r="C32" s="160" t="s">
        <v>118</v>
      </c>
      <c r="D32" s="619">
        <v>15.328245714285714</v>
      </c>
      <c r="E32" s="620">
        <v>14.691239592839594</v>
      </c>
      <c r="F32" s="620">
        <v>14.720863500678426</v>
      </c>
      <c r="G32" s="620">
        <v>14.255096579282869</v>
      </c>
      <c r="H32" s="620">
        <v>14.284096579282869</v>
      </c>
      <c r="I32" s="620">
        <v>14.284096579282869</v>
      </c>
      <c r="J32" s="620">
        <v>5.793000688871909</v>
      </c>
      <c r="K32" s="713">
        <v>2.0340965792828682</v>
      </c>
    </row>
    <row r="33" spans="2:14">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4">
      <c r="D34" s="23"/>
      <c r="E34" s="23"/>
      <c r="F34" s="23"/>
      <c r="G34" s="23"/>
      <c r="H34" s="23"/>
      <c r="I34" s="23"/>
      <c r="J34" s="23"/>
      <c r="K34" s="23"/>
    </row>
    <row r="35" spans="2:14">
      <c r="B35" s="223" t="s">
        <v>504</v>
      </c>
      <c r="C35" s="160" t="s">
        <v>118</v>
      </c>
      <c r="D35" s="615">
        <v>3.9</v>
      </c>
      <c r="E35" s="616">
        <v>9.5</v>
      </c>
      <c r="F35" s="616">
        <v>15.3</v>
      </c>
      <c r="G35" s="616">
        <v>11.414448759999999</v>
      </c>
      <c r="H35" s="616">
        <v>9.7981264632353451</v>
      </c>
      <c r="I35" s="616">
        <v>14.481416837663577</v>
      </c>
      <c r="J35" s="616">
        <v>15.920543311986172</v>
      </c>
      <c r="K35" s="712">
        <v>16.282512574133285</v>
      </c>
    </row>
    <row r="36" spans="2:14">
      <c r="D36" s="23"/>
      <c r="E36" s="23"/>
      <c r="F36" s="23"/>
      <c r="G36" s="23"/>
      <c r="H36" s="23"/>
      <c r="I36" s="23"/>
      <c r="J36" s="23"/>
      <c r="K36" s="23"/>
    </row>
    <row r="37" spans="2:14">
      <c r="B37" s="223" t="s">
        <v>72</v>
      </c>
      <c r="C37" s="160" t="s">
        <v>118</v>
      </c>
      <c r="D37" s="921">
        <f>('R8 - Net Debt'!D54-AVERAGE('R8 - Net Debt'!D8,'R8 - Net Debt'!D10))*(Data!C36-1)</f>
        <v>12.234304077891593</v>
      </c>
      <c r="E37" s="921">
        <f>('R8 - Net Debt'!E54-AVERAGE('R8 - Net Debt'!E8,'R8 - Net Debt'!E10))*(Data!D36-1)</f>
        <v>24.810315298381042</v>
      </c>
      <c r="F37" s="921">
        <f>('R8 - Net Debt'!F54-AVERAGE('R8 - Net Debt'!F8,'R8 - Net Debt'!F10))*(Data!E36-1)</f>
        <v>43.500607353352557</v>
      </c>
      <c r="G37" s="921">
        <f>('R8 - Net Debt'!G54-AVERAGE('R8 - Net Debt'!G8,'R8 - Net Debt'!G10))*(Data!F36-1)</f>
        <v>35.672337692315168</v>
      </c>
      <c r="H37" s="921">
        <f>('R8 - Net Debt'!H54-AVERAGE('R8 - Net Debt'!H8,'R8 - Net Debt'!H10))*(Data!G36-1)</f>
        <v>35.251133555951817</v>
      </c>
      <c r="I37" s="921">
        <f>('R8 - Net Debt'!I54-AVERAGE('R8 - Net Debt'!I8,'R8 - Net Debt'!I10))*(Data!H36-1)</f>
        <v>42.146864807223139</v>
      </c>
      <c r="J37" s="921">
        <f>('R8 - Net Debt'!J54-AVERAGE('R8 - Net Debt'!J8,'R8 - Net Debt'!J10))*(Data!I36-1)</f>
        <v>43.034809528052591</v>
      </c>
      <c r="K37" s="921">
        <f>('R8 - Net Debt'!K54-AVERAGE('R8 - Net Debt'!K8,'R8 - Net Debt'!K10))*(Data!J36-1)</f>
        <v>45.421162249957533</v>
      </c>
      <c r="N37" s="341"/>
    </row>
    <row r="38" spans="2:14" s="32" customFormat="1">
      <c r="B38" s="222"/>
      <c r="C38" s="859"/>
      <c r="D38" s="861"/>
      <c r="E38" s="861"/>
      <c r="F38" s="861"/>
      <c r="G38" s="861"/>
      <c r="H38" s="861"/>
      <c r="I38" s="861"/>
      <c r="J38" s="861"/>
      <c r="K38" s="861"/>
      <c r="L38"/>
      <c r="M38"/>
      <c r="N38" s="860"/>
    </row>
    <row r="39" spans="2:14">
      <c r="B39" s="223" t="s">
        <v>461</v>
      </c>
      <c r="C39" s="160" t="s">
        <v>118</v>
      </c>
      <c r="D39" s="104">
        <f t="shared" ref="D39:K39" si="3">D30-D37</f>
        <v>33.419836247505224</v>
      </c>
      <c r="E39" s="104">
        <f t="shared" si="3"/>
        <v>21.011727205569713</v>
      </c>
      <c r="F39" s="104">
        <f t="shared" si="3"/>
        <v>2.5998515317703337</v>
      </c>
      <c r="G39" s="104">
        <f t="shared" si="3"/>
        <v>12.471238246967694</v>
      </c>
      <c r="H39" s="104">
        <f t="shared" si="3"/>
        <v>14.332705767047905</v>
      </c>
      <c r="I39" s="104">
        <f t="shared" si="3"/>
        <v>12.250641004081757</v>
      </c>
      <c r="J39" s="104">
        <f t="shared" si="3"/>
        <v>10.053574987774113</v>
      </c>
      <c r="K39" s="104">
        <f t="shared" si="3"/>
        <v>9.7703614803009415</v>
      </c>
    </row>
    <row r="40" spans="2:14">
      <c r="B40" s="223"/>
      <c r="C40" s="160"/>
      <c r="D40" s="160"/>
      <c r="E40" s="160"/>
      <c r="F40" s="160"/>
      <c r="G40" s="160"/>
      <c r="H40" s="160"/>
      <c r="I40" s="160"/>
      <c r="J40" s="160"/>
      <c r="K40" s="160"/>
      <c r="L40" s="160"/>
      <c r="N40" s="341"/>
    </row>
    <row r="41" spans="2:14">
      <c r="B41" s="889" t="s">
        <v>351</v>
      </c>
      <c r="C41" s="160" t="s">
        <v>117</v>
      </c>
      <c r="D41" s="532">
        <f>Data!C34</f>
        <v>1.0603167467048125</v>
      </c>
      <c r="E41" s="532">
        <f>Data!D34</f>
        <v>1.0830366813119445</v>
      </c>
      <c r="F41" s="532">
        <f>Data!E34</f>
        <v>1.1235639113109226</v>
      </c>
      <c r="G41" s="532">
        <f>Data!F34</f>
        <v>1.1578951670583426</v>
      </c>
      <c r="H41" s="532">
        <f>Data!G34</f>
        <v>1.1882899151936241</v>
      </c>
      <c r="I41" s="532">
        <f>Data!H34</f>
        <v>1.2212649603402472</v>
      </c>
      <c r="J41" s="532">
        <f>Data!I34</f>
        <v>1.2582082253905398</v>
      </c>
      <c r="K41" s="532">
        <f>Data!J34</f>
        <v>1.296898128321299</v>
      </c>
      <c r="L41" s="160"/>
      <c r="N41" s="341"/>
    </row>
    <row r="42" spans="2:14">
      <c r="L42" s="163"/>
      <c r="M42" s="163"/>
      <c r="N42" s="163"/>
    </row>
    <row r="43" spans="2:14">
      <c r="B43" s="870" t="s">
        <v>407</v>
      </c>
      <c r="C43" s="164" t="str">
        <f>'RFPR cover'!$C$14</f>
        <v>£m 12/13</v>
      </c>
      <c r="D43" s="153">
        <f t="shared" ref="D43:K43" si="4">D39/D41</f>
        <v>31.518729050885359</v>
      </c>
      <c r="E43" s="154">
        <f t="shared" si="4"/>
        <v>19.400753056781973</v>
      </c>
      <c r="F43" s="154">
        <f t="shared" si="4"/>
        <v>2.3139329286012282</v>
      </c>
      <c r="G43" s="154">
        <f t="shared" si="4"/>
        <v>10.770610847829291</v>
      </c>
      <c r="H43" s="154">
        <f t="shared" si="4"/>
        <v>12.061623669264653</v>
      </c>
      <c r="I43" s="154">
        <f t="shared" si="4"/>
        <v>10.031108237698641</v>
      </c>
      <c r="J43" s="154">
        <f t="shared" si="4"/>
        <v>7.9903904496042752</v>
      </c>
      <c r="K43" s="155">
        <f t="shared" si="4"/>
        <v>7.5336383536520852</v>
      </c>
      <c r="L43" s="719">
        <f>SUM(D43:INDEX(D43:K43,0,MATCH('RFPR cover'!$C$7,$D$6:$K$6,0)))</f>
        <v>64.004025884097857</v>
      </c>
      <c r="M43" s="720">
        <f>SUM(D43:K43)</f>
        <v>101.62078659431751</v>
      </c>
    </row>
    <row r="44" spans="2:14">
      <c r="B44" s="223"/>
      <c r="C44" s="67"/>
      <c r="D44" s="842"/>
      <c r="E44" s="842"/>
      <c r="F44" s="842"/>
      <c r="G44" s="842"/>
      <c r="H44" s="842"/>
      <c r="I44" s="842"/>
      <c r="J44" s="842"/>
      <c r="K44" s="842"/>
      <c r="L44" s="865"/>
      <c r="M44" s="865"/>
    </row>
    <row r="45" spans="2:14">
      <c r="B45" s="870" t="s">
        <v>496</v>
      </c>
      <c r="C45" s="160"/>
      <c r="D45" s="842"/>
      <c r="E45" s="842"/>
      <c r="F45" s="842"/>
      <c r="G45" s="842"/>
      <c r="H45" s="842"/>
      <c r="I45" s="842"/>
      <c r="J45" s="842"/>
      <c r="K45" s="842"/>
      <c r="L45" s="865"/>
      <c r="M45" s="865"/>
    </row>
    <row r="46" spans="2:14">
      <c r="B46" s="391" t="s">
        <v>575</v>
      </c>
      <c r="C46" s="160" t="s">
        <v>118</v>
      </c>
      <c r="D46" s="918">
        <v>0.7797075</v>
      </c>
      <c r="E46" s="918">
        <v>0.58231305</v>
      </c>
      <c r="F46" s="918">
        <v>0.80999320000000008</v>
      </c>
      <c r="G46" s="918">
        <v>-3.8301258000000002</v>
      </c>
      <c r="H46" s="918">
        <v>-4.2370295228396184</v>
      </c>
      <c r="I46" s="918">
        <v>-4.5266516812075146</v>
      </c>
      <c r="J46" s="918">
        <v>-4.8738452054799888</v>
      </c>
      <c r="K46" s="918">
        <v>-5.3006901946372267</v>
      </c>
      <c r="L46" s="919">
        <v>-1.6581120500000002</v>
      </c>
      <c r="M46" s="920">
        <v>-20.596328654164349</v>
      </c>
    </row>
    <row r="47" spans="2:14">
      <c r="B47" s="391" t="s">
        <v>576</v>
      </c>
      <c r="C47" s="160" t="s">
        <v>118</v>
      </c>
      <c r="D47" s="918">
        <v>0</v>
      </c>
      <c r="E47" s="918">
        <v>0</v>
      </c>
      <c r="F47" s="918">
        <v>0</v>
      </c>
      <c r="G47" s="918">
        <v>0</v>
      </c>
      <c r="H47" s="918">
        <v>0</v>
      </c>
      <c r="I47" s="918">
        <v>0</v>
      </c>
      <c r="J47" s="918">
        <v>0</v>
      </c>
      <c r="K47" s="918">
        <v>0</v>
      </c>
      <c r="L47" s="919">
        <v>0</v>
      </c>
      <c r="M47" s="920">
        <v>0</v>
      </c>
    </row>
    <row r="48" spans="2:14">
      <c r="B48" s="391" t="s">
        <v>577</v>
      </c>
      <c r="C48" s="160" t="s">
        <v>118</v>
      </c>
      <c r="D48" s="918">
        <v>3.608257</v>
      </c>
      <c r="E48" s="918">
        <v>8.6995285543512892</v>
      </c>
      <c r="F48" s="918">
        <v>14.359395866581735</v>
      </c>
      <c r="G48" s="918">
        <v>10.028599999999997</v>
      </c>
      <c r="H48" s="918">
        <v>10.024132125000051</v>
      </c>
      <c r="I48" s="918">
        <v>10.875109341468729</v>
      </c>
      <c r="J48" s="918">
        <v>12.183820979360718</v>
      </c>
      <c r="K48" s="918">
        <v>12.759858945209288</v>
      </c>
      <c r="L48" s="919">
        <v>36.695781420933024</v>
      </c>
      <c r="M48" s="920">
        <v>82.538702811971802</v>
      </c>
    </row>
    <row r="49" spans="1:14">
      <c r="B49" s="391" t="s">
        <v>578</v>
      </c>
      <c r="C49" s="160" t="s">
        <v>118</v>
      </c>
      <c r="D49" s="918">
        <v>3.9</v>
      </c>
      <c r="E49" s="918">
        <v>9.5</v>
      </c>
      <c r="F49" s="918">
        <v>15.3</v>
      </c>
      <c r="G49" s="918">
        <v>11.414448759999999</v>
      </c>
      <c r="H49" s="918">
        <v>9.7981264632353451</v>
      </c>
      <c r="I49" s="918">
        <v>14.481416837663577</v>
      </c>
      <c r="J49" s="918">
        <v>15.920543311986172</v>
      </c>
      <c r="K49" s="918">
        <v>16.282512574133285</v>
      </c>
      <c r="L49" s="919">
        <v>40.114448760000002</v>
      </c>
      <c r="M49" s="920">
        <v>96.597047947018382</v>
      </c>
    </row>
    <row r="50" spans="1:14">
      <c r="B50" s="391" t="s">
        <v>579</v>
      </c>
      <c r="C50" s="160" t="s">
        <v>118</v>
      </c>
      <c r="D50" s="918">
        <v>1</v>
      </c>
      <c r="E50" s="918">
        <v>0.8</v>
      </c>
      <c r="F50" s="918">
        <v>1</v>
      </c>
      <c r="G50" s="918">
        <v>1.124142</v>
      </c>
      <c r="H50" s="918">
        <v>0.98103549999999995</v>
      </c>
      <c r="I50" s="918">
        <v>0.98103549999999995</v>
      </c>
      <c r="J50" s="918">
        <v>0.98103549999999995</v>
      </c>
      <c r="K50" s="918">
        <v>0.98103549999999995</v>
      </c>
      <c r="L50" s="919">
        <v>3.9241419999999998</v>
      </c>
      <c r="M50" s="920">
        <v>7.8482839999999996</v>
      </c>
    </row>
    <row r="51" spans="1:14">
      <c r="B51" s="391" t="s">
        <v>580</v>
      </c>
      <c r="C51" s="160" t="s">
        <v>118</v>
      </c>
      <c r="D51" s="918">
        <v>-0.7</v>
      </c>
      <c r="E51" s="918">
        <v>0</v>
      </c>
      <c r="F51" s="918">
        <v>0</v>
      </c>
      <c r="G51" s="918">
        <v>0</v>
      </c>
      <c r="H51" s="918">
        <v>0</v>
      </c>
      <c r="I51" s="918">
        <v>0</v>
      </c>
      <c r="J51" s="918">
        <v>0</v>
      </c>
      <c r="K51" s="918">
        <v>0</v>
      </c>
      <c r="L51" s="919">
        <v>-0.7</v>
      </c>
      <c r="M51" s="920">
        <v>-0.7</v>
      </c>
    </row>
    <row r="52" spans="1:14">
      <c r="B52" s="391" t="s">
        <v>581</v>
      </c>
      <c r="C52" s="160" t="s">
        <v>118</v>
      </c>
      <c r="D52" s="918">
        <v>-3.946890143906109</v>
      </c>
      <c r="E52" s="918">
        <v>-4.1787264498722854</v>
      </c>
      <c r="F52" s="918">
        <v>-4.4242157555076478</v>
      </c>
      <c r="G52" s="918">
        <v>0</v>
      </c>
      <c r="H52" s="918">
        <v>0</v>
      </c>
      <c r="I52" s="918">
        <v>0</v>
      </c>
      <c r="J52" s="918">
        <v>0</v>
      </c>
      <c r="K52" s="918">
        <v>0</v>
      </c>
      <c r="L52" s="919">
        <v>-12.549832349286042</v>
      </c>
      <c r="M52" s="920">
        <v>-12.549832349286042</v>
      </c>
    </row>
    <row r="53" spans="1:14" s="901" customFormat="1">
      <c r="B53" s="900"/>
      <c r="C53" s="902"/>
      <c r="D53" s="903"/>
      <c r="E53" s="903"/>
      <c r="F53" s="903"/>
      <c r="G53" s="903"/>
      <c r="H53" s="903"/>
      <c r="I53" s="903"/>
      <c r="J53" s="903"/>
      <c r="K53" s="903"/>
      <c r="L53" s="904"/>
      <c r="M53" s="904"/>
    </row>
    <row r="54" spans="1:14">
      <c r="B54" s="895" t="s">
        <v>497</v>
      </c>
      <c r="C54" s="245" t="s">
        <v>118</v>
      </c>
      <c r="D54" s="153">
        <f>SUM(D46:D52)</f>
        <v>4.641074356093891</v>
      </c>
      <c r="E54" s="153">
        <f t="shared" ref="E54:K54" si="5">SUM(E46:E52)</f>
        <v>15.403115154479003</v>
      </c>
      <c r="F54" s="153">
        <f t="shared" si="5"/>
        <v>27.045173311074088</v>
      </c>
      <c r="G54" s="153">
        <f t="shared" si="5"/>
        <v>18.737064959999994</v>
      </c>
      <c r="H54" s="153">
        <f t="shared" si="5"/>
        <v>16.566264565395777</v>
      </c>
      <c r="I54" s="153">
        <f t="shared" si="5"/>
        <v>21.810909997924792</v>
      </c>
      <c r="J54" s="153">
        <f t="shared" si="5"/>
        <v>24.211554585866903</v>
      </c>
      <c r="K54" s="153">
        <f t="shared" si="5"/>
        <v>24.722716824705348</v>
      </c>
      <c r="L54" s="719">
        <f>SUM(D54:INDEX(D54:K54,0,MATCH('RFPR cover'!$C$7,$D$6:$K$6,0)))</f>
        <v>65.826427781646984</v>
      </c>
      <c r="M54" s="720">
        <f t="shared" ref="M54" si="6">SUM(D54:K54)</f>
        <v>153.1378737555398</v>
      </c>
    </row>
    <row r="55" spans="1:14">
      <c r="B55" s="895" t="s">
        <v>497</v>
      </c>
      <c r="C55" s="164" t="str">
        <f>'RFPR cover'!$C$14</f>
        <v>£m 12/13</v>
      </c>
      <c r="D55" s="153">
        <f>D54/D41</f>
        <v>4.3770640900628406</v>
      </c>
      <c r="E55" s="153">
        <f t="shared" ref="E55:K55" si="7">E54/E41</f>
        <v>14.222154632676268</v>
      </c>
      <c r="F55" s="153">
        <f t="shared" si="7"/>
        <v>24.070881094355393</v>
      </c>
      <c r="G55" s="153">
        <f t="shared" si="7"/>
        <v>16.182004634842642</v>
      </c>
      <c r="H55" s="153">
        <f t="shared" si="7"/>
        <v>13.941264967056807</v>
      </c>
      <c r="I55" s="153">
        <f t="shared" si="7"/>
        <v>17.859277639348814</v>
      </c>
      <c r="J55" s="153">
        <f t="shared" si="7"/>
        <v>19.242883727255709</v>
      </c>
      <c r="K55" s="153">
        <f t="shared" si="7"/>
        <v>19.062959753597884</v>
      </c>
      <c r="L55" s="719">
        <f>SUM(D55:INDEX(D55:K55,0,MATCH('RFPR cover'!$C$7,$D$6:$K$6,0)))</f>
        <v>58.852104451937144</v>
      </c>
      <c r="M55" s="720">
        <f>SUM(D55:K55)</f>
        <v>128.95849053919636</v>
      </c>
    </row>
    <row r="56" spans="1:14">
      <c r="B56" s="223"/>
      <c r="C56" s="67"/>
      <c r="D56" s="842"/>
      <c r="E56" s="842"/>
      <c r="F56" s="842"/>
      <c r="G56" s="842"/>
      <c r="H56" s="842"/>
      <c r="I56" s="842"/>
      <c r="J56" s="842"/>
      <c r="K56" s="842"/>
      <c r="L56" s="865"/>
      <c r="M56" s="865"/>
    </row>
    <row r="57" spans="1:14" s="2" customFormat="1">
      <c r="A57" s="1"/>
    </row>
    <row r="58" spans="1:14" s="2" customFormat="1">
      <c r="A58" s="1"/>
      <c r="B58" s="866" t="s">
        <v>417</v>
      </c>
      <c r="C58" s="82"/>
      <c r="D58" s="82"/>
      <c r="E58" s="82"/>
      <c r="F58" s="82"/>
      <c r="G58" s="82"/>
      <c r="H58" s="82"/>
      <c r="I58" s="82"/>
      <c r="J58" s="82"/>
      <c r="K58" s="82"/>
      <c r="L58" s="82"/>
      <c r="M58" s="82"/>
      <c r="N58" s="82"/>
    </row>
    <row r="59" spans="1:14" s="2" customFormat="1">
      <c r="A59" s="1"/>
      <c r="B59" s="390" t="s">
        <v>418</v>
      </c>
    </row>
    <row r="60" spans="1:14" s="2" customFormat="1">
      <c r="A60" s="1"/>
    </row>
    <row r="61" spans="1:14" s="32" customFormat="1">
      <c r="B61" s="223" t="s">
        <v>105</v>
      </c>
      <c r="C61" s="163" t="s">
        <v>7</v>
      </c>
      <c r="D61" s="929">
        <f>'RFPR cover'!$C$12</f>
        <v>0.65</v>
      </c>
      <c r="E61" s="930">
        <f>'RFPR cover'!$C$12</f>
        <v>0.65</v>
      </c>
      <c r="F61" s="930">
        <f>'RFPR cover'!$C$12</f>
        <v>0.65</v>
      </c>
      <c r="G61" s="930">
        <f>'RFPR cover'!$C$12</f>
        <v>0.65</v>
      </c>
      <c r="H61" s="930">
        <f>'RFPR cover'!$C$12</f>
        <v>0.65</v>
      </c>
      <c r="I61" s="930">
        <f>'RFPR cover'!$C$12</f>
        <v>0.65</v>
      </c>
      <c r="J61" s="930">
        <f>'RFPR cover'!$C$12</f>
        <v>0.65</v>
      </c>
      <c r="K61" s="931">
        <f>'RFPR cover'!$C$12</f>
        <v>0.65</v>
      </c>
      <c r="N61" s="860"/>
    </row>
    <row r="62" spans="1:14" s="32" customFormat="1">
      <c r="B62" s="223" t="s">
        <v>380</v>
      </c>
      <c r="C62" s="163" t="s">
        <v>7</v>
      </c>
      <c r="D62" s="930">
        <f>'R8 - Net Debt'!D64</f>
        <v>0.61201163610041198</v>
      </c>
      <c r="E62" s="930">
        <f>'R8 - Net Debt'!E64</f>
        <v>0.60986685527977924</v>
      </c>
      <c r="F62" s="930">
        <f>'R8 - Net Debt'!F64</f>
        <v>0.6076920907507305</v>
      </c>
      <c r="G62" s="930">
        <f>'R8 - Net Debt'!G64</f>
        <v>0.62301707716390231</v>
      </c>
      <c r="H62" s="930">
        <f>'R8 - Net Debt'!H64</f>
        <v>0.6225925002933943</v>
      </c>
      <c r="I62" s="930">
        <f>'R8 - Net Debt'!I64</f>
        <v>0.61395369658520538</v>
      </c>
      <c r="J62" s="930">
        <f>'R8 - Net Debt'!J64</f>
        <v>0.60643070661400245</v>
      </c>
      <c r="K62" s="931">
        <f>'R8 - Net Debt'!K64</f>
        <v>0.6019697528467397</v>
      </c>
      <c r="N62" s="860"/>
    </row>
    <row r="63" spans="1:14" s="32" customFormat="1">
      <c r="B63" s="223"/>
      <c r="C63" s="163"/>
      <c r="D63" s="163"/>
      <c r="E63" s="163"/>
      <c r="F63" s="163"/>
      <c r="G63" s="163"/>
      <c r="H63" s="163"/>
      <c r="I63" s="163"/>
      <c r="J63" s="163"/>
      <c r="K63" s="163"/>
      <c r="N63" s="860"/>
    </row>
    <row r="64" spans="1:14">
      <c r="B64" s="223" t="s">
        <v>407</v>
      </c>
      <c r="C64" s="160" t="s">
        <v>118</v>
      </c>
      <c r="D64" s="97">
        <f t="shared" ref="D64:K64" si="8">D39</f>
        <v>33.419836247505224</v>
      </c>
      <c r="E64" s="98">
        <f t="shared" si="8"/>
        <v>21.011727205569713</v>
      </c>
      <c r="F64" s="98">
        <f t="shared" si="8"/>
        <v>2.5998515317703337</v>
      </c>
      <c r="G64" s="98">
        <f t="shared" si="8"/>
        <v>12.471238246967694</v>
      </c>
      <c r="H64" s="98">
        <f t="shared" si="8"/>
        <v>14.332705767047905</v>
      </c>
      <c r="I64" s="98">
        <f t="shared" si="8"/>
        <v>12.250641004081757</v>
      </c>
      <c r="J64" s="98">
        <f t="shared" si="8"/>
        <v>10.053574987774113</v>
      </c>
      <c r="K64" s="99">
        <f t="shared" si="8"/>
        <v>9.7703614803009415</v>
      </c>
      <c r="L64" s="32"/>
      <c r="M64" s="32"/>
    </row>
    <row r="65" spans="2:15" s="32" customFormat="1">
      <c r="B65" s="223" t="s">
        <v>425</v>
      </c>
      <c r="C65" s="160" t="s">
        <v>118</v>
      </c>
      <c r="D65" s="97">
        <f>((D61-D62)/D62)*D64</f>
        <v>2.0744130110404884</v>
      </c>
      <c r="E65" s="97">
        <f t="shared" ref="E65:K65" si="9">((E61-E62)/E62)*E64</f>
        <v>1.3827062111386215</v>
      </c>
      <c r="F65" s="97">
        <f t="shared" si="9"/>
        <v>0.18100331457634891</v>
      </c>
      <c r="G65" s="97">
        <f t="shared" si="9"/>
        <v>0.54013039388965434</v>
      </c>
      <c r="H65" s="97">
        <f t="shared" si="9"/>
        <v>0.63094821881104413</v>
      </c>
      <c r="I65" s="97">
        <f t="shared" si="9"/>
        <v>0.71925672101164884</v>
      </c>
      <c r="J65" s="97">
        <f t="shared" si="9"/>
        <v>0.72230372480011107</v>
      </c>
      <c r="K65" s="97">
        <f t="shared" si="9"/>
        <v>0.7795622196237233</v>
      </c>
      <c r="N65" s="860"/>
    </row>
    <row r="66" spans="2:15">
      <c r="B66" s="223" t="s">
        <v>424</v>
      </c>
      <c r="C66" s="160" t="s">
        <v>118</v>
      </c>
      <c r="D66" s="104">
        <f>SUM(D64:D65)</f>
        <v>35.494249258545715</v>
      </c>
      <c r="E66" s="105">
        <f t="shared" ref="E66:K66" si="10">SUM(E64:E65)</f>
        <v>22.394433416708335</v>
      </c>
      <c r="F66" s="105">
        <f t="shared" si="10"/>
        <v>2.7808548463466827</v>
      </c>
      <c r="G66" s="105">
        <f t="shared" si="10"/>
        <v>13.011368640857349</v>
      </c>
      <c r="H66" s="105">
        <f t="shared" si="10"/>
        <v>14.963653985858949</v>
      </c>
      <c r="I66" s="105">
        <f t="shared" si="10"/>
        <v>12.969897725093405</v>
      </c>
      <c r="J66" s="105">
        <f t="shared" si="10"/>
        <v>10.775878712574224</v>
      </c>
      <c r="K66" s="106">
        <f t="shared" si="10"/>
        <v>10.549923699924665</v>
      </c>
      <c r="L66" s="32"/>
      <c r="M66" s="32"/>
    </row>
    <row r="67" spans="2:15">
      <c r="B67" s="223"/>
      <c r="C67" s="160"/>
      <c r="D67" s="160"/>
      <c r="E67" s="160"/>
      <c r="F67" s="160"/>
      <c r="G67" s="160"/>
      <c r="H67" s="160"/>
      <c r="I67" s="160"/>
      <c r="J67" s="160"/>
      <c r="K67" s="160"/>
      <c r="L67" s="160"/>
      <c r="M67" s="160"/>
      <c r="N67" s="160"/>
      <c r="O67" s="160"/>
    </row>
    <row r="68" spans="2:15">
      <c r="B68" s="870" t="s">
        <v>424</v>
      </c>
      <c r="C68" s="164" t="str">
        <f>'RFPR cover'!$C$14</f>
        <v>£m 12/13</v>
      </c>
      <c r="D68" s="153">
        <f t="shared" ref="D68:K68" si="11">D66/D41</f>
        <v>33.475137848055851</v>
      </c>
      <c r="E68" s="154">
        <f t="shared" si="11"/>
        <v>20.67744685210539</v>
      </c>
      <c r="F68" s="154">
        <f t="shared" si="11"/>
        <v>2.4750304084634664</v>
      </c>
      <c r="G68" s="154">
        <f t="shared" si="11"/>
        <v>11.237086923778262</v>
      </c>
      <c r="H68" s="154">
        <f t="shared" si="11"/>
        <v>12.592595287170067</v>
      </c>
      <c r="I68" s="154">
        <f t="shared" si="11"/>
        <v>10.620052278810949</v>
      </c>
      <c r="J68" s="154">
        <f t="shared" si="11"/>
        <v>8.5644637311359659</v>
      </c>
      <c r="K68" s="155">
        <f t="shared" si="11"/>
        <v>8.1347358512888395</v>
      </c>
      <c r="L68" s="719">
        <f>SUM(D68:INDEX(D68:K68,0,MATCH('RFPR cover'!$C$7,$D$6:$K$6,0)))</f>
        <v>67.864702032402974</v>
      </c>
      <c r="M68" s="720">
        <f>SUM(D68:K68)</f>
        <v>107.77654918080879</v>
      </c>
    </row>
    <row r="69" spans="2:15">
      <c r="B69" s="393" t="s">
        <v>498</v>
      </c>
      <c r="C69" s="167" t="str">
        <f>'RFPR cover'!$C$14</f>
        <v>£m 12/13</v>
      </c>
      <c r="D69" s="97">
        <f>D55*((D61-D62)/D62)+D55</f>
        <v>4.6487541914547128</v>
      </c>
      <c r="E69" s="97">
        <f t="shared" ref="E69:K69" si="12">E55*((E61-E62)/E62)+E55</f>
        <v>15.158063487478202</v>
      </c>
      <c r="F69" s="97">
        <f t="shared" si="12"/>
        <v>25.746711121420329</v>
      </c>
      <c r="G69" s="97">
        <f t="shared" si="12"/>
        <v>16.882848638000624</v>
      </c>
      <c r="H69" s="97">
        <f t="shared" si="12"/>
        <v>14.554981347055378</v>
      </c>
      <c r="I69" s="97">
        <f t="shared" si="12"/>
        <v>18.907827300565298</v>
      </c>
      <c r="J69" s="97">
        <f t="shared" si="12"/>
        <v>20.625397570241383</v>
      </c>
      <c r="K69" s="97">
        <f t="shared" si="12"/>
        <v>20.583964196276369</v>
      </c>
      <c r="L69" s="715">
        <f>SUM(D69:INDEX(D69:K69,0,MATCH('RFPR cover'!$C$7,$D$6:$K$6,0)))</f>
        <v>62.436377438353873</v>
      </c>
      <c r="M69" s="716">
        <f>SUM(D69:K69)</f>
        <v>137.10854785249228</v>
      </c>
      <c r="N69" s="163"/>
    </row>
    <row r="71" spans="2:15">
      <c r="B71" s="862" t="s">
        <v>307</v>
      </c>
      <c r="C71" s="863"/>
      <c r="D71" s="863"/>
      <c r="E71" s="863"/>
      <c r="F71" s="863"/>
      <c r="G71" s="863"/>
      <c r="H71" s="863"/>
      <c r="I71" s="863"/>
      <c r="J71" s="863"/>
      <c r="K71" s="863"/>
      <c r="L71" s="863"/>
      <c r="M71" s="863"/>
      <c r="N71" s="863"/>
      <c r="O71" s="163"/>
    </row>
    <row r="72" spans="2:15" s="32" customFormat="1">
      <c r="B72" s="864"/>
      <c r="C72" s="67"/>
      <c r="D72" s="67"/>
      <c r="E72" s="67"/>
      <c r="F72" s="67"/>
      <c r="G72" s="67"/>
      <c r="H72" s="67"/>
      <c r="I72" s="67"/>
      <c r="J72" s="67"/>
      <c r="K72" s="67"/>
      <c r="L72" s="67"/>
      <c r="M72" s="67"/>
      <c r="N72" s="67"/>
      <c r="O72" s="67"/>
    </row>
    <row r="73" spans="2:15">
      <c r="B73" s="390" t="s">
        <v>454</v>
      </c>
      <c r="C73" s="389"/>
      <c r="D73" s="389"/>
      <c r="E73" s="389"/>
      <c r="F73" s="389"/>
      <c r="G73" s="389"/>
      <c r="H73" s="389"/>
      <c r="I73" s="389"/>
      <c r="J73" s="389"/>
      <c r="K73" s="389"/>
      <c r="L73" s="389"/>
      <c r="M73" s="389"/>
      <c r="N73" s="389"/>
      <c r="O73" s="163"/>
    </row>
    <row r="74" spans="2:15">
      <c r="B74" s="390" t="s">
        <v>336</v>
      </c>
      <c r="C74" s="389"/>
      <c r="D74" s="389"/>
      <c r="E74" s="389"/>
      <c r="F74" s="389"/>
      <c r="G74" s="389"/>
      <c r="H74" s="389"/>
      <c r="I74" s="389"/>
      <c r="J74" s="389"/>
      <c r="K74" s="389"/>
      <c r="L74" s="389"/>
      <c r="M74" s="389"/>
      <c r="N74" s="389"/>
      <c r="O74" s="163"/>
    </row>
    <row r="75" spans="2:15">
      <c r="B75" s="390" t="s">
        <v>337</v>
      </c>
      <c r="C75" s="389"/>
      <c r="D75" s="389"/>
      <c r="E75" s="389"/>
      <c r="F75" s="389"/>
      <c r="G75" s="389"/>
      <c r="H75" s="389"/>
      <c r="I75" s="389"/>
      <c r="J75" s="389"/>
      <c r="K75" s="389"/>
      <c r="L75" s="389"/>
      <c r="M75" s="389"/>
      <c r="N75" s="389"/>
      <c r="O75" s="163"/>
    </row>
    <row r="76" spans="2:15">
      <c r="B76" s="390" t="s">
        <v>501</v>
      </c>
      <c r="C76" s="389"/>
      <c r="D76" s="389"/>
      <c r="E76" s="389"/>
      <c r="F76" s="389"/>
      <c r="G76" s="389"/>
      <c r="H76" s="389"/>
      <c r="I76" s="389"/>
      <c r="J76" s="389"/>
      <c r="K76" s="389"/>
      <c r="L76" s="389"/>
      <c r="M76" s="389"/>
      <c r="N76" s="389"/>
      <c r="O76" s="163"/>
    </row>
    <row r="77" spans="2:15" s="32" customFormat="1">
      <c r="B77" s="394"/>
      <c r="C77" s="394"/>
      <c r="D77" s="394"/>
      <c r="E77" s="394"/>
      <c r="F77" s="394"/>
      <c r="G77" s="394"/>
      <c r="H77" s="394"/>
      <c r="I77" s="394"/>
      <c r="J77" s="394"/>
      <c r="K77" s="394"/>
      <c r="L77" s="394"/>
      <c r="M77" s="394"/>
      <c r="N77" s="394"/>
      <c r="O77" s="67"/>
    </row>
    <row r="78" spans="2:15">
      <c r="B78" s="393" t="s">
        <v>223</v>
      </c>
      <c r="C78" s="163" t="str">
        <f>'RFPR cover'!$C$14</f>
        <v>£m 12/13</v>
      </c>
      <c r="D78" s="626">
        <v>24.929756084068227</v>
      </c>
      <c r="E78" s="626">
        <v>23.725982290819104</v>
      </c>
      <c r="F78" s="626">
        <v>22.529101557295558</v>
      </c>
      <c r="G78" s="626">
        <v>20.762231023296181</v>
      </c>
      <c r="H78" s="626">
        <v>19.475640446457014</v>
      </c>
      <c r="I78" s="626">
        <v>19.696469390417533</v>
      </c>
      <c r="J78" s="939">
        <v>19.971689877813478</v>
      </c>
      <c r="K78" s="942">
        <v>20.271591064815865</v>
      </c>
      <c r="L78" s="940"/>
      <c r="M78" s="940"/>
      <c r="O78" s="67"/>
    </row>
    <row r="79" spans="2:15">
      <c r="B79" s="393" t="s">
        <v>306</v>
      </c>
      <c r="C79" s="163" t="str">
        <f>'RFPR cover'!$C$14</f>
        <v>£m 12/13</v>
      </c>
      <c r="D79" s="717">
        <f>'R9 - RAV'!D49</f>
        <v>24.940932654726655</v>
      </c>
      <c r="E79" s="718">
        <f>'R9 - RAV'!E49</f>
        <v>23.794570801639413</v>
      </c>
      <c r="F79" s="718">
        <f>'R9 - RAV'!F49</f>
        <v>22.63808799918143</v>
      </c>
      <c r="G79" s="718">
        <f>'R9 - RAV'!G49</f>
        <v>20.834090082801605</v>
      </c>
      <c r="H79" s="718">
        <f>'R9 - RAV'!H49</f>
        <v>19.542643730525601</v>
      </c>
      <c r="I79" s="718">
        <f>'R9 - RAV'!I49</f>
        <v>18.579651617027206</v>
      </c>
      <c r="J79" s="718">
        <f>'R9 - RAV'!J49</f>
        <v>17.796065894481377</v>
      </c>
      <c r="K79" s="941">
        <f>'R9 - RAV'!K49</f>
        <v>17.062098366905875</v>
      </c>
      <c r="L79" s="943">
        <f>SUM(D79:INDEX(D79:K79,0,MATCH('RFPR cover'!$C$7,$D$6:$K$6,0)))</f>
        <v>92.207681538349107</v>
      </c>
      <c r="M79" s="943">
        <f>SUM(D79:K79)</f>
        <v>165.18814114728917</v>
      </c>
      <c r="O79" s="67"/>
    </row>
    <row r="80" spans="2:15" s="32" customFormat="1">
      <c r="B80" s="867"/>
      <c r="C80" s="67"/>
      <c r="D80" s="868"/>
      <c r="E80" s="868"/>
      <c r="F80" s="868"/>
      <c r="G80" s="868"/>
      <c r="H80" s="868"/>
      <c r="I80" s="868"/>
      <c r="J80" s="868"/>
      <c r="K80" s="868"/>
      <c r="L80" s="865"/>
      <c r="M80" s="865"/>
      <c r="O80" s="67"/>
    </row>
    <row r="81" spans="2:15" s="32" customFormat="1">
      <c r="B81" s="867"/>
      <c r="C81" s="67"/>
      <c r="D81" s="868"/>
      <c r="E81" s="869"/>
      <c r="F81" s="869"/>
      <c r="G81" s="869"/>
      <c r="H81" s="869"/>
      <c r="I81" s="869"/>
      <c r="J81" s="869"/>
      <c r="K81" s="869"/>
      <c r="L81" s="865"/>
      <c r="M81" s="865"/>
      <c r="O81" s="67"/>
    </row>
    <row r="82" spans="2:15">
      <c r="B82" s="871" t="s">
        <v>408</v>
      </c>
      <c r="C82" s="863"/>
      <c r="D82" s="863"/>
      <c r="E82" s="863"/>
      <c r="F82" s="863"/>
      <c r="G82" s="863"/>
      <c r="H82" s="863"/>
      <c r="I82" s="863"/>
      <c r="J82" s="863"/>
      <c r="K82" s="863"/>
      <c r="L82" s="863"/>
      <c r="M82" s="863"/>
      <c r="N82" s="863"/>
    </row>
    <row r="83" spans="2:15">
      <c r="B83" s="393"/>
      <c r="C83" s="163"/>
      <c r="D83" s="163"/>
      <c r="E83" s="163"/>
      <c r="F83" s="163"/>
      <c r="G83" s="163"/>
      <c r="H83" s="163"/>
      <c r="I83" s="163"/>
      <c r="J83" s="163"/>
      <c r="K83" s="163"/>
      <c r="L83" s="163"/>
      <c r="M83" s="163"/>
      <c r="N83" s="163"/>
    </row>
    <row r="84" spans="2:15">
      <c r="B84" s="890" t="s">
        <v>462</v>
      </c>
      <c r="C84" s="163"/>
      <c r="D84" s="163"/>
      <c r="E84" s="163"/>
      <c r="F84" s="163"/>
      <c r="G84" s="163"/>
      <c r="H84" s="163"/>
      <c r="I84" s="163"/>
      <c r="J84" s="163"/>
      <c r="K84" s="163"/>
      <c r="L84" s="163"/>
      <c r="M84" s="163"/>
      <c r="N84" s="163"/>
    </row>
    <row r="85" spans="2:15">
      <c r="B85" s="223" t="s">
        <v>463</v>
      </c>
      <c r="C85" s="163" t="str">
        <f>'RFPR cover'!$C$14</f>
        <v>£m 12/13</v>
      </c>
      <c r="D85" s="153">
        <f>D79-D43-D55</f>
        <v>-10.954860486221545</v>
      </c>
      <c r="E85" s="153">
        <f t="shared" ref="E85:K85" si="13">E79-E43-E55</f>
        <v>-9.8283368878188284</v>
      </c>
      <c r="F85" s="153">
        <f t="shared" si="13"/>
        <v>-3.7467260237751923</v>
      </c>
      <c r="G85" s="153">
        <f t="shared" si="13"/>
        <v>-6.1185253998703271</v>
      </c>
      <c r="H85" s="153">
        <f t="shared" si="13"/>
        <v>-6.4602449057958591</v>
      </c>
      <c r="I85" s="153">
        <f t="shared" si="13"/>
        <v>-9.310734260020249</v>
      </c>
      <c r="J85" s="153">
        <f t="shared" si="13"/>
        <v>-9.4372082823786076</v>
      </c>
      <c r="K85" s="153">
        <f t="shared" si="13"/>
        <v>-9.5344997403440939</v>
      </c>
      <c r="L85" s="719">
        <f>SUM(D85:INDEX(D85:K85,0,MATCH('RFPR cover'!$C$7,$D$6:$K$6,0)))</f>
        <v>-30.648448797685894</v>
      </c>
      <c r="M85" s="720">
        <f>SUM(D85:K85)</f>
        <v>-65.391135986224697</v>
      </c>
    </row>
    <row r="86" spans="2:15">
      <c r="B86" s="223"/>
    </row>
    <row r="87" spans="2:15">
      <c r="B87" s="223" t="s">
        <v>464</v>
      </c>
      <c r="C87" s="163" t="str">
        <f>'RFPR cover'!$C$14</f>
        <v>£m 12/13</v>
      </c>
      <c r="D87" s="153">
        <f>D79-D68-D69</f>
        <v>-13.18295938478391</v>
      </c>
      <c r="E87" s="153">
        <f t="shared" ref="E87:K87" si="14">E79-E68-E69</f>
        <v>-12.04093953794418</v>
      </c>
      <c r="F87" s="153">
        <f t="shared" si="14"/>
        <v>-5.5836535307023674</v>
      </c>
      <c r="G87" s="153">
        <f t="shared" si="14"/>
        <v>-7.2858454789772811</v>
      </c>
      <c r="H87" s="153">
        <f t="shared" si="14"/>
        <v>-7.6049329036998436</v>
      </c>
      <c r="I87" s="153">
        <f t="shared" si="14"/>
        <v>-10.948227962349041</v>
      </c>
      <c r="J87" s="153">
        <f t="shared" si="14"/>
        <v>-11.393795406895972</v>
      </c>
      <c r="K87" s="153">
        <f t="shared" si="14"/>
        <v>-11.656601680659334</v>
      </c>
      <c r="L87" s="719">
        <f>SUM(D87:INDEX(D87:K87,0,MATCH('RFPR cover'!$C$7,$D$6:$K$6,0)))</f>
        <v>-38.09339793240774</v>
      </c>
      <c r="M87" s="720">
        <f>SUM(D87:K87)</f>
        <v>-79.696955886011935</v>
      </c>
    </row>
    <row r="88" spans="2:15">
      <c r="B88" s="223"/>
    </row>
    <row r="89" spans="2:15">
      <c r="B89" s="223" t="s">
        <v>465</v>
      </c>
      <c r="C89" s="163" t="str">
        <f>'RFPR cover'!$C$14</f>
        <v>£m 12/13</v>
      </c>
      <c r="D89" s="153">
        <f t="shared" ref="D89:K89" si="15">D85-D87</f>
        <v>2.2280988985623651</v>
      </c>
      <c r="E89" s="153">
        <f t="shared" si="15"/>
        <v>2.2126026501253513</v>
      </c>
      <c r="F89" s="153">
        <f t="shared" si="15"/>
        <v>1.8369275069271751</v>
      </c>
      <c r="G89" s="153">
        <f t="shared" si="15"/>
        <v>1.167320079106954</v>
      </c>
      <c r="H89" s="153">
        <f t="shared" si="15"/>
        <v>1.1446879979039846</v>
      </c>
      <c r="I89" s="153">
        <f t="shared" si="15"/>
        <v>1.6374937023287917</v>
      </c>
      <c r="J89" s="153">
        <f t="shared" si="15"/>
        <v>1.9565871245173643</v>
      </c>
      <c r="K89" s="153">
        <f t="shared" si="15"/>
        <v>2.1221019403152397</v>
      </c>
      <c r="L89" s="719">
        <f>SUM(D89:INDEX(D89:K89,0,MATCH('RFPR cover'!$C$7,$D$6:$K$6,0)))</f>
        <v>7.4449491347218455</v>
      </c>
      <c r="M89" s="720">
        <f>SUM(D89:K89)</f>
        <v>14.305819899787226</v>
      </c>
    </row>
    <row r="90" spans="2:15">
      <c r="B90" s="210"/>
    </row>
  </sheetData>
  <sheetProtection password="FE19" sheet="1" objects="1" scenarios="1"/>
  <conditionalFormatting sqref="D6:K6">
    <cfRule type="expression" dxfId="28" priority="14">
      <formula>AND(D$5="Actuals",E$5="Forecast")</formula>
    </cfRule>
  </conditionalFormatting>
  <conditionalFormatting sqref="D5:K5">
    <cfRule type="expression" dxfId="27" priority="7">
      <formula>AND(D$5="Actuals",E$5="Forecast")</formula>
    </cfRule>
  </conditionalFormatting>
  <conditionalFormatting sqref="D29:K29">
    <cfRule type="expression" dxfId="26" priority="5">
      <formula>D$5="Forecast"</formula>
    </cfRule>
    <cfRule type="expression" dxfId="25"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D78:K78</xm:sqref>
        </x14:conditionalFormatting>
      </x14:conditionalFormattings>
    </ext>
  </extLst>
</worksheet>
</file>

<file path=xl/worksheets/sheet12.xml><?xml version="1.0" encoding="utf-8"?>
<worksheet xmlns="http://schemas.openxmlformats.org/spreadsheetml/2006/main" xmlns:r="http://schemas.openxmlformats.org/officeDocument/2006/relationships">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P21" sqref="P21"/>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2" customFormat="1" ht="20.25">
      <c r="A1" s="383" t="s">
        <v>227</v>
      </c>
      <c r="B1" s="269"/>
      <c r="C1" s="269"/>
      <c r="D1" s="269"/>
      <c r="E1" s="269"/>
      <c r="F1" s="269"/>
      <c r="G1" s="269"/>
      <c r="H1" s="269"/>
      <c r="I1" s="270"/>
      <c r="J1" s="270"/>
      <c r="K1" s="271"/>
      <c r="L1" s="384"/>
    </row>
    <row r="2" spans="1:12" s="32" customFormat="1" ht="20.25">
      <c r="A2" s="126" t="str">
        <f>'RFPR cover'!C5</f>
        <v>ENWL</v>
      </c>
      <c r="B2" s="30"/>
      <c r="C2" s="30"/>
      <c r="D2" s="30"/>
      <c r="E2" s="30"/>
      <c r="F2" s="30"/>
      <c r="G2" s="30"/>
      <c r="H2" s="30"/>
      <c r="I2" s="27"/>
      <c r="J2" s="27"/>
      <c r="K2" s="27"/>
      <c r="L2" s="127"/>
    </row>
    <row r="3" spans="1:12" s="32" customFormat="1" ht="23.25">
      <c r="A3" s="273">
        <f>'RFPR cover'!C7</f>
        <v>2019</v>
      </c>
      <c r="B3" s="944"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494</v>
      </c>
      <c r="C8" s="160" t="s">
        <v>118</v>
      </c>
      <c r="D8" s="922">
        <v>-149.19227706000001</v>
      </c>
      <c r="E8" s="727">
        <f>D10</f>
        <v>-132.44470549000002</v>
      </c>
      <c r="F8" s="727">
        <f t="shared" ref="F8:K8" si="1">E10</f>
        <v>-144.26576399999999</v>
      </c>
      <c r="G8" s="727">
        <f t="shared" si="1"/>
        <v>-70.296431200000001</v>
      </c>
      <c r="H8" s="727">
        <f t="shared" si="1"/>
        <v>-17.950760369999998</v>
      </c>
      <c r="I8" s="727">
        <f t="shared" si="1"/>
        <v>-339.04665858823546</v>
      </c>
      <c r="J8" s="727">
        <f t="shared" si="1"/>
        <v>-309.34318476736757</v>
      </c>
      <c r="K8" s="727">
        <f t="shared" si="1"/>
        <v>-75.38754905871474</v>
      </c>
    </row>
    <row r="9" spans="1:12" s="2" customFormat="1">
      <c r="B9" s="223"/>
    </row>
    <row r="10" spans="1:12">
      <c r="B10" s="223" t="s">
        <v>495</v>
      </c>
      <c r="C10" s="160" t="s">
        <v>118</v>
      </c>
      <c r="D10" s="721">
        <v>-132.44470549000002</v>
      </c>
      <c r="E10" s="722">
        <v>-144.26576399999999</v>
      </c>
      <c r="F10" s="722">
        <v>-70.296431200000001</v>
      </c>
      <c r="G10" s="722">
        <v>-17.950760369999998</v>
      </c>
      <c r="H10" s="722">
        <v>-339.04665858823546</v>
      </c>
      <c r="I10" s="722">
        <v>-309.34318476736757</v>
      </c>
      <c r="J10" s="722">
        <v>-75.38754905871474</v>
      </c>
      <c r="K10" s="723">
        <v>-333.35812129127294</v>
      </c>
    </row>
    <row r="11" spans="1:12">
      <c r="B11" s="223" t="s">
        <v>345</v>
      </c>
      <c r="C11" s="160" t="s">
        <v>118</v>
      </c>
      <c r="D11" s="724">
        <v>964.90000000000009</v>
      </c>
      <c r="E11" s="725">
        <v>980.20000000000016</v>
      </c>
      <c r="F11" s="725">
        <v>965.40000000000009</v>
      </c>
      <c r="G11" s="725">
        <v>894.57285724000008</v>
      </c>
      <c r="H11" s="725">
        <v>892.60168172203225</v>
      </c>
      <c r="I11" s="725">
        <v>891.17084162603896</v>
      </c>
      <c r="J11" s="725">
        <v>890.69129297069287</v>
      </c>
      <c r="K11" s="726">
        <v>890.34491383042109</v>
      </c>
    </row>
    <row r="12" spans="1:12">
      <c r="B12" s="223" t="s">
        <v>346</v>
      </c>
      <c r="C12" s="160" t="s">
        <v>118</v>
      </c>
      <c r="D12" s="724">
        <v>268.07499999999999</v>
      </c>
      <c r="E12" s="725">
        <v>268.92499999999995</v>
      </c>
      <c r="F12" s="725">
        <v>271.92499999999995</v>
      </c>
      <c r="G12" s="725">
        <v>274.05037105999997</v>
      </c>
      <c r="H12" s="725">
        <v>274.57574185999999</v>
      </c>
      <c r="I12" s="725">
        <v>275.10111279</v>
      </c>
      <c r="J12" s="725">
        <v>75.324999999999989</v>
      </c>
      <c r="K12" s="726">
        <v>75.324999999999989</v>
      </c>
    </row>
    <row r="13" spans="1:12">
      <c r="B13" s="223" t="s">
        <v>347</v>
      </c>
      <c r="C13" s="160" t="s">
        <v>118</v>
      </c>
      <c r="D13" s="724">
        <v>0</v>
      </c>
      <c r="E13" s="725">
        <v>0</v>
      </c>
      <c r="F13" s="725">
        <v>0</v>
      </c>
      <c r="G13" s="725">
        <v>0</v>
      </c>
      <c r="H13" s="725">
        <v>0</v>
      </c>
      <c r="I13" s="725">
        <v>0</v>
      </c>
      <c r="J13" s="725">
        <v>0</v>
      </c>
      <c r="K13" s="726">
        <v>0</v>
      </c>
    </row>
    <row r="14" spans="1:12">
      <c r="B14" s="223" t="s">
        <v>348</v>
      </c>
      <c r="C14" s="160" t="s">
        <v>118</v>
      </c>
      <c r="D14" s="724">
        <v>13.9</v>
      </c>
      <c r="E14" s="725">
        <v>13.6</v>
      </c>
      <c r="F14" s="725">
        <v>13.5</v>
      </c>
      <c r="G14" s="725">
        <v>14.600000000000001</v>
      </c>
      <c r="H14" s="725">
        <v>13.9</v>
      </c>
      <c r="I14" s="725">
        <v>13.9</v>
      </c>
      <c r="J14" s="725">
        <v>13.9</v>
      </c>
      <c r="K14" s="726">
        <v>13.9</v>
      </c>
    </row>
    <row r="15" spans="1:12">
      <c r="B15" s="223" t="s">
        <v>282</v>
      </c>
      <c r="C15" s="160" t="s">
        <v>118</v>
      </c>
      <c r="D15" s="724">
        <v>0</v>
      </c>
      <c r="E15" s="725">
        <v>0</v>
      </c>
      <c r="F15" s="725">
        <v>0</v>
      </c>
      <c r="G15" s="725">
        <v>0</v>
      </c>
      <c r="H15" s="725">
        <v>0</v>
      </c>
      <c r="I15" s="725">
        <v>0</v>
      </c>
      <c r="J15" s="725">
        <v>0</v>
      </c>
      <c r="K15" s="726">
        <v>0</v>
      </c>
    </row>
    <row r="16" spans="1:12">
      <c r="B16" s="223" t="s">
        <v>283</v>
      </c>
      <c r="C16" s="160" t="s">
        <v>118</v>
      </c>
      <c r="D16" s="724">
        <v>0</v>
      </c>
      <c r="E16" s="725">
        <v>0</v>
      </c>
      <c r="F16" s="725">
        <v>0</v>
      </c>
      <c r="G16" s="725">
        <v>0</v>
      </c>
      <c r="H16" s="725">
        <v>0</v>
      </c>
      <c r="I16" s="725">
        <v>0</v>
      </c>
      <c r="J16" s="725">
        <v>0</v>
      </c>
      <c r="K16" s="726">
        <v>0</v>
      </c>
    </row>
    <row r="17" spans="2:13">
      <c r="B17" s="223" t="s">
        <v>287</v>
      </c>
      <c r="C17" s="160" t="s">
        <v>118</v>
      </c>
      <c r="D17" s="724">
        <v>0</v>
      </c>
      <c r="E17" s="725">
        <v>0</v>
      </c>
      <c r="F17" s="725">
        <v>0</v>
      </c>
      <c r="G17" s="725">
        <v>0</v>
      </c>
      <c r="H17" s="725">
        <v>0</v>
      </c>
      <c r="I17" s="725">
        <v>0</v>
      </c>
      <c r="J17" s="725">
        <v>0</v>
      </c>
      <c r="K17" s="726">
        <v>0</v>
      </c>
    </row>
    <row r="18" spans="2:13">
      <c r="B18" s="223" t="s">
        <v>288</v>
      </c>
      <c r="C18" s="160" t="s">
        <v>118</v>
      </c>
      <c r="D18" s="724">
        <v>267.61171153553653</v>
      </c>
      <c r="E18" s="725">
        <v>363.53868162918388</v>
      </c>
      <c r="F18" s="725">
        <v>357.28788632471884</v>
      </c>
      <c r="G18" s="725">
        <v>404.59503797953914</v>
      </c>
      <c r="H18" s="725">
        <v>404.59503797953914</v>
      </c>
      <c r="I18" s="725">
        <v>404.59503797953914</v>
      </c>
      <c r="J18" s="725">
        <v>404.59503797953914</v>
      </c>
      <c r="K18" s="726">
        <v>404.59503797953914</v>
      </c>
    </row>
    <row r="19" spans="2:13">
      <c r="B19" s="223" t="s">
        <v>289</v>
      </c>
      <c r="C19" s="160" t="s">
        <v>118</v>
      </c>
      <c r="D19" s="724">
        <v>0</v>
      </c>
      <c r="E19" s="725">
        <v>0</v>
      </c>
      <c r="F19" s="725">
        <v>0</v>
      </c>
      <c r="G19" s="725">
        <v>0</v>
      </c>
      <c r="H19" s="725">
        <v>0</v>
      </c>
      <c r="I19" s="725">
        <v>0</v>
      </c>
      <c r="J19" s="725">
        <v>0</v>
      </c>
      <c r="K19" s="726">
        <v>0</v>
      </c>
    </row>
    <row r="20" spans="2:13">
      <c r="B20" s="223" t="s">
        <v>290</v>
      </c>
      <c r="C20" s="160" t="s">
        <v>118</v>
      </c>
      <c r="D20" s="724">
        <v>0</v>
      </c>
      <c r="E20" s="725">
        <v>0</v>
      </c>
      <c r="F20" s="725">
        <v>0</v>
      </c>
      <c r="G20" s="725">
        <v>0</v>
      </c>
      <c r="H20" s="725">
        <v>0</v>
      </c>
      <c r="I20" s="725">
        <v>0</v>
      </c>
      <c r="J20" s="725">
        <v>0</v>
      </c>
      <c r="K20" s="726">
        <v>0</v>
      </c>
    </row>
    <row r="21" spans="2:13">
      <c r="B21" s="223" t="s">
        <v>291</v>
      </c>
      <c r="C21" s="160" t="s">
        <v>118</v>
      </c>
      <c r="D21" s="724">
        <v>0</v>
      </c>
      <c r="E21" s="725">
        <v>0</v>
      </c>
      <c r="F21" s="725">
        <v>0</v>
      </c>
      <c r="G21" s="725">
        <v>0</v>
      </c>
      <c r="H21" s="725">
        <v>0</v>
      </c>
      <c r="I21" s="725">
        <v>0</v>
      </c>
      <c r="J21" s="725">
        <v>0</v>
      </c>
      <c r="K21" s="726">
        <v>0</v>
      </c>
    </row>
    <row r="22" spans="2:13">
      <c r="B22" s="223" t="s">
        <v>292</v>
      </c>
      <c r="C22" s="160" t="s">
        <v>118</v>
      </c>
      <c r="D22" s="724">
        <v>0</v>
      </c>
      <c r="E22" s="725">
        <v>0</v>
      </c>
      <c r="F22" s="725">
        <v>0</v>
      </c>
      <c r="G22" s="725">
        <v>0</v>
      </c>
      <c r="H22" s="725">
        <v>0</v>
      </c>
      <c r="I22" s="725">
        <v>0</v>
      </c>
      <c r="J22" s="725">
        <v>0</v>
      </c>
      <c r="K22" s="726">
        <v>0</v>
      </c>
    </row>
    <row r="23" spans="2:13">
      <c r="B23" s="14" t="s">
        <v>308</v>
      </c>
      <c r="C23" s="245" t="s">
        <v>118</v>
      </c>
      <c r="D23" s="727">
        <f>SUM(D10:D22)</f>
        <v>1382.0420060455367</v>
      </c>
      <c r="E23" s="727">
        <f t="shared" ref="E23:K23" si="2">SUM(E10:E22)</f>
        <v>1481.997917629184</v>
      </c>
      <c r="F23" s="727">
        <f t="shared" si="2"/>
        <v>1537.8164551247187</v>
      </c>
      <c r="G23" s="727">
        <f t="shared" si="2"/>
        <v>1569.867505909539</v>
      </c>
      <c r="H23" s="727">
        <f t="shared" si="2"/>
        <v>1246.6258029733358</v>
      </c>
      <c r="I23" s="727">
        <f t="shared" si="2"/>
        <v>1275.4238076282104</v>
      </c>
      <c r="J23" s="727">
        <f t="shared" si="2"/>
        <v>1309.1237818915172</v>
      </c>
      <c r="K23" s="728">
        <f t="shared" si="2"/>
        <v>1050.8068305186873</v>
      </c>
      <c r="L23" s="2"/>
      <c r="M23" s="342"/>
    </row>
    <row r="24" spans="2:13">
      <c r="B24" s="14"/>
      <c r="C24" s="160"/>
      <c r="D24" s="249"/>
      <c r="E24" s="249"/>
      <c r="F24" s="249"/>
      <c r="G24" s="249"/>
      <c r="H24" s="249"/>
      <c r="I24" s="249"/>
      <c r="J24" s="249"/>
      <c r="K24" s="249"/>
      <c r="L24" s="2"/>
      <c r="M24" s="2"/>
    </row>
    <row r="25" spans="2:13">
      <c r="B25" s="14" t="s">
        <v>113</v>
      </c>
      <c r="C25" s="16"/>
      <c r="D25" s="250"/>
      <c r="E25" s="250"/>
      <c r="F25" s="250"/>
      <c r="G25" s="250"/>
      <c r="H25" s="250"/>
      <c r="I25" s="250"/>
      <c r="J25" s="250"/>
      <c r="K25" s="250"/>
      <c r="L25" s="2"/>
      <c r="M25" s="2"/>
    </row>
    <row r="26" spans="2:13">
      <c r="B26" s="391" t="s">
        <v>582</v>
      </c>
      <c r="C26" s="160" t="s">
        <v>118</v>
      </c>
      <c r="D26" s="366">
        <v>6.6240000000000059</v>
      </c>
      <c r="E26" s="401">
        <v>5.9280000000000168</v>
      </c>
      <c r="F26" s="401">
        <v>5.1180000000000003</v>
      </c>
      <c r="G26" s="401">
        <v>-37.207528169999946</v>
      </c>
      <c r="H26" s="401">
        <v>-32.023597118796964</v>
      </c>
      <c r="I26" s="401">
        <v>-26.859211115139914</v>
      </c>
      <c r="J26" s="401">
        <v>-21.40642198280776</v>
      </c>
      <c r="K26" s="405">
        <v>-15.721427173871586</v>
      </c>
      <c r="L26" s="2"/>
      <c r="M26" s="2"/>
    </row>
    <row r="27" spans="2:13">
      <c r="B27" s="391" t="s">
        <v>583</v>
      </c>
      <c r="C27" s="160" t="s">
        <v>118</v>
      </c>
      <c r="D27" s="366">
        <v>0</v>
      </c>
      <c r="E27" s="401">
        <v>0</v>
      </c>
      <c r="F27" s="401">
        <v>0</v>
      </c>
      <c r="G27" s="401">
        <v>0</v>
      </c>
      <c r="H27" s="401">
        <v>0</v>
      </c>
      <c r="I27" s="401">
        <v>0</v>
      </c>
      <c r="J27" s="401">
        <v>0</v>
      </c>
      <c r="K27" s="405">
        <v>0</v>
      </c>
      <c r="L27" s="36"/>
      <c r="M27" s="36"/>
    </row>
    <row r="28" spans="2:13">
      <c r="B28" s="391" t="s">
        <v>584</v>
      </c>
      <c r="C28" s="160" t="s">
        <v>118</v>
      </c>
      <c r="D28" s="366">
        <v>0</v>
      </c>
      <c r="E28" s="401">
        <v>0</v>
      </c>
      <c r="F28" s="401">
        <v>0</v>
      </c>
      <c r="G28" s="401">
        <v>0</v>
      </c>
      <c r="H28" s="401">
        <v>0</v>
      </c>
      <c r="I28" s="401">
        <v>0</v>
      </c>
      <c r="J28" s="401">
        <v>0</v>
      </c>
      <c r="K28" s="405">
        <v>0</v>
      </c>
      <c r="L28" s="36"/>
      <c r="M28" s="36"/>
    </row>
    <row r="29" spans="2:13">
      <c r="B29" s="391" t="s">
        <v>585</v>
      </c>
      <c r="C29" s="160" t="s">
        <v>118</v>
      </c>
      <c r="D29" s="366">
        <v>0</v>
      </c>
      <c r="E29" s="401">
        <v>0</v>
      </c>
      <c r="F29" s="401">
        <v>0</v>
      </c>
      <c r="G29" s="401">
        <v>0</v>
      </c>
      <c r="H29" s="401">
        <v>0</v>
      </c>
      <c r="I29" s="401">
        <v>0</v>
      </c>
      <c r="J29" s="401">
        <v>0</v>
      </c>
      <c r="K29" s="405">
        <v>0</v>
      </c>
      <c r="L29" s="36"/>
      <c r="M29" s="36"/>
    </row>
    <row r="30" spans="2:13">
      <c r="B30" s="391" t="s">
        <v>586</v>
      </c>
      <c r="C30" s="160" t="s">
        <v>118</v>
      </c>
      <c r="D30" s="366">
        <v>-130.70000000000005</v>
      </c>
      <c r="E30" s="401">
        <v>-141</v>
      </c>
      <c r="F30" s="401">
        <v>-117.19999999999999</v>
      </c>
      <c r="G30" s="401">
        <v>0</v>
      </c>
      <c r="H30" s="401">
        <v>0</v>
      </c>
      <c r="I30" s="401">
        <v>0</v>
      </c>
      <c r="J30" s="401">
        <v>0</v>
      </c>
      <c r="K30" s="405">
        <v>0</v>
      </c>
    </row>
    <row r="31" spans="2:13">
      <c r="B31" s="391" t="s">
        <v>587</v>
      </c>
      <c r="C31" s="160" t="s">
        <v>118</v>
      </c>
      <c r="D31" s="366">
        <v>-267.61171153553653</v>
      </c>
      <c r="E31" s="401">
        <v>-363.53868162918388</v>
      </c>
      <c r="F31" s="401">
        <v>-357.28788632471884</v>
      </c>
      <c r="G31" s="401">
        <v>-404.59503797953914</v>
      </c>
      <c r="H31" s="401">
        <v>-404.59503797953914</v>
      </c>
      <c r="I31" s="401">
        <v>-404.59503797953914</v>
      </c>
      <c r="J31" s="401">
        <v>-404.59503797953914</v>
      </c>
      <c r="K31" s="405">
        <v>-404.59503797953914</v>
      </c>
    </row>
    <row r="32" spans="2:13" ht="12.75" customHeight="1">
      <c r="B32" s="391">
        <v>0</v>
      </c>
      <c r="C32" s="160" t="s">
        <v>118</v>
      </c>
      <c r="D32" s="366">
        <v>0</v>
      </c>
      <c r="E32" s="401">
        <v>0</v>
      </c>
      <c r="F32" s="401">
        <v>0</v>
      </c>
      <c r="G32" s="401">
        <v>0</v>
      </c>
      <c r="H32" s="401">
        <v>0</v>
      </c>
      <c r="I32" s="401">
        <v>0</v>
      </c>
      <c r="J32" s="401">
        <v>0</v>
      </c>
      <c r="K32" s="405">
        <v>0</v>
      </c>
    </row>
    <row r="33" spans="2:12">
      <c r="B33" s="391">
        <v>0</v>
      </c>
      <c r="C33" s="160" t="s">
        <v>118</v>
      </c>
      <c r="D33" s="366">
        <v>0</v>
      </c>
      <c r="E33" s="401">
        <v>0</v>
      </c>
      <c r="F33" s="401">
        <v>0</v>
      </c>
      <c r="G33" s="401">
        <v>0</v>
      </c>
      <c r="H33" s="401">
        <v>0</v>
      </c>
      <c r="I33" s="401">
        <v>0</v>
      </c>
      <c r="J33" s="401">
        <v>0</v>
      </c>
      <c r="K33" s="405">
        <v>0</v>
      </c>
    </row>
    <row r="34" spans="2:12">
      <c r="B34" s="391">
        <v>0</v>
      </c>
      <c r="C34" s="160" t="s">
        <v>118</v>
      </c>
      <c r="D34" s="366">
        <v>0</v>
      </c>
      <c r="E34" s="401">
        <v>0</v>
      </c>
      <c r="F34" s="401">
        <v>0</v>
      </c>
      <c r="G34" s="401">
        <v>0</v>
      </c>
      <c r="H34" s="401">
        <v>0</v>
      </c>
      <c r="I34" s="401">
        <v>0</v>
      </c>
      <c r="J34" s="401">
        <v>0</v>
      </c>
      <c r="K34" s="405">
        <v>0</v>
      </c>
    </row>
    <row r="35" spans="2:12">
      <c r="B35" s="391">
        <v>0</v>
      </c>
      <c r="C35" s="160" t="s">
        <v>118</v>
      </c>
      <c r="D35" s="366">
        <v>0</v>
      </c>
      <c r="E35" s="401">
        <v>0</v>
      </c>
      <c r="F35" s="401">
        <v>0</v>
      </c>
      <c r="G35" s="401">
        <v>0</v>
      </c>
      <c r="H35" s="401">
        <v>0</v>
      </c>
      <c r="I35" s="401">
        <v>0</v>
      </c>
      <c r="J35" s="401">
        <v>0</v>
      </c>
      <c r="K35" s="405">
        <v>0</v>
      </c>
    </row>
    <row r="36" spans="2:12">
      <c r="B36" s="391" t="s">
        <v>588</v>
      </c>
      <c r="C36" s="160" t="s">
        <v>118</v>
      </c>
      <c r="D36" s="366">
        <v>-13.9</v>
      </c>
      <c r="E36" s="401">
        <v>-13.6</v>
      </c>
      <c r="F36" s="401">
        <v>-13.5</v>
      </c>
      <c r="G36" s="401">
        <v>-14.600000000000001</v>
      </c>
      <c r="H36" s="401">
        <v>-13.9</v>
      </c>
      <c r="I36" s="401">
        <v>-13.9</v>
      </c>
      <c r="J36" s="401">
        <v>-13.9</v>
      </c>
      <c r="K36" s="405">
        <v>-13.9</v>
      </c>
    </row>
    <row r="37" spans="2:12">
      <c r="B37" s="391" t="s">
        <v>589</v>
      </c>
      <c r="C37" s="160" t="s">
        <v>118</v>
      </c>
      <c r="D37" s="366">
        <v>-6.6240000000000059</v>
      </c>
      <c r="E37" s="401">
        <v>-5.9280000000000168</v>
      </c>
      <c r="F37" s="401">
        <v>-5.1180000000000003</v>
      </c>
      <c r="G37" s="401">
        <v>37.207528169999946</v>
      </c>
      <c r="H37" s="401">
        <v>32.023597118796964</v>
      </c>
      <c r="I37" s="401">
        <v>26.859211115139914</v>
      </c>
      <c r="J37" s="401">
        <v>21.40642198280776</v>
      </c>
      <c r="K37" s="405">
        <v>15.721427173871586</v>
      </c>
    </row>
    <row r="38" spans="2:12">
      <c r="B38" s="391">
        <v>0</v>
      </c>
      <c r="C38" s="160" t="s">
        <v>118</v>
      </c>
      <c r="D38" s="366">
        <v>0</v>
      </c>
      <c r="E38" s="401">
        <v>0</v>
      </c>
      <c r="F38" s="401">
        <v>0</v>
      </c>
      <c r="G38" s="401">
        <v>0</v>
      </c>
      <c r="H38" s="401">
        <v>0</v>
      </c>
      <c r="I38" s="401">
        <v>0</v>
      </c>
      <c r="J38" s="401">
        <v>0</v>
      </c>
      <c r="K38" s="405">
        <v>0</v>
      </c>
    </row>
    <row r="39" spans="2:12">
      <c r="B39" s="391" t="s">
        <v>590</v>
      </c>
      <c r="C39" s="160" t="s">
        <v>118</v>
      </c>
      <c r="D39" s="366">
        <v>54.762097314674783</v>
      </c>
      <c r="E39" s="401">
        <v>50.583370864802497</v>
      </c>
      <c r="F39" s="401">
        <v>46.159155109294844</v>
      </c>
      <c r="G39" s="401">
        <v>0</v>
      </c>
      <c r="H39" s="401">
        <v>0</v>
      </c>
      <c r="I39" s="401">
        <v>0</v>
      </c>
      <c r="J39" s="401">
        <v>0</v>
      </c>
      <c r="K39" s="405">
        <v>0</v>
      </c>
    </row>
    <row r="40" spans="2:12">
      <c r="B40" s="391">
        <v>0</v>
      </c>
      <c r="C40" s="160" t="s">
        <v>118</v>
      </c>
      <c r="D40" s="366">
        <v>0</v>
      </c>
      <c r="E40" s="401">
        <v>0</v>
      </c>
      <c r="F40" s="401">
        <v>0</v>
      </c>
      <c r="G40" s="401">
        <v>0</v>
      </c>
      <c r="H40" s="401">
        <v>0</v>
      </c>
      <c r="I40" s="401">
        <v>0</v>
      </c>
      <c r="J40" s="401">
        <v>0</v>
      </c>
      <c r="K40" s="405">
        <v>0</v>
      </c>
    </row>
    <row r="41" spans="2:12">
      <c r="B41" s="391">
        <v>0</v>
      </c>
      <c r="C41" s="160" t="s">
        <v>118</v>
      </c>
      <c r="D41" s="402">
        <v>0</v>
      </c>
      <c r="E41" s="403">
        <v>0</v>
      </c>
      <c r="F41" s="403">
        <v>0</v>
      </c>
      <c r="G41" s="403">
        <v>0</v>
      </c>
      <c r="H41" s="403">
        <v>0</v>
      </c>
      <c r="I41" s="403">
        <v>0</v>
      </c>
      <c r="J41" s="403">
        <v>0</v>
      </c>
      <c r="K41" s="406">
        <v>0</v>
      </c>
    </row>
    <row r="42" spans="2:12">
      <c r="B42" s="209" t="s">
        <v>224</v>
      </c>
      <c r="C42" s="160" t="s">
        <v>118</v>
      </c>
      <c r="D42" s="735">
        <f>SUM(D23,D26:D41)</f>
        <v>1024.5923918246749</v>
      </c>
      <c r="E42" s="736">
        <f t="shared" ref="E42:K42" si="3">SUM(E23,E26:E41)</f>
        <v>1014.4426068648028</v>
      </c>
      <c r="F42" s="736">
        <f t="shared" si="3"/>
        <v>1095.9877239092948</v>
      </c>
      <c r="G42" s="736">
        <f t="shared" si="3"/>
        <v>1150.67246793</v>
      </c>
      <c r="H42" s="736">
        <f t="shared" si="3"/>
        <v>828.13076499379667</v>
      </c>
      <c r="I42" s="737">
        <f t="shared" si="3"/>
        <v>856.92876964867128</v>
      </c>
      <c r="J42" s="737">
        <f t="shared" si="3"/>
        <v>890.62874391197795</v>
      </c>
      <c r="K42" s="738">
        <f t="shared" si="3"/>
        <v>632.31179253914809</v>
      </c>
    </row>
    <row r="43" spans="2:12">
      <c r="B43" s="392" t="s">
        <v>295</v>
      </c>
      <c r="C43" s="160" t="s">
        <v>118</v>
      </c>
      <c r="D43" s="739">
        <v>0</v>
      </c>
      <c r="E43" s="740">
        <v>0</v>
      </c>
      <c r="F43" s="740">
        <v>0</v>
      </c>
      <c r="G43" s="741">
        <v>0</v>
      </c>
      <c r="H43" s="741">
        <v>350</v>
      </c>
      <c r="I43" s="741">
        <v>354.16250000000002</v>
      </c>
      <c r="J43" s="741">
        <v>358.82591562499999</v>
      </c>
      <c r="K43" s="742">
        <v>663.70981253046875</v>
      </c>
    </row>
    <row r="44" spans="2:12">
      <c r="B44" s="365" t="s">
        <v>412</v>
      </c>
      <c r="C44" s="160" t="s">
        <v>118</v>
      </c>
      <c r="D44" s="97">
        <f>SUM(D42:D43)</f>
        <v>1024.5923918246749</v>
      </c>
      <c r="E44" s="98">
        <f t="shared" ref="E44:K44" si="4">SUM(E42:E43)</f>
        <v>1014.4426068648028</v>
      </c>
      <c r="F44" s="98">
        <f t="shared" si="4"/>
        <v>1095.9877239092948</v>
      </c>
      <c r="G44" s="98">
        <f t="shared" si="4"/>
        <v>1150.67246793</v>
      </c>
      <c r="H44" s="98">
        <f t="shared" si="4"/>
        <v>1178.1307649937967</v>
      </c>
      <c r="I44" s="98">
        <f t="shared" si="4"/>
        <v>1211.0912696486712</v>
      </c>
      <c r="J44" s="98">
        <f t="shared" si="4"/>
        <v>1249.4546595369779</v>
      </c>
      <c r="K44" s="99">
        <f t="shared" si="4"/>
        <v>1296.0216050696167</v>
      </c>
    </row>
    <row r="45" spans="2:12">
      <c r="D45" s="236" t="s">
        <v>556</v>
      </c>
      <c r="E45" s="237" t="s">
        <v>556</v>
      </c>
      <c r="F45" s="237" t="s">
        <v>556</v>
      </c>
      <c r="G45" s="237" t="s">
        <v>556</v>
      </c>
      <c r="H45" s="237" t="s">
        <v>556</v>
      </c>
      <c r="I45" s="237" t="s">
        <v>556</v>
      </c>
      <c r="J45" s="237" t="s">
        <v>556</v>
      </c>
      <c r="K45" s="238" t="s">
        <v>556</v>
      </c>
    </row>
    <row r="47" spans="2:12">
      <c r="B47" s="858" t="s">
        <v>413</v>
      </c>
      <c r="C47" s="160" t="s">
        <v>118</v>
      </c>
      <c r="D47" s="873">
        <v>964.3</v>
      </c>
      <c r="E47" s="98">
        <f>D48</f>
        <v>1024.5923918246749</v>
      </c>
      <c r="F47" s="98">
        <f t="shared" ref="F47:K47" si="5">E48</f>
        <v>1014.4426068648028</v>
      </c>
      <c r="G47" s="98">
        <f t="shared" si="5"/>
        <v>1095.9877239092948</v>
      </c>
      <c r="H47" s="98">
        <f t="shared" si="5"/>
        <v>1150.67246793</v>
      </c>
      <c r="I47" s="98">
        <f t="shared" si="5"/>
        <v>1178.1307649937967</v>
      </c>
      <c r="J47" s="98">
        <f t="shared" si="5"/>
        <v>1211.0912696486712</v>
      </c>
      <c r="K47" s="99">
        <f t="shared" si="5"/>
        <v>1249.4546595369779</v>
      </c>
      <c r="L47" s="857"/>
    </row>
    <row r="48" spans="2:12">
      <c r="B48" s="858" t="s">
        <v>414</v>
      </c>
      <c r="C48" s="160" t="s">
        <v>118</v>
      </c>
      <c r="D48" s="607">
        <f>D44</f>
        <v>1024.5923918246749</v>
      </c>
      <c r="E48" s="608">
        <f>E44</f>
        <v>1014.4426068648028</v>
      </c>
      <c r="F48" s="608">
        <f t="shared" ref="F48:K48" si="6">F44</f>
        <v>1095.9877239092948</v>
      </c>
      <c r="G48" s="608">
        <f t="shared" si="6"/>
        <v>1150.67246793</v>
      </c>
      <c r="H48" s="608">
        <f t="shared" si="6"/>
        <v>1178.1307649937967</v>
      </c>
      <c r="I48" s="608">
        <f t="shared" si="6"/>
        <v>1211.0912696486712</v>
      </c>
      <c r="J48" s="608">
        <f t="shared" si="6"/>
        <v>1249.4546595369779</v>
      </c>
      <c r="K48" s="872">
        <f t="shared" si="6"/>
        <v>1296.0216050696167</v>
      </c>
      <c r="L48" s="857"/>
    </row>
    <row r="49" spans="2:13">
      <c r="D49" s="23"/>
      <c r="E49" s="23"/>
      <c r="F49" s="23"/>
      <c r="G49" s="23"/>
      <c r="H49" s="23"/>
      <c r="I49" s="23"/>
      <c r="J49" s="23"/>
      <c r="K49" s="23"/>
    </row>
    <row r="50" spans="2:13">
      <c r="B50" s="14" t="s">
        <v>114</v>
      </c>
    </row>
    <row r="51" spans="2:13">
      <c r="B51" t="s">
        <v>115</v>
      </c>
      <c r="C51" s="507" t="s">
        <v>7</v>
      </c>
      <c r="D51" s="501">
        <v>0</v>
      </c>
      <c r="E51" s="502">
        <v>0</v>
      </c>
      <c r="F51" s="502">
        <v>0</v>
      </c>
      <c r="G51" s="502">
        <v>0</v>
      </c>
      <c r="H51" s="502">
        <v>0</v>
      </c>
      <c r="I51" s="502">
        <v>0</v>
      </c>
      <c r="J51" s="502">
        <v>0</v>
      </c>
      <c r="K51" s="503">
        <v>0</v>
      </c>
    </row>
    <row r="52" spans="2:13">
      <c r="B52" t="s">
        <v>116</v>
      </c>
      <c r="C52" s="507" t="s">
        <v>7</v>
      </c>
      <c r="D52" s="513">
        <f>1-D51</f>
        <v>1</v>
      </c>
      <c r="E52" s="514">
        <f t="shared" ref="E52:K52" si="7">1-E51</f>
        <v>1</v>
      </c>
      <c r="F52" s="514">
        <f t="shared" si="7"/>
        <v>1</v>
      </c>
      <c r="G52" s="514">
        <f t="shared" si="7"/>
        <v>1</v>
      </c>
      <c r="H52" s="514">
        <f t="shared" si="7"/>
        <v>1</v>
      </c>
      <c r="I52" s="514">
        <f t="shared" si="7"/>
        <v>1</v>
      </c>
      <c r="J52" s="514">
        <f t="shared" si="7"/>
        <v>1</v>
      </c>
      <c r="K52" s="515">
        <f t="shared" si="7"/>
        <v>1</v>
      </c>
    </row>
    <row r="53" spans="2:13">
      <c r="C53" s="857"/>
      <c r="D53" s="857"/>
      <c r="E53" s="857"/>
      <c r="F53" s="857"/>
      <c r="G53" s="857"/>
      <c r="H53" s="857"/>
      <c r="I53" s="857"/>
      <c r="J53" s="857"/>
      <c r="K53" s="857"/>
      <c r="L53" s="857"/>
    </row>
    <row r="54" spans="2:13">
      <c r="B54" s="210" t="s">
        <v>436</v>
      </c>
      <c r="C54" s="280" t="s">
        <v>118</v>
      </c>
      <c r="D54" s="743">
        <f>AVERAGE(D47:D48)*D52</f>
        <v>994.44619591233743</v>
      </c>
      <c r="E54" s="744">
        <f t="shared" ref="E54:K54" si="8">AVERAGE(E47:E48)*E52</f>
        <v>1019.5174993447388</v>
      </c>
      <c r="F54" s="744">
        <f t="shared" si="8"/>
        <v>1055.2151653870487</v>
      </c>
      <c r="G54" s="744">
        <f t="shared" si="8"/>
        <v>1123.3300959196474</v>
      </c>
      <c r="H54" s="744">
        <f t="shared" si="8"/>
        <v>1164.4016164618984</v>
      </c>
      <c r="I54" s="744">
        <f t="shared" si="8"/>
        <v>1194.6110173212339</v>
      </c>
      <c r="J54" s="744">
        <f t="shared" si="8"/>
        <v>1230.2729645928246</v>
      </c>
      <c r="K54" s="745">
        <f t="shared" si="8"/>
        <v>1272.7381323032973</v>
      </c>
    </row>
    <row r="55" spans="2:13">
      <c r="B55" s="210" t="s">
        <v>262</v>
      </c>
      <c r="C55" s="160" t="s">
        <v>118</v>
      </c>
      <c r="D55" s="729">
        <f>D56-D54</f>
        <v>630.43499466224819</v>
      </c>
      <c r="E55" s="730">
        <f t="shared" ref="E55:K55" si="9">E56-E54</f>
        <v>652.1875466312888</v>
      </c>
      <c r="F55" s="730">
        <f t="shared" si="9"/>
        <v>681.21547349695811</v>
      </c>
      <c r="G55" s="730">
        <f t="shared" si="9"/>
        <v>679.7185476797697</v>
      </c>
      <c r="H55" s="730">
        <f t="shared" si="9"/>
        <v>705.8451595805027</v>
      </c>
      <c r="I55" s="730">
        <f t="shared" si="9"/>
        <v>751.15626768027278</v>
      </c>
      <c r="J55" s="730">
        <f t="shared" si="9"/>
        <v>798.43856200851928</v>
      </c>
      <c r="K55" s="731">
        <f t="shared" si="9"/>
        <v>841.55104299906043</v>
      </c>
    </row>
    <row r="56" spans="2:13">
      <c r="B56" s="210" t="s">
        <v>482</v>
      </c>
      <c r="C56" s="160" t="s">
        <v>118</v>
      </c>
      <c r="D56" s="911">
        <f>IF(D6='RFPR cover'!$C$13,AVERAGE(('R9 - RAV'!D16*'R9 - RAV'!D36),'R9 - RAV'!D38),AVERAGE('R9 - RAV'!C38:D38))</f>
        <v>1624.8811905745856</v>
      </c>
      <c r="E56" s="911">
        <f>IF(E6='RFPR cover'!$C$13,AVERAGE(('R9 - RAV'!E16*'R9 - RAV'!E36),'R9 - RAV'!E38),AVERAGE('R9 - RAV'!D38:E38))</f>
        <v>1671.7050459760276</v>
      </c>
      <c r="F56" s="911">
        <f>IF(F6='RFPR cover'!$C$13,AVERAGE(('R9 - RAV'!F16*'R9 - RAV'!F36),'R9 - RAV'!F38),AVERAGE('R9 - RAV'!E38:F38))</f>
        <v>1736.4306388840068</v>
      </c>
      <c r="G56" s="911">
        <f>IF(G6='RFPR cover'!$C$13,AVERAGE(('R9 - RAV'!G16*'R9 - RAV'!G36),'R9 - RAV'!G38),AVERAGE('R9 - RAV'!F38:G38))</f>
        <v>1803.0486435994171</v>
      </c>
      <c r="H56" s="911">
        <f>IF(H6='RFPR cover'!$C$13,AVERAGE(('R9 - RAV'!H16*'R9 - RAV'!H36),'R9 - RAV'!H38),AVERAGE('R9 - RAV'!G38:H38))</f>
        <v>1870.2467760424011</v>
      </c>
      <c r="I56" s="911">
        <f>IF(I6='RFPR cover'!$C$13,AVERAGE(('R9 - RAV'!I16*'R9 - RAV'!I36),'R9 - RAV'!I38),AVERAGE('R9 - RAV'!H38:I38))</f>
        <v>1945.7672850015067</v>
      </c>
      <c r="J56" s="911">
        <f>IF(J6='RFPR cover'!$C$13,AVERAGE(('R9 - RAV'!J16*'R9 - RAV'!J36),'R9 - RAV'!J38),AVERAGE('R9 - RAV'!I38:J38))</f>
        <v>2028.7115266013438</v>
      </c>
      <c r="K56" s="911">
        <f>IF(K6='RFPR cover'!$C$13,AVERAGE(('R9 - RAV'!K16*'R9 - RAV'!K36),'R9 - RAV'!K38),AVERAGE('R9 - RAV'!J38:K38))</f>
        <v>2114.2891753023578</v>
      </c>
    </row>
    <row r="57" spans="2:13">
      <c r="B57" s="210" t="s">
        <v>225</v>
      </c>
      <c r="C57" s="160" t="s">
        <v>7</v>
      </c>
      <c r="D57" s="241">
        <f>D54/D56</f>
        <v>0.61201163610041198</v>
      </c>
      <c r="E57" s="242">
        <f t="shared" ref="E57:K57" si="10">E54/E56</f>
        <v>0.60986685527977924</v>
      </c>
      <c r="F57" s="242">
        <f t="shared" si="10"/>
        <v>0.6076920907507305</v>
      </c>
      <c r="G57" s="242">
        <f t="shared" si="10"/>
        <v>0.62301707716390231</v>
      </c>
      <c r="H57" s="242">
        <f t="shared" si="10"/>
        <v>0.6225925002933943</v>
      </c>
      <c r="I57" s="242">
        <f t="shared" si="10"/>
        <v>0.61395369658520538</v>
      </c>
      <c r="J57" s="242">
        <f t="shared" si="10"/>
        <v>0.60643070661400245</v>
      </c>
      <c r="K57" s="243">
        <f t="shared" si="10"/>
        <v>0.6019697528467397</v>
      </c>
    </row>
    <row r="58" spans="2:13">
      <c r="B58" s="210" t="s">
        <v>105</v>
      </c>
      <c r="C58" s="160" t="s">
        <v>7</v>
      </c>
      <c r="D58" s="912">
        <f>'RFPR cover'!$C$12</f>
        <v>0.65</v>
      </c>
      <c r="E58" s="913">
        <f>'RFPR cover'!$C$12</f>
        <v>0.65</v>
      </c>
      <c r="F58" s="913">
        <f>'RFPR cover'!$C$12</f>
        <v>0.65</v>
      </c>
      <c r="G58" s="913">
        <f>'RFPR cover'!$C$12</f>
        <v>0.65</v>
      </c>
      <c r="H58" s="913">
        <f>'RFPR cover'!$C$12</f>
        <v>0.65</v>
      </c>
      <c r="I58" s="913">
        <f>'RFPR cover'!$C$12</f>
        <v>0.65</v>
      </c>
      <c r="J58" s="913">
        <f>'RFPR cover'!$C$12</f>
        <v>0.65</v>
      </c>
      <c r="K58" s="914">
        <f>'RFPR cover'!$C$12</f>
        <v>0.65</v>
      </c>
    </row>
    <row r="59" spans="2:13">
      <c r="B59" s="210" t="s">
        <v>226</v>
      </c>
      <c r="C59" s="160" t="s">
        <v>7</v>
      </c>
      <c r="D59" s="246">
        <f t="shared" ref="D59:K59" si="11">IF(ISBLANK(D23),"n/a",D57-D58)</f>
        <v>-3.798836389958804E-2</v>
      </c>
      <c r="E59" s="247">
        <f t="shared" si="11"/>
        <v>-4.0133144720220781E-2</v>
      </c>
      <c r="F59" s="247">
        <f t="shared" si="11"/>
        <v>-4.2307909249269526E-2</v>
      </c>
      <c r="G59" s="247">
        <f t="shared" si="11"/>
        <v>-2.6982922836097711E-2</v>
      </c>
      <c r="H59" s="247">
        <f t="shared" si="11"/>
        <v>-2.740749970660572E-2</v>
      </c>
      <c r="I59" s="247">
        <f t="shared" si="11"/>
        <v>-3.6046303414794645E-2</v>
      </c>
      <c r="J59" s="247">
        <f t="shared" si="11"/>
        <v>-4.3569293385997576E-2</v>
      </c>
      <c r="K59" s="248">
        <f t="shared" si="11"/>
        <v>-4.8030247153260319E-2</v>
      </c>
    </row>
    <row r="61" spans="2:13">
      <c r="B61" s="210" t="s">
        <v>489</v>
      </c>
      <c r="C61" s="163" t="str">
        <f>'RFPR cover'!$C$14</f>
        <v>£m 12/13</v>
      </c>
      <c r="D61" s="915">
        <f t="shared" ref="D61:K61" si="12">D63*D57</f>
        <v>920.91348415622633</v>
      </c>
      <c r="E61" s="733">
        <f t="shared" si="12"/>
        <v>922.53783010348911</v>
      </c>
      <c r="F61" s="733">
        <f t="shared" si="12"/>
        <v>924.21814086809434</v>
      </c>
      <c r="G61" s="733">
        <f t="shared" si="12"/>
        <v>955.46513866444616</v>
      </c>
      <c r="H61" s="733">
        <f t="shared" si="12"/>
        <v>964.87735309523873</v>
      </c>
      <c r="I61" s="733">
        <f t="shared" si="12"/>
        <v>964.2473196567322</v>
      </c>
      <c r="J61" s="733">
        <f t="shared" si="12"/>
        <v>965.30239850981116</v>
      </c>
      <c r="K61" s="734">
        <f t="shared" si="12"/>
        <v>969.406997354704</v>
      </c>
      <c r="M61" s="341"/>
    </row>
    <row r="62" spans="2:13">
      <c r="B62" s="210" t="s">
        <v>487</v>
      </c>
      <c r="C62" s="163" t="str">
        <f>'RFPR cover'!$C$14</f>
        <v>£m 12/13</v>
      </c>
      <c r="D62" s="695">
        <f>D63*(1-D57)</f>
        <v>583.81850104598516</v>
      </c>
      <c r="E62" s="696">
        <f t="shared" ref="E62:K62" si="13">E63*(1-E57)</f>
        <v>590.14944272800562</v>
      </c>
      <c r="F62" s="696">
        <f t="shared" si="13"/>
        <v>596.64769716895159</v>
      </c>
      <c r="G62" s="696">
        <f t="shared" si="13"/>
        <v>578.14473125101995</v>
      </c>
      <c r="H62" s="696">
        <f t="shared" si="13"/>
        <v>584.8961386197177</v>
      </c>
      <c r="I62" s="696">
        <f t="shared" si="13"/>
        <v>606.30649412409673</v>
      </c>
      <c r="J62" s="696">
        <f t="shared" si="13"/>
        <v>626.47451512895213</v>
      </c>
      <c r="K62" s="697">
        <f t="shared" si="13"/>
        <v>640.98454270248078</v>
      </c>
      <c r="M62" s="341"/>
    </row>
    <row r="63" spans="2:13">
      <c r="B63" s="210" t="s">
        <v>488</v>
      </c>
      <c r="C63" s="163" t="str">
        <f>'RFPR cover'!$C$14</f>
        <v>£m 12/13</v>
      </c>
      <c r="D63" s="910">
        <f>'R9 - RAV'!D47</f>
        <v>1504.7319852022115</v>
      </c>
      <c r="E63" s="910">
        <f>'R9 - RAV'!E47</f>
        <v>1512.6872728314947</v>
      </c>
      <c r="F63" s="910">
        <f>'R9 - RAV'!F47</f>
        <v>1520.8658380370459</v>
      </c>
      <c r="G63" s="910">
        <f>'R9 - RAV'!G47</f>
        <v>1533.6098699154661</v>
      </c>
      <c r="H63" s="910">
        <f>'R9 - RAV'!H47</f>
        <v>1549.7734917149564</v>
      </c>
      <c r="I63" s="910">
        <f>'R9 - RAV'!I47</f>
        <v>1570.5538137808289</v>
      </c>
      <c r="J63" s="910">
        <f>'R9 - RAV'!J47</f>
        <v>1591.7769136387633</v>
      </c>
      <c r="K63" s="910">
        <f>'R9 - RAV'!K47</f>
        <v>1610.3915400571848</v>
      </c>
    </row>
    <row r="64" spans="2:13">
      <c r="B64" s="210" t="s">
        <v>225</v>
      </c>
      <c r="C64" s="160" t="s">
        <v>7</v>
      </c>
      <c r="D64" s="241">
        <f>D61/D63</f>
        <v>0.61201163610041198</v>
      </c>
      <c r="E64" s="242">
        <f t="shared" ref="E64:K64" si="14">E61/E63</f>
        <v>0.60986685527977924</v>
      </c>
      <c r="F64" s="242">
        <f t="shared" si="14"/>
        <v>0.6076920907507305</v>
      </c>
      <c r="G64" s="242">
        <f t="shared" si="14"/>
        <v>0.62301707716390231</v>
      </c>
      <c r="H64" s="242">
        <f t="shared" si="14"/>
        <v>0.6225925002933943</v>
      </c>
      <c r="I64" s="242">
        <f t="shared" si="14"/>
        <v>0.61395369658520538</v>
      </c>
      <c r="J64" s="242">
        <f t="shared" si="14"/>
        <v>0.60643070661400245</v>
      </c>
      <c r="K64" s="243">
        <f t="shared" si="14"/>
        <v>0.6019697528467397</v>
      </c>
    </row>
    <row r="65" spans="2:11">
      <c r="B65" s="210" t="s">
        <v>105</v>
      </c>
      <c r="C65" s="160" t="s">
        <v>7</v>
      </c>
      <c r="D65" s="912">
        <f>'RFPR cover'!$C$12</f>
        <v>0.65</v>
      </c>
      <c r="E65" s="913">
        <f>'RFPR cover'!$C$12</f>
        <v>0.65</v>
      </c>
      <c r="F65" s="913">
        <f>'RFPR cover'!$C$12</f>
        <v>0.65</v>
      </c>
      <c r="G65" s="913">
        <f>'RFPR cover'!$C$12</f>
        <v>0.65</v>
      </c>
      <c r="H65" s="913">
        <f>'RFPR cover'!$C$12</f>
        <v>0.65</v>
      </c>
      <c r="I65" s="913">
        <f>'RFPR cover'!$C$12</f>
        <v>0.65</v>
      </c>
      <c r="J65" s="913">
        <f>'RFPR cover'!$C$12</f>
        <v>0.65</v>
      </c>
      <c r="K65" s="914">
        <f>'RFPR cover'!$C$12</f>
        <v>0.65</v>
      </c>
    </row>
    <row r="66" spans="2:11">
      <c r="B66" s="210" t="s">
        <v>226</v>
      </c>
      <c r="C66" s="160" t="s">
        <v>7</v>
      </c>
      <c r="D66" s="246">
        <f t="shared" ref="D66:K66" si="15">IF(ISBLANK(D23),"n/a",D64-D65)</f>
        <v>-3.798836389958804E-2</v>
      </c>
      <c r="E66" s="247">
        <f t="shared" si="15"/>
        <v>-4.0133144720220781E-2</v>
      </c>
      <c r="F66" s="247">
        <f t="shared" si="15"/>
        <v>-4.2307909249269526E-2</v>
      </c>
      <c r="G66" s="247">
        <f t="shared" si="15"/>
        <v>-2.6982922836097711E-2</v>
      </c>
      <c r="H66" s="247">
        <f t="shared" si="15"/>
        <v>-2.740749970660572E-2</v>
      </c>
      <c r="I66" s="247">
        <f t="shared" si="15"/>
        <v>-3.6046303414794645E-2</v>
      </c>
      <c r="J66" s="247">
        <f t="shared" si="15"/>
        <v>-4.3569293385997576E-2</v>
      </c>
      <c r="K66" s="248">
        <f t="shared" si="15"/>
        <v>-4.8030247153260319E-2</v>
      </c>
    </row>
  </sheetData>
  <sheetProtection password="FE19" sheet="1" objects="1" scenarios="1"/>
  <conditionalFormatting sqref="D6:K6">
    <cfRule type="expression" dxfId="24" priority="18">
      <formula>AND(D$5="Actuals",E$5="Forecast")</formula>
    </cfRule>
  </conditionalFormatting>
  <conditionalFormatting sqref="D5:K5">
    <cfRule type="expression" dxfId="23"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sheetPr codeName="Sheet13">
    <tabColor rgb="FFFFFFCC"/>
    <pageSetUpPr fitToPage="1"/>
  </sheetPr>
  <dimension ref="A1:N63"/>
  <sheetViews>
    <sheetView showGridLines="0" zoomScale="80" zoomScaleNormal="80" workbookViewId="0">
      <pane ySplit="6" topLeftCell="A7" activePane="bottomLeft" state="frozen"/>
      <selection activeCell="B75" sqref="A1:XFD1048576"/>
      <selection pane="bottomLeft" activeCell="N22" sqref="N22"/>
    </sheetView>
  </sheetViews>
  <sheetFormatPr defaultRowHeight="12.75"/>
  <cols>
    <col min="1" max="1" width="8.375" customWidth="1"/>
    <col min="2" max="2" width="100.125" customWidth="1"/>
    <col min="3" max="3" width="14.125" style="208" customWidth="1"/>
    <col min="4" max="11" width="11.125" customWidth="1"/>
    <col min="12" max="12" width="5" customWidth="1"/>
    <col min="14" max="14" width="9" style="223"/>
  </cols>
  <sheetData>
    <row r="1" spans="1:14" s="32" customFormat="1" ht="20.25">
      <c r="A1" s="383" t="s">
        <v>110</v>
      </c>
      <c r="B1" s="123"/>
      <c r="C1" s="422"/>
      <c r="D1" s="123"/>
      <c r="E1" s="123"/>
      <c r="F1" s="123"/>
      <c r="G1" s="123"/>
      <c r="H1" s="123"/>
      <c r="I1" s="131"/>
      <c r="J1" s="131"/>
      <c r="K1" s="132"/>
      <c r="L1" s="384"/>
      <c r="N1" s="222"/>
    </row>
    <row r="2" spans="1:14" s="32" customFormat="1" ht="20.25">
      <c r="A2" s="126" t="str">
        <f>'RFPR cover'!C5</f>
        <v>ENWL</v>
      </c>
      <c r="B2" s="30"/>
      <c r="C2" s="231"/>
      <c r="D2" s="30"/>
      <c r="E2" s="30"/>
      <c r="F2" s="30"/>
      <c r="G2" s="30"/>
      <c r="H2" s="30"/>
      <c r="I2" s="27"/>
      <c r="J2" s="27"/>
      <c r="K2" s="27"/>
      <c r="L2" s="127"/>
      <c r="N2" s="222"/>
    </row>
    <row r="3" spans="1:14" s="32" customFormat="1" ht="20.25">
      <c r="A3" s="273">
        <f>'RFPR cover'!C7</f>
        <v>2019</v>
      </c>
      <c r="B3" s="274"/>
      <c r="C3" s="423"/>
      <c r="D3" s="274"/>
      <c r="E3" s="274"/>
      <c r="F3" s="274"/>
      <c r="G3" s="274"/>
      <c r="H3" s="274"/>
      <c r="I3" s="267"/>
      <c r="J3" s="267"/>
      <c r="K3" s="267"/>
      <c r="L3" s="275"/>
      <c r="N3" s="222"/>
    </row>
    <row r="4" spans="1:14" s="2" customFormat="1" ht="12.75" customHeight="1">
      <c r="C4" s="1"/>
      <c r="N4" s="134"/>
    </row>
    <row r="5" spans="1:14" s="2" customFormat="1">
      <c r="B5" s="39"/>
      <c r="C5" s="232"/>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456"/>
      <c r="E7" s="456"/>
      <c r="F7" s="456"/>
      <c r="G7" s="456"/>
      <c r="H7" s="456"/>
      <c r="I7" s="456"/>
      <c r="J7" s="456"/>
      <c r="K7" s="456"/>
      <c r="L7" s="36"/>
      <c r="M7" s="36"/>
      <c r="N7" s="235"/>
    </row>
    <row r="8" spans="1:14" s="2" customFormat="1">
      <c r="B8" s="12" t="s">
        <v>312</v>
      </c>
      <c r="N8" s="134"/>
    </row>
    <row r="9" spans="1:14" s="2" customFormat="1">
      <c r="B9" s="390" t="s">
        <v>311</v>
      </c>
      <c r="C9" s="390"/>
      <c r="D9" s="390"/>
      <c r="E9" s="390"/>
      <c r="F9" s="390"/>
      <c r="G9" s="390"/>
      <c r="H9" s="390"/>
      <c r="I9" s="390"/>
      <c r="J9" s="390"/>
      <c r="K9" s="390"/>
      <c r="L9" s="390"/>
      <c r="N9" s="134"/>
    </row>
    <row r="10" spans="1:14" s="36" customFormat="1">
      <c r="B10" s="455"/>
      <c r="C10" s="455"/>
      <c r="D10" s="455"/>
      <c r="E10" s="455"/>
      <c r="F10" s="455"/>
      <c r="G10" s="455"/>
      <c r="H10" s="455"/>
      <c r="I10" s="455"/>
      <c r="J10" s="455"/>
      <c r="K10" s="455"/>
      <c r="L10" s="455"/>
      <c r="N10" s="235"/>
    </row>
    <row r="11" spans="1:14" s="2" customFormat="1">
      <c r="B11" s="210" t="s">
        <v>310</v>
      </c>
      <c r="C11" s="220" t="str">
        <f>'RFPR cover'!$C$14</f>
        <v>£m 12/13</v>
      </c>
      <c r="D11" s="746">
        <v>1537.5733037541154</v>
      </c>
      <c r="E11" s="747">
        <v>1533.4071431487594</v>
      </c>
      <c r="F11" s="747">
        <v>1547.2814715400539</v>
      </c>
      <c r="G11" s="747">
        <v>1561.5602755038524</v>
      </c>
      <c r="H11" s="747">
        <v>1578.6942596653971</v>
      </c>
      <c r="I11" s="747">
        <v>1597.185989095078</v>
      </c>
      <c r="J11" s="747">
        <v>1623.1910156015695</v>
      </c>
      <c r="K11" s="748">
        <v>1645.4762529214493</v>
      </c>
      <c r="N11" s="134"/>
    </row>
    <row r="12" spans="1:14" s="2" customFormat="1">
      <c r="N12" s="134"/>
    </row>
    <row r="13" spans="1:14" s="2" customFormat="1">
      <c r="B13" s="12" t="s">
        <v>313</v>
      </c>
      <c r="C13" s="1"/>
      <c r="D13" s="1"/>
      <c r="E13" s="1"/>
      <c r="F13" s="1"/>
      <c r="G13" s="1"/>
      <c r="H13" s="1"/>
      <c r="I13" s="1"/>
      <c r="J13" s="1"/>
      <c r="K13" s="1"/>
      <c r="N13" s="134"/>
    </row>
    <row r="14" spans="1:14" s="2" customFormat="1">
      <c r="B14" s="390" t="s">
        <v>335</v>
      </c>
      <c r="C14" s="340"/>
      <c r="D14" s="340"/>
      <c r="E14" s="340"/>
      <c r="F14" s="340"/>
      <c r="G14" s="340"/>
      <c r="H14" s="340"/>
      <c r="I14" s="340"/>
      <c r="J14" s="340"/>
      <c r="K14" s="340"/>
      <c r="L14" s="308"/>
      <c r="N14" s="134"/>
    </row>
    <row r="15" spans="1:14" s="36" customFormat="1">
      <c r="B15" s="455"/>
      <c r="C15" s="339"/>
      <c r="D15" s="339"/>
      <c r="E15" s="339"/>
      <c r="F15" s="339"/>
      <c r="G15" s="339"/>
      <c r="H15" s="339"/>
      <c r="I15" s="339"/>
      <c r="J15" s="339"/>
      <c r="K15" s="339"/>
      <c r="N15" s="235"/>
    </row>
    <row r="16" spans="1:14" s="2" customFormat="1">
      <c r="B16" s="417" t="s">
        <v>314</v>
      </c>
      <c r="C16" s="220" t="str">
        <f>'RFPR cover'!$C$14</f>
        <v>£m 12/13</v>
      </c>
      <c r="D16" s="611">
        <v>1526.2241241972242</v>
      </c>
      <c r="E16" s="749">
        <f>D29</f>
        <v>1538.9725834284341</v>
      </c>
      <c r="F16" s="749">
        <f t="shared" ref="F16:K16" si="1">E29</f>
        <v>1540.9975063074303</v>
      </c>
      <c r="G16" s="749">
        <f t="shared" si="1"/>
        <v>1554.5880154487381</v>
      </c>
      <c r="H16" s="749">
        <f t="shared" si="1"/>
        <v>1564.9460925699523</v>
      </c>
      <c r="I16" s="749">
        <f t="shared" si="1"/>
        <v>1586.178826801764</v>
      </c>
      <c r="J16" s="749">
        <f t="shared" si="1"/>
        <v>1605.9771132888409</v>
      </c>
      <c r="K16" s="614">
        <f t="shared" si="1"/>
        <v>1628.3431326448419</v>
      </c>
      <c r="N16" s="134"/>
    </row>
    <row r="17" spans="2:14" s="2" customFormat="1">
      <c r="B17" s="417" t="s">
        <v>315</v>
      </c>
      <c r="C17" s="220" t="str">
        <f>'RFPR cover'!$C$14</f>
        <v>£m 12/13</v>
      </c>
      <c r="D17" s="619">
        <v>0</v>
      </c>
      <c r="E17" s="620">
        <v>0</v>
      </c>
      <c r="F17" s="620">
        <v>0</v>
      </c>
      <c r="G17" s="620">
        <v>0</v>
      </c>
      <c r="H17" s="620">
        <v>0</v>
      </c>
      <c r="I17" s="620">
        <v>0</v>
      </c>
      <c r="J17" s="620">
        <v>0</v>
      </c>
      <c r="K17" s="713">
        <v>0</v>
      </c>
      <c r="N17" s="134"/>
    </row>
    <row r="18" spans="2:14" s="2" customFormat="1">
      <c r="B18" s="12" t="s">
        <v>316</v>
      </c>
      <c r="C18" s="220" t="str">
        <f>'RFPR cover'!$C$14</f>
        <v>£m 12/13</v>
      </c>
      <c r="D18" s="750">
        <f>SUM(D16:D17)</f>
        <v>1526.2241241972242</v>
      </c>
      <c r="E18" s="751">
        <f t="shared" ref="E18:K18" si="2">SUM(E16:E17)</f>
        <v>1538.9725834284341</v>
      </c>
      <c r="F18" s="751">
        <f t="shared" si="2"/>
        <v>1540.9975063074303</v>
      </c>
      <c r="G18" s="751">
        <f t="shared" si="2"/>
        <v>1554.5880154487381</v>
      </c>
      <c r="H18" s="751">
        <f t="shared" si="2"/>
        <v>1564.9460925699523</v>
      </c>
      <c r="I18" s="751">
        <f t="shared" si="2"/>
        <v>1586.178826801764</v>
      </c>
      <c r="J18" s="751">
        <f t="shared" si="2"/>
        <v>1605.9771132888409</v>
      </c>
      <c r="K18" s="752">
        <f t="shared" si="2"/>
        <v>1628.3431326448419</v>
      </c>
      <c r="N18" s="134"/>
    </row>
    <row r="19" spans="2:14" s="2" customFormat="1">
      <c r="B19" s="419" t="s">
        <v>317</v>
      </c>
      <c r="C19" s="220" t="str">
        <f>'RFPR cover'!$C$14</f>
        <v>£m 12/13</v>
      </c>
      <c r="D19" s="615">
        <v>159.03318400338625</v>
      </c>
      <c r="E19" s="616">
        <v>144.89467796194029</v>
      </c>
      <c r="F19" s="616">
        <v>154.47824427741344</v>
      </c>
      <c r="G19" s="616">
        <v>157.09190927625687</v>
      </c>
      <c r="H19" s="616">
        <v>155.61823861652917</v>
      </c>
      <c r="I19" s="616">
        <v>153.13175130847387</v>
      </c>
      <c r="J19" s="616">
        <v>152.96686367225277</v>
      </c>
      <c r="K19" s="712">
        <v>143.90127917049023</v>
      </c>
      <c r="N19" s="134"/>
    </row>
    <row r="20" spans="2:14" s="2" customFormat="1">
      <c r="B20" s="419" t="s">
        <v>324</v>
      </c>
      <c r="C20" s="220" t="str">
        <f>'RFPR cover'!$C$14</f>
        <v>£m 12/13</v>
      </c>
      <c r="D20" s="619">
        <v>1.3992796743186489</v>
      </c>
      <c r="E20" s="620">
        <v>6.2515928756740209</v>
      </c>
      <c r="F20" s="620">
        <v>1.4846060915544967E-2</v>
      </c>
      <c r="G20" s="620">
        <v>-7.5743646169061094</v>
      </c>
      <c r="H20" s="620">
        <v>1.876449281559303</v>
      </c>
      <c r="I20" s="620">
        <v>0.45779888363833265</v>
      </c>
      <c r="J20" s="620">
        <v>1.1698495584682576</v>
      </c>
      <c r="K20" s="713">
        <v>0.48628091063153533</v>
      </c>
      <c r="N20" s="134"/>
    </row>
    <row r="21" spans="2:14" s="2" customFormat="1">
      <c r="B21" s="418" t="s">
        <v>320</v>
      </c>
      <c r="C21" s="220" t="str">
        <f>'RFPR cover'!$C$14</f>
        <v>£m 12/13</v>
      </c>
      <c r="D21" s="750">
        <f t="shared" ref="D21:K21" si="3">SUM(D19:D20)</f>
        <v>160.4324636777049</v>
      </c>
      <c r="E21" s="751">
        <f t="shared" si="3"/>
        <v>151.14627083761431</v>
      </c>
      <c r="F21" s="751">
        <f t="shared" si="3"/>
        <v>154.49309033832898</v>
      </c>
      <c r="G21" s="751">
        <f t="shared" si="3"/>
        <v>149.51754465935076</v>
      </c>
      <c r="H21" s="751">
        <f t="shared" si="3"/>
        <v>157.49468789808847</v>
      </c>
      <c r="I21" s="751">
        <f t="shared" si="3"/>
        <v>153.5895501921122</v>
      </c>
      <c r="J21" s="751">
        <f t="shared" si="3"/>
        <v>154.13671323072103</v>
      </c>
      <c r="K21" s="752">
        <f t="shared" si="3"/>
        <v>144.38756008112176</v>
      </c>
      <c r="N21" s="134"/>
    </row>
    <row r="22" spans="2:14" s="2" customFormat="1">
      <c r="B22" s="419" t="s">
        <v>318</v>
      </c>
      <c r="C22" s="220" t="str">
        <f>'RFPR cover'!$C$14</f>
        <v>£m 12/13</v>
      </c>
      <c r="D22" s="615">
        <v>-147.68400444649504</v>
      </c>
      <c r="E22" s="616">
        <v>-149.06083856729626</v>
      </c>
      <c r="F22" s="616">
        <v>-140.60391588662591</v>
      </c>
      <c r="G22" s="616">
        <v>-138.86029682992307</v>
      </c>
      <c r="H22" s="616">
        <v>-136.19584033089106</v>
      </c>
      <c r="I22" s="616">
        <v>-133.67247810911468</v>
      </c>
      <c r="J22" s="616">
        <v>-131.64009411406005</v>
      </c>
      <c r="K22" s="712">
        <v>-129.81906864960268</v>
      </c>
      <c r="N22" s="134"/>
    </row>
    <row r="23" spans="2:14" s="2" customFormat="1">
      <c r="B23" s="419" t="s">
        <v>319</v>
      </c>
      <c r="C23" s="220" t="str">
        <f>'RFPR cover'!$C$14</f>
        <v>£m 12/13</v>
      </c>
      <c r="D23" s="619">
        <v>0</v>
      </c>
      <c r="E23" s="620">
        <v>-6.0509391321886596E-2</v>
      </c>
      <c r="F23" s="620">
        <v>-0.29866531039519373</v>
      </c>
      <c r="G23" s="620">
        <v>-0.2991707082136088</v>
      </c>
      <c r="H23" s="620">
        <v>-6.6113335385693972E-2</v>
      </c>
      <c r="I23" s="620">
        <v>-0.11878559592068427</v>
      </c>
      <c r="J23" s="620">
        <v>-0.13059976065977708</v>
      </c>
      <c r="K23" s="713">
        <v>-0.15853646653363285</v>
      </c>
      <c r="N23" s="134"/>
    </row>
    <row r="24" spans="2:14" s="2" customFormat="1">
      <c r="B24" s="418" t="s">
        <v>321</v>
      </c>
      <c r="C24" s="220" t="str">
        <f>'RFPR cover'!$C$14</f>
        <v>£m 12/13</v>
      </c>
      <c r="D24" s="750">
        <f t="shared" ref="D24:K24" si="4">SUM(D22:D23)</f>
        <v>-147.68400444649504</v>
      </c>
      <c r="E24" s="751">
        <f t="shared" si="4"/>
        <v>-149.12134795861814</v>
      </c>
      <c r="F24" s="751">
        <f t="shared" si="4"/>
        <v>-140.90258119702111</v>
      </c>
      <c r="G24" s="751">
        <f t="shared" si="4"/>
        <v>-139.15946753813668</v>
      </c>
      <c r="H24" s="751">
        <f t="shared" si="4"/>
        <v>-136.26195366627675</v>
      </c>
      <c r="I24" s="751">
        <f t="shared" si="4"/>
        <v>-133.79126370503536</v>
      </c>
      <c r="J24" s="751">
        <f t="shared" si="4"/>
        <v>-131.77069387471983</v>
      </c>
      <c r="K24" s="752">
        <f t="shared" si="4"/>
        <v>-129.97760511613632</v>
      </c>
      <c r="N24" s="134"/>
    </row>
    <row r="25" spans="2:14" s="2" customFormat="1">
      <c r="B25" s="420" t="s">
        <v>258</v>
      </c>
      <c r="C25" s="220" t="str">
        <f>'RFPR cover'!$C$14</f>
        <v>£m 12/13</v>
      </c>
      <c r="D25" s="753"/>
      <c r="E25" s="754"/>
      <c r="F25" s="754"/>
      <c r="G25" s="754"/>
      <c r="H25" s="754"/>
      <c r="I25" s="754"/>
      <c r="J25" s="754"/>
      <c r="K25" s="755"/>
      <c r="N25" s="134"/>
    </row>
    <row r="26" spans="2:14" s="2" customFormat="1">
      <c r="B26" s="420" t="s">
        <v>258</v>
      </c>
      <c r="C26" s="220" t="str">
        <f>'RFPR cover'!$C$14</f>
        <v>£m 12/13</v>
      </c>
      <c r="D26" s="753"/>
      <c r="E26" s="754"/>
      <c r="F26" s="754"/>
      <c r="G26" s="754"/>
      <c r="H26" s="754"/>
      <c r="I26" s="754"/>
      <c r="J26" s="754"/>
      <c r="K26" s="755"/>
      <c r="N26" s="134"/>
    </row>
    <row r="27" spans="2:14" s="2" customFormat="1">
      <c r="B27" s="420" t="s">
        <v>258</v>
      </c>
      <c r="C27" s="220" t="str">
        <f>'RFPR cover'!$C$14</f>
        <v>£m 12/13</v>
      </c>
      <c r="D27" s="753"/>
      <c r="E27" s="754"/>
      <c r="F27" s="754"/>
      <c r="G27" s="754"/>
      <c r="H27" s="754"/>
      <c r="I27" s="754"/>
      <c r="J27" s="754"/>
      <c r="K27" s="755"/>
      <c r="N27" s="134"/>
    </row>
    <row r="28" spans="2:14" s="2" customFormat="1">
      <c r="B28" s="418" t="s">
        <v>322</v>
      </c>
      <c r="C28" s="220" t="str">
        <f>'RFPR cover'!$C$14</f>
        <v>£m 12/13</v>
      </c>
      <c r="D28" s="756">
        <f>SUM(D25:D27)</f>
        <v>0</v>
      </c>
      <c r="E28" s="757">
        <f t="shared" ref="E28:K28" si="5">SUM(E25:E27)</f>
        <v>0</v>
      </c>
      <c r="F28" s="757">
        <f t="shared" si="5"/>
        <v>0</v>
      </c>
      <c r="G28" s="757">
        <f t="shared" si="5"/>
        <v>0</v>
      </c>
      <c r="H28" s="757">
        <f t="shared" si="5"/>
        <v>0</v>
      </c>
      <c r="I28" s="757">
        <f t="shared" si="5"/>
        <v>0</v>
      </c>
      <c r="J28" s="757">
        <f t="shared" si="5"/>
        <v>0</v>
      </c>
      <c r="K28" s="758">
        <f t="shared" si="5"/>
        <v>0</v>
      </c>
      <c r="N28" s="134"/>
    </row>
    <row r="29" spans="2:14" s="2" customFormat="1">
      <c r="B29" s="12" t="s">
        <v>323</v>
      </c>
      <c r="C29" s="220" t="str">
        <f>'RFPR cover'!$C$14</f>
        <v>£m 12/13</v>
      </c>
      <c r="D29" s="759">
        <f>D18+D21+D24+D28</f>
        <v>1538.9725834284341</v>
      </c>
      <c r="E29" s="760">
        <f t="shared" ref="E29:K29" si="6">E18+E21+E24+E28</f>
        <v>1540.9975063074303</v>
      </c>
      <c r="F29" s="760">
        <f t="shared" si="6"/>
        <v>1554.5880154487381</v>
      </c>
      <c r="G29" s="760">
        <f t="shared" si="6"/>
        <v>1564.9460925699523</v>
      </c>
      <c r="H29" s="760">
        <f t="shared" si="6"/>
        <v>1586.178826801764</v>
      </c>
      <c r="I29" s="760">
        <f t="shared" si="6"/>
        <v>1605.9771132888409</v>
      </c>
      <c r="J29" s="760">
        <f t="shared" si="6"/>
        <v>1628.3431326448419</v>
      </c>
      <c r="K29" s="761">
        <f t="shared" si="6"/>
        <v>1642.7530876098274</v>
      </c>
      <c r="N29" s="134"/>
    </row>
    <row r="30" spans="2:14" s="2" customFormat="1">
      <c r="B30" s="12"/>
      <c r="C30" s="220"/>
      <c r="D30" s="220"/>
      <c r="E30" s="220"/>
      <c r="F30" s="220"/>
      <c r="G30" s="220"/>
      <c r="H30" s="220"/>
      <c r="I30" s="220"/>
      <c r="J30" s="220"/>
      <c r="K30" s="220"/>
      <c r="L30" s="220"/>
      <c r="N30" s="134"/>
    </row>
    <row r="31" spans="2:14" s="2" customFormat="1">
      <c r="B31" s="12" t="s">
        <v>485</v>
      </c>
      <c r="C31" s="220" t="str">
        <f>'RFPR cover'!$C$14</f>
        <v>£m 12/13</v>
      </c>
      <c r="D31" s="759">
        <f t="shared" ref="D31:K31" si="7">(D20+D23+D28)</f>
        <v>1.3992796743186489</v>
      </c>
      <c r="E31" s="759">
        <f t="shared" si="7"/>
        <v>6.1910834843521343</v>
      </c>
      <c r="F31" s="759">
        <f t="shared" si="7"/>
        <v>-0.28381924947964876</v>
      </c>
      <c r="G31" s="759">
        <f t="shared" si="7"/>
        <v>-7.8735353251197182</v>
      </c>
      <c r="H31" s="759">
        <f t="shared" si="7"/>
        <v>1.810335946173609</v>
      </c>
      <c r="I31" s="759">
        <f t="shared" si="7"/>
        <v>0.33901328771764838</v>
      </c>
      <c r="J31" s="759">
        <f t="shared" si="7"/>
        <v>1.0392497978084805</v>
      </c>
      <c r="K31" s="759">
        <f t="shared" si="7"/>
        <v>0.32774444409790249</v>
      </c>
      <c r="L31" s="220"/>
      <c r="N31" s="134"/>
    </row>
    <row r="32" spans="2:14" s="2" customFormat="1">
      <c r="B32" s="12" t="s">
        <v>486</v>
      </c>
      <c r="C32" s="220"/>
      <c r="D32" s="542" t="b">
        <f>IF(D5="Actuals",IF(D31&gt;=0,(D29-SUM($D$31:D31))-D11&lt;'RFPR cover'!$F$14,(D29-SUM($D$31:D31))-D11&lt;'RFPR cover'!$F$14), "NA")</f>
        <v>1</v>
      </c>
      <c r="E32" s="542" t="b">
        <f>IF(E5="Actuals",IF(E31&gt;=0,(E29-SUM($D$31:E31))-E11&lt;'RFPR cover'!$F$14,(E29-SUM($D$31:E31))-E11&lt;'RFPR cover'!$F$14), "NA")</f>
        <v>1</v>
      </c>
      <c r="F32" s="542" t="b">
        <f>IF(F5="Actuals",IF(F31&gt;=0,(F29-SUM($D$31:F31))-F11&lt;'RFPR cover'!$F$14,(F29-SUM($D$31:F31))-F11&lt;'RFPR cover'!$F$14), "NA")</f>
        <v>1</v>
      </c>
      <c r="G32" s="542" t="b">
        <f>IF(G5="Actuals",IF(G31&gt;=0,(G29-SUM($D$31:G31))-G11&lt;'RFPR cover'!$F$14,(G29-SUM($D$31:G31))-G11&lt;'RFPR cover'!$F$14), "NA")</f>
        <v>0</v>
      </c>
      <c r="H32" s="542" t="str">
        <f>IF(H5="Actuals",IF(H31&gt;=0,(H29-SUM($D$31:H31))-H11&lt;'RFPR cover'!$F$14,(H29-SUM($D$31:H31))-H11&lt;'RFPR cover'!$F$14), "NA")</f>
        <v>NA</v>
      </c>
      <c r="I32" s="542" t="str">
        <f>IF(I5="Actuals",IF(I31&gt;=0,(I29-SUM($D$31:I31))-I11&lt;'RFPR cover'!$F$14,(I29-SUM($D$31:I31))-I11&lt;'RFPR cover'!$F$14), "NA")</f>
        <v>NA</v>
      </c>
      <c r="J32" s="542" t="str">
        <f>IF(J5="Actuals",IF(J31&gt;=0,(J29-SUM($D$31:J31))-J11&lt;'RFPR cover'!$F$14,(J29-SUM($D$31:J31))-J11&lt;'RFPR cover'!$F$14), "NA")</f>
        <v>NA</v>
      </c>
      <c r="K32" s="542" t="str">
        <f>IF(K5="Actuals",IF(K31&gt;=0,(K29-SUM($D$31:K31))-K11&lt;'RFPR cover'!$F$14,(K29-SUM($D$31:K31))-K11&lt;'RFPR cover'!$F$14), "NA")</f>
        <v>NA</v>
      </c>
      <c r="L32" s="220"/>
      <c r="N32" s="134"/>
    </row>
    <row r="33" spans="2:14" s="36" customFormat="1">
      <c r="B33" s="52"/>
      <c r="C33" s="504"/>
      <c r="D33" s="505"/>
      <c r="E33" s="505"/>
      <c r="F33" s="505"/>
      <c r="G33" s="505"/>
      <c r="H33" s="505"/>
      <c r="I33" s="505"/>
      <c r="J33" s="505"/>
      <c r="K33" s="505"/>
      <c r="N33" s="235"/>
    </row>
    <row r="34" spans="2:14" s="36" customFormat="1">
      <c r="B34" s="52" t="s">
        <v>32</v>
      </c>
      <c r="C34" s="281" t="s">
        <v>117</v>
      </c>
      <c r="D34" s="114">
        <f>Data!C$35</f>
        <v>1.0677429242873198</v>
      </c>
      <c r="E34" s="114">
        <f>Data!D$35</f>
        <v>1.1033002963114336</v>
      </c>
      <c r="F34" s="114">
        <f>Data!E$35</f>
        <v>1.1402881373250229</v>
      </c>
      <c r="G34" s="114">
        <f>Data!F$35</f>
        <v>1.171554102380709</v>
      </c>
      <c r="H34" s="114">
        <f>Data!G$35</f>
        <v>1.2023073975682026</v>
      </c>
      <c r="I34" s="114">
        <f>Data!H$35</f>
        <v>1.2356714278507201</v>
      </c>
      <c r="J34" s="114">
        <f>Data!I$35</f>
        <v>1.2730504885432044</v>
      </c>
      <c r="K34" s="114">
        <f>Data!J$35</f>
        <v>1.312196791065908</v>
      </c>
      <c r="N34" s="235"/>
    </row>
    <row r="35" spans="2:14" s="32" customFormat="1">
      <c r="B35" s="38" t="s">
        <v>351</v>
      </c>
      <c r="C35" s="281" t="s">
        <v>117</v>
      </c>
      <c r="D35" s="114">
        <f>Data!C$34</f>
        <v>1.0603167467048125</v>
      </c>
      <c r="E35" s="115">
        <f>Data!D$34</f>
        <v>1.0830366813119445</v>
      </c>
      <c r="F35" s="115">
        <f>Data!E$34</f>
        <v>1.1235639113109226</v>
      </c>
      <c r="G35" s="115">
        <f>Data!F$34</f>
        <v>1.1578951670583426</v>
      </c>
      <c r="H35" s="115">
        <f>Data!G$34</f>
        <v>1.1882899151936241</v>
      </c>
      <c r="I35" s="115">
        <f>Data!H$34</f>
        <v>1.2212649603402472</v>
      </c>
      <c r="J35" s="115">
        <f>Data!I$34</f>
        <v>1.2582082253905398</v>
      </c>
      <c r="K35" s="116">
        <f>Data!J$34</f>
        <v>1.296898128321299</v>
      </c>
      <c r="L35" s="244"/>
      <c r="N35" s="222"/>
    </row>
    <row r="36" spans="2:14" s="32" customFormat="1">
      <c r="B36" s="180" t="s">
        <v>483</v>
      </c>
      <c r="C36" s="281" t="s">
        <v>117</v>
      </c>
      <c r="D36" s="906">
        <f>INDEX(Data!$F$14:$F$30,MATCH($D$6-1,Data!$C$14:$C$30,0),0)/IF('RFPR cover'!$C$6="ED1",Data!$E$17,Data!$E$14)</f>
        <v>1.0526208235414325</v>
      </c>
      <c r="E36" s="907"/>
      <c r="F36" s="907"/>
      <c r="G36" s="907"/>
      <c r="H36" s="907"/>
      <c r="I36" s="907"/>
      <c r="J36" s="907"/>
      <c r="K36" s="907"/>
      <c r="L36" s="244"/>
      <c r="N36" s="222"/>
    </row>
    <row r="37" spans="2:14" s="36" customFormat="1">
      <c r="B37" s="52"/>
      <c r="C37" s="504"/>
      <c r="D37" s="505"/>
      <c r="E37" s="505"/>
      <c r="F37" s="505"/>
      <c r="G37" s="505"/>
      <c r="H37" s="505"/>
      <c r="I37" s="505"/>
      <c r="J37" s="505"/>
      <c r="K37" s="505"/>
      <c r="N37" s="235"/>
    </row>
    <row r="38" spans="2:14" s="2" customFormat="1">
      <c r="B38" s="12" t="s">
        <v>323</v>
      </c>
      <c r="C38" s="280" t="s">
        <v>118</v>
      </c>
      <c r="D38" s="759">
        <f t="shared" ref="D38:K38" si="8">D29*D34</f>
        <v>1643.2270866278873</v>
      </c>
      <c r="E38" s="759">
        <f t="shared" si="8"/>
        <v>1700.1830053241681</v>
      </c>
      <c r="F38" s="759">
        <f t="shared" si="8"/>
        <v>1772.6782724438456</v>
      </c>
      <c r="G38" s="759">
        <f t="shared" si="8"/>
        <v>1833.4190147549884</v>
      </c>
      <c r="H38" s="759">
        <f t="shared" si="8"/>
        <v>1907.0745373298137</v>
      </c>
      <c r="I38" s="759">
        <f t="shared" si="8"/>
        <v>1984.4600326731997</v>
      </c>
      <c r="J38" s="759">
        <f t="shared" si="8"/>
        <v>2072.9630205294879</v>
      </c>
      <c r="K38" s="759">
        <f t="shared" si="8"/>
        <v>2155.615330075228</v>
      </c>
      <c r="N38" s="134"/>
    </row>
    <row r="39" spans="2:14" s="2" customFormat="1">
      <c r="B39" s="12"/>
      <c r="C39" s="220"/>
      <c r="D39" s="220"/>
      <c r="E39" s="220"/>
      <c r="F39" s="220"/>
      <c r="G39" s="220"/>
      <c r="H39" s="220"/>
      <c r="I39" s="220"/>
      <c r="J39" s="220"/>
      <c r="K39" s="220"/>
      <c r="N39" s="134"/>
    </row>
    <row r="40" spans="2:14" s="2" customFormat="1">
      <c r="B40" s="533" t="s">
        <v>326</v>
      </c>
      <c r="C40" s="220" t="s">
        <v>329</v>
      </c>
      <c r="D40" s="435">
        <f>INDEX(Data!$K$73:$T$100,MATCH('RFPR cover'!$C$5,Data!$B$73:$B$100,0),MATCH('R9 - RAV'!D$6,Data!$K$72:$T$72,0))</f>
        <v>2.5499999999999998E-2</v>
      </c>
      <c r="E40" s="436">
        <f>INDEX(Data!$K$73:$T$100,MATCH('RFPR cover'!$C$5,Data!$B$73:$B$100,0),MATCH('R9 - RAV'!E$6,Data!$K$72:$T$72,0))</f>
        <v>2.4199999999999999E-2</v>
      </c>
      <c r="F40" s="436">
        <f>INDEX(Data!$K$73:$T$100,MATCH('RFPR cover'!$C$5,Data!$B$73:$B$100,0),MATCH('R9 - RAV'!F$6,Data!$K$72:$T$72,0))</f>
        <v>2.29E-2</v>
      </c>
      <c r="G40" s="436">
        <f>INDEX(Data!$K$73:$T$100,MATCH('RFPR cover'!$C$5,Data!$B$73:$B$100,0),MATCH('R9 - RAV'!G$6,Data!$K$72:$T$72,0))</f>
        <v>2.0899999999999998E-2</v>
      </c>
      <c r="H40" s="436">
        <f>INDEX(Data!$K$73:$T$100,MATCH('RFPR cover'!$C$5,Data!$B$73:$B$100,0),MATCH('R9 - RAV'!H$6,Data!$K$72:$T$72,0))</f>
        <v>1.9400000000000001E-2</v>
      </c>
      <c r="I40" s="436">
        <f>INDEX(Data!$K$73:$T$100,MATCH('RFPR cover'!$C$5,Data!$B$73:$B$100,0),MATCH('R9 - RAV'!I$6,Data!$K$72:$T$72,0))</f>
        <v>1.8200000000000001E-2</v>
      </c>
      <c r="J40" s="436">
        <f>INDEX(Data!$K$73:$T$100,MATCH('RFPR cover'!$C$5,Data!$B$73:$B$100,0),MATCH('R9 - RAV'!J$6,Data!$K$72:$T$72,0))</f>
        <v>1.72E-2</v>
      </c>
      <c r="K40" s="437">
        <f>INDEX(Data!$K$73:$T$100,MATCH('RFPR cover'!$C$5,Data!$B$73:$B$100,0),MATCH('R9 - RAV'!K$6,Data!$K$72:$T$72,0))</f>
        <v>1.6299999999999999E-2</v>
      </c>
      <c r="N40" s="134"/>
    </row>
    <row r="41" spans="2:14" s="2" customFormat="1">
      <c r="B41" s="533" t="s">
        <v>327</v>
      </c>
      <c r="C41" s="220" t="s">
        <v>329</v>
      </c>
      <c r="D41" s="438">
        <f>'RFPR cover'!$C$10</f>
        <v>0.06</v>
      </c>
      <c r="E41" s="439">
        <f>'RFPR cover'!$C$10</f>
        <v>0.06</v>
      </c>
      <c r="F41" s="439">
        <f>'RFPR cover'!$C$10</f>
        <v>0.06</v>
      </c>
      <c r="G41" s="439">
        <f>'RFPR cover'!$C$10</f>
        <v>0.06</v>
      </c>
      <c r="H41" s="439">
        <f>'RFPR cover'!$C$10</f>
        <v>0.06</v>
      </c>
      <c r="I41" s="439">
        <f>'RFPR cover'!$C$10</f>
        <v>0.06</v>
      </c>
      <c r="J41" s="439">
        <f>'RFPR cover'!$C$10</f>
        <v>0.06</v>
      </c>
      <c r="K41" s="440">
        <f>'RFPR cover'!$C$10</f>
        <v>0.06</v>
      </c>
      <c r="N41" s="134"/>
    </row>
    <row r="42" spans="2:14" s="2" customFormat="1">
      <c r="B42" s="533" t="s">
        <v>328</v>
      </c>
      <c r="C42" s="220" t="s">
        <v>7</v>
      </c>
      <c r="D42" s="441">
        <f>'RFPR cover'!$C$12</f>
        <v>0.65</v>
      </c>
      <c r="E42" s="442">
        <f>'RFPR cover'!$C$12</f>
        <v>0.65</v>
      </c>
      <c r="F42" s="442">
        <f>'RFPR cover'!$C$12</f>
        <v>0.65</v>
      </c>
      <c r="G42" s="442">
        <f>'RFPR cover'!$C$12</f>
        <v>0.65</v>
      </c>
      <c r="H42" s="442">
        <f>'RFPR cover'!$C$12</f>
        <v>0.65</v>
      </c>
      <c r="I42" s="442">
        <f>'RFPR cover'!$C$12</f>
        <v>0.65</v>
      </c>
      <c r="J42" s="442">
        <f>'RFPR cover'!$C$12</f>
        <v>0.65</v>
      </c>
      <c r="K42" s="443">
        <f>'RFPR cover'!$C$12</f>
        <v>0.65</v>
      </c>
      <c r="N42" s="134"/>
    </row>
    <row r="43" spans="2:14">
      <c r="B43" s="210" t="s">
        <v>263</v>
      </c>
      <c r="C43" s="421" t="s">
        <v>329</v>
      </c>
      <c r="D43" s="432">
        <f t="shared" ref="D43:K43" si="9">D40*D42+D41*(1-D42)</f>
        <v>3.7574999999999997E-2</v>
      </c>
      <c r="E43" s="433">
        <f t="shared" si="9"/>
        <v>3.6729999999999999E-2</v>
      </c>
      <c r="F43" s="433">
        <f t="shared" si="9"/>
        <v>3.5885E-2</v>
      </c>
      <c r="G43" s="433">
        <f t="shared" si="9"/>
        <v>3.4584999999999998E-2</v>
      </c>
      <c r="H43" s="433">
        <f t="shared" si="9"/>
        <v>3.3610000000000001E-2</v>
      </c>
      <c r="I43" s="433">
        <f t="shared" si="9"/>
        <v>3.2829999999999998E-2</v>
      </c>
      <c r="J43" s="433">
        <f t="shared" si="9"/>
        <v>3.218E-2</v>
      </c>
      <c r="K43" s="434">
        <f t="shared" si="9"/>
        <v>3.1594999999999998E-2</v>
      </c>
      <c r="L43" s="221"/>
    </row>
    <row r="44" spans="2:14">
      <c r="C44" s="233"/>
      <c r="D44" s="228"/>
      <c r="E44" s="228"/>
      <c r="F44" s="228"/>
      <c r="G44" s="228"/>
      <c r="H44" s="228"/>
      <c r="I44" s="228"/>
      <c r="J44" s="228"/>
      <c r="K44" s="228"/>
    </row>
    <row r="45" spans="2:14">
      <c r="B45" s="393" t="s">
        <v>330</v>
      </c>
      <c r="C45" s="421" t="str">
        <f>'RFPR cover'!$C$14</f>
        <v>£m 12/13</v>
      </c>
      <c r="D45" s="97">
        <f t="shared" ref="D45:K45" si="10">D47*D42</f>
        <v>978.07579038143751</v>
      </c>
      <c r="E45" s="98">
        <f t="shared" si="10"/>
        <v>983.24672734047158</v>
      </c>
      <c r="F45" s="98">
        <f t="shared" si="10"/>
        <v>988.56279472407994</v>
      </c>
      <c r="G45" s="98">
        <f t="shared" si="10"/>
        <v>996.84641544505303</v>
      </c>
      <c r="H45" s="98">
        <f t="shared" si="10"/>
        <v>1007.3527696147218</v>
      </c>
      <c r="I45" s="98">
        <f t="shared" si="10"/>
        <v>1020.8599789575388</v>
      </c>
      <c r="J45" s="98">
        <f t="shared" si="10"/>
        <v>1034.6549938651963</v>
      </c>
      <c r="K45" s="99">
        <f t="shared" si="10"/>
        <v>1046.7545010371703</v>
      </c>
    </row>
    <row r="46" spans="2:14">
      <c r="B46" s="393" t="s">
        <v>222</v>
      </c>
      <c r="C46" s="421" t="str">
        <f>'RFPR cover'!$C$14</f>
        <v>£m 12/13</v>
      </c>
      <c r="D46" s="548">
        <f t="shared" ref="D46:K46" si="11">D47*(1-D42)</f>
        <v>526.65619482077398</v>
      </c>
      <c r="E46" s="549">
        <f t="shared" si="11"/>
        <v>529.44054549102316</v>
      </c>
      <c r="F46" s="549">
        <f t="shared" si="11"/>
        <v>532.303043312966</v>
      </c>
      <c r="G46" s="549">
        <f t="shared" si="11"/>
        <v>536.76345447041308</v>
      </c>
      <c r="H46" s="549">
        <f t="shared" si="11"/>
        <v>542.42072210023468</v>
      </c>
      <c r="I46" s="549">
        <f t="shared" si="11"/>
        <v>549.6938348232901</v>
      </c>
      <c r="J46" s="549">
        <f t="shared" si="11"/>
        <v>557.12191977356713</v>
      </c>
      <c r="K46" s="550">
        <f t="shared" si="11"/>
        <v>563.63703902001464</v>
      </c>
    </row>
    <row r="47" spans="2:14">
      <c r="B47" s="210" t="s">
        <v>221</v>
      </c>
      <c r="C47" s="220" t="str">
        <f>'RFPR cover'!$C$14</f>
        <v>£m 12/13</v>
      </c>
      <c r="D47" s="104">
        <f t="shared" ref="D47:K47" si="12">AVERAGE(D16,D29*(1/(1+D43)))</f>
        <v>1504.7319852022115</v>
      </c>
      <c r="E47" s="105">
        <f t="shared" si="12"/>
        <v>1512.6872728314947</v>
      </c>
      <c r="F47" s="105">
        <f t="shared" si="12"/>
        <v>1520.8658380370459</v>
      </c>
      <c r="G47" s="105">
        <f t="shared" si="12"/>
        <v>1533.6098699154661</v>
      </c>
      <c r="H47" s="105">
        <f t="shared" si="12"/>
        <v>1549.7734917149564</v>
      </c>
      <c r="I47" s="105">
        <f t="shared" si="12"/>
        <v>1570.5538137808289</v>
      </c>
      <c r="J47" s="105">
        <f t="shared" si="12"/>
        <v>1591.7769136387633</v>
      </c>
      <c r="K47" s="106">
        <f t="shared" si="12"/>
        <v>1610.3915400571848</v>
      </c>
      <c r="N47" s="224"/>
    </row>
    <row r="48" spans="2:14">
      <c r="B48" s="210"/>
      <c r="C48" s="220"/>
      <c r="D48" s="220"/>
      <c r="E48" s="220"/>
      <c r="F48" s="220"/>
      <c r="G48" s="220"/>
      <c r="H48" s="220"/>
      <c r="I48" s="220"/>
      <c r="J48" s="220"/>
      <c r="K48" s="220"/>
      <c r="N48" s="224"/>
    </row>
    <row r="49" spans="2:14">
      <c r="B49" s="393" t="s">
        <v>331</v>
      </c>
      <c r="C49" s="421" t="str">
        <f>'RFPR cover'!$C$14</f>
        <v>£m 12/13</v>
      </c>
      <c r="D49" s="762">
        <f>D40*D45</f>
        <v>24.940932654726655</v>
      </c>
      <c r="E49" s="763">
        <f t="shared" ref="D49:K50" si="13">E40*E45</f>
        <v>23.794570801639413</v>
      </c>
      <c r="F49" s="763">
        <f t="shared" si="13"/>
        <v>22.63808799918143</v>
      </c>
      <c r="G49" s="763">
        <f t="shared" si="13"/>
        <v>20.834090082801605</v>
      </c>
      <c r="H49" s="763">
        <f t="shared" si="13"/>
        <v>19.542643730525601</v>
      </c>
      <c r="I49" s="763">
        <f t="shared" si="13"/>
        <v>18.579651617027206</v>
      </c>
      <c r="J49" s="763">
        <f t="shared" si="13"/>
        <v>17.796065894481377</v>
      </c>
      <c r="K49" s="764">
        <f t="shared" si="13"/>
        <v>17.062098366905875</v>
      </c>
    </row>
    <row r="50" spans="2:14">
      <c r="B50" s="393" t="s">
        <v>219</v>
      </c>
      <c r="C50" s="421" t="str">
        <f>'RFPR cover'!$C$14</f>
        <v>£m 12/13</v>
      </c>
      <c r="D50" s="94">
        <f t="shared" si="13"/>
        <v>31.599371689246439</v>
      </c>
      <c r="E50" s="95">
        <f t="shared" si="13"/>
        <v>31.766432729461389</v>
      </c>
      <c r="F50" s="95">
        <f t="shared" si="13"/>
        <v>31.93818259877796</v>
      </c>
      <c r="G50" s="95">
        <f t="shared" si="13"/>
        <v>32.205807268224781</v>
      </c>
      <c r="H50" s="95">
        <f t="shared" si="13"/>
        <v>32.545243326014081</v>
      </c>
      <c r="I50" s="95">
        <f t="shared" si="13"/>
        <v>32.981630089397406</v>
      </c>
      <c r="J50" s="95">
        <f t="shared" si="13"/>
        <v>33.427315186414027</v>
      </c>
      <c r="K50" s="96">
        <f t="shared" si="13"/>
        <v>33.81822234120088</v>
      </c>
      <c r="N50" s="224"/>
    </row>
    <row r="51" spans="2:14">
      <c r="B51" s="210" t="s">
        <v>333</v>
      </c>
      <c r="C51" s="421" t="str">
        <f>'RFPR cover'!$C$14</f>
        <v>£m 12/13</v>
      </c>
      <c r="D51" s="104">
        <f>SUM(D49:D50)</f>
        <v>56.540304343973091</v>
      </c>
      <c r="E51" s="105">
        <f t="shared" ref="E51:K51" si="14">SUM(E49:E50)</f>
        <v>55.561003531100802</v>
      </c>
      <c r="F51" s="105">
        <f t="shared" si="14"/>
        <v>54.576270597959393</v>
      </c>
      <c r="G51" s="105">
        <f t="shared" si="14"/>
        <v>53.039897351026383</v>
      </c>
      <c r="H51" s="105">
        <f t="shared" si="14"/>
        <v>52.087887056539685</v>
      </c>
      <c r="I51" s="105">
        <f t="shared" si="14"/>
        <v>51.561281706424609</v>
      </c>
      <c r="J51" s="105">
        <f t="shared" si="14"/>
        <v>51.223381080895408</v>
      </c>
      <c r="K51" s="106">
        <f t="shared" si="14"/>
        <v>50.880320708106751</v>
      </c>
      <c r="N51" s="224"/>
    </row>
    <row r="53" spans="2:14" s="32" customFormat="1">
      <c r="B53" s="393" t="s">
        <v>330</v>
      </c>
      <c r="C53" s="280" t="s">
        <v>118</v>
      </c>
      <c r="D53" s="97">
        <f t="shared" ref="D53:K54" si="15">D$35*D45</f>
        <v>1037.0701400879839</v>
      </c>
      <c r="E53" s="98">
        <f t="shared" si="15"/>
        <v>1064.8922724896547</v>
      </c>
      <c r="F53" s="98">
        <f t="shared" si="15"/>
        <v>1110.713480216644</v>
      </c>
      <c r="G53" s="98">
        <f t="shared" si="15"/>
        <v>1154.2436467432597</v>
      </c>
      <c r="H53" s="98">
        <f t="shared" si="15"/>
        <v>1197.02713717554</v>
      </c>
      <c r="I53" s="98">
        <f t="shared" si="15"/>
        <v>1246.7405217145242</v>
      </c>
      <c r="J53" s="98">
        <f t="shared" si="15"/>
        <v>1301.8114237225884</v>
      </c>
      <c r="K53" s="99">
        <f t="shared" si="15"/>
        <v>1357.5339532070013</v>
      </c>
      <c r="L53" s="244"/>
      <c r="N53" s="222"/>
    </row>
    <row r="54" spans="2:14" s="32" customFormat="1">
      <c r="B54" s="393" t="s">
        <v>222</v>
      </c>
      <c r="C54" s="280" t="s">
        <v>118</v>
      </c>
      <c r="D54" s="548">
        <f t="shared" si="15"/>
        <v>558.42238312429902</v>
      </c>
      <c r="E54" s="549">
        <f t="shared" si="15"/>
        <v>573.4035313405833</v>
      </c>
      <c r="F54" s="549">
        <f t="shared" si="15"/>
        <v>598.07648934742349</v>
      </c>
      <c r="G54" s="549">
        <f t="shared" si="15"/>
        <v>621.51580978483207</v>
      </c>
      <c r="H54" s="549">
        <f t="shared" si="15"/>
        <v>644.55307386375227</v>
      </c>
      <c r="I54" s="549">
        <f t="shared" si="15"/>
        <v>671.32181938474378</v>
      </c>
      <c r="J54" s="549">
        <f t="shared" si="15"/>
        <v>700.97538200447059</v>
      </c>
      <c r="K54" s="550">
        <f t="shared" si="15"/>
        <v>730.97982095761597</v>
      </c>
      <c r="L54" s="244"/>
      <c r="N54" s="222"/>
    </row>
    <row r="55" spans="2:14">
      <c r="B55" s="210" t="s">
        <v>332</v>
      </c>
      <c r="C55" s="280" t="s">
        <v>118</v>
      </c>
      <c r="D55" s="765">
        <f>SUM(D53:D54)</f>
        <v>1595.4925232122828</v>
      </c>
      <c r="E55" s="766">
        <f t="shared" ref="E55:K55" si="16">SUM(E53:E54)</f>
        <v>1638.2958038302381</v>
      </c>
      <c r="F55" s="766">
        <f t="shared" si="16"/>
        <v>1708.7899695640676</v>
      </c>
      <c r="G55" s="766">
        <f t="shared" si="16"/>
        <v>1775.7594565280917</v>
      </c>
      <c r="H55" s="766">
        <f t="shared" si="16"/>
        <v>1841.5802110392924</v>
      </c>
      <c r="I55" s="766">
        <f t="shared" si="16"/>
        <v>1918.062341099268</v>
      </c>
      <c r="J55" s="766">
        <f t="shared" si="16"/>
        <v>2002.7868057270589</v>
      </c>
      <c r="K55" s="767">
        <f t="shared" si="16"/>
        <v>2088.5137741646172</v>
      </c>
    </row>
    <row r="56" spans="2:14" s="32" customFormat="1">
      <c r="B56" s="210"/>
      <c r="C56" s="220"/>
      <c r="D56" s="220"/>
      <c r="E56" s="220"/>
      <c r="F56" s="220"/>
      <c r="G56" s="220"/>
      <c r="H56" s="220"/>
      <c r="I56" s="220"/>
      <c r="J56" s="220"/>
      <c r="K56" s="220"/>
      <c r="L56" s="244"/>
      <c r="N56" s="222"/>
    </row>
    <row r="57" spans="2:14" s="32" customFormat="1">
      <c r="B57" s="393" t="s">
        <v>331</v>
      </c>
      <c r="C57" s="280" t="s">
        <v>118</v>
      </c>
      <c r="D57" s="97">
        <f t="shared" ref="D57:K58" si="17">D$35*D49</f>
        <v>26.445288572243587</v>
      </c>
      <c r="E57" s="98">
        <f t="shared" si="17"/>
        <v>25.770392994249644</v>
      </c>
      <c r="F57" s="98">
        <f t="shared" si="17"/>
        <v>25.435338696961146</v>
      </c>
      <c r="G57" s="98">
        <f t="shared" si="17"/>
        <v>24.123692216934124</v>
      </c>
      <c r="H57" s="98">
        <f t="shared" si="17"/>
        <v>23.222326461205476</v>
      </c>
      <c r="I57" s="98">
        <f t="shared" si="17"/>
        <v>22.690677495204341</v>
      </c>
      <c r="J57" s="98">
        <f t="shared" si="17"/>
        <v>22.391156488028521</v>
      </c>
      <c r="K57" s="99">
        <f t="shared" si="17"/>
        <v>22.127803437274121</v>
      </c>
      <c r="L57" s="244"/>
      <c r="N57" s="222"/>
    </row>
    <row r="58" spans="2:14">
      <c r="B58" s="393" t="s">
        <v>228</v>
      </c>
      <c r="C58" s="280" t="s">
        <v>118</v>
      </c>
      <c r="D58" s="768">
        <f t="shared" si="17"/>
        <v>33.505342987457936</v>
      </c>
      <c r="E58" s="769">
        <f t="shared" si="17"/>
        <v>34.404211880435</v>
      </c>
      <c r="F58" s="769">
        <f t="shared" si="17"/>
        <v>35.884589360845411</v>
      </c>
      <c r="G58" s="769">
        <f t="shared" si="17"/>
        <v>37.290948587089915</v>
      </c>
      <c r="H58" s="769">
        <f t="shared" si="17"/>
        <v>38.673184431825135</v>
      </c>
      <c r="I58" s="769">
        <f t="shared" si="17"/>
        <v>40.279309163084626</v>
      </c>
      <c r="J58" s="769">
        <f t="shared" si="17"/>
        <v>42.058522920268231</v>
      </c>
      <c r="K58" s="770">
        <f t="shared" si="17"/>
        <v>43.858789257456962</v>
      </c>
    </row>
    <row r="59" spans="2:14">
      <c r="B59" s="210" t="s">
        <v>333</v>
      </c>
      <c r="C59" s="280" t="s">
        <v>118</v>
      </c>
      <c r="D59" s="104">
        <f t="shared" ref="D59:K59" si="18">SUM(D57:D58)</f>
        <v>59.95063155970152</v>
      </c>
      <c r="E59" s="105">
        <f t="shared" si="18"/>
        <v>60.174604874684647</v>
      </c>
      <c r="F59" s="105">
        <f t="shared" si="18"/>
        <v>61.319928057806557</v>
      </c>
      <c r="G59" s="105">
        <f t="shared" si="18"/>
        <v>61.414640804024039</v>
      </c>
      <c r="H59" s="105">
        <f t="shared" si="18"/>
        <v>61.895510893030611</v>
      </c>
      <c r="I59" s="105">
        <f t="shared" si="18"/>
        <v>62.969986658288967</v>
      </c>
      <c r="J59" s="105">
        <f t="shared" si="18"/>
        <v>64.44967940829676</v>
      </c>
      <c r="K59" s="106">
        <f t="shared" si="18"/>
        <v>65.986592694731087</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sheetProtection password="FE19" sheet="1" objects="1" scenarios="1"/>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sheetPr codeName="Sheet14">
    <tabColor rgb="FFFFFFCC"/>
    <pageSetUpPr fitToPage="1"/>
  </sheetPr>
  <dimension ref="A1:N95"/>
  <sheetViews>
    <sheetView showGridLines="0" zoomScale="80" zoomScaleNormal="80" workbookViewId="0">
      <pane ySplit="6" topLeftCell="A7" activePane="bottomLeft" state="frozen"/>
      <selection activeCell="B75" sqref="A1:XFD1048576"/>
      <selection pane="bottomLeft" activeCell="N32" sqref="N32"/>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2" customFormat="1" ht="20.25">
      <c r="A1" s="268" t="s">
        <v>251</v>
      </c>
      <c r="B1" s="269"/>
      <c r="C1" s="269"/>
      <c r="D1" s="269"/>
      <c r="E1" s="269"/>
      <c r="F1" s="269"/>
      <c r="G1" s="269"/>
      <c r="H1" s="269"/>
      <c r="I1" s="270"/>
      <c r="J1" s="270"/>
      <c r="K1" s="271"/>
      <c r="L1" s="272"/>
    </row>
    <row r="2" spans="1:13" s="32" customFormat="1" ht="20.25">
      <c r="A2" s="126" t="str">
        <f>'RFPR cover'!C5</f>
        <v>ENWL</v>
      </c>
      <c r="B2" s="30"/>
      <c r="C2" s="30"/>
      <c r="D2" s="30"/>
      <c r="E2" s="30"/>
      <c r="F2" s="30"/>
      <c r="G2" s="30"/>
      <c r="H2" s="30"/>
      <c r="I2" s="27"/>
      <c r="J2" s="27"/>
      <c r="K2" s="27"/>
      <c r="L2" s="127"/>
    </row>
    <row r="3" spans="1:13" s="32" customFormat="1" ht="20.25">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456"/>
      <c r="E7" s="456"/>
      <c r="F7" s="456"/>
      <c r="G7" s="456"/>
      <c r="H7" s="456"/>
      <c r="I7" s="456"/>
      <c r="J7" s="456"/>
      <c r="K7" s="456"/>
    </row>
    <row r="8" spans="1:13" s="2" customFormat="1">
      <c r="B8" s="390" t="s">
        <v>341</v>
      </c>
      <c r="C8" s="308"/>
      <c r="D8" s="308"/>
      <c r="E8" s="308"/>
      <c r="F8" s="308"/>
      <c r="G8" s="308"/>
      <c r="H8" s="308"/>
      <c r="I8" s="308"/>
      <c r="J8" s="308"/>
      <c r="K8" s="308"/>
      <c r="L8" s="308"/>
    </row>
    <row r="9" spans="1:13" s="2" customFormat="1">
      <c r="B9" s="390" t="s">
        <v>446</v>
      </c>
      <c r="C9" s="308"/>
      <c r="D9" s="308"/>
      <c r="E9" s="308"/>
      <c r="F9" s="308"/>
      <c r="G9" s="308"/>
      <c r="H9" s="308"/>
      <c r="I9" s="308"/>
      <c r="J9" s="308"/>
      <c r="K9" s="308"/>
      <c r="L9" s="308"/>
    </row>
    <row r="10" spans="1:13" s="2" customFormat="1">
      <c r="B10" s="390" t="s">
        <v>342</v>
      </c>
      <c r="C10" s="308"/>
      <c r="D10" s="308"/>
      <c r="E10" s="308"/>
      <c r="F10" s="308"/>
      <c r="G10" s="308"/>
      <c r="H10" s="308"/>
      <c r="I10" s="308"/>
      <c r="J10" s="308"/>
      <c r="K10" s="308"/>
      <c r="L10" s="308"/>
    </row>
    <row r="11" spans="1:13" s="36" customFormat="1">
      <c r="B11" s="455"/>
    </row>
    <row r="12" spans="1:13">
      <c r="B12" s="209" t="s">
        <v>503</v>
      </c>
      <c r="C12" s="280" t="s">
        <v>118</v>
      </c>
      <c r="D12" s="667">
        <v>30.958269999999999</v>
      </c>
      <c r="E12" s="668">
        <v>33.934068200000006</v>
      </c>
      <c r="F12" s="668">
        <v>20.037819995</v>
      </c>
      <c r="G12" s="668"/>
      <c r="H12" s="668"/>
      <c r="I12" s="668"/>
      <c r="J12" s="668"/>
      <c r="K12" s="669"/>
    </row>
    <row r="13" spans="1:13">
      <c r="B13" s="14"/>
      <c r="C13" s="14"/>
      <c r="D13" s="771"/>
      <c r="E13" s="771"/>
      <c r="F13" s="771"/>
      <c r="G13" s="771"/>
      <c r="H13" s="771"/>
      <c r="I13" s="771"/>
      <c r="J13" s="771"/>
      <c r="K13" s="771"/>
    </row>
    <row r="14" spans="1:13">
      <c r="B14" s="14" t="s">
        <v>445</v>
      </c>
      <c r="C14" s="280"/>
      <c r="D14" s="771"/>
      <c r="E14" s="771"/>
      <c r="F14" s="771"/>
      <c r="G14" s="771"/>
      <c r="H14" s="771"/>
      <c r="I14" s="771"/>
      <c r="J14" s="771"/>
      <c r="K14" s="771"/>
    </row>
    <row r="15" spans="1:13">
      <c r="B15" s="391" t="s">
        <v>467</v>
      </c>
      <c r="C15" s="280" t="s">
        <v>118</v>
      </c>
      <c r="D15" s="623">
        <v>0.6685709660000001</v>
      </c>
      <c r="E15" s="624">
        <v>0.6</v>
      </c>
      <c r="F15" s="624">
        <v>0.51604353400000003</v>
      </c>
      <c r="G15" s="624"/>
      <c r="H15" s="624"/>
      <c r="I15" s="624"/>
      <c r="J15" s="624"/>
      <c r="K15" s="634"/>
    </row>
    <row r="16" spans="1:13">
      <c r="B16" s="457" t="s">
        <v>12</v>
      </c>
      <c r="C16" s="280" t="s">
        <v>118</v>
      </c>
      <c r="D16" s="623"/>
      <c r="E16" s="624"/>
      <c r="F16" s="624"/>
      <c r="G16" s="624"/>
      <c r="H16" s="624"/>
      <c r="I16" s="624"/>
      <c r="J16" s="624"/>
      <c r="K16" s="634"/>
    </row>
    <row r="17" spans="2:12">
      <c r="B17" s="457" t="s">
        <v>12</v>
      </c>
      <c r="C17" s="280" t="s">
        <v>118</v>
      </c>
      <c r="D17" s="623"/>
      <c r="E17" s="624"/>
      <c r="F17" s="624"/>
      <c r="G17" s="624"/>
      <c r="H17" s="624"/>
      <c r="I17" s="624"/>
      <c r="J17" s="624"/>
      <c r="K17" s="634"/>
    </row>
    <row r="18" spans="2:12">
      <c r="B18" s="457" t="s">
        <v>12</v>
      </c>
      <c r="C18" s="280" t="s">
        <v>118</v>
      </c>
      <c r="D18" s="623"/>
      <c r="E18" s="624"/>
      <c r="F18" s="624"/>
      <c r="G18" s="624"/>
      <c r="H18" s="624"/>
      <c r="I18" s="624"/>
      <c r="J18" s="624"/>
      <c r="K18" s="634"/>
    </row>
    <row r="19" spans="2:12">
      <c r="B19" s="282" t="s">
        <v>343</v>
      </c>
      <c r="C19" s="280" t="s">
        <v>118</v>
      </c>
      <c r="D19" s="772">
        <f>SUM(D15:D18)</f>
        <v>0.6685709660000001</v>
      </c>
      <c r="E19" s="773">
        <f t="shared" ref="E19:K19" si="1">SUM(E15:E18)</f>
        <v>0.6</v>
      </c>
      <c r="F19" s="773">
        <f t="shared" si="1"/>
        <v>0.51604353400000003</v>
      </c>
      <c r="G19" s="773">
        <f t="shared" si="1"/>
        <v>0</v>
      </c>
      <c r="H19" s="773">
        <f t="shared" si="1"/>
        <v>0</v>
      </c>
      <c r="I19" s="773">
        <f t="shared" si="1"/>
        <v>0</v>
      </c>
      <c r="J19" s="773">
        <f t="shared" si="1"/>
        <v>0</v>
      </c>
      <c r="K19" s="774">
        <f t="shared" si="1"/>
        <v>0</v>
      </c>
    </row>
    <row r="20" spans="2:12" s="32" customFormat="1">
      <c r="B20" s="391"/>
      <c r="C20" s="391"/>
      <c r="D20" s="775"/>
      <c r="E20" s="775"/>
      <c r="F20" s="775"/>
      <c r="G20" s="775"/>
      <c r="H20" s="775"/>
      <c r="I20" s="775"/>
      <c r="J20" s="775"/>
      <c r="K20" s="775"/>
      <c r="L20" s="391"/>
    </row>
    <row r="21" spans="2:12">
      <c r="B21" s="14" t="s">
        <v>322</v>
      </c>
      <c r="C21" s="280"/>
      <c r="D21" s="776"/>
      <c r="E21" s="776"/>
      <c r="F21" s="776"/>
      <c r="G21" s="776"/>
      <c r="H21" s="776"/>
      <c r="I21" s="776"/>
      <c r="J21" s="776"/>
      <c r="K21" s="776"/>
      <c r="L21" s="280"/>
    </row>
    <row r="22" spans="2:12">
      <c r="B22" s="391" t="s">
        <v>468</v>
      </c>
      <c r="C22" s="280" t="s">
        <v>118</v>
      </c>
      <c r="D22" s="893">
        <f>('R5 - Output Incentives'!D102)*INDEX(Data!$G$14:$G$30,MATCH('R10 - Tax'!D$6,Data!$C$14:$C$30,0),1)</f>
        <v>1.6789304653169812</v>
      </c>
      <c r="E22" s="894">
        <f>('R5 - Output Incentives'!E102)*INDEX(Data!$G$14:$G$30,MATCH('R10 - Tax'!E$6,Data!$C$14:$C$30,0),1)</f>
        <v>3.163383349274191</v>
      </c>
      <c r="F22" s="894">
        <f>('R5 - Output Incentives'!F102)*INDEX(Data!$G$14:$G$30,MATCH('R10 - Tax'!F$6,Data!$C$14:$C$30,0),1)</f>
        <v>3.2728885421398495</v>
      </c>
      <c r="G22" s="894">
        <f>('R5 - Output Incentives'!G102)*INDEX(Data!$G$14:$G$30,MATCH('R10 - Tax'!G$6,Data!$C$14:$C$30,0),1)</f>
        <v>3.1762425466331616</v>
      </c>
      <c r="H22" s="896">
        <f>('R5 - Output Incentives'!H102)*INDEX(Data!$G$14:$G$30,MATCH('R10 - Tax'!H$6,Data!$C$14:$C$30,0),1)</f>
        <v>3.0080547545441285</v>
      </c>
      <c r="I22" s="896">
        <f>('R5 - Output Incentives'!I102)*INDEX(Data!$G$14:$G$30,MATCH('R10 - Tax'!I$6,Data!$C$14:$C$30,0),1)</f>
        <v>2.8929935318537416</v>
      </c>
      <c r="J22" s="896">
        <f>('R5 - Output Incentives'!J102)*INDEX(Data!$G$14:$G$30,MATCH('R10 - Tax'!J$6,Data!$C$14:$C$30,0),1)</f>
        <v>3.9967561491977843</v>
      </c>
      <c r="K22" s="897">
        <f>('R5 - Output Incentives'!K102)*INDEX(Data!$G$14:$G$30,MATCH('R10 - Tax'!K$6,Data!$C$14:$C$30,0),1)</f>
        <v>4.2527052534062664</v>
      </c>
    </row>
    <row r="23" spans="2:12">
      <c r="B23" s="391" t="s">
        <v>469</v>
      </c>
      <c r="C23" s="280" t="s">
        <v>118</v>
      </c>
      <c r="D23" s="627">
        <f>('R4 - Totex'!D77-'R4 - Totex'!D79)*D45</f>
        <v>0</v>
      </c>
      <c r="E23" s="629">
        <f>('R4 - Totex'!E77-'R4 - Totex'!E79)*E45</f>
        <v>0</v>
      </c>
      <c r="F23" s="629">
        <f>('R4 - Totex'!F77-'R4 - Totex'!F79)*F45</f>
        <v>0</v>
      </c>
      <c r="G23" s="629">
        <f>('R4 - Totex'!G77-'R4 - Totex'!G79)*G45</f>
        <v>0</v>
      </c>
      <c r="H23" s="898">
        <f>('R4 - Totex'!H77-'R4 - Totex'!H79)*H45</f>
        <v>0</v>
      </c>
      <c r="I23" s="898">
        <f>('R4 - Totex'!I77-'R4 - Totex'!I79)*I45</f>
        <v>0</v>
      </c>
      <c r="J23" s="898">
        <f>('R4 - Totex'!J77-'R4 - Totex'!J79)*J45</f>
        <v>0</v>
      </c>
      <c r="K23" s="899">
        <f>('R4 - Totex'!K77-'R4 - Totex'!K79)*K45</f>
        <v>0</v>
      </c>
    </row>
    <row r="24" spans="2:12">
      <c r="B24" s="391" t="s">
        <v>470</v>
      </c>
      <c r="C24" s="280" t="s">
        <v>118</v>
      </c>
      <c r="D24" s="625">
        <v>0</v>
      </c>
      <c r="E24" s="626">
        <v>6.116851778692153</v>
      </c>
      <c r="F24" s="626">
        <v>-2.1069385766335977</v>
      </c>
      <c r="G24" s="626"/>
      <c r="H24" s="626"/>
      <c r="I24" s="626"/>
      <c r="J24" s="626"/>
      <c r="K24" s="635"/>
    </row>
    <row r="25" spans="2:12">
      <c r="B25" s="391" t="s">
        <v>471</v>
      </c>
      <c r="C25" s="280" t="s">
        <v>118</v>
      </c>
      <c r="D25" s="625">
        <v>-1.68673758274159</v>
      </c>
      <c r="E25" s="626">
        <v>-1.1298400791785499</v>
      </c>
      <c r="F25" s="626">
        <v>-2.1358343002691602</v>
      </c>
      <c r="G25" s="626"/>
      <c r="H25" s="626"/>
      <c r="I25" s="626"/>
      <c r="J25" s="626"/>
      <c r="K25" s="635"/>
    </row>
    <row r="26" spans="2:12">
      <c r="B26" s="391" t="s">
        <v>472</v>
      </c>
      <c r="C26" s="280" t="s">
        <v>118</v>
      </c>
      <c r="D26" s="625">
        <v>0</v>
      </c>
      <c r="E26" s="626">
        <v>0</v>
      </c>
      <c r="F26" s="626">
        <v>0</v>
      </c>
      <c r="G26" s="626"/>
      <c r="H26" s="626"/>
      <c r="I26" s="626"/>
      <c r="J26" s="626"/>
      <c r="K26" s="635"/>
    </row>
    <row r="27" spans="2:12">
      <c r="B27" s="391" t="s">
        <v>473</v>
      </c>
      <c r="C27" s="280" t="s">
        <v>118</v>
      </c>
      <c r="D27" s="625">
        <v>0</v>
      </c>
      <c r="E27" s="626">
        <v>0</v>
      </c>
      <c r="F27" s="626">
        <v>0</v>
      </c>
      <c r="G27" s="626"/>
      <c r="H27" s="626"/>
      <c r="I27" s="626"/>
      <c r="J27" s="626"/>
      <c r="K27" s="635"/>
    </row>
    <row r="28" spans="2:12">
      <c r="B28" s="457" t="s">
        <v>550</v>
      </c>
      <c r="C28" s="280" t="s">
        <v>118</v>
      </c>
      <c r="D28" s="625">
        <v>-0.18446567004355818</v>
      </c>
      <c r="E28" s="626">
        <v>-0.14062949206075789</v>
      </c>
      <c r="F28" s="626">
        <v>-0.12358412078999997</v>
      </c>
      <c r="G28" s="626"/>
      <c r="H28" s="626"/>
      <c r="I28" s="626"/>
      <c r="J28" s="626"/>
      <c r="K28" s="635"/>
    </row>
    <row r="29" spans="2:12">
      <c r="B29" s="457"/>
      <c r="C29" s="280" t="s">
        <v>118</v>
      </c>
      <c r="D29" s="625">
        <v>0</v>
      </c>
      <c r="E29" s="626">
        <v>0</v>
      </c>
      <c r="F29" s="626">
        <v>0</v>
      </c>
      <c r="G29" s="626"/>
      <c r="H29" s="626"/>
      <c r="I29" s="626"/>
      <c r="J29" s="626"/>
      <c r="K29" s="635"/>
    </row>
    <row r="30" spans="2:12">
      <c r="B30" s="457" t="s">
        <v>551</v>
      </c>
      <c r="C30" s="280" t="s">
        <v>118</v>
      </c>
      <c r="D30" s="625">
        <v>3.0779575079676702</v>
      </c>
      <c r="E30" s="626">
        <v>0.96323445775126804</v>
      </c>
      <c r="F30" s="626">
        <v>0.98677766261373001</v>
      </c>
      <c r="G30" s="626"/>
      <c r="H30" s="626"/>
      <c r="I30" s="626"/>
      <c r="J30" s="626"/>
      <c r="K30" s="635"/>
    </row>
    <row r="31" spans="2:12">
      <c r="B31" s="457"/>
      <c r="C31" s="280" t="s">
        <v>118</v>
      </c>
      <c r="D31" s="625">
        <v>0</v>
      </c>
      <c r="E31" s="626">
        <v>0</v>
      </c>
      <c r="F31" s="626">
        <v>0</v>
      </c>
      <c r="G31" s="626"/>
      <c r="H31" s="626"/>
      <c r="I31" s="626"/>
      <c r="J31" s="626"/>
      <c r="K31" s="635"/>
    </row>
    <row r="32" spans="2:12">
      <c r="B32" s="457" t="s">
        <v>552</v>
      </c>
      <c r="C32" s="280" t="s">
        <v>118</v>
      </c>
      <c r="D32" s="625">
        <v>-0.72165120000000005</v>
      </c>
      <c r="E32" s="626">
        <v>-1.6389836</v>
      </c>
      <c r="F32" s="626">
        <v>-1.21300579</v>
      </c>
      <c r="G32" s="626"/>
      <c r="H32" s="626"/>
      <c r="I32" s="626"/>
      <c r="J32" s="626"/>
      <c r="K32" s="635"/>
    </row>
    <row r="33" spans="2:12">
      <c r="B33" s="457"/>
      <c r="C33" s="280" t="s">
        <v>118</v>
      </c>
      <c r="D33" s="636">
        <v>0</v>
      </c>
      <c r="E33" s="637">
        <v>0</v>
      </c>
      <c r="F33" s="637">
        <v>0</v>
      </c>
      <c r="G33" s="637"/>
      <c r="H33" s="637"/>
      <c r="I33" s="637"/>
      <c r="J33" s="637"/>
      <c r="K33" s="638"/>
    </row>
    <row r="34" spans="2:12">
      <c r="B34" s="457" t="s">
        <v>553</v>
      </c>
      <c r="C34" s="280" t="s">
        <v>118</v>
      </c>
      <c r="D34" s="636">
        <v>2.54</v>
      </c>
      <c r="E34" s="637">
        <v>-2.1</v>
      </c>
      <c r="F34" s="637">
        <v>4.5409999999999995</v>
      </c>
      <c r="G34" s="637"/>
      <c r="H34" s="637"/>
      <c r="I34" s="637"/>
      <c r="J34" s="637"/>
      <c r="K34" s="638"/>
    </row>
    <row r="35" spans="2:12">
      <c r="B35" s="457"/>
      <c r="C35" s="280" t="s">
        <v>118</v>
      </c>
      <c r="D35" s="636">
        <v>0</v>
      </c>
      <c r="E35" s="637">
        <v>0</v>
      </c>
      <c r="F35" s="637">
        <v>0</v>
      </c>
      <c r="G35" s="637"/>
      <c r="H35" s="637"/>
      <c r="I35" s="637"/>
      <c r="J35" s="637"/>
      <c r="K35" s="638"/>
    </row>
    <row r="36" spans="2:12">
      <c r="B36" s="457" t="s">
        <v>554</v>
      </c>
      <c r="C36" s="280" t="s">
        <v>118</v>
      </c>
      <c r="D36" s="636">
        <v>0</v>
      </c>
      <c r="E36" s="637">
        <v>0</v>
      </c>
      <c r="F36" s="637">
        <v>6.8268899999999995E-3</v>
      </c>
      <c r="G36" s="637"/>
      <c r="H36" s="637"/>
      <c r="I36" s="637"/>
      <c r="J36" s="637"/>
      <c r="K36" s="638"/>
    </row>
    <row r="37" spans="2:12">
      <c r="B37" s="457"/>
      <c r="C37" s="280" t="s">
        <v>118</v>
      </c>
      <c r="D37" s="636">
        <v>0</v>
      </c>
      <c r="E37" s="637">
        <v>0</v>
      </c>
      <c r="F37" s="637">
        <v>0</v>
      </c>
      <c r="G37" s="637"/>
      <c r="H37" s="637"/>
      <c r="I37" s="637"/>
      <c r="J37" s="637"/>
      <c r="K37" s="638"/>
    </row>
    <row r="38" spans="2:12">
      <c r="B38" s="457"/>
      <c r="C38" s="280" t="s">
        <v>118</v>
      </c>
      <c r="D38" s="636">
        <v>0</v>
      </c>
      <c r="E38" s="637">
        <v>0</v>
      </c>
      <c r="F38" s="637">
        <v>0</v>
      </c>
      <c r="G38" s="637"/>
      <c r="H38" s="637"/>
      <c r="I38" s="637"/>
      <c r="J38" s="637"/>
      <c r="K38" s="638"/>
    </row>
    <row r="39" spans="2:12">
      <c r="B39" s="457"/>
      <c r="C39" s="280" t="s">
        <v>118</v>
      </c>
      <c r="D39" s="636">
        <v>0</v>
      </c>
      <c r="E39" s="637">
        <v>0</v>
      </c>
      <c r="F39" s="637">
        <v>0</v>
      </c>
      <c r="G39" s="637"/>
      <c r="H39" s="637"/>
      <c r="I39" s="637"/>
      <c r="J39" s="637"/>
      <c r="K39" s="638"/>
    </row>
    <row r="40" spans="2:12">
      <c r="B40" s="14" t="s">
        <v>167</v>
      </c>
      <c r="C40" s="280" t="s">
        <v>118</v>
      </c>
      <c r="D40" s="777">
        <f t="shared" ref="D40:K40" si="2">SUM(D22:D39)</f>
        <v>4.704033520499503</v>
      </c>
      <c r="E40" s="778">
        <f t="shared" si="2"/>
        <v>5.2340164144783063</v>
      </c>
      <c r="F40" s="778">
        <f t="shared" si="2"/>
        <v>3.2281303070608214</v>
      </c>
      <c r="G40" s="778">
        <f t="shared" si="2"/>
        <v>3.1762425466331616</v>
      </c>
      <c r="H40" s="778">
        <f t="shared" si="2"/>
        <v>3.0080547545441285</v>
      </c>
      <c r="I40" s="778">
        <f t="shared" si="2"/>
        <v>2.8929935318537416</v>
      </c>
      <c r="J40" s="778">
        <f t="shared" si="2"/>
        <v>3.9967561491977843</v>
      </c>
      <c r="K40" s="779">
        <f t="shared" si="2"/>
        <v>4.2527052534062664</v>
      </c>
    </row>
    <row r="42" spans="2:12" ht="12.75" customHeight="1">
      <c r="B42" s="858" t="s">
        <v>480</v>
      </c>
      <c r="C42" s="280" t="s">
        <v>118</v>
      </c>
      <c r="D42" s="667"/>
      <c r="E42" s="668"/>
      <c r="F42" s="668"/>
      <c r="G42" s="668">
        <v>26.269999475548811</v>
      </c>
      <c r="H42" s="668">
        <v>31.568871661225316</v>
      </c>
      <c r="I42" s="668">
        <v>26.028152745390905</v>
      </c>
      <c r="J42" s="668">
        <v>24.494993606519749</v>
      </c>
      <c r="K42" s="669">
        <v>20.711034285945487</v>
      </c>
    </row>
    <row r="43" spans="2:12" ht="12.75" customHeight="1">
      <c r="B43" s="858" t="s">
        <v>449</v>
      </c>
      <c r="C43" s="280" t="s">
        <v>118</v>
      </c>
      <c r="D43" s="777">
        <f t="shared" ref="D43:K43" si="3">D12+D42-D19-D40</f>
        <v>25.585665513500494</v>
      </c>
      <c r="E43" s="778">
        <f t="shared" si="3"/>
        <v>28.1000517855217</v>
      </c>
      <c r="F43" s="778">
        <f t="shared" si="3"/>
        <v>16.293646153939179</v>
      </c>
      <c r="G43" s="778">
        <f t="shared" si="3"/>
        <v>23.093756928915649</v>
      </c>
      <c r="H43" s="778">
        <f t="shared" si="3"/>
        <v>28.560816906681186</v>
      </c>
      <c r="I43" s="778">
        <f t="shared" si="3"/>
        <v>23.135159213537165</v>
      </c>
      <c r="J43" s="778">
        <f t="shared" si="3"/>
        <v>20.498237457321963</v>
      </c>
      <c r="K43" s="779">
        <f t="shared" si="3"/>
        <v>16.458329032539222</v>
      </c>
    </row>
    <row r="44" spans="2:12" ht="12.75" customHeight="1">
      <c r="B44" s="508"/>
      <c r="C44" s="280"/>
      <c r="D44" s="280"/>
      <c r="E44" s="280"/>
      <c r="F44" s="280"/>
      <c r="G44" s="280"/>
      <c r="H44" s="280"/>
      <c r="I44" s="280"/>
      <c r="J44" s="280"/>
      <c r="K44" s="280"/>
    </row>
    <row r="45" spans="2:12">
      <c r="B45" s="38" t="s">
        <v>457</v>
      </c>
      <c r="C45" s="281" t="s">
        <v>117</v>
      </c>
      <c r="D45" s="114">
        <f>Data!C$34</f>
        <v>1.0603167467048125</v>
      </c>
      <c r="E45" s="114">
        <f>Data!D$34</f>
        <v>1.0830366813119445</v>
      </c>
      <c r="F45" s="114">
        <f>Data!E$34</f>
        <v>1.1235639113109226</v>
      </c>
      <c r="G45" s="114">
        <f>Data!F$34</f>
        <v>1.1578951670583426</v>
      </c>
      <c r="H45" s="114">
        <f>Data!G$34</f>
        <v>1.1882899151936241</v>
      </c>
      <c r="I45" s="114">
        <f>Data!H$34</f>
        <v>1.2212649603402472</v>
      </c>
      <c r="J45" s="114">
        <f>Data!I$34</f>
        <v>1.2582082253905398</v>
      </c>
      <c r="K45" s="114">
        <f>Data!J$34</f>
        <v>1.296898128321299</v>
      </c>
      <c r="L45" s="280"/>
    </row>
    <row r="46" spans="2:12">
      <c r="B46" s="209"/>
      <c r="C46" s="280"/>
      <c r="D46" s="280"/>
      <c r="E46" s="280"/>
      <c r="F46" s="280"/>
      <c r="G46" s="280"/>
      <c r="H46" s="280"/>
      <c r="I46" s="280"/>
      <c r="J46" s="280"/>
      <c r="K46" s="280"/>
    </row>
    <row r="47" spans="2:12">
      <c r="B47" s="571" t="s">
        <v>450</v>
      </c>
      <c r="C47" s="421" t="str">
        <f>'RFPR cover'!$C$14</f>
        <v>£m 12/13</v>
      </c>
      <c r="D47" s="823">
        <f t="shared" ref="D47:K47" si="4">D43/D45</f>
        <v>24.13020976327504</v>
      </c>
      <c r="E47" s="824">
        <f t="shared" si="4"/>
        <v>25.945614096359591</v>
      </c>
      <c r="F47" s="824">
        <f t="shared" si="4"/>
        <v>14.501752850826708</v>
      </c>
      <c r="G47" s="824">
        <f t="shared" si="4"/>
        <v>19.94460084636663</v>
      </c>
      <c r="H47" s="824">
        <f t="shared" si="4"/>
        <v>24.035226203217743</v>
      </c>
      <c r="I47" s="824">
        <f t="shared" si="4"/>
        <v>18.943603529811956</v>
      </c>
      <c r="J47" s="824">
        <f t="shared" si="4"/>
        <v>16.291609801676064</v>
      </c>
      <c r="K47" s="825">
        <f t="shared" si="4"/>
        <v>12.690533414403824</v>
      </c>
    </row>
    <row r="48" spans="2:12">
      <c r="B48" s="858"/>
      <c r="C48" s="858"/>
      <c r="D48" s="858"/>
      <c r="E48" s="858"/>
      <c r="F48" s="858"/>
      <c r="G48" s="858"/>
      <c r="H48" s="858"/>
      <c r="I48" s="858"/>
      <c r="J48" s="858"/>
      <c r="K48" s="858"/>
    </row>
    <row r="49" spans="2:14">
      <c r="B49" s="866" t="s">
        <v>430</v>
      </c>
      <c r="C49" s="220"/>
      <c r="D49" s="220"/>
      <c r="E49" s="220"/>
      <c r="F49" s="220"/>
      <c r="G49" s="220"/>
      <c r="H49" s="220"/>
      <c r="I49" s="220"/>
      <c r="J49" s="220"/>
      <c r="K49" s="220"/>
    </row>
    <row r="50" spans="2:14">
      <c r="B50" s="390" t="s">
        <v>418</v>
      </c>
      <c r="C50" s="458"/>
      <c r="D50" s="458"/>
      <c r="E50" s="458"/>
      <c r="F50" s="458"/>
      <c r="G50" s="458"/>
      <c r="H50" s="458"/>
      <c r="I50" s="458"/>
      <c r="J50" s="458"/>
      <c r="K50" s="458"/>
      <c r="L50" s="458"/>
      <c r="M50" s="458"/>
    </row>
    <row r="52" spans="2:14" ht="12.75" customHeight="1">
      <c r="B52" s="223" t="s">
        <v>105</v>
      </c>
      <c r="C52" s="163" t="s">
        <v>7</v>
      </c>
      <c r="D52" s="932">
        <f>'RFPR cover'!$C$12</f>
        <v>0.65</v>
      </c>
      <c r="E52" s="933">
        <f>'RFPR cover'!$C$12</f>
        <v>0.65</v>
      </c>
      <c r="F52" s="933">
        <f>'RFPR cover'!$C$12</f>
        <v>0.65</v>
      </c>
      <c r="G52" s="933">
        <f>'RFPR cover'!$C$12</f>
        <v>0.65</v>
      </c>
      <c r="H52" s="933">
        <f>'RFPR cover'!$C$12</f>
        <v>0.65</v>
      </c>
      <c r="I52" s="933">
        <f>'RFPR cover'!$C$12</f>
        <v>0.65</v>
      </c>
      <c r="J52" s="933">
        <f>'RFPR cover'!$C$12</f>
        <v>0.65</v>
      </c>
      <c r="K52" s="934">
        <f>'RFPR cover'!$C$12</f>
        <v>0.65</v>
      </c>
    </row>
    <row r="53" spans="2:14" ht="12.75" customHeight="1">
      <c r="B53" s="223" t="s">
        <v>380</v>
      </c>
      <c r="C53" s="163" t="s">
        <v>7</v>
      </c>
      <c r="D53" s="932">
        <f>'R8 - Net Debt'!D57</f>
        <v>0.61201163610041198</v>
      </c>
      <c r="E53" s="933">
        <f>'R8 - Net Debt'!E57</f>
        <v>0.60986685527977924</v>
      </c>
      <c r="F53" s="933">
        <f>'R8 - Net Debt'!F57</f>
        <v>0.6076920907507305</v>
      </c>
      <c r="G53" s="933">
        <f>'R8 - Net Debt'!G57</f>
        <v>0.62301707716390231</v>
      </c>
      <c r="H53" s="933">
        <f>'R8 - Net Debt'!H57</f>
        <v>0.6225925002933943</v>
      </c>
      <c r="I53" s="933">
        <f>'R8 - Net Debt'!I57</f>
        <v>0.61395369658520538</v>
      </c>
      <c r="J53" s="933">
        <f>'R8 - Net Debt'!J57</f>
        <v>0.60643070661400245</v>
      </c>
      <c r="K53" s="934">
        <f>'R8 - Net Debt'!K57</f>
        <v>0.6019697528467397</v>
      </c>
    </row>
    <row r="54" spans="2:14" ht="12.75" customHeight="1">
      <c r="B54" s="223"/>
      <c r="C54" s="163"/>
      <c r="D54" s="163"/>
      <c r="E54" s="163"/>
      <c r="F54" s="163"/>
      <c r="G54" s="163"/>
      <c r="H54" s="163"/>
      <c r="I54" s="163"/>
      <c r="J54" s="163"/>
      <c r="K54" s="163"/>
      <c r="L54" s="163"/>
    </row>
    <row r="55" spans="2:14" ht="12.75" customHeight="1">
      <c r="B55" s="858" t="s">
        <v>450</v>
      </c>
      <c r="C55" s="280" t="s">
        <v>118</v>
      </c>
      <c r="D55" s="823">
        <f>D43</f>
        <v>25.585665513500494</v>
      </c>
      <c r="E55" s="823">
        <f t="shared" ref="E55:K55" si="5">E43</f>
        <v>28.1000517855217</v>
      </c>
      <c r="F55" s="823">
        <f t="shared" si="5"/>
        <v>16.293646153939179</v>
      </c>
      <c r="G55" s="823">
        <f t="shared" si="5"/>
        <v>23.093756928915649</v>
      </c>
      <c r="H55" s="823">
        <f t="shared" si="5"/>
        <v>28.560816906681186</v>
      </c>
      <c r="I55" s="823">
        <f t="shared" si="5"/>
        <v>23.135159213537165</v>
      </c>
      <c r="J55" s="823">
        <f t="shared" si="5"/>
        <v>20.498237457321963</v>
      </c>
      <c r="K55" s="823">
        <f t="shared" si="5"/>
        <v>16.458329032539222</v>
      </c>
    </row>
    <row r="56" spans="2:14">
      <c r="B56" s="223" t="s">
        <v>431</v>
      </c>
      <c r="C56" s="280" t="s">
        <v>118</v>
      </c>
      <c r="D56" s="935">
        <f>-('R7 - Financing'!D65*INDEX(Data!$G$14:$G$30,MATCH('R10 - Tax'!D$6,Data!$C$14:$C$30,0),1))</f>
        <v>-0.41488260220809769</v>
      </c>
      <c r="E56" s="935">
        <f>-('R7 - Financing'!E65*INDEX(Data!$G$14:$G$30,MATCH('R10 - Tax'!E$6,Data!$C$14:$C$30,0),1))</f>
        <v>-0.2765412422277243</v>
      </c>
      <c r="F56" s="935">
        <f>-('R7 - Financing'!F65*INDEX(Data!$G$14:$G$30,MATCH('R10 - Tax'!F$6,Data!$C$14:$C$30,0),1))</f>
        <v>-3.4390629769506291E-2</v>
      </c>
      <c r="G56" s="935">
        <f>-('R7 - Financing'!G65*INDEX(Data!$G$14:$G$30,MATCH('R10 - Tax'!G$6,Data!$C$14:$C$30,0),1))</f>
        <v>-0.10262477483903433</v>
      </c>
      <c r="H56" s="935">
        <f>-('R7 - Financing'!H65*INDEX(Data!$G$14:$G$30,MATCH('R10 - Tax'!H$6,Data!$C$14:$C$30,0),1))</f>
        <v>-0.11988016157409838</v>
      </c>
      <c r="I56" s="935">
        <f>-('R7 - Financing'!I65*INDEX(Data!$G$14:$G$30,MATCH('R10 - Tax'!I$6,Data!$C$14:$C$30,0),1))</f>
        <v>-0.12227364257198031</v>
      </c>
      <c r="J56" s="935">
        <f>-('R7 - Financing'!J65*INDEX(Data!$G$14:$G$30,MATCH('R10 - Tax'!J$6,Data!$C$14:$C$30,0),1))</f>
        <v>-0.12279163321601889</v>
      </c>
      <c r="K56" s="935">
        <f>-('R7 - Financing'!K65*INDEX(Data!$G$14:$G$30,MATCH('R10 - Tax'!K$6,Data!$C$14:$C$30,0),1))</f>
        <v>-0.13252557733603296</v>
      </c>
      <c r="L56" s="280"/>
    </row>
    <row r="57" spans="2:14" s="32" customFormat="1">
      <c r="B57" s="867" t="s">
        <v>388</v>
      </c>
      <c r="C57" s="280" t="s">
        <v>118</v>
      </c>
      <c r="D57" s="777">
        <f>SUM(D55:D56)</f>
        <v>25.170782911292395</v>
      </c>
      <c r="E57" s="778">
        <f t="shared" ref="E57:K57" si="6">SUM(E55:E56)</f>
        <v>27.823510543293974</v>
      </c>
      <c r="F57" s="778">
        <f t="shared" si="6"/>
        <v>16.259255524169671</v>
      </c>
      <c r="G57" s="778">
        <f t="shared" si="6"/>
        <v>22.991132154076613</v>
      </c>
      <c r="H57" s="778">
        <f t="shared" si="6"/>
        <v>28.440936745107088</v>
      </c>
      <c r="I57" s="778">
        <f t="shared" si="6"/>
        <v>23.012885570965185</v>
      </c>
      <c r="J57" s="778">
        <f t="shared" si="6"/>
        <v>20.375445824105945</v>
      </c>
      <c r="K57" s="779">
        <f t="shared" si="6"/>
        <v>16.325803455203189</v>
      </c>
      <c r="L57" s="843"/>
    </row>
    <row r="59" spans="2:14">
      <c r="B59" s="867" t="s">
        <v>388</v>
      </c>
      <c r="C59" s="421" t="str">
        <f>'RFPR cover'!$C$14</f>
        <v>£m 12/13</v>
      </c>
      <c r="D59" s="777">
        <f>D57/D45</f>
        <v>23.738928003840943</v>
      </c>
      <c r="E59" s="778">
        <f t="shared" ref="E59:K59" si="7">E57/E45</f>
        <v>25.69027533729491</v>
      </c>
      <c r="F59" s="778">
        <f t="shared" si="7"/>
        <v>14.471144329652882</v>
      </c>
      <c r="G59" s="778">
        <f t="shared" si="7"/>
        <v>19.855970391936324</v>
      </c>
      <c r="H59" s="778">
        <f t="shared" si="7"/>
        <v>23.934341595815717</v>
      </c>
      <c r="I59" s="778">
        <f t="shared" si="7"/>
        <v>18.843483042822864</v>
      </c>
      <c r="J59" s="778">
        <f t="shared" si="7"/>
        <v>16.194017343815677</v>
      </c>
      <c r="K59" s="779">
        <f t="shared" si="7"/>
        <v>12.588346839805574</v>
      </c>
    </row>
    <row r="60" spans="2:14">
      <c r="B60" s="867"/>
      <c r="C60" s="421"/>
      <c r="D60" s="421"/>
      <c r="E60" s="421"/>
      <c r="F60" s="421"/>
      <c r="G60" s="421"/>
      <c r="H60" s="421"/>
      <c r="I60" s="421"/>
      <c r="J60" s="421"/>
      <c r="K60" s="421"/>
    </row>
    <row r="62" spans="2:14">
      <c r="B62" s="826" t="s">
        <v>354</v>
      </c>
      <c r="C62" s="827"/>
      <c r="D62" s="827"/>
      <c r="E62" s="827"/>
      <c r="F62" s="827"/>
      <c r="G62" s="827"/>
      <c r="H62" s="827"/>
      <c r="I62" s="827"/>
      <c r="J62" s="827"/>
      <c r="K62" s="827"/>
      <c r="L62" s="827"/>
      <c r="M62" s="516"/>
    </row>
    <row r="63" spans="2:14" s="32" customFormat="1">
      <c r="B63" s="517"/>
      <c r="C63" s="516"/>
      <c r="D63" s="516"/>
      <c r="E63" s="516"/>
      <c r="F63" s="516"/>
      <c r="G63" s="516"/>
      <c r="H63" s="516"/>
      <c r="I63" s="516"/>
      <c r="J63" s="516"/>
      <c r="K63" s="516"/>
      <c r="L63" s="516"/>
      <c r="M63" s="516"/>
    </row>
    <row r="64" spans="2:14">
      <c r="B64" s="389" t="s">
        <v>451</v>
      </c>
      <c r="C64" s="308"/>
      <c r="D64" s="308"/>
      <c r="E64" s="308"/>
      <c r="F64" s="308"/>
      <c r="G64" s="308"/>
      <c r="H64" s="308"/>
      <c r="I64" s="308"/>
      <c r="J64" s="308"/>
      <c r="K64" s="308"/>
      <c r="L64" s="308"/>
      <c r="M64" s="210"/>
      <c r="N64" s="210"/>
    </row>
    <row r="65" spans="2:14" s="32" customFormat="1">
      <c r="B65" s="394"/>
      <c r="C65" s="36"/>
      <c r="D65" s="36"/>
      <c r="E65" s="36"/>
      <c r="F65" s="36"/>
      <c r="G65" s="36"/>
      <c r="H65" s="36"/>
      <c r="I65" s="36"/>
      <c r="J65" s="36"/>
      <c r="K65" s="36"/>
      <c r="L65" s="36"/>
      <c r="M65" s="38"/>
      <c r="N65" s="38"/>
    </row>
    <row r="66" spans="2:14">
      <c r="B66" s="210" t="s">
        <v>353</v>
      </c>
      <c r="C66" s="220" t="str">
        <f>'RFPR cover'!$C$14</f>
        <v>£m 12/13</v>
      </c>
      <c r="D66" s="611">
        <v>21.147828499862005</v>
      </c>
      <c r="E66" s="612">
        <v>26.223100727746509</v>
      </c>
      <c r="F66" s="612">
        <v>20.626115574217266</v>
      </c>
      <c r="G66" s="612">
        <v>20.288097172646925</v>
      </c>
      <c r="H66" s="612">
        <v>19.5025072931811</v>
      </c>
      <c r="I66" s="612">
        <v>18.865579356518783</v>
      </c>
      <c r="J66" s="612">
        <v>18.121241270117164</v>
      </c>
      <c r="K66" s="714">
        <v>17.189969200432643</v>
      </c>
    </row>
    <row r="67" spans="2:14">
      <c r="B67" s="210" t="s">
        <v>356</v>
      </c>
      <c r="C67" s="220" t="str">
        <f>'RFPR cover'!$C$14</f>
        <v>£m 12/13</v>
      </c>
      <c r="D67" s="619">
        <v>0</v>
      </c>
      <c r="E67" s="620">
        <v>0</v>
      </c>
      <c r="F67" s="620">
        <v>0</v>
      </c>
      <c r="G67" s="620">
        <v>0</v>
      </c>
      <c r="H67" s="620">
        <v>0</v>
      </c>
      <c r="I67" s="620">
        <v>0</v>
      </c>
      <c r="J67" s="620">
        <v>0</v>
      </c>
      <c r="K67" s="713">
        <v>0</v>
      </c>
    </row>
    <row r="68" spans="2:14">
      <c r="B68" s="210" t="s">
        <v>357</v>
      </c>
      <c r="C68" s="220" t="str">
        <f>'RFPR cover'!$C$14</f>
        <v>£m 12/13</v>
      </c>
      <c r="D68" s="675">
        <f t="shared" ref="D68:K68" si="8">SUM(D66:D67)</f>
        <v>21.147828499862005</v>
      </c>
      <c r="E68" s="676">
        <f t="shared" si="8"/>
        <v>26.223100727746509</v>
      </c>
      <c r="F68" s="676">
        <f t="shared" si="8"/>
        <v>20.626115574217266</v>
      </c>
      <c r="G68" s="676">
        <f t="shared" si="8"/>
        <v>20.288097172646925</v>
      </c>
      <c r="H68" s="676">
        <f t="shared" si="8"/>
        <v>19.5025072931811</v>
      </c>
      <c r="I68" s="676">
        <f t="shared" si="8"/>
        <v>18.865579356518783</v>
      </c>
      <c r="J68" s="676">
        <f t="shared" si="8"/>
        <v>18.121241270117164</v>
      </c>
      <c r="K68" s="677">
        <f t="shared" si="8"/>
        <v>17.189969200432643</v>
      </c>
    </row>
    <row r="69" spans="2:14">
      <c r="B69" s="210"/>
      <c r="C69" s="220"/>
      <c r="D69" s="220"/>
      <c r="E69" s="220"/>
      <c r="F69" s="220"/>
      <c r="G69" s="220"/>
      <c r="H69" s="220"/>
      <c r="I69" s="220"/>
      <c r="J69" s="220"/>
      <c r="K69" s="220"/>
      <c r="L69" s="220"/>
    </row>
    <row r="70" spans="2:14">
      <c r="B70" s="539" t="s">
        <v>452</v>
      </c>
      <c r="C70" s="308"/>
      <c r="D70" s="308"/>
      <c r="E70" s="308"/>
      <c r="F70" s="308"/>
      <c r="G70" s="308"/>
      <c r="H70" s="308"/>
      <c r="I70" s="308"/>
      <c r="J70" s="308"/>
      <c r="K70" s="308"/>
      <c r="L70" s="308"/>
    </row>
    <row r="71" spans="2:14" s="32" customFormat="1">
      <c r="B71" s="540"/>
      <c r="C71" s="36"/>
      <c r="D71" s="36"/>
      <c r="E71" s="36"/>
      <c r="F71" s="36"/>
      <c r="G71" s="36"/>
      <c r="H71" s="36"/>
      <c r="I71" s="36"/>
      <c r="J71" s="36"/>
      <c r="K71" s="36"/>
      <c r="L71" s="36"/>
    </row>
    <row r="72" spans="2:14">
      <c r="B72" s="210" t="s">
        <v>344</v>
      </c>
      <c r="C72" s="220" t="str">
        <f>'RFPR cover'!$C$14</f>
        <v>£m 12/13</v>
      </c>
      <c r="D72" s="611">
        <v>20.891858877691991</v>
      </c>
      <c r="E72" s="612">
        <v>26.499944366188167</v>
      </c>
      <c r="F72" s="612">
        <v>20.207504787679113</v>
      </c>
      <c r="G72" s="612">
        <v>18.894290890375817</v>
      </c>
      <c r="H72" s="612">
        <v>19.352295466119259</v>
      </c>
      <c r="I72" s="612">
        <v>18.536866307564466</v>
      </c>
      <c r="J72" s="612">
        <v>17.614913630085439</v>
      </c>
      <c r="K72" s="714">
        <v>17.438870142144491</v>
      </c>
    </row>
    <row r="73" spans="2:14">
      <c r="B73" s="210" t="s">
        <v>359</v>
      </c>
      <c r="C73" s="220" t="str">
        <f>'RFPR cover'!$C$14</f>
        <v>£m 12/13</v>
      </c>
      <c r="D73" s="619">
        <v>0</v>
      </c>
      <c r="E73" s="620">
        <v>0</v>
      </c>
      <c r="F73" s="620">
        <v>0</v>
      </c>
      <c r="G73" s="620">
        <v>0</v>
      </c>
      <c r="H73" s="620">
        <v>0</v>
      </c>
      <c r="I73" s="620">
        <v>0</v>
      </c>
      <c r="J73" s="620">
        <v>0</v>
      </c>
      <c r="K73" s="713">
        <v>0</v>
      </c>
    </row>
    <row r="74" spans="2:14">
      <c r="B74" s="14" t="s">
        <v>360</v>
      </c>
      <c r="C74" s="220" t="str">
        <f>'RFPR cover'!$C$14</f>
        <v>£m 12/13</v>
      </c>
      <c r="D74" s="639">
        <f t="shared" ref="D74:K74" si="9">SUM(D72:D73)</f>
        <v>20.891858877691991</v>
      </c>
      <c r="E74" s="640">
        <f t="shared" si="9"/>
        <v>26.499944366188167</v>
      </c>
      <c r="F74" s="640">
        <f t="shared" si="9"/>
        <v>20.207504787679113</v>
      </c>
      <c r="G74" s="640">
        <f t="shared" si="9"/>
        <v>18.894290890375817</v>
      </c>
      <c r="H74" s="640">
        <f t="shared" si="9"/>
        <v>19.352295466119259</v>
      </c>
      <c r="I74" s="640">
        <f t="shared" si="9"/>
        <v>18.536866307564466</v>
      </c>
      <c r="J74" s="640">
        <f t="shared" si="9"/>
        <v>17.614913630085439</v>
      </c>
      <c r="K74" s="641">
        <f t="shared" si="9"/>
        <v>17.438870142144491</v>
      </c>
    </row>
    <row r="75" spans="2:14" s="32" customFormat="1">
      <c r="B75" s="540"/>
      <c r="C75" s="36"/>
      <c r="D75" s="780"/>
      <c r="E75" s="780"/>
      <c r="F75" s="780"/>
      <c r="G75" s="780"/>
      <c r="H75" s="780"/>
      <c r="I75" s="780"/>
      <c r="J75" s="780"/>
      <c r="K75" s="780"/>
      <c r="L75" s="36"/>
    </row>
    <row r="76" spans="2:14" s="32" customFormat="1">
      <c r="B76" s="541" t="s">
        <v>358</v>
      </c>
      <c r="C76" s="36"/>
      <c r="D76" s="732">
        <f t="shared" ref="D76:K76" si="10">D74-D68</f>
        <v>-0.25596962217001362</v>
      </c>
      <c r="E76" s="733">
        <f t="shared" si="10"/>
        <v>0.27684363844165816</v>
      </c>
      <c r="F76" s="733">
        <f t="shared" si="10"/>
        <v>-0.41861078653815298</v>
      </c>
      <c r="G76" s="733">
        <f t="shared" si="10"/>
        <v>-1.3938062822711075</v>
      </c>
      <c r="H76" s="733">
        <f t="shared" si="10"/>
        <v>-0.15021182706184177</v>
      </c>
      <c r="I76" s="733">
        <f t="shared" si="10"/>
        <v>-0.32871304895431663</v>
      </c>
      <c r="J76" s="733">
        <f t="shared" si="10"/>
        <v>-0.50632764003172426</v>
      </c>
      <c r="K76" s="734">
        <f t="shared" si="10"/>
        <v>0.24890094171184884</v>
      </c>
      <c r="L76" s="36"/>
    </row>
    <row r="77" spans="2:14">
      <c r="B77" s="210" t="s">
        <v>355</v>
      </c>
      <c r="C77" s="220" t="str">
        <f>'RFPR cover'!$C$14</f>
        <v>£m 12/13</v>
      </c>
      <c r="D77" s="615">
        <v>0</v>
      </c>
      <c r="E77" s="616">
        <v>0</v>
      </c>
      <c r="F77" s="616">
        <v>0</v>
      </c>
      <c r="G77" s="616">
        <v>0</v>
      </c>
      <c r="H77" s="616">
        <v>0</v>
      </c>
      <c r="I77" s="616">
        <v>-3.4061033685571864</v>
      </c>
      <c r="J77" s="616">
        <v>-3.2699095580058835</v>
      </c>
      <c r="K77" s="712">
        <v>-3.0998489641004277</v>
      </c>
    </row>
    <row r="78" spans="2:14">
      <c r="B78" s="210" t="s">
        <v>406</v>
      </c>
      <c r="C78" s="220" t="str">
        <f>'RFPR cover'!$C$14</f>
        <v>£m 12/13</v>
      </c>
      <c r="D78" s="615">
        <v>0</v>
      </c>
      <c r="E78" s="616">
        <v>0</v>
      </c>
      <c r="F78" s="616">
        <v>0</v>
      </c>
      <c r="G78" s="616">
        <v>0</v>
      </c>
      <c r="H78" s="616">
        <v>0</v>
      </c>
      <c r="I78" s="616">
        <v>1.160379435139818</v>
      </c>
      <c r="J78" s="616">
        <v>1.160373760417305</v>
      </c>
      <c r="K78" s="712">
        <v>1.160383767626519</v>
      </c>
    </row>
    <row r="79" spans="2:14">
      <c r="B79" s="210" t="s">
        <v>322</v>
      </c>
      <c r="C79" s="220" t="str">
        <f>'RFPR cover'!$C$14</f>
        <v>£m 12/13</v>
      </c>
      <c r="D79" s="781">
        <v>-0.25596962217001362</v>
      </c>
      <c r="E79" s="782">
        <v>0.27684363844165816</v>
      </c>
      <c r="F79" s="782">
        <v>-0.41861078653815298</v>
      </c>
      <c r="G79" s="782">
        <v>-1.3938062822711075</v>
      </c>
      <c r="H79" s="782">
        <v>-0.15021182706184177</v>
      </c>
      <c r="I79" s="782">
        <v>1.9170108844630516</v>
      </c>
      <c r="J79" s="782">
        <v>1.6032081575568542</v>
      </c>
      <c r="K79" s="783">
        <v>2.1883661381857573</v>
      </c>
    </row>
    <row r="80" spans="2:14">
      <c r="B80" s="210" t="s">
        <v>112</v>
      </c>
      <c r="C80" s="220" t="str">
        <f>'RFPR cover'!$C$14</f>
        <v>£m 12/13</v>
      </c>
      <c r="D80" s="542" t="str">
        <f>IF(ABS(D76-SUM(D77:D79))&lt;'RFPR cover'!$F$14,"OK","ERROR")</f>
        <v>OK</v>
      </c>
      <c r="E80" s="543" t="str">
        <f>IF(ABS(E76-SUM(E77:E79))&lt;'RFPR cover'!$F$14,"OK","ERROR")</f>
        <v>OK</v>
      </c>
      <c r="F80" s="543" t="str">
        <f>IF(ABS(F76-SUM(F77:F79))&lt;'RFPR cover'!$F$14,"OK","ERROR")</f>
        <v>OK</v>
      </c>
      <c r="G80" s="543" t="str">
        <f>IF(ABS(G76-SUM(G77:G79))&lt;'RFPR cover'!$F$14,"OK","ERROR")</f>
        <v>OK</v>
      </c>
      <c r="H80" s="543" t="str">
        <f>IF(ABS(H76-SUM(H77:H79))&lt;'RFPR cover'!$F$14,"OK","ERROR")</f>
        <v>OK</v>
      </c>
      <c r="I80" s="543" t="str">
        <f>IF(ABS(I76-SUM(I77:I79))&lt;'RFPR cover'!$F$14,"OK","ERROR")</f>
        <v>OK</v>
      </c>
      <c r="J80" s="543" t="str">
        <f>IF(ABS(J76-SUM(J77:J79))&lt;'RFPR cover'!$F$14,"OK","ERROR")</f>
        <v>OK</v>
      </c>
      <c r="K80" s="544" t="str">
        <f>IF(ABS(K76-SUM(K77:K79))&lt;'RFPR cover'!$F$14,"OK","ERROR")</f>
        <v>OK</v>
      </c>
    </row>
    <row r="81" spans="2:13">
      <c r="B81" s="210"/>
      <c r="C81" s="210"/>
      <c r="D81" s="210"/>
      <c r="E81" s="210"/>
      <c r="F81" s="210"/>
      <c r="G81" s="210"/>
      <c r="H81" s="210"/>
      <c r="I81" s="210"/>
      <c r="J81" s="210"/>
      <c r="K81" s="210"/>
      <c r="L81" s="210"/>
      <c r="M81" s="210"/>
    </row>
    <row r="83" spans="2:13">
      <c r="B83" s="871" t="s">
        <v>408</v>
      </c>
      <c r="C83" s="871"/>
      <c r="D83" s="871"/>
      <c r="E83" s="871"/>
      <c r="F83" s="871"/>
      <c r="G83" s="871"/>
      <c r="H83" s="871"/>
      <c r="I83" s="871"/>
      <c r="J83" s="871"/>
      <c r="K83" s="871"/>
      <c r="L83" s="871"/>
    </row>
    <row r="85" spans="2:13">
      <c r="B85" s="14" t="s">
        <v>409</v>
      </c>
      <c r="C85" s="221" t="str">
        <f>'RFPR cover'!$C$14</f>
        <v>£m 12/13</v>
      </c>
      <c r="D85" s="639">
        <f t="shared" ref="D85:K85" si="11">D$74-D47</f>
        <v>-3.2383508855830492</v>
      </c>
      <c r="E85" s="640">
        <f t="shared" si="11"/>
        <v>0.55433026982857569</v>
      </c>
      <c r="F85" s="640">
        <f t="shared" si="11"/>
        <v>5.7057519368524048</v>
      </c>
      <c r="G85" s="640">
        <f t="shared" si="11"/>
        <v>-1.0503099559908122</v>
      </c>
      <c r="H85" s="640">
        <f t="shared" si="11"/>
        <v>-4.6829307370984843</v>
      </c>
      <c r="I85" s="640">
        <f t="shared" si="11"/>
        <v>-0.40673722224748943</v>
      </c>
      <c r="J85" s="640">
        <f t="shared" si="11"/>
        <v>1.3233038284093759</v>
      </c>
      <c r="K85" s="641">
        <f t="shared" si="11"/>
        <v>4.7483367277406678</v>
      </c>
    </row>
    <row r="86" spans="2:13">
      <c r="B86" s="14"/>
      <c r="C86" s="14"/>
      <c r="D86" s="14"/>
      <c r="E86" s="14"/>
      <c r="F86" s="14"/>
      <c r="G86" s="14"/>
      <c r="H86" s="14"/>
      <c r="I86" s="14"/>
      <c r="J86" s="14"/>
      <c r="K86" s="14"/>
    </row>
    <row r="87" spans="2:13">
      <c r="B87" s="14" t="s">
        <v>420</v>
      </c>
      <c r="C87" s="221" t="str">
        <f>'RFPR cover'!$C$14</f>
        <v>£m 12/13</v>
      </c>
      <c r="D87" s="639">
        <f t="shared" ref="D87:K87" si="12">D$74-D59</f>
        <v>-2.847069126148952</v>
      </c>
      <c r="E87" s="640">
        <f t="shared" si="12"/>
        <v>0.80966902889325709</v>
      </c>
      <c r="F87" s="640">
        <f t="shared" si="12"/>
        <v>5.7363604580262315</v>
      </c>
      <c r="G87" s="640">
        <f t="shared" si="12"/>
        <v>-0.96167950156050708</v>
      </c>
      <c r="H87" s="640">
        <f t="shared" si="12"/>
        <v>-4.5820461296964581</v>
      </c>
      <c r="I87" s="640">
        <f t="shared" si="12"/>
        <v>-0.30661673525839817</v>
      </c>
      <c r="J87" s="640">
        <f t="shared" si="12"/>
        <v>1.4208962862697625</v>
      </c>
      <c r="K87" s="641">
        <f t="shared" si="12"/>
        <v>4.8505233023389174</v>
      </c>
    </row>
    <row r="89" spans="2:13">
      <c r="B89" s="14" t="s">
        <v>419</v>
      </c>
      <c r="C89" s="221" t="str">
        <f>'RFPR cover'!$C$14</f>
        <v>£m 12/13</v>
      </c>
      <c r="D89" s="639">
        <f>D85-D87</f>
        <v>-0.39128175943409715</v>
      </c>
      <c r="E89" s="640">
        <f t="shared" ref="E89:K89" si="13">E85-E87</f>
        <v>-0.2553387590646814</v>
      </c>
      <c r="F89" s="640">
        <f t="shared" si="13"/>
        <v>-3.060852117382673E-2</v>
      </c>
      <c r="G89" s="640">
        <f t="shared" si="13"/>
        <v>-8.863045443030515E-2</v>
      </c>
      <c r="H89" s="640">
        <f t="shared" si="13"/>
        <v>-0.10088460740202621</v>
      </c>
      <c r="I89" s="640">
        <f t="shared" si="13"/>
        <v>-0.10012048698909126</v>
      </c>
      <c r="J89" s="640">
        <f t="shared" si="13"/>
        <v>-9.7592457860386617E-2</v>
      </c>
      <c r="K89" s="641">
        <f t="shared" si="13"/>
        <v>-0.10218657459824954</v>
      </c>
    </row>
    <row r="91" spans="2:13">
      <c r="B91" t="s">
        <v>499</v>
      </c>
      <c r="C91" s="280" t="s">
        <v>118</v>
      </c>
      <c r="D91" s="615">
        <v>2.5347652617584218</v>
      </c>
      <c r="E91" s="615">
        <v>2.527357597801529</v>
      </c>
      <c r="F91" s="615">
        <v>1.1680055728966681</v>
      </c>
      <c r="G91" s="615">
        <v>1.4227680423542501</v>
      </c>
      <c r="H91" s="615">
        <v>2.1861048645030756</v>
      </c>
      <c r="I91" s="615">
        <v>3.2165171021960539</v>
      </c>
      <c r="J91" s="615">
        <v>2.6399277978296305</v>
      </c>
      <c r="K91" s="615">
        <v>2.7271855696176384</v>
      </c>
    </row>
    <row r="92" spans="2:13">
      <c r="B92" t="s">
        <v>499</v>
      </c>
      <c r="C92" s="421" t="str">
        <f>'RFPR cover'!$C$14</f>
        <v>£m 12/13</v>
      </c>
      <c r="D92" s="823">
        <f>D91/D$45</f>
        <v>2.3905736372039867</v>
      </c>
      <c r="E92" s="823">
        <f t="shared" ref="E92:K92" si="14">E91/E$45</f>
        <v>2.3335844864829469</v>
      </c>
      <c r="F92" s="823">
        <f t="shared" si="14"/>
        <v>1.039554191032972</v>
      </c>
      <c r="G92" s="823">
        <f t="shared" si="14"/>
        <v>1.228753761852917</v>
      </c>
      <c r="H92" s="823">
        <f t="shared" si="14"/>
        <v>1.8397066545388159</v>
      </c>
      <c r="I92" s="823">
        <f t="shared" si="14"/>
        <v>2.6337586082056466</v>
      </c>
      <c r="J92" s="823">
        <f t="shared" si="14"/>
        <v>2.0981644727447351</v>
      </c>
      <c r="K92" s="823">
        <f t="shared" si="14"/>
        <v>2.1028525757437087</v>
      </c>
    </row>
    <row r="93" spans="2:13">
      <c r="B93" t="s">
        <v>500</v>
      </c>
      <c r="C93" s="280" t="s">
        <v>118</v>
      </c>
      <c r="D93" s="615">
        <v>3.1591432327076205</v>
      </c>
      <c r="E93" s="615">
        <v>3.3331590908821327</v>
      </c>
      <c r="F93" s="615">
        <v>2.1355701916358689</v>
      </c>
      <c r="G93" s="615">
        <v>1.9731232338323745</v>
      </c>
      <c r="H93" s="615">
        <v>2.7393908435201122</v>
      </c>
      <c r="I93" s="615">
        <v>3.9771532674815981</v>
      </c>
      <c r="J93" s="615">
        <v>3.5840482506375597</v>
      </c>
      <c r="K93" s="615">
        <v>3.8111455529069156</v>
      </c>
    </row>
    <row r="94" spans="2:13">
      <c r="B94" t="s">
        <v>500</v>
      </c>
      <c r="C94" s="421" t="str">
        <f>'RFPR cover'!$C$14</f>
        <v>£m 12/13</v>
      </c>
      <c r="D94" s="823">
        <f t="shared" ref="D94:K94" si="15">D93/D$45</f>
        <v>2.9794334971369758</v>
      </c>
      <c r="E94" s="823">
        <f t="shared" si="15"/>
        <v>3.0776049864206683</v>
      </c>
      <c r="F94" s="823">
        <f t="shared" si="15"/>
        <v>1.9007109165193674</v>
      </c>
      <c r="G94" s="823">
        <f t="shared" si="15"/>
        <v>1.7040603415291353</v>
      </c>
      <c r="H94" s="823">
        <f t="shared" si="15"/>
        <v>2.3053219660403719</v>
      </c>
      <c r="I94" s="823">
        <f t="shared" si="15"/>
        <v>3.2565850954845654</v>
      </c>
      <c r="J94" s="823">
        <f t="shared" si="15"/>
        <v>2.8485334766628903</v>
      </c>
      <c r="K94" s="823">
        <f t="shared" si="15"/>
        <v>2.938662235437143</v>
      </c>
    </row>
    <row r="95" spans="2:13">
      <c r="B95" t="s">
        <v>502</v>
      </c>
      <c r="C95" s="421" t="str">
        <f>'RFPR cover'!$C$14</f>
        <v>£m 12/13</v>
      </c>
      <c r="D95" s="823">
        <f>D92-D94</f>
        <v>-0.58885985993298906</v>
      </c>
      <c r="E95" s="823">
        <f t="shared" ref="E95:K95" si="16">E92-E94</f>
        <v>-0.74402049993772135</v>
      </c>
      <c r="F95" s="823">
        <f t="shared" si="16"/>
        <v>-0.86115672548639544</v>
      </c>
      <c r="G95" s="823">
        <f t="shared" si="16"/>
        <v>-0.47530657967621837</v>
      </c>
      <c r="H95" s="823">
        <f t="shared" si="16"/>
        <v>-0.465615311501556</v>
      </c>
      <c r="I95" s="823">
        <f t="shared" si="16"/>
        <v>-0.62282648727891887</v>
      </c>
      <c r="J95" s="823">
        <f t="shared" si="16"/>
        <v>-0.7503690039181552</v>
      </c>
      <c r="K95" s="823">
        <f t="shared" si="16"/>
        <v>-0.83580965969343435</v>
      </c>
    </row>
  </sheetData>
  <sheetProtection password="FE19" sheet="1" objects="1" scenarios="1"/>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42:K42">
    <cfRule type="expression" dxfId="18" priority="12">
      <formula>AND(D$5="Actuals",E$5="Actuals")</formula>
    </cfRule>
  </conditionalFormatting>
  <conditionalFormatting sqref="D12:K12 D15:K19 D24:K39">
    <cfRule type="expression" dxfId="17"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J27" sqref="J27"/>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2" customFormat="1" ht="20.25">
      <c r="A1" s="122" t="s">
        <v>250</v>
      </c>
      <c r="B1" s="123"/>
      <c r="C1" s="123"/>
      <c r="D1" s="123"/>
      <c r="E1" s="123"/>
      <c r="F1" s="123"/>
      <c r="G1" s="123"/>
      <c r="H1" s="123"/>
      <c r="I1" s="131"/>
      <c r="J1" s="131"/>
      <c r="K1" s="132"/>
      <c r="L1" s="133"/>
    </row>
    <row r="2" spans="1:18" s="32" customFormat="1" ht="20.25">
      <c r="A2" s="126" t="str">
        <f>'RFPR cover'!C5</f>
        <v>ENWL</v>
      </c>
      <c r="B2" s="30"/>
      <c r="C2" s="30"/>
      <c r="D2" s="30"/>
      <c r="E2" s="30"/>
      <c r="F2" s="30"/>
      <c r="G2" s="30"/>
      <c r="H2" s="30"/>
      <c r="I2" s="27"/>
      <c r="J2" s="27"/>
      <c r="K2" s="27"/>
      <c r="L2" s="127"/>
    </row>
    <row r="3" spans="1:18" s="32" customFormat="1" ht="23.25">
      <c r="A3" s="128">
        <f>'RFPR cover'!C7</f>
        <v>2019</v>
      </c>
      <c r="B3" s="944" t="str">
        <f>'R1 - RoRE'!B3</f>
        <v/>
      </c>
      <c r="C3" s="129"/>
      <c r="D3" s="129"/>
      <c r="E3" s="129"/>
      <c r="F3" s="129"/>
      <c r="G3" s="129"/>
      <c r="H3" s="129"/>
      <c r="I3" s="29"/>
      <c r="J3" s="29"/>
      <c r="K3" s="29"/>
      <c r="L3" s="130"/>
    </row>
    <row r="4" spans="1:18" s="2" customFormat="1" ht="12.75" customHeight="1"/>
    <row r="5" spans="1:18" s="2" customFormat="1">
      <c r="B5" s="3"/>
      <c r="C5" s="3"/>
      <c r="D5" s="411" t="str">
        <f>IF(D6&lt;='RFPR cover'!$C$7,"Actuals","N/A")</f>
        <v>Actuals</v>
      </c>
      <c r="E5" s="412" t="str">
        <f>IF(E6&lt;='RFPR cover'!$C$7,"Actuals","N/A")</f>
        <v>Actuals</v>
      </c>
      <c r="F5" s="412" t="str">
        <f>IF(F6&lt;='RFPR cover'!$C$7,"Actuals","N/A")</f>
        <v>Actuals</v>
      </c>
      <c r="G5" s="412" t="str">
        <f>IF(G6&lt;='RFPR cover'!$C$7,"Actuals","N/A")</f>
        <v>Actuals</v>
      </c>
      <c r="H5" s="412" t="str">
        <f>IF(H6&lt;='RFPR cover'!$C$7,"Actuals","N/A")</f>
        <v>N/A</v>
      </c>
      <c r="I5" s="412" t="str">
        <f>IF(I6&lt;='RFPR cover'!$C$7,"Actuals","N/A")</f>
        <v>N/A</v>
      </c>
      <c r="J5" s="412" t="str">
        <f>IF(J6&lt;='RFPR cover'!$C$7,"Actuals","N/A")</f>
        <v>N/A</v>
      </c>
      <c r="K5" s="413"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220</v>
      </c>
      <c r="C8" s="160" t="s">
        <v>118</v>
      </c>
      <c r="D8" s="667">
        <v>30</v>
      </c>
      <c r="E8" s="668">
        <v>81</v>
      </c>
      <c r="F8" s="668">
        <v>75.599999999999994</v>
      </c>
      <c r="G8" s="668">
        <v>46.3</v>
      </c>
      <c r="H8" s="668"/>
      <c r="I8" s="668"/>
      <c r="J8" s="668"/>
      <c r="K8" s="669"/>
    </row>
    <row r="9" spans="1:18">
      <c r="B9" s="15" t="s">
        <v>95</v>
      </c>
      <c r="C9" s="14"/>
      <c r="D9" s="784"/>
      <c r="E9" s="784"/>
      <c r="F9" s="784"/>
      <c r="G9" s="784"/>
      <c r="H9" s="784"/>
      <c r="I9" s="784"/>
      <c r="J9" s="784"/>
      <c r="K9" s="784"/>
    </row>
    <row r="10" spans="1:18">
      <c r="B10" s="457" t="s">
        <v>12</v>
      </c>
      <c r="C10" s="160" t="s">
        <v>118</v>
      </c>
      <c r="D10" s="623"/>
      <c r="E10" s="624"/>
      <c r="F10" s="624"/>
      <c r="G10" s="624"/>
      <c r="H10" s="624"/>
      <c r="I10" s="624"/>
      <c r="J10" s="624"/>
      <c r="K10" s="634"/>
    </row>
    <row r="11" spans="1:18">
      <c r="B11" s="457" t="s">
        <v>12</v>
      </c>
      <c r="C11" s="160" t="s">
        <v>118</v>
      </c>
      <c r="D11" s="625"/>
      <c r="E11" s="626"/>
      <c r="F11" s="626"/>
      <c r="G11" s="626"/>
      <c r="H11" s="626"/>
      <c r="I11" s="626"/>
      <c r="J11" s="626"/>
      <c r="K11" s="635"/>
    </row>
    <row r="12" spans="1:18">
      <c r="B12" s="457" t="s">
        <v>10</v>
      </c>
      <c r="C12" s="160" t="s">
        <v>118</v>
      </c>
      <c r="D12" s="636"/>
      <c r="E12" s="637"/>
      <c r="F12" s="637"/>
      <c r="G12" s="637"/>
      <c r="H12" s="637"/>
      <c r="I12" s="637"/>
      <c r="J12" s="637"/>
      <c r="K12" s="638"/>
      <c r="Q12" s="226"/>
    </row>
    <row r="13" spans="1:18">
      <c r="B13" s="14" t="s">
        <v>96</v>
      </c>
      <c r="C13" s="160" t="s">
        <v>118</v>
      </c>
      <c r="D13" s="772">
        <f>D8-SUM(D10:D12)</f>
        <v>30</v>
      </c>
      <c r="E13" s="773">
        <f t="shared" ref="E13:K13" si="1">E8-SUM(E10:E12)</f>
        <v>81</v>
      </c>
      <c r="F13" s="773">
        <f t="shared" si="1"/>
        <v>75.599999999999994</v>
      </c>
      <c r="G13" s="773">
        <f t="shared" si="1"/>
        <v>46.3</v>
      </c>
      <c r="H13" s="773">
        <f t="shared" si="1"/>
        <v>0</v>
      </c>
      <c r="I13" s="773">
        <f t="shared" si="1"/>
        <v>0</v>
      </c>
      <c r="J13" s="773">
        <f t="shared" si="1"/>
        <v>0</v>
      </c>
      <c r="K13" s="774">
        <f t="shared" si="1"/>
        <v>0</v>
      </c>
      <c r="R13" s="225"/>
    </row>
    <row r="14" spans="1:18">
      <c r="C14" s="14"/>
      <c r="Q14" s="226"/>
    </row>
    <row r="15" spans="1:18">
      <c r="B15" s="14" t="s">
        <v>479</v>
      </c>
      <c r="C15" s="160" t="s">
        <v>118</v>
      </c>
      <c r="D15" s="623">
        <v>0</v>
      </c>
      <c r="E15" s="624">
        <v>0</v>
      </c>
      <c r="F15" s="624">
        <v>0</v>
      </c>
      <c r="G15" s="624">
        <v>0</v>
      </c>
      <c r="H15" s="624"/>
      <c r="I15" s="624"/>
      <c r="J15" s="624"/>
      <c r="K15" s="634"/>
    </row>
  </sheetData>
  <sheetProtection password="FE19" sheet="1" objects="1" scenarios="1"/>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G35" sqref="G35"/>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2" customFormat="1" ht="20.25">
      <c r="A1" s="268" t="s">
        <v>249</v>
      </c>
      <c r="B1" s="269"/>
      <c r="C1" s="269"/>
      <c r="D1" s="269"/>
      <c r="E1" s="269"/>
      <c r="F1" s="269"/>
      <c r="G1" s="269"/>
      <c r="H1" s="269"/>
      <c r="I1" s="270"/>
      <c r="J1" s="270"/>
      <c r="K1" s="271"/>
      <c r="L1" s="272"/>
    </row>
    <row r="2" spans="1:12" s="32" customFormat="1" ht="20.25">
      <c r="A2" s="126" t="str">
        <f>'RFPR cover'!C5</f>
        <v>ENWL</v>
      </c>
      <c r="B2" s="30"/>
      <c r="C2" s="30"/>
      <c r="D2" s="30"/>
      <c r="E2" s="30"/>
      <c r="F2" s="30"/>
      <c r="G2" s="30"/>
      <c r="H2" s="30"/>
      <c r="I2" s="27"/>
      <c r="J2" s="27"/>
      <c r="K2" s="27"/>
      <c r="L2" s="127"/>
    </row>
    <row r="3" spans="1:12" s="32" customFormat="1" ht="20.25">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368</v>
      </c>
      <c r="C8" s="160" t="s">
        <v>118</v>
      </c>
      <c r="D8" s="785">
        <v>11.000400000000001</v>
      </c>
      <c r="E8" s="786">
        <v>11.300400000000002</v>
      </c>
      <c r="F8" s="786">
        <v>17.3004</v>
      </c>
      <c r="G8" s="786">
        <v>17.758000000000003</v>
      </c>
      <c r="H8" s="786"/>
      <c r="I8" s="786"/>
      <c r="J8" s="786"/>
      <c r="K8" s="787"/>
    </row>
    <row r="9" spans="1:12">
      <c r="B9" s="16" t="s">
        <v>14</v>
      </c>
      <c r="D9" s="784"/>
      <c r="E9" s="784"/>
      <c r="F9" s="784"/>
      <c r="G9" s="784"/>
      <c r="H9" s="784"/>
      <c r="I9" s="784"/>
      <c r="J9" s="784"/>
      <c r="K9" s="784"/>
    </row>
    <row r="10" spans="1:12">
      <c r="B10" t="s">
        <v>13</v>
      </c>
      <c r="C10" s="160" t="s">
        <v>118</v>
      </c>
      <c r="D10" s="706">
        <v>11.000400000000001</v>
      </c>
      <c r="E10" s="707">
        <v>11.111206659510641</v>
      </c>
      <c r="F10" s="707">
        <v>16.954391999999999</v>
      </c>
      <c r="G10" s="707">
        <v>17.402840000000001</v>
      </c>
      <c r="H10" s="707"/>
      <c r="I10" s="707"/>
      <c r="J10" s="707"/>
      <c r="K10" s="708"/>
    </row>
    <row r="11" spans="1:12">
      <c r="B11" t="s">
        <v>15</v>
      </c>
      <c r="C11" s="160" t="s">
        <v>118</v>
      </c>
      <c r="D11" s="788">
        <v>0</v>
      </c>
      <c r="E11" s="789">
        <v>0.1891933404893606</v>
      </c>
      <c r="F11" s="789">
        <v>0.34600799999999998</v>
      </c>
      <c r="G11" s="789">
        <v>0.35515999999999998</v>
      </c>
      <c r="H11" s="789"/>
      <c r="I11" s="789"/>
      <c r="J11" s="789"/>
      <c r="K11" s="790"/>
    </row>
    <row r="12" spans="1:12">
      <c r="D12" s="784"/>
      <c r="E12" s="784"/>
      <c r="F12" s="784"/>
      <c r="G12" s="784"/>
      <c r="H12" s="784"/>
      <c r="I12" s="784"/>
      <c r="J12" s="784"/>
      <c r="K12" s="784"/>
    </row>
    <row r="13" spans="1:12">
      <c r="D13" s="784"/>
      <c r="E13" s="784"/>
      <c r="F13" s="784"/>
      <c r="G13" s="784"/>
      <c r="H13" s="784"/>
      <c r="I13" s="784"/>
      <c r="J13" s="784"/>
      <c r="K13" s="784"/>
    </row>
    <row r="14" spans="1:12">
      <c r="B14" t="s">
        <v>13</v>
      </c>
      <c r="C14" s="220" t="str">
        <f>'RFPR cover'!$C$14</f>
        <v>£m 12/13</v>
      </c>
      <c r="D14" s="17">
        <f>D10/Data!C$34</f>
        <v>10.374635724830689</v>
      </c>
      <c r="E14" s="17">
        <f>E10/Data!D$34</f>
        <v>10.259307788219138</v>
      </c>
      <c r="F14" s="17">
        <f>F10/Data!E$34</f>
        <v>15.089833190012659</v>
      </c>
      <c r="G14" s="17">
        <f>G10/Data!F$34</f>
        <v>15.029719870247224</v>
      </c>
      <c r="H14" s="17">
        <f>H10/Data!G$34</f>
        <v>0</v>
      </c>
      <c r="I14" s="17">
        <f>I10/Data!H$34</f>
        <v>0</v>
      </c>
      <c r="J14" s="17">
        <f>J10/Data!I$34</f>
        <v>0</v>
      </c>
      <c r="K14" s="17">
        <f>K10/Data!J$34</f>
        <v>0</v>
      </c>
    </row>
    <row r="15" spans="1:12">
      <c r="D15" s="784"/>
      <c r="E15" s="784"/>
      <c r="F15" s="784"/>
      <c r="G15" s="784"/>
      <c r="H15" s="784"/>
      <c r="I15" s="784"/>
      <c r="J15" s="784"/>
      <c r="K15" s="784"/>
    </row>
    <row r="16" spans="1:12">
      <c r="D16" s="784"/>
      <c r="E16" s="784"/>
      <c r="F16" s="784"/>
      <c r="G16" s="784"/>
      <c r="H16" s="784"/>
      <c r="I16" s="784"/>
      <c r="J16" s="784"/>
      <c r="K16" s="784"/>
    </row>
    <row r="17" spans="2:11" s="2" customFormat="1">
      <c r="B17" s="14" t="s">
        <v>302</v>
      </c>
      <c r="C17" s="220" t="str">
        <f>'RFPR cover'!$C$14</f>
        <v>£m 12/13</v>
      </c>
      <c r="D17" s="791">
        <v>15.825859714506272</v>
      </c>
      <c r="E17" s="791">
        <v>15.825859714506272</v>
      </c>
      <c r="F17" s="791">
        <v>15.825859714506272</v>
      </c>
      <c r="G17" s="791">
        <v>11.599633422263759</v>
      </c>
      <c r="H17" s="791">
        <v>11.599633422263759</v>
      </c>
      <c r="I17" s="791">
        <v>11.599633422263759</v>
      </c>
      <c r="J17" s="791">
        <v>16.999633422263759</v>
      </c>
      <c r="K17" s="791">
        <v>16.999633422263759</v>
      </c>
    </row>
    <row r="18" spans="2:11" s="2" customFormat="1">
      <c r="B18" s="210" t="s">
        <v>303</v>
      </c>
      <c r="C18" s="220" t="str">
        <f>'RFPR cover'!$C$14</f>
        <v>£m 12/13</v>
      </c>
      <c r="D18" s="791">
        <v>-1.1737737077574799</v>
      </c>
      <c r="E18" s="791">
        <v>-1.1737737077574799</v>
      </c>
      <c r="F18" s="791">
        <v>-1.1737737077574799</v>
      </c>
      <c r="G18" s="791">
        <v>-5.4</v>
      </c>
      <c r="H18" s="791">
        <v>-5.4</v>
      </c>
      <c r="I18" s="791">
        <v>-5.4</v>
      </c>
      <c r="J18" s="791">
        <v>0</v>
      </c>
      <c r="K18" s="791">
        <v>0</v>
      </c>
    </row>
    <row r="19" spans="2:11" s="2" customFormat="1">
      <c r="B19" s="14" t="s">
        <v>304</v>
      </c>
      <c r="C19" s="220" t="str">
        <f>'RFPR cover'!$C$14</f>
        <v>£m 12/13</v>
      </c>
      <c r="D19" s="17">
        <f>D17-D18</f>
        <v>16.999633422263752</v>
      </c>
      <c r="E19" s="17">
        <f t="shared" ref="E19:K19" si="1">E17-E18</f>
        <v>16.999633422263752</v>
      </c>
      <c r="F19" s="17">
        <f t="shared" si="1"/>
        <v>16.999633422263752</v>
      </c>
      <c r="G19" s="17">
        <f t="shared" si="1"/>
        <v>16.999633422263759</v>
      </c>
      <c r="H19" s="17">
        <f t="shared" si="1"/>
        <v>16.999633422263759</v>
      </c>
      <c r="I19" s="17">
        <f t="shared" si="1"/>
        <v>16.999633422263759</v>
      </c>
      <c r="J19" s="17">
        <f t="shared" si="1"/>
        <v>16.999633422263759</v>
      </c>
      <c r="K19" s="17">
        <f t="shared" si="1"/>
        <v>16.999633422263759</v>
      </c>
    </row>
    <row r="20" spans="2:11" s="2" customFormat="1">
      <c r="B20" s="14"/>
      <c r="C20" s="14"/>
      <c r="D20" s="14"/>
      <c r="E20" s="14"/>
      <c r="F20" s="14"/>
      <c r="G20" s="14"/>
      <c r="H20" s="14"/>
      <c r="I20" s="14"/>
      <c r="J20" s="14"/>
      <c r="K20" s="14"/>
    </row>
    <row r="21" spans="2:11" s="2" customFormat="1">
      <c r="B21" s="14"/>
      <c r="C21" s="14"/>
      <c r="D21" s="991" t="s">
        <v>108</v>
      </c>
      <c r="E21" s="14"/>
      <c r="F21" s="14"/>
      <c r="G21" s="14"/>
      <c r="H21" s="14"/>
      <c r="I21" s="14"/>
      <c r="J21" s="14"/>
      <c r="K21" s="14"/>
    </row>
    <row r="22" spans="2:11" s="2" customFormat="1" ht="12.75" customHeight="1">
      <c r="B22" s="14"/>
      <c r="C22" s="14"/>
      <c r="D22" s="992"/>
      <c r="E22" s="14"/>
      <c r="F22" s="14"/>
      <c r="G22" s="14"/>
      <c r="H22" s="14"/>
      <c r="I22" s="14"/>
      <c r="J22" s="14"/>
      <c r="K22" s="14"/>
    </row>
    <row r="23" spans="2:11">
      <c r="C23" s="14"/>
      <c r="D23" s="993"/>
      <c r="E23" s="14"/>
    </row>
    <row r="24" spans="2:11">
      <c r="B24" s="14" t="s">
        <v>107</v>
      </c>
      <c r="C24" s="14"/>
      <c r="D24" s="551">
        <v>42460</v>
      </c>
    </row>
    <row r="25" spans="2:11">
      <c r="B25" s="14"/>
      <c r="C25" s="14"/>
      <c r="D25" s="41"/>
      <c r="E25" s="42"/>
      <c r="F25" s="42"/>
    </row>
    <row r="26" spans="2:11">
      <c r="B26" s="210" t="s">
        <v>301</v>
      </c>
      <c r="C26" s="14"/>
      <c r="D26" s="382" t="s">
        <v>555</v>
      </c>
      <c r="E26" s="42"/>
      <c r="F26" s="42"/>
    </row>
    <row r="27" spans="2:11">
      <c r="B27" s="210"/>
      <c r="C27" s="14"/>
      <c r="D27" s="41"/>
      <c r="E27" s="42"/>
      <c r="F27" s="42"/>
    </row>
    <row r="28" spans="2:11">
      <c r="B28" s="14"/>
      <c r="D28" s="381" t="s">
        <v>272</v>
      </c>
      <c r="E28" s="42"/>
      <c r="F28" s="42"/>
    </row>
    <row r="29" spans="2:11">
      <c r="B29" t="s">
        <v>16</v>
      </c>
      <c r="D29" s="791">
        <v>116.43641199999999</v>
      </c>
    </row>
    <row r="30" spans="2:11">
      <c r="B30" t="s">
        <v>17</v>
      </c>
      <c r="D30" s="791">
        <v>1232.563588</v>
      </c>
    </row>
    <row r="31" spans="2:11">
      <c r="D31" s="784"/>
    </row>
    <row r="32" spans="2:11">
      <c r="B32" t="s">
        <v>18</v>
      </c>
      <c r="D32" s="791">
        <v>113.70000000000002</v>
      </c>
    </row>
    <row r="33" spans="2:4">
      <c r="B33" t="s">
        <v>19</v>
      </c>
      <c r="D33" s="791">
        <v>1092.6999999999998</v>
      </c>
    </row>
    <row r="34" spans="2:4">
      <c r="D34" s="784"/>
    </row>
    <row r="35" spans="2:4">
      <c r="B35" s="44" t="s">
        <v>21</v>
      </c>
      <c r="D35" s="17">
        <f>D29-D32</f>
        <v>2.736411999999973</v>
      </c>
    </row>
    <row r="36" spans="2:4">
      <c r="B36" s="44" t="s">
        <v>20</v>
      </c>
      <c r="D36" s="17">
        <f>D30-D33</f>
        <v>139.86358800000016</v>
      </c>
    </row>
    <row r="37" spans="2:4">
      <c r="D37" s="784"/>
    </row>
    <row r="38" spans="2:4">
      <c r="B38" t="s">
        <v>22</v>
      </c>
      <c r="D38" s="791">
        <v>2.736411999999973</v>
      </c>
    </row>
    <row r="39" spans="2:4">
      <c r="B39" t="s">
        <v>23</v>
      </c>
      <c r="D39" s="791">
        <v>139.86358800000016</v>
      </c>
    </row>
  </sheetData>
  <sheetProtection password="FE19" sheet="1" objects="1" scenarios="1"/>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I30" sqref="I30"/>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2" customFormat="1" ht="20.25">
      <c r="A1" s="383" t="s">
        <v>248</v>
      </c>
      <c r="B1" s="269"/>
      <c r="C1" s="269"/>
      <c r="D1" s="269"/>
      <c r="E1" s="269"/>
      <c r="F1" s="269"/>
      <c r="G1" s="269"/>
      <c r="H1" s="269"/>
      <c r="I1" s="270"/>
      <c r="J1" s="270"/>
      <c r="K1" s="271"/>
      <c r="L1" s="384"/>
      <c r="M1" s="34"/>
      <c r="N1" s="34"/>
      <c r="O1" s="33" t="s">
        <v>74</v>
      </c>
      <c r="P1" s="34"/>
      <c r="Q1" s="34"/>
      <c r="R1" s="34"/>
      <c r="S1" s="34"/>
    </row>
    <row r="2" spans="1:19" s="32" customFormat="1" ht="20.25">
      <c r="A2" s="126" t="str">
        <f>'RFPR cover'!C5</f>
        <v>ENWL</v>
      </c>
      <c r="B2" s="30"/>
      <c r="C2" s="30"/>
      <c r="D2" s="30"/>
      <c r="E2" s="30"/>
      <c r="F2" s="30"/>
      <c r="G2" s="30"/>
      <c r="H2" s="30"/>
      <c r="I2" s="27"/>
      <c r="J2" s="27"/>
      <c r="K2" s="27"/>
      <c r="L2" s="127"/>
      <c r="M2" s="34"/>
      <c r="N2" s="34"/>
      <c r="O2" s="33" t="s">
        <v>74</v>
      </c>
      <c r="P2" s="34"/>
      <c r="Q2" s="34"/>
      <c r="R2" s="34"/>
      <c r="S2" s="34"/>
    </row>
    <row r="3" spans="1:19" s="32" customFormat="1" ht="20.25">
      <c r="A3" s="273">
        <f>'RFPR cover'!C7</f>
        <v>2019</v>
      </c>
      <c r="B3" s="274"/>
      <c r="C3" s="274"/>
      <c r="D3" s="274"/>
      <c r="E3" s="274"/>
      <c r="F3" s="274"/>
      <c r="G3" s="274"/>
      <c r="H3" s="274"/>
      <c r="I3" s="267"/>
      <c r="J3" s="267"/>
      <c r="K3" s="267"/>
      <c r="L3" s="275"/>
      <c r="M3" s="34"/>
      <c r="N3" s="34"/>
      <c r="O3" s="33" t="s">
        <v>74</v>
      </c>
      <c r="P3" s="34"/>
      <c r="Q3" s="34"/>
      <c r="R3" s="34"/>
      <c r="S3" s="34"/>
    </row>
    <row r="4" spans="1:19" s="2" customFormat="1" ht="12.75" customHeight="1">
      <c r="M4" s="34"/>
      <c r="N4" s="34"/>
      <c r="O4" s="33" t="s">
        <v>74</v>
      </c>
      <c r="P4" s="34"/>
      <c r="Q4" s="34"/>
      <c r="R4" s="34"/>
      <c r="S4" s="34"/>
    </row>
    <row r="5" spans="1:19" s="2" customFormat="1" ht="12.75" customHeight="1">
      <c r="B5" s="3"/>
      <c r="C5" s="3"/>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c r="M5" s="34"/>
      <c r="N5" s="34"/>
      <c r="O5" s="33" t="s">
        <v>74</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795"/>
      <c r="E7" s="795"/>
      <c r="F7" s="795"/>
      <c r="G7" s="795"/>
      <c r="H7" s="795"/>
      <c r="I7" s="795"/>
      <c r="J7" s="795"/>
      <c r="K7" s="795"/>
    </row>
    <row r="8" spans="1:19">
      <c r="B8" s="52" t="s">
        <v>442</v>
      </c>
      <c r="C8" s="220" t="str">
        <f>'RFPR cover'!$C$14</f>
        <v>£m 12/13</v>
      </c>
      <c r="D8" s="792">
        <f>(D16+D21)/Data!C34</f>
        <v>0.69588892419865789</v>
      </c>
      <c r="E8" s="792">
        <f>(E16+E21)/Data!D34</f>
        <v>0.51938958111891576</v>
      </c>
      <c r="F8" s="792">
        <f>(F16+F21)/Data!E34</f>
        <v>0.46891735744278712</v>
      </c>
      <c r="G8" s="792">
        <f>(G16+G21)/Data!F34</f>
        <v>0.57177923614793091</v>
      </c>
      <c r="H8" s="792">
        <f>(H16+H21)/Data!G34</f>
        <v>0.62965354552726305</v>
      </c>
      <c r="I8" s="792">
        <f>(I16+I21)/Data!H34</f>
        <v>0.66292686747157492</v>
      </c>
      <c r="J8" s="792">
        <f>(J16+J21)/Data!I34</f>
        <v>0.67993070493956609</v>
      </c>
      <c r="K8" s="792">
        <f>(K16+K21)/Data!J34</f>
        <v>0.67598979207374943</v>
      </c>
    </row>
    <row r="9" spans="1:19">
      <c r="D9" s="795"/>
      <c r="E9" s="795"/>
      <c r="F9" s="795"/>
      <c r="G9" s="795"/>
      <c r="H9" s="795"/>
      <c r="I9" s="795"/>
      <c r="J9" s="795"/>
      <c r="K9" s="795"/>
    </row>
    <row r="10" spans="1:19">
      <c r="B10" s="14" t="s">
        <v>426</v>
      </c>
      <c r="D10" s="795"/>
      <c r="E10" s="795"/>
      <c r="F10" s="795"/>
      <c r="G10" s="795"/>
      <c r="H10" s="795"/>
      <c r="I10" s="795"/>
      <c r="J10" s="795"/>
      <c r="K10" s="795"/>
    </row>
    <row r="11" spans="1:19">
      <c r="B11" s="45" t="s">
        <v>26</v>
      </c>
      <c r="C11" s="160" t="s">
        <v>118</v>
      </c>
      <c r="D11" s="667"/>
      <c r="E11" s="668"/>
      <c r="F11" s="668"/>
      <c r="G11" s="668"/>
      <c r="H11" s="668"/>
      <c r="I11" s="668"/>
      <c r="J11" s="668"/>
      <c r="K11" s="669"/>
    </row>
    <row r="12" spans="1:19">
      <c r="B12" s="45" t="s">
        <v>26</v>
      </c>
      <c r="C12" s="160" t="s">
        <v>118</v>
      </c>
      <c r="D12" s="667"/>
      <c r="E12" s="668"/>
      <c r="F12" s="668"/>
      <c r="G12" s="668"/>
      <c r="H12" s="668"/>
      <c r="I12" s="668"/>
      <c r="J12" s="668"/>
      <c r="K12" s="669"/>
    </row>
    <row r="13" spans="1:19">
      <c r="B13" s="45" t="s">
        <v>10</v>
      </c>
      <c r="C13" s="160" t="s">
        <v>118</v>
      </c>
      <c r="D13" s="667"/>
      <c r="E13" s="668"/>
      <c r="F13" s="668"/>
      <c r="G13" s="668"/>
      <c r="H13" s="668"/>
      <c r="I13" s="668"/>
      <c r="J13" s="668"/>
      <c r="K13" s="669"/>
    </row>
    <row r="14" spans="1:19">
      <c r="B14" s="14" t="s">
        <v>439</v>
      </c>
      <c r="C14" s="160" t="s">
        <v>118</v>
      </c>
      <c r="D14" s="792">
        <f>SUM(D11:D13)</f>
        <v>0</v>
      </c>
      <c r="E14" s="793">
        <f t="shared" ref="E14:K14" si="1">SUM(E11:E13)</f>
        <v>0</v>
      </c>
      <c r="F14" s="793">
        <f t="shared" si="1"/>
        <v>0</v>
      </c>
      <c r="G14" s="793">
        <f t="shared" si="1"/>
        <v>0</v>
      </c>
      <c r="H14" s="793">
        <f t="shared" si="1"/>
        <v>0</v>
      </c>
      <c r="I14" s="793">
        <f t="shared" si="1"/>
        <v>0</v>
      </c>
      <c r="J14" s="793">
        <f t="shared" si="1"/>
        <v>0</v>
      </c>
      <c r="K14" s="794">
        <f t="shared" si="1"/>
        <v>0</v>
      </c>
    </row>
    <row r="15" spans="1:19">
      <c r="B15" s="36" t="s">
        <v>433</v>
      </c>
      <c r="C15" s="160" t="s">
        <v>118</v>
      </c>
      <c r="D15" s="667"/>
      <c r="E15" s="668"/>
      <c r="F15" s="668"/>
      <c r="G15" s="668"/>
      <c r="H15" s="668"/>
      <c r="I15" s="668"/>
      <c r="J15" s="668"/>
      <c r="K15" s="669"/>
    </row>
    <row r="16" spans="1:19">
      <c r="B16" s="52" t="s">
        <v>440</v>
      </c>
      <c r="C16" s="160" t="s">
        <v>118</v>
      </c>
      <c r="D16" s="792">
        <f>D14-D15</f>
        <v>0</v>
      </c>
      <c r="E16" s="792">
        <f t="shared" ref="E16:K16" si="2">E14-E15</f>
        <v>0</v>
      </c>
      <c r="F16" s="792">
        <f t="shared" si="2"/>
        <v>0</v>
      </c>
      <c r="G16" s="792">
        <f t="shared" si="2"/>
        <v>0</v>
      </c>
      <c r="H16" s="792">
        <f t="shared" si="2"/>
        <v>0</v>
      </c>
      <c r="I16" s="792">
        <f t="shared" si="2"/>
        <v>0</v>
      </c>
      <c r="J16" s="792">
        <f t="shared" si="2"/>
        <v>0</v>
      </c>
      <c r="K16" s="792">
        <f t="shared" si="2"/>
        <v>0</v>
      </c>
    </row>
    <row r="18" spans="2:11">
      <c r="B18" s="14" t="s">
        <v>437</v>
      </c>
      <c r="D18" s="795"/>
      <c r="E18" s="795"/>
      <c r="F18" s="795"/>
      <c r="G18" s="795"/>
      <c r="H18" s="795"/>
      <c r="I18" s="795"/>
      <c r="J18" s="795"/>
      <c r="K18" s="795"/>
    </row>
    <row r="19" spans="2:11">
      <c r="B19" s="881" t="s">
        <v>438</v>
      </c>
      <c r="C19" s="160" t="s">
        <v>118</v>
      </c>
      <c r="D19" s="667">
        <v>0.92232835021779092</v>
      </c>
      <c r="E19" s="668">
        <v>0.7031474603037895</v>
      </c>
      <c r="F19" s="668">
        <v>0.65044274099999988</v>
      </c>
      <c r="G19" s="668">
        <v>0.81735853599999997</v>
      </c>
      <c r="H19" s="668">
        <v>0.92371723236537806</v>
      </c>
      <c r="I19" s="668">
        <v>0.97543295724235812</v>
      </c>
      <c r="J19" s="668">
        <v>1.0307161513862051</v>
      </c>
      <c r="K19" s="669">
        <v>1.0562528868731924</v>
      </c>
    </row>
    <row r="20" spans="2:11">
      <c r="B20" s="36" t="s">
        <v>433</v>
      </c>
      <c r="C20" s="160" t="s">
        <v>118</v>
      </c>
      <c r="D20" s="667">
        <v>0.18446567004355818</v>
      </c>
      <c r="E20" s="668">
        <v>0.14062949206075789</v>
      </c>
      <c r="F20" s="668">
        <v>0.12358412078999997</v>
      </c>
      <c r="G20" s="668">
        <v>0.15529812184</v>
      </c>
      <c r="H20" s="668">
        <v>0.17550627414942183</v>
      </c>
      <c r="I20" s="668">
        <v>0.16582360273120089</v>
      </c>
      <c r="J20" s="668">
        <v>0.17522174573565488</v>
      </c>
      <c r="K20" s="669">
        <v>0.17956299076844273</v>
      </c>
    </row>
    <row r="21" spans="2:11">
      <c r="B21" s="52" t="s">
        <v>441</v>
      </c>
      <c r="C21" s="160" t="s">
        <v>118</v>
      </c>
      <c r="D21" s="792">
        <f>D19-D20</f>
        <v>0.73786268017423273</v>
      </c>
      <c r="E21" s="792">
        <f t="shared" ref="E21:K21" si="3">E19-E20</f>
        <v>0.56251796824303157</v>
      </c>
      <c r="F21" s="792">
        <f t="shared" si="3"/>
        <v>0.52685862020999985</v>
      </c>
      <c r="G21" s="792">
        <f t="shared" si="3"/>
        <v>0.66206041415999994</v>
      </c>
      <c r="H21" s="792">
        <f t="shared" si="3"/>
        <v>0.74821095821595618</v>
      </c>
      <c r="I21" s="792">
        <f t="shared" si="3"/>
        <v>0.80960935451115723</v>
      </c>
      <c r="J21" s="792">
        <f t="shared" si="3"/>
        <v>0.85549440565055024</v>
      </c>
      <c r="K21" s="792">
        <f t="shared" si="3"/>
        <v>0.87668989610474968</v>
      </c>
    </row>
  </sheetData>
  <sheetProtection password="FE19" sheet="1" objects="1" scenarios="1"/>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sheetPr codeName="Sheet1">
    <tabColor rgb="FF99CCFF"/>
  </sheetPr>
  <dimension ref="A1:T268"/>
  <sheetViews>
    <sheetView showGridLines="0" zoomScale="69" zoomScaleNormal="69" workbookViewId="0">
      <pane ySplit="4" topLeftCell="A23" activePane="bottomLeft" state="frozen"/>
      <selection activeCell="B75" sqref="A1:XFD1048576"/>
      <selection pane="bottomLeft" activeCell="L43" sqref="L43"/>
    </sheetView>
  </sheetViews>
  <sheetFormatPr defaultRowHeight="12.75"/>
  <cols>
    <col min="1" max="1" width="8.375" customWidth="1"/>
    <col min="2" max="2" width="35.125" customWidth="1"/>
    <col min="8" max="8" width="10.125" bestFit="1" customWidth="1"/>
    <col min="14" max="14" width="9" customWidth="1"/>
  </cols>
  <sheetData>
    <row r="1" spans="1:14" ht="20.25">
      <c r="A1" s="383" t="s">
        <v>350</v>
      </c>
      <c r="B1" s="430"/>
      <c r="C1" s="430"/>
      <c r="D1" s="430"/>
      <c r="E1" s="430"/>
      <c r="F1" s="430"/>
      <c r="G1" s="430"/>
      <c r="H1" s="430"/>
      <c r="I1" s="430"/>
      <c r="J1" s="430"/>
      <c r="K1" s="430"/>
      <c r="L1" s="430"/>
      <c r="M1" s="430"/>
      <c r="N1" s="431"/>
    </row>
    <row r="2" spans="1:14" ht="20.25">
      <c r="A2" s="126" t="str">
        <f>'RFPR cover'!C5</f>
        <v>ENWL</v>
      </c>
      <c r="B2" s="314"/>
      <c r="C2" s="314"/>
      <c r="D2" s="314"/>
      <c r="E2" s="314"/>
      <c r="F2" s="314"/>
      <c r="G2" s="314"/>
      <c r="H2" s="314"/>
      <c r="I2" s="314"/>
      <c r="J2" s="314"/>
      <c r="K2" s="314"/>
      <c r="L2" s="314"/>
      <c r="M2" s="314"/>
      <c r="N2" s="315"/>
    </row>
    <row r="3" spans="1:14" ht="20.25">
      <c r="A3" s="273">
        <f>'RFPR cover'!C7</f>
        <v>2019</v>
      </c>
      <c r="B3" s="316"/>
      <c r="C3" s="316"/>
      <c r="D3" s="316"/>
      <c r="E3" s="316"/>
      <c r="F3" s="316"/>
      <c r="G3" s="316"/>
      <c r="H3" s="316"/>
      <c r="I3" s="316"/>
      <c r="J3" s="316"/>
      <c r="K3" s="316"/>
      <c r="L3" s="316"/>
      <c r="M3" s="316"/>
      <c r="N3" s="317"/>
    </row>
    <row r="6" spans="1:14">
      <c r="A6" s="31"/>
      <c r="B6" s="21">
        <v>2018</v>
      </c>
      <c r="C6" s="20" t="s">
        <v>53</v>
      </c>
      <c r="D6" s="18"/>
      <c r="E6" s="18"/>
      <c r="F6" s="878"/>
      <c r="G6" s="18"/>
    </row>
    <row r="7" spans="1:14">
      <c r="A7" s="31"/>
      <c r="B7" s="21">
        <v>2019</v>
      </c>
      <c r="C7" s="20" t="s">
        <v>54</v>
      </c>
      <c r="D7" s="18"/>
      <c r="E7" s="18"/>
      <c r="F7" s="18"/>
      <c r="G7" s="18"/>
    </row>
    <row r="8" spans="1:14">
      <c r="A8" s="31"/>
      <c r="B8" s="21">
        <v>2020</v>
      </c>
      <c r="C8" s="20" t="s">
        <v>55</v>
      </c>
      <c r="D8" s="19"/>
      <c r="E8" s="19"/>
      <c r="F8" s="19"/>
      <c r="G8" s="19"/>
    </row>
    <row r="9" spans="1:14">
      <c r="A9" s="31"/>
      <c r="B9" s="21">
        <v>2021</v>
      </c>
      <c r="C9" s="20" t="s">
        <v>56</v>
      </c>
      <c r="D9" s="18"/>
      <c r="E9" s="18"/>
      <c r="F9" s="18"/>
      <c r="G9" s="18"/>
    </row>
    <row r="10" spans="1:14">
      <c r="A10" s="31"/>
      <c r="B10" s="21">
        <v>2022</v>
      </c>
      <c r="C10" s="20" t="s">
        <v>57</v>
      </c>
      <c r="D10" s="18"/>
      <c r="E10" s="18"/>
      <c r="F10" s="18"/>
    </row>
    <row r="11" spans="1:14">
      <c r="A11" s="31"/>
      <c r="B11" s="21">
        <v>2023</v>
      </c>
      <c r="C11" s="20" t="s">
        <v>58</v>
      </c>
      <c r="D11" s="19"/>
      <c r="E11" s="19"/>
      <c r="F11" s="19"/>
    </row>
    <row r="12" spans="1:14">
      <c r="A12" s="31"/>
      <c r="B12" s="18"/>
      <c r="C12" s="18"/>
      <c r="D12" s="18"/>
      <c r="E12" s="18"/>
      <c r="F12" s="18"/>
    </row>
    <row r="13" spans="1:14" ht="75" customHeight="1">
      <c r="A13" s="31"/>
      <c r="B13" s="580" t="s">
        <v>29</v>
      </c>
      <c r="C13" s="581" t="s">
        <v>30</v>
      </c>
      <c r="D13" s="581" t="s">
        <v>182</v>
      </c>
      <c r="E13" s="581" t="s">
        <v>31</v>
      </c>
      <c r="F13" s="581" t="s">
        <v>32</v>
      </c>
      <c r="G13" s="582" t="s">
        <v>309</v>
      </c>
    </row>
    <row r="14" spans="1:14">
      <c r="A14" s="31"/>
      <c r="B14" s="170" t="s">
        <v>64</v>
      </c>
      <c r="C14" s="178">
        <v>2010</v>
      </c>
      <c r="D14" s="171" t="str">
        <f>IF(VALUE(C14)&lt;='RFPR cover'!$C$7,"Actual","Forecast")</f>
        <v>Actual</v>
      </c>
      <c r="E14" s="395">
        <v>215.767</v>
      </c>
      <c r="F14" s="525">
        <v>221.75</v>
      </c>
      <c r="G14" s="172">
        <v>0.28000000000000003</v>
      </c>
      <c r="H14" s="879"/>
      <c r="J14" s="880"/>
    </row>
    <row r="15" spans="1:14">
      <c r="A15" s="31"/>
      <c r="B15" s="173" t="s">
        <v>65</v>
      </c>
      <c r="C15" s="179">
        <v>2011</v>
      </c>
      <c r="D15" s="174" t="str">
        <f>IF(VALUE(C15)&lt;='RFPR cover'!$C$7,"Actual","Forecast")</f>
        <v>Actual</v>
      </c>
      <c r="E15" s="396">
        <v>226.47499999999999</v>
      </c>
      <c r="F15" s="526">
        <v>233.45</v>
      </c>
      <c r="G15" s="175">
        <v>0.28000000000000003</v>
      </c>
      <c r="H15" s="879"/>
      <c r="J15" s="880"/>
    </row>
    <row r="16" spans="1:14" ht="14.25" customHeight="1">
      <c r="A16" s="31"/>
      <c r="B16" s="173" t="s">
        <v>66</v>
      </c>
      <c r="C16" s="179">
        <v>2012</v>
      </c>
      <c r="D16" s="174" t="str">
        <f>IF(VALUE(C16)&lt;='RFPR cover'!$C$7,"Actual","Forecast")</f>
        <v>Actual</v>
      </c>
      <c r="E16" s="396">
        <v>237.34200000000001</v>
      </c>
      <c r="F16" s="526">
        <v>241.65</v>
      </c>
      <c r="G16" s="175">
        <v>0.26</v>
      </c>
      <c r="H16" s="879"/>
      <c r="J16" s="880"/>
    </row>
    <row r="17" spans="2:10">
      <c r="B17" s="173" t="s">
        <v>67</v>
      </c>
      <c r="C17" s="179">
        <v>2013</v>
      </c>
      <c r="D17" s="174" t="str">
        <f>IF(VALUE(C17)&lt;='RFPR cover'!$C$7,"Actual","Forecast")</f>
        <v>Actual</v>
      </c>
      <c r="E17" s="396">
        <v>244.67500000000001</v>
      </c>
      <c r="F17" s="526">
        <v>249.1</v>
      </c>
      <c r="G17" s="175">
        <v>0.24</v>
      </c>
      <c r="H17" s="879"/>
      <c r="J17" s="880"/>
    </row>
    <row r="18" spans="2:10">
      <c r="B18" s="173" t="s">
        <v>68</v>
      </c>
      <c r="C18" s="179">
        <v>2014</v>
      </c>
      <c r="D18" s="174" t="str">
        <f>IF(VALUE(C18)&lt;='RFPR cover'!$C$7,"Actual","Forecast")</f>
        <v>Actual</v>
      </c>
      <c r="E18" s="396">
        <v>251.733</v>
      </c>
      <c r="F18" s="526">
        <v>255.25</v>
      </c>
      <c r="G18" s="175">
        <v>0.23</v>
      </c>
      <c r="H18" s="879"/>
      <c r="I18" s="545"/>
      <c r="J18" s="880"/>
    </row>
    <row r="19" spans="2:10">
      <c r="B19" s="173" t="s">
        <v>69</v>
      </c>
      <c r="C19" s="179">
        <v>2015</v>
      </c>
      <c r="D19" s="174" t="str">
        <f>IF(VALUE(C19)&lt;='RFPR cover'!$C$7,"Actual","Forecast")</f>
        <v>Actual</v>
      </c>
      <c r="E19" s="396">
        <v>256.66699999999997</v>
      </c>
      <c r="F19" s="526">
        <v>257.55</v>
      </c>
      <c r="G19" s="175">
        <v>0.21</v>
      </c>
      <c r="H19" s="879"/>
      <c r="I19" s="545"/>
      <c r="J19" s="880"/>
    </row>
    <row r="20" spans="2:10">
      <c r="B20" s="173" t="s">
        <v>70</v>
      </c>
      <c r="C20" s="179">
        <v>2016</v>
      </c>
      <c r="D20" s="174" t="str">
        <f>IF(VALUE(C20)&lt;='RFPR cover'!$C$7,"Actual","Forecast")</f>
        <v>Actual</v>
      </c>
      <c r="E20" s="396">
        <v>259.43299999999999</v>
      </c>
      <c r="F20" s="526">
        <v>261.25</v>
      </c>
      <c r="G20" s="175">
        <v>0.2</v>
      </c>
      <c r="H20" s="879"/>
      <c r="I20" s="545"/>
      <c r="J20" s="880"/>
    </row>
    <row r="21" spans="2:10">
      <c r="B21" s="173" t="s">
        <v>71</v>
      </c>
      <c r="C21" s="179">
        <v>2017</v>
      </c>
      <c r="D21" s="174" t="str">
        <f>IF(VALUE(C21)&lt;='RFPR cover'!$C$7,"Actual","Forecast")</f>
        <v>Actual</v>
      </c>
      <c r="E21" s="396">
        <v>264.99200000000002</v>
      </c>
      <c r="F21" s="526">
        <v>269.95000000000005</v>
      </c>
      <c r="G21" s="175">
        <v>0.2</v>
      </c>
      <c r="H21" s="879"/>
      <c r="I21" s="545"/>
      <c r="J21" s="880"/>
    </row>
    <row r="22" spans="2:10">
      <c r="B22" s="173" t="s">
        <v>53</v>
      </c>
      <c r="C22" s="179">
        <v>2018</v>
      </c>
      <c r="D22" s="174" t="str">
        <f>IF(VALUE(C22)&lt;='RFPR cover'!$C$7,"Actual","Forecast")</f>
        <v>Actual</v>
      </c>
      <c r="E22" s="396">
        <v>274.90800000000002</v>
      </c>
      <c r="F22" s="526">
        <v>279</v>
      </c>
      <c r="G22" s="175">
        <v>0.19</v>
      </c>
      <c r="H22" s="879"/>
      <c r="I22" s="545"/>
      <c r="J22" s="880"/>
    </row>
    <row r="23" spans="2:10">
      <c r="B23" s="528" t="s">
        <v>54</v>
      </c>
      <c r="C23" s="529">
        <v>2019</v>
      </c>
      <c r="D23" s="174" t="str">
        <f>IF(VALUE(C23)&lt;='RFPR cover'!$C$7,"Actual","Forecast")</f>
        <v>Actual</v>
      </c>
      <c r="E23" s="396">
        <v>283.30799999999999</v>
      </c>
      <c r="F23" s="526">
        <v>286.64999999999998</v>
      </c>
      <c r="G23" s="175">
        <v>0.19</v>
      </c>
      <c r="H23" s="879"/>
      <c r="J23" s="880"/>
    </row>
    <row r="24" spans="2:10">
      <c r="B24" s="528" t="s">
        <v>55</v>
      </c>
      <c r="C24" s="529">
        <v>2020</v>
      </c>
      <c r="D24" s="174" t="str">
        <f>IF(VALUE(C24)&lt;='RFPR cover'!$C$7,"Actual","Forecast")</f>
        <v>Forecast</v>
      </c>
      <c r="E24" s="527">
        <f t="shared" ref="E24:F27" si="0">E23*(1+INDEX($D$43:$J$43,0,MATCH($C24,$D$42:$J$42,0)))</f>
        <v>290.74483500000002</v>
      </c>
      <c r="F24" s="527">
        <f t="shared" si="0"/>
        <v>294.17456249999998</v>
      </c>
      <c r="G24" s="175">
        <v>0.19</v>
      </c>
      <c r="H24" s="879"/>
      <c r="J24" s="880"/>
    </row>
    <row r="25" spans="2:10">
      <c r="B25" s="528" t="s">
        <v>56</v>
      </c>
      <c r="C25" s="529">
        <v>2021</v>
      </c>
      <c r="D25" s="174" t="str">
        <f>IF(VALUE(C25)&lt;='RFPR cover'!$C$7,"Actual","Forecast")</f>
        <v>Forecast</v>
      </c>
      <c r="E25" s="527">
        <f t="shared" si="0"/>
        <v>298.81300417124999</v>
      </c>
      <c r="F25" s="527">
        <f t="shared" si="0"/>
        <v>302.33790660937495</v>
      </c>
      <c r="G25" s="175">
        <v>0.17</v>
      </c>
      <c r="H25" s="879"/>
      <c r="J25" s="880"/>
    </row>
    <row r="26" spans="2:10">
      <c r="B26" s="528" t="s">
        <v>57</v>
      </c>
      <c r="C26" s="529">
        <v>2022</v>
      </c>
      <c r="D26" s="174" t="str">
        <f>IF(VALUE(C26)&lt;='RFPR cover'!$C$7,"Actual","Forecast")</f>
        <v>Forecast</v>
      </c>
      <c r="E26" s="527">
        <f t="shared" si="0"/>
        <v>307.85209754743033</v>
      </c>
      <c r="F26" s="527">
        <f t="shared" si="0"/>
        <v>311.48362828430857</v>
      </c>
      <c r="G26" s="175">
        <v>0.17</v>
      </c>
      <c r="H26" s="879"/>
      <c r="J26" s="880"/>
    </row>
    <row r="27" spans="2:10">
      <c r="B27" s="528" t="s">
        <v>58</v>
      </c>
      <c r="C27" s="529">
        <v>2023</v>
      </c>
      <c r="D27" s="174" t="str">
        <f>IF(VALUE(C27)&lt;='RFPR cover'!$C$7,"Actual","Forecast")</f>
        <v>Forecast</v>
      </c>
      <c r="E27" s="527">
        <f t="shared" si="0"/>
        <v>317.31854954701384</v>
      </c>
      <c r="F27" s="527">
        <f t="shared" si="0"/>
        <v>321.06174985405107</v>
      </c>
      <c r="G27" s="175">
        <v>0.17</v>
      </c>
      <c r="H27" s="879"/>
      <c r="J27" s="880"/>
    </row>
    <row r="28" spans="2:10">
      <c r="B28" s="528" t="s">
        <v>195</v>
      </c>
      <c r="C28" s="529">
        <v>2024</v>
      </c>
      <c r="D28" s="174" t="str">
        <f>IF(VALUE(C28)&lt;='RFPR cover'!$C$7,"Actual","Forecast")</f>
        <v>Forecast</v>
      </c>
      <c r="E28" s="398"/>
      <c r="F28" s="398"/>
      <c r="G28" s="175">
        <v>0.17</v>
      </c>
    </row>
    <row r="29" spans="2:10">
      <c r="B29" s="528" t="s">
        <v>196</v>
      </c>
      <c r="C29" s="529">
        <v>2025</v>
      </c>
      <c r="D29" s="174" t="str">
        <f>IF(VALUE(C29)&lt;='RFPR cover'!$C$7,"Actual","Forecast")</f>
        <v>Forecast</v>
      </c>
      <c r="E29" s="398"/>
      <c r="F29" s="398"/>
      <c r="G29" s="175">
        <v>0.17</v>
      </c>
    </row>
    <row r="30" spans="2:10">
      <c r="B30" s="530" t="s">
        <v>197</v>
      </c>
      <c r="C30" s="531">
        <v>2026</v>
      </c>
      <c r="D30" s="176" t="str">
        <f>IF(VALUE(C30)&lt;='RFPR cover'!$C$7,"Actual","Forecast")</f>
        <v>Forecast</v>
      </c>
      <c r="E30" s="397"/>
      <c r="F30" s="397"/>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Forecast</v>
      </c>
      <c r="H32" s="363" t="str">
        <f>IF(H33&lt;='RFPR cover'!$C$7,"Actuals","Forecast")</f>
        <v>Forecast</v>
      </c>
      <c r="I32" s="363" t="str">
        <f>IF(I33&lt;='RFPR cover'!$C$7,"Actuals","Forecast")</f>
        <v>Forecast</v>
      </c>
      <c r="J32" s="364"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523" t="s">
        <v>351</v>
      </c>
      <c r="C34" s="521">
        <f>INDEX(Data!$E$14:$E$30,MATCH(C$33,Data!$C$14:$C$30,0),0)/IF('RFPR cover'!$C$6="ED1",Data!$E$17,Data!$E$14)</f>
        <v>1.0603167467048125</v>
      </c>
      <c r="D34" s="518">
        <f>INDEX(Data!$E$14:$E$30,MATCH(D$33,Data!$C$14:$C$30,0),0)/IF('RFPR cover'!$C$6="ED1",Data!$E$17,Data!$E$14)</f>
        <v>1.0830366813119445</v>
      </c>
      <c r="E34" s="518">
        <f>INDEX(Data!$E$14:$E$30,MATCH(E$33,Data!$C$14:$C$30,0),0)/IF('RFPR cover'!$C$6="ED1",Data!$E$17,Data!$E$14)</f>
        <v>1.1235639113109226</v>
      </c>
      <c r="F34" s="518">
        <f>INDEX(Data!$E$14:$E$30,MATCH(F$33,Data!$C$14:$C$30,0),0)/IF('RFPR cover'!$C$6="ED1",Data!$E$17,Data!$E$14)</f>
        <v>1.1578951670583426</v>
      </c>
      <c r="G34" s="518">
        <f>INDEX(Data!$E$14:$E$30,MATCH(G$33,Data!$C$14:$C$30,0),0)/IF('RFPR cover'!$C$6="ED1",Data!$E$17,Data!$E$14)</f>
        <v>1.1882899151936241</v>
      </c>
      <c r="H34" s="518">
        <f>INDEX(Data!$E$14:$E$30,MATCH(H$33,Data!$C$14:$C$30,0),0)/IF('RFPR cover'!$C$6="ED1",Data!$E$17,Data!$E$14)</f>
        <v>1.2212649603402472</v>
      </c>
      <c r="I34" s="519">
        <f>INDEX(Data!$E$14:$E$30,MATCH(I$33,Data!$C$14:$C$30,0),0)/IF('RFPR cover'!$C$6="ED1",Data!$E$17,Data!$E$14)</f>
        <v>1.2582082253905398</v>
      </c>
      <c r="J34" s="520">
        <f>INDEX(Data!$E$14:$E$30,MATCH(J$33,Data!$C$14:$C$30,0),0)/IF('RFPR cover'!$C$6="ED1",Data!$E$17,Data!$E$14)</f>
        <v>1.296898128321299</v>
      </c>
    </row>
    <row r="35" spans="2:13" ht="15.75" customHeight="1">
      <c r="B35" s="524" t="s">
        <v>32</v>
      </c>
      <c r="C35" s="522">
        <f>INDEX(Data!$F$14:$F$30,MATCH(C$33,Data!$C$14:$C$30,0),0)/IF('RFPR cover'!$C$6="ED1",Data!$E$17,Data!$E$14)</f>
        <v>1.0677429242873198</v>
      </c>
      <c r="D35" s="522">
        <f>INDEX(Data!$F$14:$F$30,MATCH(D$33,Data!$C$14:$C$30,0),0)/IF('RFPR cover'!$C$6="ED1",Data!$E$17,Data!$E$14)</f>
        <v>1.1033002963114336</v>
      </c>
      <c r="E35" s="522">
        <f>INDEX(Data!$F$14:$F$30,MATCH(E$33,Data!$C$14:$C$30,0),0)/IF('RFPR cover'!$C$6="ED1",Data!$E$17,Data!$E$14)</f>
        <v>1.1402881373250229</v>
      </c>
      <c r="F35" s="522">
        <f>INDEX(Data!$F$14:$F$30,MATCH(F$33,Data!$C$14:$C$30,0),0)/IF('RFPR cover'!$C$6="ED1",Data!$E$17,Data!$E$14)</f>
        <v>1.171554102380709</v>
      </c>
      <c r="G35" s="522">
        <f>INDEX(Data!$F$14:$F$30,MATCH(G$33,Data!$C$14:$C$30,0),0)/IF('RFPR cover'!$C$6="ED1",Data!$E$17,Data!$E$14)</f>
        <v>1.2023073975682026</v>
      </c>
      <c r="H35" s="522">
        <f>INDEX(Data!$F$14:$F$30,MATCH(H$33,Data!$C$14:$C$30,0),0)/IF('RFPR cover'!$C$6="ED1",Data!$E$17,Data!$E$14)</f>
        <v>1.2356714278507201</v>
      </c>
      <c r="I35" s="522">
        <f>INDEX(Data!$F$14:$F$30,MATCH(I$33,Data!$C$14:$C$30,0),0)/IF('RFPR cover'!$C$6="ED1",Data!$E$17,Data!$E$14)</f>
        <v>1.2730504885432044</v>
      </c>
      <c r="J35" s="522">
        <f>INDEX(Data!$F$14:$F$30,MATCH(J$33,Data!$C$14:$C$30,0),0)/IF('RFPR cover'!$C$6="ED1",Data!$E$17,Data!$E$14)</f>
        <v>1.312196791065908</v>
      </c>
    </row>
    <row r="36" spans="2:13">
      <c r="B36" s="524" t="s">
        <v>481</v>
      </c>
      <c r="C36" s="522">
        <f>INDEX(Data!$E$14:$E$30,MATCH(C$33,Data!$C$14:$C$30,0))/INDEX(Data!$E$14:$E$30,MATCH(C$33-1,Data!$C$14:$C$30,0))</f>
        <v>1.0107766093810269</v>
      </c>
      <c r="D36" s="522">
        <f>INDEX(Data!$E$14:$E$30,MATCH(D$33,Data!$C$14:$C$30,0))/INDEX(Data!$E$14:$E$30,MATCH(D$33-1,Data!$C$14:$C$30,0))</f>
        <v>1.0214274976583551</v>
      </c>
      <c r="E36" s="522">
        <f>INDEX(Data!$E$14:$E$30,MATCH(E$33,Data!$C$14:$C$30,0))/INDEX(Data!$E$14:$E$30,MATCH(E$33-1,Data!$C$14:$C$30,0))</f>
        <v>1.0374199975848328</v>
      </c>
      <c r="F36" s="522">
        <f>INDEX(Data!$E$14:$E$30,MATCH(F$33,Data!$C$14:$C$30,0))/INDEX(Data!$E$14:$E$30,MATCH(F$33-1,Data!$C$14:$C$30,0))</f>
        <v>1.0305556768082411</v>
      </c>
      <c r="G36" s="522">
        <f>INDEX(Data!$E$14:$E$30,MATCH(G$33,Data!$C$14:$C$30,0))/INDEX(Data!$E$14:$E$30,MATCH(G$33-1,Data!$C$14:$C$30,0))</f>
        <v>1.0262500000000001</v>
      </c>
      <c r="H36" s="522">
        <f>INDEX(Data!$E$14:$E$30,MATCH(H$33,Data!$C$14:$C$30,0))/INDEX(Data!$E$14:$E$30,MATCH(H$33-1,Data!$C$14:$C$30,0))</f>
        <v>1.0277499999999999</v>
      </c>
      <c r="I36" s="522">
        <f>INDEX(Data!$E$14:$E$30,MATCH(I$33,Data!$C$14:$C$30,0))/INDEX(Data!$E$14:$E$30,MATCH(I$33-1,Data!$C$14:$C$30,0))</f>
        <v>1.0302500000000001</v>
      </c>
      <c r="J36" s="522">
        <f>INDEX(Data!$E$14:$E$30,MATCH(J$33,Data!$C$14:$C$30,0))/INDEX(Data!$E$14:$E$30,MATCH(J$33-1,Data!$C$14:$C$30,0))</f>
        <v>1.0307500000000001</v>
      </c>
    </row>
    <row r="37" spans="2:13" ht="15.75" customHeight="1">
      <c r="B37" s="14" t="s">
        <v>265</v>
      </c>
      <c r="F37" s="545"/>
    </row>
    <row r="38" spans="2:13">
      <c r="C38" s="538" t="s">
        <v>266</v>
      </c>
      <c r="D38" s="119">
        <v>2017</v>
      </c>
      <c r="E38" s="120">
        <f t="shared" ref="E38:J38" si="2">D38+1</f>
        <v>2018</v>
      </c>
      <c r="F38" s="120">
        <f t="shared" si="2"/>
        <v>2019</v>
      </c>
      <c r="G38" s="120">
        <f t="shared" si="2"/>
        <v>2020</v>
      </c>
      <c r="H38" s="120">
        <f t="shared" si="2"/>
        <v>2021</v>
      </c>
      <c r="I38" s="120">
        <f t="shared" si="2"/>
        <v>2022</v>
      </c>
      <c r="J38" s="204">
        <f t="shared" si="2"/>
        <v>2023</v>
      </c>
      <c r="K38" s="960" t="s">
        <v>361</v>
      </c>
      <c r="L38" s="960"/>
      <c r="M38" s="960"/>
    </row>
    <row r="39" spans="2:13">
      <c r="B39" t="s">
        <v>362</v>
      </c>
      <c r="C39" s="210"/>
      <c r="D39" s="796"/>
      <c r="E39" s="600"/>
      <c r="F39" s="797">
        <v>2.5999999999999999E-2</v>
      </c>
      <c r="G39" s="797">
        <v>2.7E-2</v>
      </c>
      <c r="H39" s="797">
        <v>0.03</v>
      </c>
      <c r="I39" s="797">
        <v>3.1E-2</v>
      </c>
      <c r="J39" s="798">
        <v>0.03</v>
      </c>
      <c r="K39" s="961" t="s">
        <v>505</v>
      </c>
      <c r="L39" s="961"/>
      <c r="M39" s="961"/>
    </row>
    <row r="41" spans="2:13">
      <c r="B41" s="14" t="s">
        <v>267</v>
      </c>
    </row>
    <row r="42" spans="2:13">
      <c r="C42" s="537" t="s">
        <v>268</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269</v>
      </c>
      <c r="D43" s="599"/>
      <c r="E43" s="600"/>
      <c r="F43" s="600"/>
      <c r="G43" s="799">
        <f>(F39*0.75)+(G39*0.25)</f>
        <v>2.6249999999999999E-2</v>
      </c>
      <c r="H43" s="799">
        <f>(G39*0.75)+(H39*0.25)</f>
        <v>2.775E-2</v>
      </c>
      <c r="I43" s="799">
        <f>(H39*0.75)+(I39*0.25)</f>
        <v>3.0249999999999999E-2</v>
      </c>
      <c r="J43" s="800">
        <f>(I39*0.75)+(J39*0.25)</f>
        <v>3.075E-2</v>
      </c>
    </row>
    <row r="45" spans="2:13">
      <c r="B45" s="334" t="str">
        <f>"Selected Capitalisation rates for "&amp;'RFPR cover'!C5</f>
        <v>Selected Capitalisation rates for ENWL</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242</v>
      </c>
      <c r="D47" s="43"/>
      <c r="E47" s="43"/>
      <c r="F47" s="43"/>
      <c r="G47" s="43"/>
      <c r="H47" s="43"/>
      <c r="I47" s="43"/>
      <c r="J47" s="43"/>
      <c r="K47" s="43"/>
      <c r="L47" s="43"/>
      <c r="M47" s="212"/>
    </row>
    <row r="48" spans="2:13">
      <c r="B48" s="336" t="str">
        <f>INDEX($G$54:$G$57,MATCH(LEFT('RFPR cover'!$C$6,2),Data!$E$54:$E$57,0),0)</f>
        <v>Totex</v>
      </c>
      <c r="C48" s="332">
        <f>INDEX($F$73:$F$100,MATCH('RFPR cover'!$C$5,Data!$B$73:$B$100,0),0)</f>
        <v>0.68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162</v>
      </c>
      <c r="F54" s="350" t="s">
        <v>149</v>
      </c>
      <c r="G54" s="965" t="s">
        <v>243</v>
      </c>
      <c r="H54" s="966"/>
      <c r="I54" s="967"/>
      <c r="J54" s="974" t="s">
        <v>245</v>
      </c>
      <c r="K54" s="975"/>
    </row>
    <row r="55" spans="2:20">
      <c r="B55" s="324"/>
      <c r="C55" s="324"/>
      <c r="E55" s="322" t="s">
        <v>164</v>
      </c>
      <c r="F55" s="351" t="s">
        <v>174</v>
      </c>
      <c r="G55" s="968" t="s">
        <v>243</v>
      </c>
      <c r="H55" s="969"/>
      <c r="I55" s="970"/>
      <c r="J55" s="976" t="s">
        <v>245</v>
      </c>
      <c r="K55" s="977"/>
    </row>
    <row r="56" spans="2:20">
      <c r="B56" s="324"/>
      <c r="C56" s="324"/>
      <c r="E56" s="322" t="s">
        <v>163</v>
      </c>
      <c r="F56" s="351" t="s">
        <v>174</v>
      </c>
      <c r="G56" s="968" t="s">
        <v>234</v>
      </c>
      <c r="H56" s="969"/>
      <c r="I56" s="970"/>
      <c r="J56" s="976" t="s">
        <v>235</v>
      </c>
      <c r="K56" s="977"/>
    </row>
    <row r="57" spans="2:20">
      <c r="B57" s="324"/>
      <c r="C57" s="324"/>
      <c r="E57" s="323" t="s">
        <v>165</v>
      </c>
      <c r="F57" s="352" t="s">
        <v>174</v>
      </c>
      <c r="G57" s="971" t="s">
        <v>244</v>
      </c>
      <c r="H57" s="972"/>
      <c r="I57" s="973"/>
      <c r="J57" s="978" t="s">
        <v>246</v>
      </c>
      <c r="K57" s="979"/>
    </row>
    <row r="58" spans="2:20">
      <c r="B58" s="324"/>
      <c r="C58" s="324"/>
      <c r="E58" s="324"/>
      <c r="F58" s="472"/>
      <c r="G58" s="473"/>
      <c r="H58" s="473"/>
      <c r="I58" s="473"/>
      <c r="J58" s="474"/>
      <c r="K58" s="474"/>
    </row>
    <row r="59" spans="2:20">
      <c r="B59" s="475"/>
      <c r="C59" s="475"/>
      <c r="D59" s="227"/>
      <c r="E59" s="475"/>
      <c r="F59" s="476"/>
      <c r="G59" s="477"/>
      <c r="H59" s="477"/>
      <c r="I59" s="477"/>
      <c r="J59" s="478"/>
      <c r="K59" s="478"/>
      <c r="L59" s="227"/>
      <c r="M59" s="227"/>
      <c r="N59" s="227"/>
      <c r="O59" s="227"/>
      <c r="P59" s="227"/>
      <c r="Q59" s="227"/>
      <c r="R59" s="227"/>
      <c r="S59" s="227"/>
      <c r="T59" s="227"/>
    </row>
    <row r="60" spans="2:20" s="32" customFormat="1">
      <c r="B60" s="424"/>
      <c r="C60" s="424"/>
      <c r="E60" s="424"/>
      <c r="F60" s="479"/>
      <c r="G60" s="480"/>
      <c r="H60" s="480"/>
      <c r="I60" s="480"/>
      <c r="J60" s="481"/>
      <c r="K60" s="481"/>
    </row>
    <row r="61" spans="2:20">
      <c r="B61" s="471" t="s">
        <v>340</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8" t="s">
        <v>338</v>
      </c>
      <c r="C63" s="595"/>
      <c r="D63" s="596"/>
      <c r="E63" s="466">
        <v>2.5499999999999998E-2</v>
      </c>
      <c r="F63" s="466">
        <v>2.3799999999999998E-2</v>
      </c>
      <c r="G63" s="466">
        <v>2.2200000000000001E-2</v>
      </c>
      <c r="H63" s="466">
        <v>1.9099999999999999E-2</v>
      </c>
      <c r="I63" s="466">
        <v>1.5800000000000002E-2</v>
      </c>
      <c r="J63" s="466">
        <v>1.1399999999999999E-2</v>
      </c>
      <c r="K63" s="466">
        <v>9.1999999999999998E-3</v>
      </c>
      <c r="L63" s="467">
        <v>7.1999999999999998E-3</v>
      </c>
    </row>
    <row r="64" spans="2:20">
      <c r="B64" s="469" t="s">
        <v>325</v>
      </c>
      <c r="C64" s="583"/>
      <c r="D64" s="584"/>
      <c r="E64" s="426">
        <v>2.5499999999999998E-2</v>
      </c>
      <c r="F64" s="426">
        <v>2.4199999999999999E-2</v>
      </c>
      <c r="G64" s="426">
        <v>2.29E-2</v>
      </c>
      <c r="H64" s="426">
        <v>2.0899999999999998E-2</v>
      </c>
      <c r="I64" s="426">
        <v>1.9400000000000001E-2</v>
      </c>
      <c r="J64" s="426">
        <v>1.8200000000000001E-2</v>
      </c>
      <c r="K64" s="426">
        <v>1.72E-2</v>
      </c>
      <c r="L64" s="429">
        <v>1.6299999999999999E-2</v>
      </c>
    </row>
    <row r="65" spans="1:20">
      <c r="B65" s="469" t="s">
        <v>51</v>
      </c>
      <c r="C65" s="425">
        <v>2.92E-2</v>
      </c>
      <c r="D65" s="426">
        <v>2.5000000000000001E-2</v>
      </c>
      <c r="E65" s="426">
        <v>2.1499999999999998E-2</v>
      </c>
      <c r="F65" s="426">
        <v>1.7899999999999999E-2</v>
      </c>
      <c r="G65" s="426">
        <v>1.5100000000000001E-2</v>
      </c>
      <c r="H65" s="426">
        <v>1.1599999999999999E-2</v>
      </c>
      <c r="I65" s="426">
        <v>1.0200000000000001E-2</v>
      </c>
      <c r="J65" s="426">
        <v>8.6E-3</v>
      </c>
      <c r="K65" s="597"/>
      <c r="L65" s="598"/>
    </row>
    <row r="66" spans="1:20">
      <c r="B66" s="469" t="s">
        <v>339</v>
      </c>
      <c r="C66" s="464">
        <v>2.92E-2</v>
      </c>
      <c r="D66" s="465">
        <v>2.7199999999999998E-2</v>
      </c>
      <c r="E66" s="465">
        <v>2.5499999999999998E-2</v>
      </c>
      <c r="F66" s="465">
        <v>2.3800000000000002E-2</v>
      </c>
      <c r="G66" s="465">
        <v>2.2200000000000001E-2</v>
      </c>
      <c r="H66" s="465">
        <v>1.9099999999999999E-2</v>
      </c>
      <c r="I66" s="465">
        <v>1.5800000000000002E-2</v>
      </c>
      <c r="J66" s="465">
        <v>1.1399999999999999E-2</v>
      </c>
      <c r="K66" s="584"/>
      <c r="L66" s="585"/>
    </row>
    <row r="67" spans="1:20">
      <c r="B67" s="469" t="s">
        <v>163</v>
      </c>
      <c r="C67" s="425">
        <v>2.92E-2</v>
      </c>
      <c r="D67" s="426">
        <v>2.7199999999999998E-2</v>
      </c>
      <c r="E67" s="426">
        <v>2.5499999999999998E-2</v>
      </c>
      <c r="F67" s="426">
        <v>2.3800000000000002E-2</v>
      </c>
      <c r="G67" s="426">
        <v>2.2200000000000001E-2</v>
      </c>
      <c r="H67" s="465">
        <v>1.9099999999999999E-2</v>
      </c>
      <c r="I67" s="465">
        <v>1.5800000000000002E-2</v>
      </c>
      <c r="J67" s="465">
        <v>1.1399999999999999E-2</v>
      </c>
      <c r="K67" s="584"/>
      <c r="L67" s="585"/>
    </row>
    <row r="68" spans="1:20">
      <c r="B68" s="470" t="s">
        <v>165</v>
      </c>
      <c r="C68" s="427">
        <v>2.92E-2</v>
      </c>
      <c r="D68" s="428">
        <v>2.7199999999999998E-2</v>
      </c>
      <c r="E68" s="428">
        <v>2.5499999999999998E-2</v>
      </c>
      <c r="F68" s="428">
        <v>2.3800000000000002E-2</v>
      </c>
      <c r="G68" s="428">
        <v>2.2200000000000001E-2</v>
      </c>
      <c r="H68" s="428">
        <v>1.9099999999999999E-2</v>
      </c>
      <c r="I68" s="428">
        <v>1.5800000000000002E-2</v>
      </c>
      <c r="J68" s="428">
        <v>1.1399999999999999E-2</v>
      </c>
      <c r="K68" s="586"/>
      <c r="L68" s="587"/>
    </row>
    <row r="69" spans="1:20">
      <c r="I69" s="68"/>
    </row>
    <row r="70" spans="1:20">
      <c r="H70" s="68"/>
      <c r="K70" s="43"/>
      <c r="L70" s="43"/>
      <c r="M70" s="43"/>
      <c r="N70" s="43"/>
      <c r="O70" s="43"/>
      <c r="P70" s="43"/>
      <c r="Q70" s="43"/>
      <c r="R70" s="43"/>
      <c r="S70" s="43"/>
      <c r="T70" s="43"/>
    </row>
    <row r="71" spans="1:20" ht="38.25">
      <c r="B71" s="22"/>
      <c r="C71" s="75" t="s">
        <v>241</v>
      </c>
      <c r="D71" s="76" t="s">
        <v>202</v>
      </c>
      <c r="E71" s="76" t="s">
        <v>62</v>
      </c>
      <c r="F71" s="76" t="s">
        <v>264</v>
      </c>
      <c r="G71" s="76" t="s">
        <v>106</v>
      </c>
      <c r="H71" s="77" t="s">
        <v>176</v>
      </c>
      <c r="I71" s="349" t="s">
        <v>259</v>
      </c>
      <c r="J71" s="349" t="s">
        <v>458</v>
      </c>
      <c r="K71" s="962" t="s">
        <v>334</v>
      </c>
      <c r="L71" s="963"/>
      <c r="M71" s="963"/>
      <c r="N71" s="963"/>
      <c r="O71" s="963"/>
      <c r="P71" s="963"/>
      <c r="Q71" s="963"/>
      <c r="R71" s="963"/>
      <c r="S71" s="963"/>
      <c r="T71" s="964"/>
    </row>
    <row r="72" spans="1:20">
      <c r="A72" s="353" t="s">
        <v>179</v>
      </c>
      <c r="B72" s="69" t="s">
        <v>59</v>
      </c>
      <c r="C72" s="325"/>
      <c r="D72" s="71"/>
      <c r="E72" s="70"/>
      <c r="F72" s="70"/>
      <c r="G72" s="71"/>
      <c r="H72" s="72"/>
      <c r="I72" s="72"/>
      <c r="J72" s="451"/>
      <c r="K72" s="452">
        <v>2014</v>
      </c>
      <c r="L72" s="453">
        <f t="shared" ref="L72:T72" si="6">K72+1</f>
        <v>2015</v>
      </c>
      <c r="M72" s="453">
        <f t="shared" si="6"/>
        <v>2016</v>
      </c>
      <c r="N72" s="453">
        <f t="shared" si="6"/>
        <v>2017</v>
      </c>
      <c r="O72" s="453">
        <f t="shared" si="6"/>
        <v>2018</v>
      </c>
      <c r="P72" s="453">
        <f t="shared" si="6"/>
        <v>2019</v>
      </c>
      <c r="Q72" s="453">
        <f t="shared" si="6"/>
        <v>2020</v>
      </c>
      <c r="R72" s="453">
        <f t="shared" si="6"/>
        <v>2021</v>
      </c>
      <c r="S72" s="453">
        <f t="shared" si="6"/>
        <v>2022</v>
      </c>
      <c r="T72" s="454">
        <f t="shared" si="6"/>
        <v>2023</v>
      </c>
    </row>
    <row r="73" spans="1:20">
      <c r="A73" s="61" t="s">
        <v>162</v>
      </c>
      <c r="B73" s="73" t="s">
        <v>33</v>
      </c>
      <c r="C73" s="326">
        <v>0.06</v>
      </c>
      <c r="D73" s="327">
        <v>0.58109999999999995</v>
      </c>
      <c r="E73" s="328">
        <v>0.65</v>
      </c>
      <c r="F73" s="328">
        <v>0.68</v>
      </c>
      <c r="G73" s="359">
        <v>2016</v>
      </c>
      <c r="H73" s="360" t="str">
        <f t="shared" ref="H73:H97" si="7">VLOOKUP($A73,$E$54:$F$57,2,FALSE)</f>
        <v>£m 12/13</v>
      </c>
      <c r="I73" s="360" t="s">
        <v>260</v>
      </c>
      <c r="J73" s="451" t="s">
        <v>459</v>
      </c>
      <c r="K73" s="583"/>
      <c r="L73" s="584"/>
      <c r="M73" s="459">
        <f t="shared" ref="M73:M82" si="8">E$64</f>
        <v>2.5499999999999998E-2</v>
      </c>
      <c r="N73" s="459">
        <f t="shared" ref="N73:N82" si="9">F$64</f>
        <v>2.4199999999999999E-2</v>
      </c>
      <c r="O73" s="459">
        <f t="shared" ref="O73:O82" si="10">G$64</f>
        <v>2.29E-2</v>
      </c>
      <c r="P73" s="459">
        <f t="shared" ref="P73:P82" si="11">H$64</f>
        <v>2.0899999999999998E-2</v>
      </c>
      <c r="Q73" s="459">
        <f t="shared" ref="Q73:Q82" si="12">I$64</f>
        <v>1.9400000000000001E-2</v>
      </c>
      <c r="R73" s="459">
        <f t="shared" ref="R73:R82" si="13">J$64</f>
        <v>1.8200000000000001E-2</v>
      </c>
      <c r="S73" s="459">
        <f t="shared" ref="S73:S82" si="14">K$64</f>
        <v>1.72E-2</v>
      </c>
      <c r="T73" s="463">
        <f t="shared" ref="T73:T82" si="15">L$64</f>
        <v>1.6299999999999999E-2</v>
      </c>
    </row>
    <row r="74" spans="1:20">
      <c r="A74" s="61" t="s">
        <v>162</v>
      </c>
      <c r="B74" s="73" t="s">
        <v>34</v>
      </c>
      <c r="C74" s="326">
        <v>0.06</v>
      </c>
      <c r="D74" s="327">
        <v>0.55843703457782867</v>
      </c>
      <c r="E74" s="328">
        <v>0.65</v>
      </c>
      <c r="F74" s="328">
        <v>0.7</v>
      </c>
      <c r="G74" s="359">
        <v>2016</v>
      </c>
      <c r="H74" s="360" t="str">
        <f t="shared" si="7"/>
        <v>£m 12/13</v>
      </c>
      <c r="I74" s="360" t="s">
        <v>260</v>
      </c>
      <c r="J74" s="451" t="s">
        <v>459</v>
      </c>
      <c r="K74" s="583"/>
      <c r="L74" s="584"/>
      <c r="M74" s="459">
        <f t="shared" si="8"/>
        <v>2.5499999999999998E-2</v>
      </c>
      <c r="N74" s="459">
        <f t="shared" si="9"/>
        <v>2.4199999999999999E-2</v>
      </c>
      <c r="O74" s="459">
        <f t="shared" si="10"/>
        <v>2.29E-2</v>
      </c>
      <c r="P74" s="459">
        <f t="shared" si="11"/>
        <v>2.0899999999999998E-2</v>
      </c>
      <c r="Q74" s="459">
        <f t="shared" si="12"/>
        <v>1.9400000000000001E-2</v>
      </c>
      <c r="R74" s="459">
        <f t="shared" si="13"/>
        <v>1.8200000000000001E-2</v>
      </c>
      <c r="S74" s="459">
        <f t="shared" si="14"/>
        <v>1.72E-2</v>
      </c>
      <c r="T74" s="463">
        <f t="shared" si="15"/>
        <v>1.6299999999999999E-2</v>
      </c>
    </row>
    <row r="75" spans="1:20">
      <c r="A75" s="61" t="s">
        <v>162</v>
      </c>
      <c r="B75" s="73" t="s">
        <v>63</v>
      </c>
      <c r="C75" s="326">
        <v>0.06</v>
      </c>
      <c r="D75" s="327">
        <v>0.55843703457782867</v>
      </c>
      <c r="E75" s="328">
        <v>0.65</v>
      </c>
      <c r="F75" s="328">
        <v>0.72</v>
      </c>
      <c r="G75" s="359">
        <v>2016</v>
      </c>
      <c r="H75" s="360" t="str">
        <f t="shared" si="7"/>
        <v>£m 12/13</v>
      </c>
      <c r="I75" s="360" t="s">
        <v>260</v>
      </c>
      <c r="J75" s="451" t="s">
        <v>459</v>
      </c>
      <c r="K75" s="583"/>
      <c r="L75" s="584"/>
      <c r="M75" s="459">
        <f t="shared" si="8"/>
        <v>2.5499999999999998E-2</v>
      </c>
      <c r="N75" s="459">
        <f t="shared" si="9"/>
        <v>2.4199999999999999E-2</v>
      </c>
      <c r="O75" s="459">
        <f t="shared" si="10"/>
        <v>2.29E-2</v>
      </c>
      <c r="P75" s="459">
        <f t="shared" si="11"/>
        <v>2.0899999999999998E-2</v>
      </c>
      <c r="Q75" s="459">
        <f t="shared" si="12"/>
        <v>1.9400000000000001E-2</v>
      </c>
      <c r="R75" s="459">
        <f t="shared" si="13"/>
        <v>1.8200000000000001E-2</v>
      </c>
      <c r="S75" s="459">
        <f t="shared" si="14"/>
        <v>1.72E-2</v>
      </c>
      <c r="T75" s="463">
        <f t="shared" si="15"/>
        <v>1.6299999999999999E-2</v>
      </c>
    </row>
    <row r="76" spans="1:20">
      <c r="A76" s="61" t="s">
        <v>162</v>
      </c>
      <c r="B76" s="73" t="s">
        <v>49</v>
      </c>
      <c r="C76" s="326">
        <v>0.06</v>
      </c>
      <c r="D76" s="327">
        <v>0.53280000000000005</v>
      </c>
      <c r="E76" s="328">
        <v>0.65</v>
      </c>
      <c r="F76" s="328">
        <v>0.68</v>
      </c>
      <c r="G76" s="359">
        <v>2016</v>
      </c>
      <c r="H76" s="360" t="str">
        <f t="shared" si="7"/>
        <v>£m 12/13</v>
      </c>
      <c r="I76" s="360" t="s">
        <v>260</v>
      </c>
      <c r="J76" s="451" t="s">
        <v>459</v>
      </c>
      <c r="K76" s="583"/>
      <c r="L76" s="584"/>
      <c r="M76" s="459">
        <f t="shared" si="8"/>
        <v>2.5499999999999998E-2</v>
      </c>
      <c r="N76" s="459">
        <f t="shared" si="9"/>
        <v>2.4199999999999999E-2</v>
      </c>
      <c r="O76" s="459">
        <f t="shared" si="10"/>
        <v>2.29E-2</v>
      </c>
      <c r="P76" s="459">
        <f t="shared" si="11"/>
        <v>2.0899999999999998E-2</v>
      </c>
      <c r="Q76" s="459">
        <f t="shared" si="12"/>
        <v>1.9400000000000001E-2</v>
      </c>
      <c r="R76" s="459">
        <f t="shared" si="13"/>
        <v>1.8200000000000001E-2</v>
      </c>
      <c r="S76" s="459">
        <f t="shared" si="14"/>
        <v>1.72E-2</v>
      </c>
      <c r="T76" s="463">
        <f t="shared" si="15"/>
        <v>1.6299999999999999E-2</v>
      </c>
    </row>
    <row r="77" spans="1:20">
      <c r="A77" s="61" t="s">
        <v>162</v>
      </c>
      <c r="B77" s="73" t="s">
        <v>47</v>
      </c>
      <c r="C77" s="326">
        <v>0.06</v>
      </c>
      <c r="D77" s="327">
        <v>0.53280000000000005</v>
      </c>
      <c r="E77" s="328">
        <v>0.65</v>
      </c>
      <c r="F77" s="328">
        <v>0.68</v>
      </c>
      <c r="G77" s="359">
        <v>2016</v>
      </c>
      <c r="H77" s="360" t="str">
        <f t="shared" si="7"/>
        <v>£m 12/13</v>
      </c>
      <c r="I77" s="360" t="s">
        <v>260</v>
      </c>
      <c r="J77" s="451" t="s">
        <v>459</v>
      </c>
      <c r="K77" s="583"/>
      <c r="L77" s="584"/>
      <c r="M77" s="459">
        <f t="shared" si="8"/>
        <v>2.5499999999999998E-2</v>
      </c>
      <c r="N77" s="459">
        <f t="shared" si="9"/>
        <v>2.4199999999999999E-2</v>
      </c>
      <c r="O77" s="459">
        <f t="shared" si="10"/>
        <v>2.29E-2</v>
      </c>
      <c r="P77" s="459">
        <f t="shared" si="11"/>
        <v>2.0899999999999998E-2</v>
      </c>
      <c r="Q77" s="459">
        <f t="shared" si="12"/>
        <v>1.9400000000000001E-2</v>
      </c>
      <c r="R77" s="459">
        <f t="shared" si="13"/>
        <v>1.8200000000000001E-2</v>
      </c>
      <c r="S77" s="459">
        <f t="shared" si="14"/>
        <v>1.72E-2</v>
      </c>
      <c r="T77" s="463">
        <f t="shared" si="15"/>
        <v>1.6299999999999999E-2</v>
      </c>
    </row>
    <row r="78" spans="1:20">
      <c r="A78" s="61" t="s">
        <v>162</v>
      </c>
      <c r="B78" s="73" t="s">
        <v>48</v>
      </c>
      <c r="C78" s="326">
        <v>0.06</v>
      </c>
      <c r="D78" s="327">
        <v>0.53280000000000005</v>
      </c>
      <c r="E78" s="328">
        <v>0.65</v>
      </c>
      <c r="F78" s="328">
        <v>0.68</v>
      </c>
      <c r="G78" s="359">
        <v>2016</v>
      </c>
      <c r="H78" s="360" t="str">
        <f t="shared" si="7"/>
        <v>£m 12/13</v>
      </c>
      <c r="I78" s="360" t="s">
        <v>260</v>
      </c>
      <c r="J78" s="451" t="s">
        <v>459</v>
      </c>
      <c r="K78" s="583"/>
      <c r="L78" s="584"/>
      <c r="M78" s="459">
        <f t="shared" si="8"/>
        <v>2.5499999999999998E-2</v>
      </c>
      <c r="N78" s="459">
        <f t="shared" si="9"/>
        <v>2.4199999999999999E-2</v>
      </c>
      <c r="O78" s="459">
        <f t="shared" si="10"/>
        <v>2.29E-2</v>
      </c>
      <c r="P78" s="459">
        <f t="shared" si="11"/>
        <v>2.0899999999999998E-2</v>
      </c>
      <c r="Q78" s="459">
        <f t="shared" si="12"/>
        <v>1.9400000000000001E-2</v>
      </c>
      <c r="R78" s="459">
        <f t="shared" si="13"/>
        <v>1.8200000000000001E-2</v>
      </c>
      <c r="S78" s="459">
        <f t="shared" si="14"/>
        <v>1.72E-2</v>
      </c>
      <c r="T78" s="463">
        <f t="shared" si="15"/>
        <v>1.6299999999999999E-2</v>
      </c>
    </row>
    <row r="79" spans="1:20">
      <c r="A79" s="61" t="s">
        <v>162</v>
      </c>
      <c r="B79" s="73" t="s">
        <v>35</v>
      </c>
      <c r="C79" s="326">
        <v>0.06</v>
      </c>
      <c r="D79" s="327">
        <v>0.53500000000000003</v>
      </c>
      <c r="E79" s="328">
        <v>0.65</v>
      </c>
      <c r="F79" s="328">
        <v>0.8</v>
      </c>
      <c r="G79" s="359">
        <v>2016</v>
      </c>
      <c r="H79" s="360" t="str">
        <f t="shared" si="7"/>
        <v>£m 12/13</v>
      </c>
      <c r="I79" s="360" t="s">
        <v>260</v>
      </c>
      <c r="J79" s="451" t="s">
        <v>459</v>
      </c>
      <c r="K79" s="583"/>
      <c r="L79" s="584"/>
      <c r="M79" s="459">
        <f t="shared" si="8"/>
        <v>2.5499999999999998E-2</v>
      </c>
      <c r="N79" s="459">
        <f t="shared" si="9"/>
        <v>2.4199999999999999E-2</v>
      </c>
      <c r="O79" s="459">
        <f t="shared" si="10"/>
        <v>2.29E-2</v>
      </c>
      <c r="P79" s="459">
        <f t="shared" si="11"/>
        <v>2.0899999999999998E-2</v>
      </c>
      <c r="Q79" s="459">
        <f t="shared" si="12"/>
        <v>1.9400000000000001E-2</v>
      </c>
      <c r="R79" s="459">
        <f t="shared" si="13"/>
        <v>1.8200000000000001E-2</v>
      </c>
      <c r="S79" s="459">
        <f t="shared" si="14"/>
        <v>1.72E-2</v>
      </c>
      <c r="T79" s="463">
        <f t="shared" si="15"/>
        <v>1.6299999999999999E-2</v>
      </c>
    </row>
    <row r="80" spans="1:20">
      <c r="A80" s="61" t="s">
        <v>162</v>
      </c>
      <c r="B80" s="73" t="s">
        <v>36</v>
      </c>
      <c r="C80" s="326">
        <v>0.06</v>
      </c>
      <c r="D80" s="327">
        <v>0.53500000000000003</v>
      </c>
      <c r="E80" s="328">
        <v>0.65</v>
      </c>
      <c r="F80" s="328">
        <v>0.8</v>
      </c>
      <c r="G80" s="359">
        <v>2016</v>
      </c>
      <c r="H80" s="360" t="str">
        <f t="shared" si="7"/>
        <v>£m 12/13</v>
      </c>
      <c r="I80" s="360" t="s">
        <v>260</v>
      </c>
      <c r="J80" s="451" t="s">
        <v>459</v>
      </c>
      <c r="K80" s="583"/>
      <c r="L80" s="584"/>
      <c r="M80" s="459">
        <f t="shared" si="8"/>
        <v>2.5499999999999998E-2</v>
      </c>
      <c r="N80" s="459">
        <f t="shared" si="9"/>
        <v>2.4199999999999999E-2</v>
      </c>
      <c r="O80" s="459">
        <f t="shared" si="10"/>
        <v>2.29E-2</v>
      </c>
      <c r="P80" s="459">
        <f t="shared" si="11"/>
        <v>2.0899999999999998E-2</v>
      </c>
      <c r="Q80" s="459">
        <f t="shared" si="12"/>
        <v>1.9400000000000001E-2</v>
      </c>
      <c r="R80" s="459">
        <f t="shared" si="13"/>
        <v>1.8200000000000001E-2</v>
      </c>
      <c r="S80" s="459">
        <f t="shared" si="14"/>
        <v>1.72E-2</v>
      </c>
      <c r="T80" s="463">
        <f t="shared" si="15"/>
        <v>1.6299999999999999E-2</v>
      </c>
    </row>
    <row r="81" spans="1:20">
      <c r="A81" s="61" t="s">
        <v>162</v>
      </c>
      <c r="B81" s="73" t="s">
        <v>37</v>
      </c>
      <c r="C81" s="326">
        <v>0.06</v>
      </c>
      <c r="D81" s="327">
        <v>0.56469999999999998</v>
      </c>
      <c r="E81" s="328">
        <v>0.65</v>
      </c>
      <c r="F81" s="328">
        <v>0.62</v>
      </c>
      <c r="G81" s="359">
        <v>2016</v>
      </c>
      <c r="H81" s="360" t="str">
        <f t="shared" si="7"/>
        <v>£m 12/13</v>
      </c>
      <c r="I81" s="360" t="s">
        <v>260</v>
      </c>
      <c r="J81" s="451" t="s">
        <v>459</v>
      </c>
      <c r="K81" s="583"/>
      <c r="L81" s="584"/>
      <c r="M81" s="459">
        <f t="shared" si="8"/>
        <v>2.5499999999999998E-2</v>
      </c>
      <c r="N81" s="459">
        <f t="shared" si="9"/>
        <v>2.4199999999999999E-2</v>
      </c>
      <c r="O81" s="459">
        <f t="shared" si="10"/>
        <v>2.29E-2</v>
      </c>
      <c r="P81" s="459">
        <f t="shared" si="11"/>
        <v>2.0899999999999998E-2</v>
      </c>
      <c r="Q81" s="459">
        <f t="shared" si="12"/>
        <v>1.9400000000000001E-2</v>
      </c>
      <c r="R81" s="459">
        <f t="shared" si="13"/>
        <v>1.8200000000000001E-2</v>
      </c>
      <c r="S81" s="459">
        <f t="shared" si="14"/>
        <v>1.72E-2</v>
      </c>
      <c r="T81" s="463">
        <f t="shared" si="15"/>
        <v>1.6299999999999999E-2</v>
      </c>
    </row>
    <row r="82" spans="1:20">
      <c r="A82" s="61" t="s">
        <v>162</v>
      </c>
      <c r="B82" s="73" t="s">
        <v>38</v>
      </c>
      <c r="C82" s="326">
        <v>0.06</v>
      </c>
      <c r="D82" s="327">
        <v>0.56469999999999998</v>
      </c>
      <c r="E82" s="328">
        <v>0.65</v>
      </c>
      <c r="F82" s="328">
        <v>0.7</v>
      </c>
      <c r="G82" s="359">
        <v>2016</v>
      </c>
      <c r="H82" s="360" t="str">
        <f t="shared" si="7"/>
        <v>£m 12/13</v>
      </c>
      <c r="I82" s="360" t="s">
        <v>260</v>
      </c>
      <c r="J82" s="451" t="s">
        <v>459</v>
      </c>
      <c r="K82" s="583"/>
      <c r="L82" s="584"/>
      <c r="M82" s="459">
        <f t="shared" si="8"/>
        <v>2.5499999999999998E-2</v>
      </c>
      <c r="N82" s="459">
        <f t="shared" si="9"/>
        <v>2.4199999999999999E-2</v>
      </c>
      <c r="O82" s="459">
        <f t="shared" si="10"/>
        <v>2.29E-2</v>
      </c>
      <c r="P82" s="459">
        <f t="shared" si="11"/>
        <v>2.0899999999999998E-2</v>
      </c>
      <c r="Q82" s="459">
        <f t="shared" si="12"/>
        <v>1.9400000000000001E-2</v>
      </c>
      <c r="R82" s="459">
        <f t="shared" si="13"/>
        <v>1.8200000000000001E-2</v>
      </c>
      <c r="S82" s="459">
        <f t="shared" si="14"/>
        <v>1.72E-2</v>
      </c>
      <c r="T82" s="463">
        <f t="shared" si="15"/>
        <v>1.6299999999999999E-2</v>
      </c>
    </row>
    <row r="83" spans="1:20">
      <c r="A83" s="61" t="s">
        <v>162</v>
      </c>
      <c r="B83" s="73" t="s">
        <v>236</v>
      </c>
      <c r="C83" s="326">
        <v>6.4000000000000001E-2</v>
      </c>
      <c r="D83" s="327">
        <v>0.7</v>
      </c>
      <c r="E83" s="328">
        <v>0.65</v>
      </c>
      <c r="F83" s="328">
        <v>0.8</v>
      </c>
      <c r="G83" s="359">
        <v>2016</v>
      </c>
      <c r="H83" s="360" t="str">
        <f t="shared" si="7"/>
        <v>£m 12/13</v>
      </c>
      <c r="I83" s="360" t="s">
        <v>261</v>
      </c>
      <c r="J83" s="451" t="s">
        <v>460</v>
      </c>
      <c r="K83" s="583"/>
      <c r="L83" s="584"/>
      <c r="M83" s="459">
        <f t="shared" ref="M83:T86" si="16">E$63</f>
        <v>2.5499999999999998E-2</v>
      </c>
      <c r="N83" s="459">
        <f t="shared" si="16"/>
        <v>2.3799999999999998E-2</v>
      </c>
      <c r="O83" s="459">
        <f t="shared" si="16"/>
        <v>2.2200000000000001E-2</v>
      </c>
      <c r="P83" s="459">
        <f t="shared" si="16"/>
        <v>1.9099999999999999E-2</v>
      </c>
      <c r="Q83" s="459">
        <f t="shared" si="16"/>
        <v>1.5800000000000002E-2</v>
      </c>
      <c r="R83" s="459">
        <f t="shared" si="16"/>
        <v>1.1399999999999999E-2</v>
      </c>
      <c r="S83" s="459">
        <f t="shared" si="16"/>
        <v>9.1999999999999998E-3</v>
      </c>
      <c r="T83" s="463">
        <f t="shared" si="16"/>
        <v>7.1999999999999998E-3</v>
      </c>
    </row>
    <row r="84" spans="1:20">
      <c r="A84" s="61" t="s">
        <v>162</v>
      </c>
      <c r="B84" s="73" t="s">
        <v>237</v>
      </c>
      <c r="C84" s="326">
        <v>6.4000000000000001E-2</v>
      </c>
      <c r="D84" s="327">
        <v>0.7</v>
      </c>
      <c r="E84" s="328">
        <v>0.65</v>
      </c>
      <c r="F84" s="328">
        <v>0.8</v>
      </c>
      <c r="G84" s="359">
        <v>2016</v>
      </c>
      <c r="H84" s="360" t="str">
        <f t="shared" si="7"/>
        <v>£m 12/13</v>
      </c>
      <c r="I84" s="360" t="s">
        <v>261</v>
      </c>
      <c r="J84" s="451" t="s">
        <v>460</v>
      </c>
      <c r="K84" s="583"/>
      <c r="L84" s="584"/>
      <c r="M84" s="459">
        <f t="shared" si="16"/>
        <v>2.5499999999999998E-2</v>
      </c>
      <c r="N84" s="459">
        <f t="shared" si="16"/>
        <v>2.3799999999999998E-2</v>
      </c>
      <c r="O84" s="459">
        <f t="shared" si="16"/>
        <v>2.2200000000000001E-2</v>
      </c>
      <c r="P84" s="459">
        <f t="shared" si="16"/>
        <v>1.9099999999999999E-2</v>
      </c>
      <c r="Q84" s="459">
        <f t="shared" si="16"/>
        <v>1.5800000000000002E-2</v>
      </c>
      <c r="R84" s="459">
        <f t="shared" si="16"/>
        <v>1.1399999999999999E-2</v>
      </c>
      <c r="S84" s="459">
        <f t="shared" si="16"/>
        <v>9.1999999999999998E-3</v>
      </c>
      <c r="T84" s="463">
        <f t="shared" si="16"/>
        <v>7.1999999999999998E-3</v>
      </c>
    </row>
    <row r="85" spans="1:20">
      <c r="A85" s="61" t="s">
        <v>162</v>
      </c>
      <c r="B85" s="73" t="s">
        <v>238</v>
      </c>
      <c r="C85" s="326">
        <v>6.4000000000000001E-2</v>
      </c>
      <c r="D85" s="327">
        <v>0.7</v>
      </c>
      <c r="E85" s="328">
        <v>0.65</v>
      </c>
      <c r="F85" s="328">
        <v>0.8</v>
      </c>
      <c r="G85" s="359">
        <v>2016</v>
      </c>
      <c r="H85" s="360" t="str">
        <f t="shared" si="7"/>
        <v>£m 12/13</v>
      </c>
      <c r="I85" s="360" t="s">
        <v>261</v>
      </c>
      <c r="J85" s="451" t="s">
        <v>460</v>
      </c>
      <c r="K85" s="583"/>
      <c r="L85" s="584"/>
      <c r="M85" s="459">
        <f t="shared" si="16"/>
        <v>2.5499999999999998E-2</v>
      </c>
      <c r="N85" s="459">
        <f t="shared" si="16"/>
        <v>2.3799999999999998E-2</v>
      </c>
      <c r="O85" s="459">
        <f t="shared" si="16"/>
        <v>2.2200000000000001E-2</v>
      </c>
      <c r="P85" s="459">
        <f t="shared" si="16"/>
        <v>1.9099999999999999E-2</v>
      </c>
      <c r="Q85" s="459">
        <f t="shared" si="16"/>
        <v>1.5800000000000002E-2</v>
      </c>
      <c r="R85" s="459">
        <f t="shared" si="16"/>
        <v>1.1399999999999999E-2</v>
      </c>
      <c r="S85" s="459">
        <f t="shared" si="16"/>
        <v>9.1999999999999998E-3</v>
      </c>
      <c r="T85" s="463">
        <f t="shared" si="16"/>
        <v>7.1999999999999998E-3</v>
      </c>
    </row>
    <row r="86" spans="1:20">
      <c r="A86" s="61" t="s">
        <v>162</v>
      </c>
      <c r="B86" s="73" t="s">
        <v>239</v>
      </c>
      <c r="C86" s="326">
        <v>6.4000000000000001E-2</v>
      </c>
      <c r="D86" s="327">
        <v>0.7</v>
      </c>
      <c r="E86" s="328">
        <v>0.65</v>
      </c>
      <c r="F86" s="328">
        <v>0.8</v>
      </c>
      <c r="G86" s="359">
        <v>2016</v>
      </c>
      <c r="H86" s="360" t="str">
        <f t="shared" si="7"/>
        <v>£m 12/13</v>
      </c>
      <c r="I86" s="360" t="s">
        <v>261</v>
      </c>
      <c r="J86" s="451" t="s">
        <v>460</v>
      </c>
      <c r="K86" s="583"/>
      <c r="L86" s="584"/>
      <c r="M86" s="459">
        <f t="shared" si="16"/>
        <v>2.5499999999999998E-2</v>
      </c>
      <c r="N86" s="459">
        <f t="shared" si="16"/>
        <v>2.3799999999999998E-2</v>
      </c>
      <c r="O86" s="459">
        <f t="shared" si="16"/>
        <v>2.2200000000000001E-2</v>
      </c>
      <c r="P86" s="459">
        <f t="shared" si="16"/>
        <v>1.9099999999999999E-2</v>
      </c>
      <c r="Q86" s="459">
        <f t="shared" si="16"/>
        <v>1.5800000000000002E-2</v>
      </c>
      <c r="R86" s="459">
        <f t="shared" si="16"/>
        <v>1.1399999999999999E-2</v>
      </c>
      <c r="S86" s="459">
        <f t="shared" si="16"/>
        <v>9.1999999999999998E-3</v>
      </c>
      <c r="T86" s="463">
        <f t="shared" si="16"/>
        <v>7.1999999999999998E-3</v>
      </c>
    </row>
    <row r="87" spans="1:20">
      <c r="A87" s="61" t="s">
        <v>163</v>
      </c>
      <c r="B87" s="73" t="s">
        <v>43</v>
      </c>
      <c r="C87" s="326">
        <v>6.7000000000000004E-2</v>
      </c>
      <c r="D87" s="327">
        <v>0.63039999999999996</v>
      </c>
      <c r="E87" s="328">
        <v>0.65</v>
      </c>
      <c r="F87" s="328">
        <v>0.26634501855794862</v>
      </c>
      <c r="G87" s="359">
        <v>2014</v>
      </c>
      <c r="H87" s="360" t="str">
        <f t="shared" si="7"/>
        <v>£m 09/10</v>
      </c>
      <c r="I87" s="360" t="s">
        <v>260</v>
      </c>
      <c r="J87" s="451" t="s">
        <v>460</v>
      </c>
      <c r="K87" s="461">
        <f t="shared" ref="K87:R94" si="17">C$67</f>
        <v>2.92E-2</v>
      </c>
      <c r="L87" s="459">
        <f t="shared" si="17"/>
        <v>2.7199999999999998E-2</v>
      </c>
      <c r="M87" s="459">
        <f t="shared" si="17"/>
        <v>2.5499999999999998E-2</v>
      </c>
      <c r="N87" s="459">
        <f t="shared" si="17"/>
        <v>2.3800000000000002E-2</v>
      </c>
      <c r="O87" s="459">
        <f t="shared" si="17"/>
        <v>2.2200000000000001E-2</v>
      </c>
      <c r="P87" s="459">
        <f t="shared" si="17"/>
        <v>1.9099999999999999E-2</v>
      </c>
      <c r="Q87" s="459">
        <f t="shared" si="17"/>
        <v>1.5800000000000002E-2</v>
      </c>
      <c r="R87" s="459">
        <f t="shared" si="17"/>
        <v>1.1399999999999999E-2</v>
      </c>
      <c r="S87" s="584"/>
      <c r="T87" s="585"/>
    </row>
    <row r="88" spans="1:20">
      <c r="A88" s="61" t="s">
        <v>163</v>
      </c>
      <c r="B88" s="73" t="s">
        <v>44</v>
      </c>
      <c r="C88" s="326">
        <v>6.7000000000000004E-2</v>
      </c>
      <c r="D88" s="327">
        <v>0.63039999999999996</v>
      </c>
      <c r="E88" s="328">
        <v>0.65</v>
      </c>
      <c r="F88" s="328">
        <v>0.23469337831705597</v>
      </c>
      <c r="G88" s="359">
        <v>2014</v>
      </c>
      <c r="H88" s="360" t="str">
        <f t="shared" si="7"/>
        <v>£m 09/10</v>
      </c>
      <c r="I88" s="360" t="s">
        <v>260</v>
      </c>
      <c r="J88" s="451" t="s">
        <v>460</v>
      </c>
      <c r="K88" s="461">
        <f t="shared" si="17"/>
        <v>2.92E-2</v>
      </c>
      <c r="L88" s="459">
        <f t="shared" si="17"/>
        <v>2.7199999999999998E-2</v>
      </c>
      <c r="M88" s="459">
        <f t="shared" si="17"/>
        <v>2.5499999999999998E-2</v>
      </c>
      <c r="N88" s="459">
        <f t="shared" si="17"/>
        <v>2.3800000000000002E-2</v>
      </c>
      <c r="O88" s="459">
        <f t="shared" si="17"/>
        <v>2.2200000000000001E-2</v>
      </c>
      <c r="P88" s="459">
        <f t="shared" si="17"/>
        <v>1.9099999999999999E-2</v>
      </c>
      <c r="Q88" s="459">
        <f t="shared" si="17"/>
        <v>1.5800000000000002E-2</v>
      </c>
      <c r="R88" s="459">
        <f t="shared" si="17"/>
        <v>1.1399999999999999E-2</v>
      </c>
      <c r="S88" s="584"/>
      <c r="T88" s="585"/>
    </row>
    <row r="89" spans="1:20">
      <c r="A89" s="61" t="s">
        <v>163</v>
      </c>
      <c r="B89" s="73" t="s">
        <v>45</v>
      </c>
      <c r="C89" s="326">
        <v>6.7000000000000004E-2</v>
      </c>
      <c r="D89" s="327">
        <v>0.63039999999999996</v>
      </c>
      <c r="E89" s="328">
        <v>0.65</v>
      </c>
      <c r="F89" s="328">
        <v>0.24946223864843597</v>
      </c>
      <c r="G89" s="359">
        <v>2014</v>
      </c>
      <c r="H89" s="360" t="str">
        <f t="shared" si="7"/>
        <v>£m 09/10</v>
      </c>
      <c r="I89" s="360" t="s">
        <v>260</v>
      </c>
      <c r="J89" s="451" t="s">
        <v>460</v>
      </c>
      <c r="K89" s="461">
        <f t="shared" si="17"/>
        <v>2.92E-2</v>
      </c>
      <c r="L89" s="459">
        <f t="shared" si="17"/>
        <v>2.7199999999999998E-2</v>
      </c>
      <c r="M89" s="459">
        <f t="shared" si="17"/>
        <v>2.5499999999999998E-2</v>
      </c>
      <c r="N89" s="459">
        <f t="shared" si="17"/>
        <v>2.3800000000000002E-2</v>
      </c>
      <c r="O89" s="459">
        <f t="shared" si="17"/>
        <v>2.2200000000000001E-2</v>
      </c>
      <c r="P89" s="459">
        <f t="shared" si="17"/>
        <v>1.9099999999999999E-2</v>
      </c>
      <c r="Q89" s="459">
        <f t="shared" si="17"/>
        <v>1.5800000000000002E-2</v>
      </c>
      <c r="R89" s="459">
        <f t="shared" si="17"/>
        <v>1.1399999999999999E-2</v>
      </c>
      <c r="S89" s="584"/>
      <c r="T89" s="585"/>
    </row>
    <row r="90" spans="1:20">
      <c r="A90" s="61" t="s">
        <v>163</v>
      </c>
      <c r="B90" s="73" t="s">
        <v>46</v>
      </c>
      <c r="C90" s="326">
        <v>6.7000000000000004E-2</v>
      </c>
      <c r="D90" s="327">
        <v>0.63039999999999996</v>
      </c>
      <c r="E90" s="328">
        <v>0.65</v>
      </c>
      <c r="F90" s="328">
        <v>0.26095352485819256</v>
      </c>
      <c r="G90" s="359">
        <v>2014</v>
      </c>
      <c r="H90" s="360" t="str">
        <f t="shared" si="7"/>
        <v>£m 09/10</v>
      </c>
      <c r="I90" s="360" t="s">
        <v>260</v>
      </c>
      <c r="J90" s="451" t="s">
        <v>460</v>
      </c>
      <c r="K90" s="461">
        <f t="shared" si="17"/>
        <v>2.92E-2</v>
      </c>
      <c r="L90" s="459">
        <f t="shared" si="17"/>
        <v>2.7199999999999998E-2</v>
      </c>
      <c r="M90" s="459">
        <f t="shared" si="17"/>
        <v>2.5499999999999998E-2</v>
      </c>
      <c r="N90" s="459">
        <f t="shared" si="17"/>
        <v>2.3800000000000002E-2</v>
      </c>
      <c r="O90" s="459">
        <f t="shared" si="17"/>
        <v>2.2200000000000001E-2</v>
      </c>
      <c r="P90" s="459">
        <f t="shared" si="17"/>
        <v>1.9099999999999999E-2</v>
      </c>
      <c r="Q90" s="459">
        <f t="shared" si="17"/>
        <v>1.5800000000000002E-2</v>
      </c>
      <c r="R90" s="459">
        <f t="shared" si="17"/>
        <v>1.1399999999999999E-2</v>
      </c>
      <c r="S90" s="584"/>
      <c r="T90" s="585"/>
    </row>
    <row r="91" spans="1:20">
      <c r="A91" s="61" t="s">
        <v>163</v>
      </c>
      <c r="B91" s="73" t="s">
        <v>40</v>
      </c>
      <c r="C91" s="326">
        <v>6.7000000000000004E-2</v>
      </c>
      <c r="D91" s="327">
        <v>0.63980000000000004</v>
      </c>
      <c r="E91" s="328">
        <v>0.65</v>
      </c>
      <c r="F91" s="328">
        <v>0.34984411379298247</v>
      </c>
      <c r="G91" s="359">
        <v>2014</v>
      </c>
      <c r="H91" s="360" t="str">
        <f t="shared" si="7"/>
        <v>£m 09/10</v>
      </c>
      <c r="I91" s="360" t="s">
        <v>260</v>
      </c>
      <c r="J91" s="451" t="s">
        <v>460</v>
      </c>
      <c r="K91" s="461">
        <f t="shared" si="17"/>
        <v>2.92E-2</v>
      </c>
      <c r="L91" s="459">
        <f t="shared" si="17"/>
        <v>2.7199999999999998E-2</v>
      </c>
      <c r="M91" s="459">
        <f t="shared" si="17"/>
        <v>2.5499999999999998E-2</v>
      </c>
      <c r="N91" s="459">
        <f t="shared" si="17"/>
        <v>2.3800000000000002E-2</v>
      </c>
      <c r="O91" s="459">
        <f t="shared" si="17"/>
        <v>2.2200000000000001E-2</v>
      </c>
      <c r="P91" s="459">
        <f t="shared" si="17"/>
        <v>1.9099999999999999E-2</v>
      </c>
      <c r="Q91" s="459">
        <f t="shared" si="17"/>
        <v>1.5800000000000002E-2</v>
      </c>
      <c r="R91" s="459">
        <f t="shared" si="17"/>
        <v>1.1399999999999999E-2</v>
      </c>
      <c r="S91" s="584"/>
      <c r="T91" s="585"/>
    </row>
    <row r="92" spans="1:20">
      <c r="A92" s="61" t="s">
        <v>163</v>
      </c>
      <c r="B92" s="73" t="s">
        <v>42</v>
      </c>
      <c r="C92" s="326">
        <v>6.7000000000000004E-2</v>
      </c>
      <c r="D92" s="327">
        <v>0.63729999999999998</v>
      </c>
      <c r="E92" s="328">
        <v>0.65</v>
      </c>
      <c r="F92" s="328">
        <v>0.35129049661183626</v>
      </c>
      <c r="G92" s="359">
        <v>2014</v>
      </c>
      <c r="H92" s="360" t="str">
        <f t="shared" si="7"/>
        <v>£m 09/10</v>
      </c>
      <c r="I92" s="360" t="s">
        <v>260</v>
      </c>
      <c r="J92" s="451" t="s">
        <v>460</v>
      </c>
      <c r="K92" s="461">
        <f t="shared" si="17"/>
        <v>2.92E-2</v>
      </c>
      <c r="L92" s="459">
        <f t="shared" si="17"/>
        <v>2.7199999999999998E-2</v>
      </c>
      <c r="M92" s="459">
        <f t="shared" si="17"/>
        <v>2.5499999999999998E-2</v>
      </c>
      <c r="N92" s="459">
        <f t="shared" si="17"/>
        <v>2.3800000000000002E-2</v>
      </c>
      <c r="O92" s="459">
        <f t="shared" si="17"/>
        <v>2.2200000000000001E-2</v>
      </c>
      <c r="P92" s="459">
        <f t="shared" si="17"/>
        <v>1.9099999999999999E-2</v>
      </c>
      <c r="Q92" s="459">
        <f t="shared" si="17"/>
        <v>1.5800000000000002E-2</v>
      </c>
      <c r="R92" s="459">
        <f t="shared" si="17"/>
        <v>1.1399999999999999E-2</v>
      </c>
      <c r="S92" s="584"/>
      <c r="T92" s="585"/>
    </row>
    <row r="93" spans="1:20">
      <c r="A93" s="61" t="s">
        <v>163</v>
      </c>
      <c r="B93" s="73" t="s">
        <v>41</v>
      </c>
      <c r="C93" s="326">
        <v>6.7000000000000004E-2</v>
      </c>
      <c r="D93" s="327">
        <v>0.63729999999999998</v>
      </c>
      <c r="E93" s="328">
        <v>0.65</v>
      </c>
      <c r="F93" s="328">
        <v>0.32230855902021693</v>
      </c>
      <c r="G93" s="359">
        <v>2014</v>
      </c>
      <c r="H93" s="360" t="str">
        <f t="shared" si="7"/>
        <v>£m 09/10</v>
      </c>
      <c r="I93" s="360" t="s">
        <v>260</v>
      </c>
      <c r="J93" s="451" t="s">
        <v>460</v>
      </c>
      <c r="K93" s="461">
        <f t="shared" si="17"/>
        <v>2.92E-2</v>
      </c>
      <c r="L93" s="459">
        <f t="shared" si="17"/>
        <v>2.7199999999999998E-2</v>
      </c>
      <c r="M93" s="459">
        <f t="shared" si="17"/>
        <v>2.5499999999999998E-2</v>
      </c>
      <c r="N93" s="459">
        <f t="shared" si="17"/>
        <v>2.3800000000000002E-2</v>
      </c>
      <c r="O93" s="459">
        <f t="shared" si="17"/>
        <v>2.2200000000000001E-2</v>
      </c>
      <c r="P93" s="459">
        <f t="shared" si="17"/>
        <v>1.9099999999999999E-2</v>
      </c>
      <c r="Q93" s="459">
        <f t="shared" si="17"/>
        <v>1.5800000000000002E-2</v>
      </c>
      <c r="R93" s="459">
        <f t="shared" si="17"/>
        <v>1.1399999999999999E-2</v>
      </c>
      <c r="S93" s="584"/>
      <c r="T93" s="585"/>
    </row>
    <row r="94" spans="1:20">
      <c r="A94" s="61" t="s">
        <v>163</v>
      </c>
      <c r="B94" s="73" t="s">
        <v>39</v>
      </c>
      <c r="C94" s="326">
        <v>6.7000000000000004E-2</v>
      </c>
      <c r="D94" s="327">
        <v>0.63170000000000004</v>
      </c>
      <c r="E94" s="328">
        <v>0.65</v>
      </c>
      <c r="F94" s="328">
        <v>0.35781904469402892</v>
      </c>
      <c r="G94" s="359">
        <v>2014</v>
      </c>
      <c r="H94" s="360" t="str">
        <f t="shared" si="7"/>
        <v>£m 09/10</v>
      </c>
      <c r="I94" s="360" t="s">
        <v>260</v>
      </c>
      <c r="J94" s="451" t="s">
        <v>460</v>
      </c>
      <c r="K94" s="461">
        <f t="shared" si="17"/>
        <v>2.92E-2</v>
      </c>
      <c r="L94" s="459">
        <f t="shared" si="17"/>
        <v>2.7199999999999998E-2</v>
      </c>
      <c r="M94" s="459">
        <f t="shared" si="17"/>
        <v>2.5499999999999998E-2</v>
      </c>
      <c r="N94" s="459">
        <f t="shared" si="17"/>
        <v>2.3800000000000002E-2</v>
      </c>
      <c r="O94" s="459">
        <f t="shared" si="17"/>
        <v>2.2200000000000001E-2</v>
      </c>
      <c r="P94" s="459">
        <f t="shared" si="17"/>
        <v>1.9099999999999999E-2</v>
      </c>
      <c r="Q94" s="459">
        <f t="shared" si="17"/>
        <v>1.5800000000000002E-2</v>
      </c>
      <c r="R94" s="459">
        <f t="shared" si="17"/>
        <v>1.1399999999999999E-2</v>
      </c>
      <c r="S94" s="584"/>
      <c r="T94" s="585"/>
    </row>
    <row r="95" spans="1:20">
      <c r="A95" s="61" t="s">
        <v>165</v>
      </c>
      <c r="B95" s="73" t="s">
        <v>103</v>
      </c>
      <c r="C95" s="326">
        <v>6.8000000000000005E-2</v>
      </c>
      <c r="D95" s="327">
        <v>0.44359999999999999</v>
      </c>
      <c r="E95" s="328">
        <v>0.625</v>
      </c>
      <c r="F95" s="328">
        <v>0.64400000000000002</v>
      </c>
      <c r="G95" s="359">
        <v>2014</v>
      </c>
      <c r="H95" s="360" t="str">
        <f t="shared" si="7"/>
        <v>£m 09/10</v>
      </c>
      <c r="I95" s="360" t="s">
        <v>260</v>
      </c>
      <c r="J95" s="451" t="s">
        <v>460</v>
      </c>
      <c r="K95" s="461">
        <f t="shared" ref="K95:R96" si="18">C$68</f>
        <v>2.92E-2</v>
      </c>
      <c r="L95" s="459">
        <f t="shared" si="18"/>
        <v>2.7199999999999998E-2</v>
      </c>
      <c r="M95" s="459">
        <f t="shared" si="18"/>
        <v>2.5499999999999998E-2</v>
      </c>
      <c r="N95" s="459">
        <f t="shared" si="18"/>
        <v>2.3800000000000002E-2</v>
      </c>
      <c r="O95" s="459">
        <f t="shared" si="18"/>
        <v>2.2200000000000001E-2</v>
      </c>
      <c r="P95" s="459">
        <f t="shared" si="18"/>
        <v>1.9099999999999999E-2</v>
      </c>
      <c r="Q95" s="459">
        <f t="shared" si="18"/>
        <v>1.5800000000000002E-2</v>
      </c>
      <c r="R95" s="459">
        <f t="shared" si="18"/>
        <v>1.1399999999999999E-2</v>
      </c>
      <c r="S95" s="584"/>
      <c r="T95" s="585"/>
    </row>
    <row r="96" spans="1:20">
      <c r="A96" s="61" t="s">
        <v>165</v>
      </c>
      <c r="B96" s="73" t="s">
        <v>104</v>
      </c>
      <c r="C96" s="326">
        <v>6.8000000000000005E-2</v>
      </c>
      <c r="D96" s="327">
        <v>0.44359999999999999</v>
      </c>
      <c r="E96" s="328">
        <v>0.625</v>
      </c>
      <c r="F96" s="328">
        <v>0.374</v>
      </c>
      <c r="G96" s="359">
        <v>2014</v>
      </c>
      <c r="H96" s="360" t="str">
        <f t="shared" si="7"/>
        <v>£m 09/10</v>
      </c>
      <c r="I96" s="360" t="s">
        <v>260</v>
      </c>
      <c r="J96" s="451" t="s">
        <v>460</v>
      </c>
      <c r="K96" s="461">
        <f t="shared" si="18"/>
        <v>2.92E-2</v>
      </c>
      <c r="L96" s="459">
        <f t="shared" si="18"/>
        <v>2.7199999999999998E-2</v>
      </c>
      <c r="M96" s="459">
        <f t="shared" si="18"/>
        <v>2.5499999999999998E-2</v>
      </c>
      <c r="N96" s="459">
        <f t="shared" si="18"/>
        <v>2.3800000000000002E-2</v>
      </c>
      <c r="O96" s="459">
        <f t="shared" si="18"/>
        <v>2.2200000000000001E-2</v>
      </c>
      <c r="P96" s="459">
        <f t="shared" si="18"/>
        <v>1.9099999999999999E-2</v>
      </c>
      <c r="Q96" s="459">
        <f t="shared" si="18"/>
        <v>1.5800000000000002E-2</v>
      </c>
      <c r="R96" s="459">
        <f t="shared" si="18"/>
        <v>1.1399999999999999E-2</v>
      </c>
      <c r="S96" s="584"/>
      <c r="T96" s="585"/>
    </row>
    <row r="97" spans="1:20">
      <c r="A97" s="61" t="s">
        <v>164</v>
      </c>
      <c r="B97" s="73" t="s">
        <v>101</v>
      </c>
      <c r="C97" s="326">
        <v>7.0000000000000007E-2</v>
      </c>
      <c r="D97" s="327">
        <v>0.46889999999999998</v>
      </c>
      <c r="E97" s="328">
        <v>0.6</v>
      </c>
      <c r="F97" s="328">
        <v>0.85</v>
      </c>
      <c r="G97" s="359">
        <v>2014</v>
      </c>
      <c r="H97" s="360" t="str">
        <f t="shared" si="7"/>
        <v>£m 09/10</v>
      </c>
      <c r="I97" s="360" t="s">
        <v>260</v>
      </c>
      <c r="J97" s="451" t="s">
        <v>460</v>
      </c>
      <c r="K97" s="461">
        <f t="shared" ref="K97:R99" si="19">C$66</f>
        <v>2.92E-2</v>
      </c>
      <c r="L97" s="459">
        <f t="shared" si="19"/>
        <v>2.7199999999999998E-2</v>
      </c>
      <c r="M97" s="459">
        <f t="shared" si="19"/>
        <v>2.5499999999999998E-2</v>
      </c>
      <c r="N97" s="459">
        <f t="shared" si="19"/>
        <v>2.3800000000000002E-2</v>
      </c>
      <c r="O97" s="459">
        <f t="shared" si="19"/>
        <v>2.2200000000000001E-2</v>
      </c>
      <c r="P97" s="459">
        <f t="shared" si="19"/>
        <v>1.9099999999999999E-2</v>
      </c>
      <c r="Q97" s="459">
        <f t="shared" si="19"/>
        <v>1.5800000000000002E-2</v>
      </c>
      <c r="R97" s="459">
        <f t="shared" si="19"/>
        <v>1.1399999999999999E-2</v>
      </c>
      <c r="S97" s="584"/>
      <c r="T97" s="585"/>
    </row>
    <row r="98" spans="1:20">
      <c r="A98" s="61" t="s">
        <v>164</v>
      </c>
      <c r="B98" s="73" t="s">
        <v>102</v>
      </c>
      <c r="C98" s="326">
        <v>7.0000000000000007E-2</v>
      </c>
      <c r="D98" s="327">
        <v>0.46889999999999998</v>
      </c>
      <c r="E98" s="328">
        <v>0.6</v>
      </c>
      <c r="F98" s="328">
        <v>0.27900000000000003</v>
      </c>
      <c r="G98" s="345">
        <v>2014</v>
      </c>
      <c r="H98" s="346" t="str">
        <f>VLOOKUP($A98,$E$54:$F$57,2,FALSE)</f>
        <v>£m 09/10</v>
      </c>
      <c r="I98" s="343" t="s">
        <v>260</v>
      </c>
      <c r="J98" s="451" t="s">
        <v>460</v>
      </c>
      <c r="K98" s="461">
        <f t="shared" si="19"/>
        <v>2.92E-2</v>
      </c>
      <c r="L98" s="459">
        <f t="shared" si="19"/>
        <v>2.7199999999999998E-2</v>
      </c>
      <c r="M98" s="459">
        <f t="shared" si="19"/>
        <v>2.5499999999999998E-2</v>
      </c>
      <c r="N98" s="459">
        <f t="shared" si="19"/>
        <v>2.3800000000000002E-2</v>
      </c>
      <c r="O98" s="459">
        <f t="shared" si="19"/>
        <v>2.2200000000000001E-2</v>
      </c>
      <c r="P98" s="459">
        <f t="shared" si="19"/>
        <v>1.9099999999999999E-2</v>
      </c>
      <c r="Q98" s="459">
        <f t="shared" si="19"/>
        <v>1.5800000000000002E-2</v>
      </c>
      <c r="R98" s="459">
        <f t="shared" si="19"/>
        <v>1.1399999999999999E-2</v>
      </c>
      <c r="S98" s="584"/>
      <c r="T98" s="585"/>
    </row>
    <row r="99" spans="1:20">
      <c r="A99" s="61" t="s">
        <v>164</v>
      </c>
      <c r="B99" s="73" t="s">
        <v>50</v>
      </c>
      <c r="C99" s="326">
        <v>7.0000000000000007E-2</v>
      </c>
      <c r="D99" s="327">
        <v>0.5</v>
      </c>
      <c r="E99" s="328">
        <v>0.55000000000000004</v>
      </c>
      <c r="F99" s="328">
        <v>0.9</v>
      </c>
      <c r="G99" s="345">
        <v>2014</v>
      </c>
      <c r="H99" s="346" t="str">
        <f>VLOOKUP($A99,$E$54:$F$57,2,FALSE)</f>
        <v>£m 09/10</v>
      </c>
      <c r="I99" s="343" t="s">
        <v>261</v>
      </c>
      <c r="J99" s="451" t="s">
        <v>460</v>
      </c>
      <c r="K99" s="461">
        <f t="shared" si="19"/>
        <v>2.92E-2</v>
      </c>
      <c r="L99" s="459">
        <f t="shared" si="19"/>
        <v>2.7199999999999998E-2</v>
      </c>
      <c r="M99" s="459">
        <f t="shared" si="19"/>
        <v>2.5499999999999998E-2</v>
      </c>
      <c r="N99" s="459">
        <f t="shared" si="19"/>
        <v>2.3800000000000002E-2</v>
      </c>
      <c r="O99" s="459">
        <f t="shared" si="19"/>
        <v>2.2200000000000001E-2</v>
      </c>
      <c r="P99" s="459">
        <f t="shared" si="19"/>
        <v>1.9099999999999999E-2</v>
      </c>
      <c r="Q99" s="459">
        <f t="shared" si="19"/>
        <v>1.5800000000000002E-2</v>
      </c>
      <c r="R99" s="459">
        <f t="shared" si="19"/>
        <v>1.1399999999999999E-2</v>
      </c>
      <c r="S99" s="584"/>
      <c r="T99" s="585"/>
    </row>
    <row r="100" spans="1:20">
      <c r="A100" s="61" t="s">
        <v>164</v>
      </c>
      <c r="B100" s="74" t="s">
        <v>51</v>
      </c>
      <c r="C100" s="329">
        <v>7.0000000000000007E-2</v>
      </c>
      <c r="D100" s="330">
        <v>0.5</v>
      </c>
      <c r="E100" s="331">
        <v>0.55000000000000004</v>
      </c>
      <c r="F100" s="331">
        <v>0.9</v>
      </c>
      <c r="G100" s="347">
        <v>2014</v>
      </c>
      <c r="H100" s="348" t="str">
        <f>VLOOKUP($A100,$E$54:$F$57,2,FALSE)</f>
        <v>£m 09/10</v>
      </c>
      <c r="I100" s="344" t="s">
        <v>261</v>
      </c>
      <c r="J100" s="451" t="s">
        <v>460</v>
      </c>
      <c r="K100" s="462">
        <f t="shared" ref="K100:R100" si="20">C$65</f>
        <v>2.92E-2</v>
      </c>
      <c r="L100" s="460">
        <f t="shared" si="20"/>
        <v>2.5000000000000001E-2</v>
      </c>
      <c r="M100" s="460">
        <f t="shared" si="20"/>
        <v>2.1499999999999998E-2</v>
      </c>
      <c r="N100" s="460">
        <f t="shared" si="20"/>
        <v>1.7899999999999999E-2</v>
      </c>
      <c r="O100" s="460">
        <f t="shared" si="20"/>
        <v>1.5100000000000001E-2</v>
      </c>
      <c r="P100" s="460">
        <f t="shared" si="20"/>
        <v>1.1599999999999999E-2</v>
      </c>
      <c r="Q100" s="460">
        <f t="shared" si="20"/>
        <v>1.0200000000000001E-2</v>
      </c>
      <c r="R100" s="460">
        <f t="shared" si="20"/>
        <v>8.6E-3</v>
      </c>
      <c r="S100" s="586"/>
      <c r="T100" s="587"/>
    </row>
    <row r="101" spans="1:20">
      <c r="I101" s="68"/>
    </row>
    <row r="102" spans="1:20">
      <c r="I102" s="68"/>
    </row>
    <row r="103" spans="1:20">
      <c r="I103" s="68"/>
    </row>
    <row r="104" spans="1:20" ht="13.5">
      <c r="B104" s="14" t="s">
        <v>240</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43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44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45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46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42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4" t="s">
        <v>39</v>
      </c>
      <c r="C113" s="445">
        <v>0.5</v>
      </c>
      <c r="D113" s="445">
        <v>0.5714285714285714</v>
      </c>
      <c r="E113" s="445">
        <v>0.64285714285714279</v>
      </c>
      <c r="F113" s="445">
        <v>0.71428571428571419</v>
      </c>
      <c r="G113" s="445">
        <v>0.78571428571428559</v>
      </c>
      <c r="H113" s="445">
        <v>0.85714285714285698</v>
      </c>
      <c r="I113" s="445">
        <v>0.92857142857142838</v>
      </c>
      <c r="J113" s="446">
        <v>1</v>
      </c>
    </row>
    <row r="114" spans="2:15">
      <c r="B114" s="322" t="s">
        <v>103</v>
      </c>
      <c r="C114" s="229">
        <v>0.9</v>
      </c>
      <c r="D114" s="229">
        <v>0.9</v>
      </c>
      <c r="E114" s="229">
        <v>0.9</v>
      </c>
      <c r="F114" s="229">
        <v>0.9</v>
      </c>
      <c r="G114" s="229">
        <v>0.9</v>
      </c>
      <c r="H114" s="229">
        <v>0.9</v>
      </c>
      <c r="I114" s="229">
        <v>0.9</v>
      </c>
      <c r="J114" s="230">
        <v>0.9</v>
      </c>
    </row>
    <row r="115" spans="2:15">
      <c r="B115" s="323" t="s">
        <v>104</v>
      </c>
      <c r="C115" s="591"/>
      <c r="D115" s="591"/>
      <c r="E115" s="591"/>
      <c r="F115" s="591"/>
      <c r="G115" s="591"/>
      <c r="H115" s="591"/>
      <c r="I115" s="591"/>
      <c r="J115" s="591"/>
    </row>
    <row r="116" spans="2:15">
      <c r="B116" s="424"/>
      <c r="C116" s="485"/>
      <c r="D116" s="485"/>
      <c r="E116" s="485"/>
      <c r="F116" s="485"/>
      <c r="G116" s="485"/>
      <c r="H116" s="485"/>
      <c r="I116" s="485"/>
      <c r="J116" s="485"/>
      <c r="M116" s="32"/>
      <c r="N116" s="32"/>
      <c r="O116" s="32"/>
    </row>
    <row r="117" spans="2:15">
      <c r="B117" s="424"/>
      <c r="C117" s="485"/>
      <c r="D117" s="485"/>
      <c r="E117" s="485"/>
      <c r="F117" s="485"/>
      <c r="G117" s="485"/>
      <c r="H117" s="485"/>
      <c r="I117" s="485"/>
      <c r="J117" s="485"/>
      <c r="K117" s="386"/>
      <c r="L117" s="386"/>
      <c r="M117" s="32"/>
      <c r="N117" s="32"/>
      <c r="O117" s="32"/>
    </row>
    <row r="118" spans="2:15">
      <c r="B118" s="495" t="s">
        <v>204</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6" t="s">
        <v>33</v>
      </c>
      <c r="C119" s="588"/>
      <c r="D119" s="589"/>
      <c r="E119" s="488">
        <v>1.5575632164737283</v>
      </c>
      <c r="F119" s="488">
        <v>1.4734141240658321</v>
      </c>
      <c r="G119" s="488">
        <v>1.4689588897025405</v>
      </c>
      <c r="H119" s="488">
        <v>1.4707200530126929</v>
      </c>
      <c r="I119" s="488">
        <v>1.4674716260161711</v>
      </c>
      <c r="J119" s="488">
        <v>1.4486206224386007</v>
      </c>
      <c r="K119" s="488">
        <v>1.4956798325868756</v>
      </c>
      <c r="L119" s="489">
        <v>1.4397148718051931</v>
      </c>
      <c r="M119" s="32"/>
      <c r="N119" s="32"/>
      <c r="O119" s="32"/>
    </row>
    <row r="120" spans="2:15">
      <c r="B120" s="486" t="s">
        <v>34</v>
      </c>
      <c r="C120" s="590"/>
      <c r="D120" s="591"/>
      <c r="E120" s="490">
        <v>-0.65871781800535345</v>
      </c>
      <c r="F120" s="490">
        <v>-0.63543772576063684</v>
      </c>
      <c r="G120" s="490">
        <v>-0.58907862874233818</v>
      </c>
      <c r="H120" s="490">
        <v>-0.58178188190178026</v>
      </c>
      <c r="I120" s="490">
        <v>-0.56823918867341305</v>
      </c>
      <c r="J120" s="490">
        <v>-0.51933170333654122</v>
      </c>
      <c r="K120" s="490">
        <v>-0.47962665852661612</v>
      </c>
      <c r="L120" s="491">
        <v>-0.4656874701170608</v>
      </c>
      <c r="M120" s="32"/>
      <c r="N120" s="32"/>
      <c r="O120" s="32"/>
    </row>
    <row r="121" spans="2:15">
      <c r="B121" s="486" t="s">
        <v>63</v>
      </c>
      <c r="C121" s="590"/>
      <c r="D121" s="591"/>
      <c r="E121" s="490">
        <v>-0.86626036283610952</v>
      </c>
      <c r="F121" s="490">
        <v>-0.81019773780890636</v>
      </c>
      <c r="G121" s="490">
        <v>-0.78919084241395188</v>
      </c>
      <c r="H121" s="490">
        <v>-0.79061873066036981</v>
      </c>
      <c r="I121" s="490">
        <v>-0.74432653414361061</v>
      </c>
      <c r="J121" s="490">
        <v>-0.70697274816976396</v>
      </c>
      <c r="K121" s="490">
        <v>-0.65350946162011747</v>
      </c>
      <c r="L121" s="491">
        <v>-0.66429758885743451</v>
      </c>
      <c r="M121" s="32"/>
      <c r="N121" s="32"/>
      <c r="O121" s="32"/>
    </row>
    <row r="122" spans="2:15">
      <c r="B122" s="486" t="s">
        <v>49</v>
      </c>
      <c r="C122" s="590"/>
      <c r="D122" s="591"/>
      <c r="E122" s="490">
        <v>-3.2612134183503572</v>
      </c>
      <c r="F122" s="490">
        <v>-3.3462554451402173</v>
      </c>
      <c r="G122" s="490">
        <v>-3.1732919768141143</v>
      </c>
      <c r="H122" s="490">
        <v>-3.1232404745251841</v>
      </c>
      <c r="I122" s="490">
        <v>-3.0767551306224106</v>
      </c>
      <c r="J122" s="490">
        <v>-2.9342177182087767</v>
      </c>
      <c r="K122" s="490">
        <v>-2.8825938479182072</v>
      </c>
      <c r="L122" s="491">
        <v>-2.7237011003750218</v>
      </c>
      <c r="M122" s="32"/>
      <c r="N122" s="32"/>
      <c r="O122" s="32"/>
    </row>
    <row r="123" spans="2:15">
      <c r="B123" s="486" t="s">
        <v>47</v>
      </c>
      <c r="C123" s="590"/>
      <c r="D123" s="591"/>
      <c r="E123" s="490">
        <v>-2.4260972367898193</v>
      </c>
      <c r="F123" s="490">
        <v>-2.3690383662844163</v>
      </c>
      <c r="G123" s="490">
        <v>-2.2433276600060932</v>
      </c>
      <c r="H123" s="490">
        <v>-2.1466020621213828</v>
      </c>
      <c r="I123" s="490">
        <v>-2.174009678716605</v>
      </c>
      <c r="J123" s="490">
        <v>-2.0538927838998693</v>
      </c>
      <c r="K123" s="490">
        <v>-1.9044581231060691</v>
      </c>
      <c r="L123" s="491">
        <v>-1.8008611131009082</v>
      </c>
      <c r="M123" s="32"/>
      <c r="N123" s="32"/>
      <c r="O123" s="32"/>
    </row>
    <row r="124" spans="2:15">
      <c r="B124" s="486" t="s">
        <v>48</v>
      </c>
      <c r="C124" s="590"/>
      <c r="D124" s="591"/>
      <c r="E124" s="490">
        <v>-2.1861012409352765</v>
      </c>
      <c r="F124" s="490">
        <v>-2.3820447425774849</v>
      </c>
      <c r="G124" s="490">
        <v>-2.2418672366929897</v>
      </c>
      <c r="H124" s="490">
        <v>-2.1147812646907029</v>
      </c>
      <c r="I124" s="490">
        <v>-2.0146177086326591</v>
      </c>
      <c r="J124" s="490">
        <v>-1.9421313262105093</v>
      </c>
      <c r="K124" s="490">
        <v>-1.9248856430948595</v>
      </c>
      <c r="L124" s="491">
        <v>-1.8464451304225615</v>
      </c>
      <c r="M124" s="32"/>
      <c r="N124" s="32"/>
      <c r="O124" s="32"/>
    </row>
    <row r="125" spans="2:15">
      <c r="B125" s="486" t="s">
        <v>35</v>
      </c>
      <c r="C125" s="590"/>
      <c r="D125" s="591"/>
      <c r="E125" s="490">
        <v>-1.8633532543800757</v>
      </c>
      <c r="F125" s="490">
        <v>-1.8182980405067262</v>
      </c>
      <c r="G125" s="490">
        <v>-1.83946756302578</v>
      </c>
      <c r="H125" s="490">
        <v>-1.7415973428180247</v>
      </c>
      <c r="I125" s="490">
        <v>-1.6798002111470465</v>
      </c>
      <c r="J125" s="490">
        <v>-1.5974456358596774</v>
      </c>
      <c r="K125" s="490">
        <v>-1.5016396120831343</v>
      </c>
      <c r="L125" s="491">
        <v>-1.4453638876860204</v>
      </c>
      <c r="M125" s="32"/>
      <c r="N125" s="32"/>
      <c r="O125" s="32"/>
    </row>
    <row r="126" spans="2:15">
      <c r="B126" s="486" t="s">
        <v>36</v>
      </c>
      <c r="C126" s="590"/>
      <c r="D126" s="591"/>
      <c r="E126" s="490">
        <v>-2.1317145269512103</v>
      </c>
      <c r="F126" s="490">
        <v>-2.193973633026753</v>
      </c>
      <c r="G126" s="490">
        <v>-1.9869010217130036</v>
      </c>
      <c r="H126" s="490">
        <v>-1.8037552784318813</v>
      </c>
      <c r="I126" s="490">
        <v>-1.7767942495618843</v>
      </c>
      <c r="J126" s="490">
        <v>-1.7901472583807538</v>
      </c>
      <c r="K126" s="490">
        <v>-1.6444113686346382</v>
      </c>
      <c r="L126" s="491">
        <v>-1.467384504290556</v>
      </c>
      <c r="M126" s="32"/>
      <c r="N126" s="32"/>
      <c r="O126" s="32"/>
    </row>
    <row r="127" spans="2:15">
      <c r="B127" s="486" t="s">
        <v>37</v>
      </c>
      <c r="C127" s="590"/>
      <c r="D127" s="591"/>
      <c r="E127" s="490">
        <v>0.16599721814464838</v>
      </c>
      <c r="F127" s="490">
        <v>0.16631900606776751</v>
      </c>
      <c r="G127" s="490">
        <v>0.16554337895881124</v>
      </c>
      <c r="H127" s="490">
        <v>0.16569741136821181</v>
      </c>
      <c r="I127" s="490">
        <v>0.16622630759870036</v>
      </c>
      <c r="J127" s="490">
        <v>0.16380302414374548</v>
      </c>
      <c r="K127" s="490">
        <v>0.16593344617950709</v>
      </c>
      <c r="L127" s="491">
        <v>0.16036688822048883</v>
      </c>
      <c r="M127" s="32"/>
      <c r="N127" s="32"/>
      <c r="O127" s="32"/>
    </row>
    <row r="128" spans="2:15">
      <c r="B128" s="486" t="s">
        <v>38</v>
      </c>
      <c r="C128" s="590"/>
      <c r="D128" s="591"/>
      <c r="E128" s="490">
        <v>0.3648271976377423</v>
      </c>
      <c r="F128" s="490">
        <v>0.37109083837102003</v>
      </c>
      <c r="G128" s="490">
        <v>0.36071859106606846</v>
      </c>
      <c r="H128" s="490">
        <v>0.35927814835295946</v>
      </c>
      <c r="I128" s="490">
        <v>0.3227419487574148</v>
      </c>
      <c r="J128" s="490">
        <v>0.32139075529498529</v>
      </c>
      <c r="K128" s="490">
        <v>0.32876178406363676</v>
      </c>
      <c r="L128" s="491">
        <v>0.31920430794598709</v>
      </c>
      <c r="M128" s="32"/>
      <c r="N128" s="32"/>
      <c r="O128" s="32"/>
    </row>
    <row r="129" spans="2:15">
      <c r="B129" s="486" t="s">
        <v>236</v>
      </c>
      <c r="C129" s="590"/>
      <c r="D129" s="591"/>
      <c r="E129" s="490">
        <v>7.1281196754416492</v>
      </c>
      <c r="F129" s="490">
        <v>6.9674138399666772</v>
      </c>
      <c r="G129" s="490">
        <v>6.2034025893135132</v>
      </c>
      <c r="H129" s="490">
        <v>6.3085978915797085</v>
      </c>
      <c r="I129" s="490">
        <v>6.2376648400128394</v>
      </c>
      <c r="J129" s="490">
        <v>6.4865819943041139</v>
      </c>
      <c r="K129" s="490">
        <v>6.8152516624832584</v>
      </c>
      <c r="L129" s="491">
        <v>6.6271056201039169</v>
      </c>
      <c r="M129" s="32"/>
      <c r="N129" s="32"/>
      <c r="O129" s="32"/>
    </row>
    <row r="130" spans="2:15">
      <c r="B130" s="486" t="s">
        <v>237</v>
      </c>
      <c r="C130" s="590"/>
      <c r="D130" s="591"/>
      <c r="E130" s="490">
        <v>6.5079014730517413</v>
      </c>
      <c r="F130" s="490">
        <v>6.5166167406950333</v>
      </c>
      <c r="G130" s="490">
        <v>6.3292456496722922</v>
      </c>
      <c r="H130" s="490">
        <v>6.4407397408462082</v>
      </c>
      <c r="I130" s="490">
        <v>6.6367331985058957</v>
      </c>
      <c r="J130" s="490">
        <v>6.7568163761394304</v>
      </c>
      <c r="K130" s="490">
        <v>6.6961234445143969</v>
      </c>
      <c r="L130" s="491">
        <v>6.7647427548792596</v>
      </c>
      <c r="M130" s="32"/>
      <c r="N130" s="32"/>
      <c r="O130" s="32"/>
    </row>
    <row r="131" spans="2:15">
      <c r="B131" s="486" t="s">
        <v>238</v>
      </c>
      <c r="C131" s="590"/>
      <c r="D131" s="591"/>
      <c r="E131" s="490">
        <v>3.6763138465229663</v>
      </c>
      <c r="F131" s="490">
        <v>3.6748350873956013</v>
      </c>
      <c r="G131" s="490">
        <v>3.4998529635433906</v>
      </c>
      <c r="H131" s="490">
        <v>3.724685546648324</v>
      </c>
      <c r="I131" s="490">
        <v>3.4121739487309477</v>
      </c>
      <c r="J131" s="490">
        <v>3.4202241027689042</v>
      </c>
      <c r="K131" s="490">
        <v>3.3053549439575329</v>
      </c>
      <c r="L131" s="491">
        <v>3.3633285641010966</v>
      </c>
      <c r="M131" s="32"/>
      <c r="N131" s="32"/>
      <c r="O131" s="32"/>
    </row>
    <row r="132" spans="2:15">
      <c r="B132" s="486" t="s">
        <v>239</v>
      </c>
      <c r="C132" s="590"/>
      <c r="D132" s="591"/>
      <c r="E132" s="490">
        <v>5.3762701961708466</v>
      </c>
      <c r="F132" s="490">
        <v>5.3775969760840585</v>
      </c>
      <c r="G132" s="490">
        <v>5.2618102801807671</v>
      </c>
      <c r="H132" s="490">
        <v>5.360849180672294</v>
      </c>
      <c r="I132" s="490">
        <v>5.2665238228731912</v>
      </c>
      <c r="J132" s="490">
        <v>5.3271179030285305</v>
      </c>
      <c r="K132" s="490">
        <v>5.3223294006601192</v>
      </c>
      <c r="L132" s="491">
        <v>5.5699880746272257</v>
      </c>
      <c r="M132" s="32"/>
      <c r="N132" s="32"/>
      <c r="O132" s="32"/>
    </row>
    <row r="133" spans="2:15">
      <c r="B133" s="486" t="s">
        <v>43</v>
      </c>
      <c r="C133" s="492">
        <v>1.4371556068940596</v>
      </c>
      <c r="D133" s="490">
        <v>1.3718015630879741</v>
      </c>
      <c r="E133" s="490">
        <v>1.3507660107019517</v>
      </c>
      <c r="F133" s="490">
        <v>1.356812198977974</v>
      </c>
      <c r="G133" s="490">
        <v>1.3598136386487443</v>
      </c>
      <c r="H133" s="490">
        <v>1.3501475065962032</v>
      </c>
      <c r="I133" s="490">
        <v>1.3298433305384654</v>
      </c>
      <c r="J133" s="490">
        <v>1.3174540960763355</v>
      </c>
      <c r="K133" s="591"/>
      <c r="L133" s="592"/>
      <c r="M133" s="32"/>
      <c r="N133" s="32"/>
      <c r="O133" s="32"/>
    </row>
    <row r="134" spans="2:15">
      <c r="B134" s="486" t="s">
        <v>44</v>
      </c>
      <c r="C134" s="492">
        <v>1.2224510767557433</v>
      </c>
      <c r="D134" s="490">
        <v>1.2198157429394254</v>
      </c>
      <c r="E134" s="490">
        <v>1.2942164825881293</v>
      </c>
      <c r="F134" s="490">
        <v>1.2596396269108345</v>
      </c>
      <c r="G134" s="490">
        <v>1.2840112184368913</v>
      </c>
      <c r="H134" s="490">
        <v>1.2678511857965422</v>
      </c>
      <c r="I134" s="490">
        <v>1.2592019055105816</v>
      </c>
      <c r="J134" s="490">
        <v>1.257376658609527</v>
      </c>
      <c r="K134" s="591"/>
      <c r="L134" s="592"/>
      <c r="M134" s="32"/>
      <c r="N134" s="32"/>
      <c r="O134" s="32"/>
    </row>
    <row r="135" spans="2:15">
      <c r="B135" s="486" t="s">
        <v>45</v>
      </c>
      <c r="C135" s="492">
        <v>0.82325002294811445</v>
      </c>
      <c r="D135" s="490">
        <v>0.82663571281128501</v>
      </c>
      <c r="E135" s="490">
        <v>0.79640504595610451</v>
      </c>
      <c r="F135" s="490">
        <v>0.78757021450124798</v>
      </c>
      <c r="G135" s="490">
        <v>0.81133252861207505</v>
      </c>
      <c r="H135" s="490">
        <v>0.81064228783969072</v>
      </c>
      <c r="I135" s="490">
        <v>0.80900368952296353</v>
      </c>
      <c r="J135" s="490">
        <v>0.78043276967968189</v>
      </c>
      <c r="K135" s="591"/>
      <c r="L135" s="592"/>
      <c r="M135" s="32"/>
      <c r="N135" s="32"/>
      <c r="O135" s="32"/>
    </row>
    <row r="136" spans="2:15">
      <c r="B136" s="486" t="s">
        <v>46</v>
      </c>
      <c r="C136" s="492">
        <v>1.0893959849781105</v>
      </c>
      <c r="D136" s="490">
        <v>1.027913194554035</v>
      </c>
      <c r="E136" s="490">
        <v>1.0066987144123654</v>
      </c>
      <c r="F136" s="490">
        <v>1.0192350900597893</v>
      </c>
      <c r="G136" s="490">
        <v>1.0341480780318344</v>
      </c>
      <c r="H136" s="490">
        <v>1.0204240792759967</v>
      </c>
      <c r="I136" s="490">
        <v>1.0137739549704501</v>
      </c>
      <c r="J136" s="490">
        <v>0.9898055017218621</v>
      </c>
      <c r="K136" s="591"/>
      <c r="L136" s="592"/>
      <c r="M136" s="32"/>
      <c r="N136" s="32"/>
      <c r="O136" s="32"/>
    </row>
    <row r="137" spans="2:15">
      <c r="B137" s="486" t="s">
        <v>40</v>
      </c>
      <c r="C137" s="492">
        <v>3.0675250143183739</v>
      </c>
      <c r="D137" s="490">
        <v>3.1629219417602221</v>
      </c>
      <c r="E137" s="490">
        <v>3.2156604222069194</v>
      </c>
      <c r="F137" s="490">
        <v>3.1773534622131239</v>
      </c>
      <c r="G137" s="490">
        <v>2.9925267771957293</v>
      </c>
      <c r="H137" s="490">
        <v>2.9953978987575276</v>
      </c>
      <c r="I137" s="490">
        <v>3.008780645638939</v>
      </c>
      <c r="J137" s="490">
        <v>3.0035530345258876</v>
      </c>
      <c r="K137" s="591"/>
      <c r="L137" s="592"/>
      <c r="M137" s="32"/>
      <c r="N137" s="32"/>
      <c r="O137" s="32"/>
    </row>
    <row r="138" spans="2:15">
      <c r="B138" s="486" t="s">
        <v>42</v>
      </c>
      <c r="C138" s="492">
        <v>2.1240897362733717</v>
      </c>
      <c r="D138" s="490">
        <v>2.0350723340362249</v>
      </c>
      <c r="E138" s="490">
        <v>1.9686998072928457</v>
      </c>
      <c r="F138" s="490">
        <v>2.0858456765056492</v>
      </c>
      <c r="G138" s="490">
        <v>2.1150393198028121</v>
      </c>
      <c r="H138" s="490">
        <v>2.0960407823683633</v>
      </c>
      <c r="I138" s="490">
        <v>1.9709648894580449</v>
      </c>
      <c r="J138" s="490">
        <v>1.9558237270696361</v>
      </c>
      <c r="K138" s="591"/>
      <c r="L138" s="592"/>
      <c r="M138" s="32"/>
      <c r="N138" s="32"/>
      <c r="O138" s="32"/>
    </row>
    <row r="139" spans="2:15">
      <c r="B139" s="486" t="s">
        <v>41</v>
      </c>
      <c r="C139" s="492">
        <v>4.3724011747736116</v>
      </c>
      <c r="D139" s="490">
        <v>4.1057641662653896</v>
      </c>
      <c r="E139" s="490">
        <v>4.0545669929819539</v>
      </c>
      <c r="F139" s="490">
        <v>4.1740927460581894</v>
      </c>
      <c r="G139" s="490">
        <v>4.2397101975440528</v>
      </c>
      <c r="H139" s="490">
        <v>4.2461477210751069</v>
      </c>
      <c r="I139" s="490">
        <v>4.1078523076276792</v>
      </c>
      <c r="J139" s="490">
        <v>4.0575944965475035</v>
      </c>
      <c r="K139" s="591"/>
      <c r="L139" s="592"/>
      <c r="M139" s="32"/>
      <c r="N139" s="32"/>
      <c r="O139" s="32"/>
    </row>
    <row r="140" spans="2:15">
      <c r="B140" s="486" t="s">
        <v>39</v>
      </c>
      <c r="C140" s="492">
        <v>1.3982776671905828</v>
      </c>
      <c r="D140" s="490">
        <v>1.3864649866746799</v>
      </c>
      <c r="E140" s="490">
        <v>1.3673040530931269</v>
      </c>
      <c r="F140" s="490">
        <v>1.3493453776780693</v>
      </c>
      <c r="G140" s="490">
        <v>1.3347777856873293</v>
      </c>
      <c r="H140" s="490">
        <v>1.3354887108693174</v>
      </c>
      <c r="I140" s="490">
        <v>1.3597799661606067</v>
      </c>
      <c r="J140" s="490">
        <v>1.3515240072037848</v>
      </c>
      <c r="K140" s="591"/>
      <c r="L140" s="592"/>
      <c r="M140" s="32"/>
      <c r="N140" s="32"/>
      <c r="O140" s="32"/>
    </row>
    <row r="141" spans="2:15">
      <c r="B141" s="486" t="s">
        <v>103</v>
      </c>
      <c r="C141" s="492">
        <v>-1.1295718210052885</v>
      </c>
      <c r="D141" s="490">
        <v>-1.1444007312827333</v>
      </c>
      <c r="E141" s="490">
        <v>-1.1763817360750841</v>
      </c>
      <c r="F141" s="490">
        <v>-1.5927557463957547</v>
      </c>
      <c r="G141" s="490">
        <v>-1.8565667598967899</v>
      </c>
      <c r="H141" s="490">
        <v>-1.2720416735170972</v>
      </c>
      <c r="I141" s="490">
        <v>-1.1039739947823479</v>
      </c>
      <c r="J141" s="490">
        <v>-1.018311326547777</v>
      </c>
      <c r="K141" s="591"/>
      <c r="L141" s="592"/>
      <c r="M141" s="32"/>
      <c r="N141" s="32"/>
      <c r="O141" s="32"/>
    </row>
    <row r="142" spans="2:15">
      <c r="B142" s="486" t="s">
        <v>104</v>
      </c>
      <c r="C142" s="492">
        <v>-0.43181154987245485</v>
      </c>
      <c r="D142" s="490">
        <v>-0.39947195996305995</v>
      </c>
      <c r="E142" s="490">
        <v>-0.34734317043598018</v>
      </c>
      <c r="F142" s="490">
        <v>-0.3193206524905472</v>
      </c>
      <c r="G142" s="490">
        <v>-0.31265626882301373</v>
      </c>
      <c r="H142" s="490">
        <v>-0.30799379948941219</v>
      </c>
      <c r="I142" s="490">
        <v>-0.32570922921081308</v>
      </c>
      <c r="J142" s="490">
        <v>-0.31552026220892354</v>
      </c>
      <c r="K142" s="591"/>
      <c r="L142" s="592"/>
      <c r="M142" s="32"/>
      <c r="N142" s="32"/>
      <c r="O142" s="32"/>
    </row>
    <row r="143" spans="2:15">
      <c r="B143" s="486" t="s">
        <v>101</v>
      </c>
      <c r="C143" s="492">
        <v>15.168246288518162</v>
      </c>
      <c r="D143" s="490">
        <v>16.275110005972994</v>
      </c>
      <c r="E143" s="490">
        <v>15.614702904478012</v>
      </c>
      <c r="F143" s="490">
        <v>14.911674359737152</v>
      </c>
      <c r="G143" s="490">
        <v>13.033415757853545</v>
      </c>
      <c r="H143" s="490">
        <v>12.556067765830047</v>
      </c>
      <c r="I143" s="490">
        <v>11.285100906339711</v>
      </c>
      <c r="J143" s="490">
        <v>9.8268179419485548</v>
      </c>
      <c r="K143" s="591"/>
      <c r="L143" s="592"/>
      <c r="M143" s="32"/>
      <c r="N143" s="32"/>
      <c r="O143" s="32"/>
    </row>
    <row r="144" spans="2:15">
      <c r="B144" s="486" t="s">
        <v>102</v>
      </c>
      <c r="C144" s="492">
        <v>0.93219394583370063</v>
      </c>
      <c r="D144" s="490">
        <v>0.89969793099769957</v>
      </c>
      <c r="E144" s="490">
        <v>0.87783267686821997</v>
      </c>
      <c r="F144" s="490">
        <v>0.87232109317784756</v>
      </c>
      <c r="G144" s="490">
        <v>0.89875958568159287</v>
      </c>
      <c r="H144" s="490">
        <v>0.82801710222961222</v>
      </c>
      <c r="I144" s="490">
        <v>0.88417658562860901</v>
      </c>
      <c r="J144" s="490">
        <v>0.89982415652833247</v>
      </c>
      <c r="K144" s="591"/>
      <c r="L144" s="592"/>
      <c r="M144" s="32"/>
      <c r="N144" s="32"/>
      <c r="O144" s="32"/>
    </row>
    <row r="145" spans="1:15">
      <c r="B145" s="486" t="s">
        <v>50</v>
      </c>
      <c r="C145" s="492">
        <v>10.952751093909903</v>
      </c>
      <c r="D145" s="490">
        <v>1.3412683602121493</v>
      </c>
      <c r="E145" s="490">
        <v>22.190179414419269</v>
      </c>
      <c r="F145" s="490">
        <v>7.0488483253947072</v>
      </c>
      <c r="G145" s="490">
        <v>6.9020695692988534</v>
      </c>
      <c r="H145" s="490">
        <v>6.9425238085580094</v>
      </c>
      <c r="I145" s="490">
        <v>7.0785069781779111</v>
      </c>
      <c r="J145" s="490">
        <v>5.2688524500291916</v>
      </c>
      <c r="K145" s="591"/>
      <c r="L145" s="592"/>
      <c r="M145" s="32"/>
      <c r="N145" s="32"/>
      <c r="O145" s="32"/>
    </row>
    <row r="146" spans="1:15">
      <c r="B146" s="487" t="s">
        <v>51</v>
      </c>
      <c r="C146" s="493">
        <v>4.7850556060781999</v>
      </c>
      <c r="D146" s="494">
        <v>4.9736597194598335</v>
      </c>
      <c r="E146" s="494">
        <v>5.6988662496343032</v>
      </c>
      <c r="F146" s="494">
        <v>3.7921077312788807</v>
      </c>
      <c r="G146" s="494">
        <v>2.8512563802087829</v>
      </c>
      <c r="H146" s="494">
        <v>2.8799765245720623</v>
      </c>
      <c r="I146" s="494">
        <v>2.9074703511454074</v>
      </c>
      <c r="J146" s="494">
        <v>2.8191074376225309</v>
      </c>
      <c r="K146" s="593"/>
      <c r="L146" s="594"/>
      <c r="M146" s="32"/>
      <c r="N146" s="32"/>
      <c r="O146" s="32"/>
    </row>
    <row r="147" spans="1:15">
      <c r="B147" s="32"/>
      <c r="C147" s="32"/>
      <c r="D147" s="32"/>
      <c r="E147" s="32"/>
      <c r="F147" s="32"/>
      <c r="G147" s="32"/>
      <c r="H147" s="32"/>
      <c r="I147" s="32"/>
      <c r="J147" s="32"/>
      <c r="K147" s="32"/>
      <c r="L147" s="32"/>
      <c r="M147" s="32"/>
      <c r="N147" s="32"/>
      <c r="O147" s="32"/>
    </row>
    <row r="148" spans="1:15">
      <c r="B148" s="424"/>
      <c r="C148" s="386"/>
      <c r="D148" s="386"/>
      <c r="E148" s="386"/>
      <c r="F148" s="386"/>
      <c r="G148" s="386"/>
      <c r="H148" s="386"/>
      <c r="I148" s="386"/>
      <c r="J148" s="386"/>
      <c r="K148" s="32"/>
      <c r="L148" s="32"/>
      <c r="M148" s="32"/>
    </row>
    <row r="149" spans="1:15">
      <c r="B149" s="449" t="str">
        <f>LEFT('RFPR cover'!C6,2)</f>
        <v>ED</v>
      </c>
      <c r="C149" s="447"/>
      <c r="D149" s="447"/>
      <c r="E149" s="447"/>
      <c r="F149" s="447"/>
      <c r="G149" s="447"/>
      <c r="H149" s="447"/>
      <c r="I149" s="447"/>
      <c r="J149" s="447"/>
      <c r="K149" s="447"/>
      <c r="L149" s="448"/>
    </row>
    <row r="150" spans="1:15" ht="14.25" customHeight="1">
      <c r="A150" s="215"/>
      <c r="B150" s="483" t="s">
        <v>381</v>
      </c>
      <c r="C150" s="484"/>
      <c r="D150" s="484"/>
      <c r="E150" s="484"/>
      <c r="F150" s="482"/>
      <c r="G150" s="482"/>
      <c r="H150" s="482"/>
      <c r="I150" s="482"/>
      <c r="J150" s="482"/>
      <c r="K150" s="482"/>
      <c r="L150" s="482"/>
      <c r="M150" s="482"/>
      <c r="N150" s="482"/>
    </row>
    <row r="151" spans="1:15" s="32" customFormat="1" ht="14.25" customHeight="1">
      <c r="A151" s="831"/>
      <c r="B151" s="832"/>
      <c r="C151" s="833"/>
      <c r="D151" s="833"/>
      <c r="E151" s="833"/>
      <c r="F151" s="834"/>
      <c r="G151" s="834"/>
      <c r="H151" s="834"/>
      <c r="I151" s="834"/>
      <c r="J151" s="834"/>
      <c r="K151" s="834"/>
      <c r="L151" s="834"/>
      <c r="M151" s="834"/>
      <c r="N151" s="834"/>
    </row>
    <row r="152" spans="1:15">
      <c r="A152" s="213"/>
      <c r="B152" s="835" t="s">
        <v>387</v>
      </c>
      <c r="C152" s="216"/>
      <c r="D152" s="216"/>
      <c r="E152" s="836" t="b">
        <f>OR((LEFT('RFPR cover'!$C$6,2)=Data!F152),'RFPR cover'!$C$5=Data!F152)</f>
        <v>1</v>
      </c>
      <c r="F152" s="385" t="str">
        <f>B162</f>
        <v>ED</v>
      </c>
      <c r="G152" s="837"/>
    </row>
    <row r="153" spans="1:15">
      <c r="A153" s="213"/>
      <c r="B153" s="852" t="str">
        <f t="shared" ref="B153:B160" si="23">CHOOSE(MATCH(TRUE,$E$152:$E$159,0),B163,B173,B183,E183,B193,E193,B203,E203)&amp;""</f>
        <v>Broad measure of customer service</v>
      </c>
      <c r="C153" s="216"/>
      <c r="D153" s="216"/>
      <c r="E153" s="838" t="b">
        <f>OR((LEFT('RFPR cover'!$C$6,2)=Data!F153),'RFPR cover'!$C$5=Data!F153)</f>
        <v>0</v>
      </c>
      <c r="F153" s="386" t="str">
        <f>B172</f>
        <v>GD</v>
      </c>
      <c r="G153" s="212"/>
    </row>
    <row r="154" spans="1:15" ht="25.5">
      <c r="A154" s="213"/>
      <c r="B154" s="853" t="str">
        <f t="shared" si="23"/>
        <v>Interruptions-related quality of service</v>
      </c>
      <c r="C154" s="216"/>
      <c r="D154" s="216"/>
      <c r="E154" s="838" t="b">
        <f>OR((LEFT('RFPR cover'!$C$6,2)=Data!F154),'RFPR cover'!$C$5=Data!F154)</f>
        <v>0</v>
      </c>
      <c r="F154" s="851" t="str">
        <f>B182</f>
        <v>NGGT (TO)</v>
      </c>
      <c r="G154" s="212"/>
    </row>
    <row r="155" spans="1:15">
      <c r="A155" s="213"/>
      <c r="B155" s="853" t="str">
        <f t="shared" si="23"/>
        <v>Incentive on connections engagement</v>
      </c>
      <c r="C155" s="216"/>
      <c r="D155" s="216"/>
      <c r="E155" s="838" t="b">
        <f>OR((LEFT('RFPR cover'!$C$6,2)=Data!F155),'RFPR cover'!$C$5=Data!F155)</f>
        <v>0</v>
      </c>
      <c r="F155" s="839" t="str">
        <f>E182</f>
        <v>NGGT (SO)</v>
      </c>
      <c r="G155" s="212"/>
    </row>
    <row r="156" spans="1:15">
      <c r="A156" s="213"/>
      <c r="B156" s="853" t="str">
        <f t="shared" si="23"/>
        <v>Time to Connect Incentive</v>
      </c>
      <c r="C156" s="216"/>
      <c r="D156" s="216"/>
      <c r="E156" s="838" t="b">
        <f>OR((LEFT('RFPR cover'!$C$6,2)=Data!F156),'RFPR cover'!$C$5=Data!F156)</f>
        <v>0</v>
      </c>
      <c r="F156" s="839" t="str">
        <f>B192</f>
        <v>NGET (TO)</v>
      </c>
      <c r="G156" s="212"/>
    </row>
    <row r="157" spans="1:15">
      <c r="A157" s="213"/>
      <c r="B157" s="854" t="str">
        <f t="shared" si="23"/>
        <v>Losses discretionary reward scheme</v>
      </c>
      <c r="C157" s="216"/>
      <c r="D157" s="216"/>
      <c r="E157" s="838" t="b">
        <f>OR((LEFT('RFPR cover'!$C$6,2)=Data!F157),'RFPR cover'!$C$5=Data!F157)</f>
        <v>0</v>
      </c>
      <c r="F157" s="839" t="str">
        <f>E192</f>
        <v>NGET (SO)</v>
      </c>
      <c r="G157" s="212"/>
    </row>
    <row r="158" spans="1:15">
      <c r="A158" s="213"/>
      <c r="B158" s="854" t="str">
        <f t="shared" si="23"/>
        <v/>
      </c>
      <c r="C158" s="216"/>
      <c r="D158" s="216"/>
      <c r="E158" s="838" t="b">
        <f>OR((LEFT('RFPR cover'!$C$6,2)=Data!F158),'RFPR cover'!$C$5=Data!F158)</f>
        <v>0</v>
      </c>
      <c r="F158" s="839" t="str">
        <f>B202</f>
        <v>SPT</v>
      </c>
      <c r="G158" s="212"/>
    </row>
    <row r="159" spans="1:15">
      <c r="A159" s="213"/>
      <c r="B159" s="854" t="str">
        <f t="shared" si="23"/>
        <v/>
      </c>
      <c r="C159" s="216"/>
      <c r="D159" s="216"/>
      <c r="E159" s="840" t="b">
        <f>OR((LEFT('RFPR cover'!$C$6,2)=Data!F159),'RFPR cover'!$C$5=Data!F159)</f>
        <v>0</v>
      </c>
      <c r="F159" s="841" t="str">
        <f>E202</f>
        <v>SHET</v>
      </c>
      <c r="G159" s="312"/>
    </row>
    <row r="160" spans="1:15">
      <c r="A160" s="213"/>
      <c r="B160" s="216" t="str">
        <f t="shared" si="23"/>
        <v/>
      </c>
      <c r="C160" s="216"/>
      <c r="D160" s="216"/>
      <c r="E160" s="60"/>
      <c r="F160" s="839"/>
      <c r="G160" s="43"/>
    </row>
    <row r="161" spans="1:7">
      <c r="A161" s="213"/>
      <c r="B161" s="216"/>
      <c r="C161" s="216"/>
      <c r="D161" s="216"/>
      <c r="E161" s="60"/>
      <c r="F161" s="839"/>
      <c r="G161" s="43"/>
    </row>
    <row r="162" spans="1:7" ht="12" customHeight="1">
      <c r="A162" s="213"/>
      <c r="B162" s="958" t="s">
        <v>162</v>
      </c>
      <c r="C162" s="959"/>
      <c r="D162" s="216"/>
      <c r="E162" s="216"/>
    </row>
    <row r="163" spans="1:7">
      <c r="A163" s="213"/>
      <c r="B163" s="982" t="s">
        <v>382</v>
      </c>
      <c r="C163" s="983"/>
      <c r="D163" s="216"/>
      <c r="E163" s="216"/>
    </row>
    <row r="164" spans="1:7">
      <c r="A164" s="213"/>
      <c r="B164" s="982" t="s">
        <v>383</v>
      </c>
      <c r="C164" s="983"/>
      <c r="D164" s="216"/>
      <c r="E164" s="216"/>
    </row>
    <row r="165" spans="1:7">
      <c r="A165" s="213"/>
      <c r="B165" s="946" t="s">
        <v>384</v>
      </c>
      <c r="C165" s="947"/>
      <c r="D165" s="216"/>
      <c r="E165" s="216"/>
    </row>
    <row r="166" spans="1:7">
      <c r="A166" s="213"/>
      <c r="B166" s="946" t="s">
        <v>385</v>
      </c>
      <c r="C166" s="947"/>
      <c r="D166" s="216"/>
      <c r="E166" s="216"/>
    </row>
    <row r="167" spans="1:7">
      <c r="A167" s="213"/>
      <c r="B167" s="946" t="s">
        <v>386</v>
      </c>
      <c r="C167" s="947"/>
      <c r="D167" s="216"/>
      <c r="E167" s="216"/>
    </row>
    <row r="168" spans="1:7">
      <c r="A168" s="213"/>
      <c r="B168" s="946"/>
      <c r="C168" s="947"/>
      <c r="D168" s="216"/>
      <c r="E168" s="216"/>
    </row>
    <row r="169" spans="1:7">
      <c r="A169" s="213"/>
      <c r="B169" s="946"/>
      <c r="C169" s="947"/>
      <c r="D169" s="216"/>
      <c r="E169" s="216"/>
    </row>
    <row r="170" spans="1:7">
      <c r="A170" s="213"/>
      <c r="B170" s="216"/>
      <c r="C170" s="216"/>
      <c r="D170" s="216"/>
      <c r="E170" s="216"/>
    </row>
    <row r="171" spans="1:7">
      <c r="A171" s="213"/>
      <c r="B171" s="216"/>
      <c r="C171" s="216"/>
      <c r="D171" s="216"/>
      <c r="E171" s="216"/>
    </row>
    <row r="172" spans="1:7">
      <c r="A172" s="213"/>
      <c r="B172" s="958" t="s">
        <v>163</v>
      </c>
      <c r="C172" s="959"/>
      <c r="D172" s="216"/>
      <c r="E172" s="216"/>
    </row>
    <row r="173" spans="1:7" ht="12.75" customHeight="1">
      <c r="A173" s="213"/>
      <c r="B173" s="953" t="s">
        <v>213</v>
      </c>
      <c r="C173" s="954"/>
      <c r="D173" s="216"/>
      <c r="E173" s="216"/>
    </row>
    <row r="174" spans="1:7" ht="12.75" customHeight="1">
      <c r="A174" s="213"/>
      <c r="B174" s="951" t="s">
        <v>214</v>
      </c>
      <c r="C174" s="952"/>
      <c r="D174" s="216"/>
      <c r="E174" s="216"/>
    </row>
    <row r="175" spans="1:7" ht="12.75" customHeight="1">
      <c r="A175" s="213"/>
      <c r="B175" s="951" t="s">
        <v>215</v>
      </c>
      <c r="C175" s="952"/>
      <c r="D175" s="216"/>
      <c r="E175" s="216"/>
    </row>
    <row r="176" spans="1:7" ht="12.75" customHeight="1">
      <c r="A176" s="213"/>
      <c r="B176" s="951" t="s">
        <v>216</v>
      </c>
      <c r="C176" s="952"/>
      <c r="D176" s="216"/>
      <c r="E176" s="216"/>
    </row>
    <row r="177" spans="1:9" ht="12.75" customHeight="1">
      <c r="A177" s="213"/>
      <c r="B177" s="948" t="s">
        <v>297</v>
      </c>
      <c r="C177" s="950"/>
      <c r="D177" s="216"/>
      <c r="E177" s="216"/>
    </row>
    <row r="178" spans="1:9" ht="12.75" customHeight="1">
      <c r="A178" s="213"/>
      <c r="B178" s="948"/>
      <c r="C178" s="950"/>
      <c r="D178" s="216"/>
      <c r="E178" s="216"/>
    </row>
    <row r="179" spans="1:9" ht="12.75" customHeight="1">
      <c r="A179" s="213"/>
      <c r="B179" s="948"/>
      <c r="C179" s="950"/>
      <c r="D179" s="216"/>
      <c r="E179" s="216"/>
    </row>
    <row r="180" spans="1:9">
      <c r="A180" s="213"/>
      <c r="B180" s="216"/>
      <c r="C180" s="216"/>
      <c r="D180" s="216"/>
      <c r="E180" s="216"/>
    </row>
    <row r="181" spans="1:9">
      <c r="A181" s="213"/>
      <c r="B181" s="216"/>
      <c r="C181" s="216"/>
      <c r="D181" s="216"/>
      <c r="E181" s="216"/>
    </row>
    <row r="182" spans="1:9">
      <c r="A182" s="213"/>
      <c r="B182" s="955" t="str">
        <f>B95</f>
        <v>NGGT (TO)</v>
      </c>
      <c r="C182" s="956"/>
      <c r="D182" s="216"/>
      <c r="E182" s="955" t="str">
        <f>B96</f>
        <v>NGGT (SO)</v>
      </c>
      <c r="F182" s="980"/>
      <c r="G182" s="980"/>
      <c r="H182" s="980"/>
      <c r="I182" s="959"/>
    </row>
    <row r="183" spans="1:9">
      <c r="A183" s="213"/>
      <c r="B183" s="953" t="s">
        <v>209</v>
      </c>
      <c r="C183" s="954"/>
      <c r="D183" s="216"/>
      <c r="E183" s="951"/>
      <c r="F183" s="981"/>
      <c r="G183" s="981"/>
      <c r="H183" s="981"/>
      <c r="I183" s="952"/>
    </row>
    <row r="184" spans="1:9">
      <c r="A184" s="213"/>
      <c r="B184" s="951" t="s">
        <v>217</v>
      </c>
      <c r="C184" s="952"/>
      <c r="D184" s="216"/>
      <c r="E184" s="951"/>
      <c r="F184" s="981"/>
      <c r="G184" s="981"/>
      <c r="H184" s="981"/>
      <c r="I184" s="952"/>
    </row>
    <row r="185" spans="1:9">
      <c r="A185" s="213"/>
      <c r="B185" s="951"/>
      <c r="C185" s="952"/>
      <c r="D185" s="216"/>
      <c r="E185" s="951"/>
      <c r="F185" s="981"/>
      <c r="G185" s="981"/>
      <c r="H185" s="981"/>
      <c r="I185" s="952"/>
    </row>
    <row r="186" spans="1:9">
      <c r="A186" s="213"/>
      <c r="B186" s="951"/>
      <c r="C186" s="952"/>
      <c r="D186" s="216"/>
      <c r="E186" s="951"/>
      <c r="F186" s="981"/>
      <c r="G186" s="981"/>
      <c r="H186" s="981"/>
      <c r="I186" s="952"/>
    </row>
    <row r="187" spans="1:9">
      <c r="A187" s="213"/>
      <c r="B187" s="948"/>
      <c r="C187" s="950"/>
      <c r="D187" s="216"/>
      <c r="E187" s="948"/>
      <c r="F187" s="949"/>
      <c r="G187" s="949"/>
      <c r="H187" s="949"/>
      <c r="I187" s="950"/>
    </row>
    <row r="188" spans="1:9">
      <c r="A188" s="213"/>
      <c r="B188" s="948"/>
      <c r="C188" s="950"/>
      <c r="D188" s="216"/>
      <c r="E188" s="948"/>
      <c r="F188" s="949"/>
      <c r="G188" s="949"/>
      <c r="H188" s="949"/>
      <c r="I188" s="950"/>
    </row>
    <row r="189" spans="1:9">
      <c r="A189" s="213"/>
      <c r="B189" s="948"/>
      <c r="C189" s="950"/>
      <c r="D189" s="216"/>
      <c r="E189" s="948"/>
      <c r="F189" s="949"/>
      <c r="G189" s="949"/>
      <c r="H189" s="949"/>
      <c r="I189" s="950"/>
    </row>
    <row r="190" spans="1:9">
      <c r="A190" s="213"/>
      <c r="B190" s="216"/>
      <c r="C190" s="216"/>
      <c r="D190" s="216"/>
      <c r="E190" s="216"/>
    </row>
    <row r="191" spans="1:9">
      <c r="A191" s="213"/>
      <c r="B191" s="216"/>
      <c r="C191" s="216"/>
      <c r="D191" s="216"/>
      <c r="E191" s="216"/>
    </row>
    <row r="192" spans="1:9">
      <c r="A192" s="213"/>
      <c r="B192" s="955" t="str">
        <f>B97</f>
        <v>NGET (TO)</v>
      </c>
      <c r="C192" s="956"/>
      <c r="D192" s="216"/>
      <c r="E192" s="955" t="str">
        <f>B98</f>
        <v>NGET (SO)</v>
      </c>
      <c r="F192" s="980"/>
      <c r="G192" s="980"/>
      <c r="H192" s="980"/>
      <c r="I192" s="959"/>
    </row>
    <row r="193" spans="1:9" ht="12.75" customHeight="1">
      <c r="A193" s="213"/>
      <c r="B193" s="953" t="s">
        <v>208</v>
      </c>
      <c r="C193" s="954"/>
      <c r="D193" s="216"/>
      <c r="E193" s="951"/>
      <c r="F193" s="981"/>
      <c r="G193" s="981"/>
      <c r="H193" s="981"/>
      <c r="I193" s="952"/>
    </row>
    <row r="194" spans="1:9" ht="12.75" customHeight="1">
      <c r="A194" s="213"/>
      <c r="B194" s="951" t="s">
        <v>209</v>
      </c>
      <c r="C194" s="952"/>
      <c r="D194" s="216"/>
      <c r="E194" s="951"/>
      <c r="F194" s="981"/>
      <c r="G194" s="981"/>
      <c r="H194" s="981"/>
      <c r="I194" s="952"/>
    </row>
    <row r="195" spans="1:9" ht="12.75" customHeight="1">
      <c r="A195" s="213"/>
      <c r="B195" s="951" t="s">
        <v>210</v>
      </c>
      <c r="C195" s="952"/>
      <c r="D195" s="216"/>
      <c r="E195" s="951"/>
      <c r="F195" s="981"/>
      <c r="G195" s="981"/>
      <c r="H195" s="981"/>
      <c r="I195" s="952"/>
    </row>
    <row r="196" spans="1:9" ht="12.75" customHeight="1">
      <c r="A196" s="213"/>
      <c r="B196" s="951" t="s">
        <v>211</v>
      </c>
      <c r="C196" s="952"/>
      <c r="D196" s="216"/>
      <c r="E196" s="951"/>
      <c r="F196" s="981"/>
      <c r="G196" s="981"/>
      <c r="H196" s="981"/>
      <c r="I196" s="952"/>
    </row>
    <row r="197" spans="1:9" ht="12.75" customHeight="1">
      <c r="A197" s="213"/>
      <c r="B197" s="948"/>
      <c r="C197" s="950"/>
      <c r="D197" s="216"/>
      <c r="E197" s="948"/>
      <c r="F197" s="949"/>
      <c r="G197" s="949"/>
      <c r="H197" s="949"/>
      <c r="I197" s="950"/>
    </row>
    <row r="198" spans="1:9" ht="12.75" customHeight="1">
      <c r="A198" s="213"/>
      <c r="B198" s="948"/>
      <c r="C198" s="950"/>
      <c r="D198" s="216"/>
      <c r="E198" s="948"/>
      <c r="F198" s="949"/>
      <c r="G198" s="949"/>
      <c r="H198" s="949"/>
      <c r="I198" s="950"/>
    </row>
    <row r="199" spans="1:9" ht="12.75" customHeight="1">
      <c r="A199" s="213"/>
      <c r="B199" s="948"/>
      <c r="C199" s="950"/>
      <c r="D199" s="216"/>
      <c r="E199" s="948"/>
      <c r="F199" s="949"/>
      <c r="G199" s="949"/>
      <c r="H199" s="949"/>
      <c r="I199" s="950"/>
    </row>
    <row r="200" spans="1:9" s="32" customFormat="1" ht="12.75" customHeight="1">
      <c r="A200" s="828"/>
      <c r="B200" s="828"/>
      <c r="C200" s="828"/>
      <c r="D200" s="829"/>
      <c r="E200" s="830"/>
      <c r="F200" s="830"/>
      <c r="G200" s="830"/>
      <c r="H200" s="830"/>
      <c r="I200" s="830"/>
    </row>
    <row r="201" spans="1:9" s="32" customFormat="1" ht="12.75" customHeight="1">
      <c r="A201" s="828"/>
      <c r="B201" s="828"/>
      <c r="C201" s="828"/>
      <c r="D201" s="829"/>
      <c r="E201" s="830"/>
      <c r="F201" s="830"/>
      <c r="G201" s="830"/>
      <c r="H201" s="830"/>
      <c r="I201" s="830"/>
    </row>
    <row r="202" spans="1:9">
      <c r="A202" s="213"/>
      <c r="B202" s="955" t="str">
        <f>B145</f>
        <v>SPT</v>
      </c>
      <c r="C202" s="956"/>
      <c r="D202" s="216"/>
      <c r="E202" s="955" t="str">
        <f>B100</f>
        <v>SHET</v>
      </c>
      <c r="F202" s="980"/>
      <c r="G202" s="980"/>
      <c r="H202" s="980"/>
      <c r="I202" s="959"/>
    </row>
    <row r="203" spans="1:9" ht="12.75" customHeight="1">
      <c r="A203" s="213"/>
      <c r="B203" s="953" t="s">
        <v>208</v>
      </c>
      <c r="C203" s="954"/>
      <c r="D203" s="216"/>
      <c r="E203" s="953" t="s">
        <v>208</v>
      </c>
      <c r="F203" s="984"/>
      <c r="G203" s="984"/>
      <c r="H203" s="984"/>
      <c r="I203" s="954"/>
    </row>
    <row r="204" spans="1:9" ht="12.75" customHeight="1">
      <c r="A204" s="213"/>
      <c r="B204" s="951" t="s">
        <v>209</v>
      </c>
      <c r="C204" s="952"/>
      <c r="D204" s="216"/>
      <c r="E204" s="951" t="s">
        <v>209</v>
      </c>
      <c r="F204" s="981"/>
      <c r="G204" s="981"/>
      <c r="H204" s="981"/>
      <c r="I204" s="952"/>
    </row>
    <row r="205" spans="1:9" ht="12.75" customHeight="1">
      <c r="A205" s="213"/>
      <c r="B205" s="951" t="s">
        <v>210</v>
      </c>
      <c r="C205" s="952"/>
      <c r="D205" s="216"/>
      <c r="E205" s="951" t="s">
        <v>210</v>
      </c>
      <c r="F205" s="981"/>
      <c r="G205" s="981"/>
      <c r="H205" s="981"/>
      <c r="I205" s="952"/>
    </row>
    <row r="206" spans="1:9" ht="12.75" customHeight="1">
      <c r="A206" s="213"/>
      <c r="B206" s="951" t="s">
        <v>211</v>
      </c>
      <c r="C206" s="952"/>
      <c r="D206" s="216"/>
      <c r="E206" s="951" t="s">
        <v>211</v>
      </c>
      <c r="F206" s="981"/>
      <c r="G206" s="981"/>
      <c r="H206" s="981"/>
      <c r="I206" s="952"/>
    </row>
    <row r="207" spans="1:9" ht="12.75" customHeight="1">
      <c r="A207" s="213"/>
      <c r="B207" s="948" t="s">
        <v>212</v>
      </c>
      <c r="C207" s="950"/>
      <c r="D207" s="216"/>
      <c r="E207" s="948" t="s">
        <v>212</v>
      </c>
      <c r="F207" s="949"/>
      <c r="G207" s="949"/>
      <c r="H207" s="949"/>
      <c r="I207" s="950"/>
    </row>
    <row r="208" spans="1:9" ht="12.75" customHeight="1">
      <c r="A208" s="213"/>
      <c r="B208" s="948"/>
      <c r="C208" s="950"/>
      <c r="D208" s="216"/>
      <c r="E208" s="948"/>
      <c r="F208" s="949"/>
      <c r="G208" s="949"/>
      <c r="H208" s="949"/>
      <c r="I208" s="950"/>
    </row>
    <row r="209" spans="1:14" ht="12.75" customHeight="1">
      <c r="A209" s="213"/>
      <c r="B209" s="948"/>
      <c r="C209" s="950"/>
      <c r="D209" s="216"/>
      <c r="E209" s="948"/>
      <c r="F209" s="949"/>
      <c r="G209" s="949"/>
      <c r="H209" s="949"/>
      <c r="I209" s="950"/>
    </row>
    <row r="210" spans="1:14">
      <c r="A210" s="213"/>
      <c r="D210" s="216"/>
      <c r="E210" s="216"/>
    </row>
    <row r="211" spans="1:14">
      <c r="A211" s="213"/>
      <c r="D211" s="216"/>
      <c r="E211" s="216"/>
    </row>
    <row r="212" spans="1:14" ht="12.75" customHeight="1">
      <c r="A212" s="213"/>
      <c r="B212" s="957" t="s">
        <v>230</v>
      </c>
      <c r="C212" s="957"/>
      <c r="D212" s="957"/>
      <c r="E212" s="300"/>
      <c r="F212" s="227"/>
      <c r="G212" s="227"/>
      <c r="H212" s="227"/>
      <c r="I212" s="227"/>
      <c r="J212" s="227"/>
      <c r="K212" s="227"/>
      <c r="L212" s="227"/>
      <c r="M212" s="227"/>
      <c r="N212" s="227"/>
    </row>
    <row r="213" spans="1:14">
      <c r="A213" s="213"/>
      <c r="B213" s="216"/>
      <c r="C213" s="216"/>
      <c r="D213" s="216"/>
      <c r="E213" s="216"/>
    </row>
    <row r="214" spans="1:14" ht="25.5">
      <c r="A214" s="213"/>
      <c r="B214" s="218" t="s">
        <v>119</v>
      </c>
      <c r="C214" s="217" t="s">
        <v>198</v>
      </c>
      <c r="D214" s="216"/>
      <c r="E214" s="216"/>
    </row>
    <row r="215" spans="1:14" ht="25.5">
      <c r="A215" s="213"/>
      <c r="B215" s="219" t="s">
        <v>120</v>
      </c>
      <c r="C215" s="305" t="s">
        <v>199</v>
      </c>
      <c r="D215" s="216"/>
      <c r="E215" s="216"/>
    </row>
    <row r="216" spans="1:14">
      <c r="B216" s="324"/>
      <c r="C216" s="43"/>
      <c r="D216" s="43"/>
      <c r="E216" s="43"/>
      <c r="F216" s="43"/>
      <c r="G216" s="43"/>
      <c r="H216" s="43"/>
      <c r="I216" s="43"/>
      <c r="J216" s="43"/>
    </row>
    <row r="217" spans="1:14">
      <c r="B217" s="214"/>
      <c r="I217" s="68"/>
    </row>
    <row r="218" spans="1:14">
      <c r="B218" s="844" t="s">
        <v>389</v>
      </c>
      <c r="I218" s="68"/>
    </row>
    <row r="219" spans="1:14">
      <c r="B219" s="846" t="s">
        <v>279</v>
      </c>
    </row>
    <row r="220" spans="1:14">
      <c r="B220" s="847" t="s">
        <v>278</v>
      </c>
    </row>
    <row r="221" spans="1:14">
      <c r="B221" s="850" t="s">
        <v>276</v>
      </c>
    </row>
    <row r="222" spans="1:14">
      <c r="B222" s="848"/>
    </row>
    <row r="223" spans="1:14">
      <c r="B223" s="223"/>
    </row>
    <row r="224" spans="1:14">
      <c r="B224" s="845" t="s">
        <v>274</v>
      </c>
    </row>
    <row r="225" spans="2:2">
      <c r="B225" s="849" t="s">
        <v>390</v>
      </c>
    </row>
    <row r="226" spans="2:2">
      <c r="B226" s="847" t="s">
        <v>391</v>
      </c>
    </row>
    <row r="227" spans="2:2">
      <c r="B227" s="847" t="s">
        <v>285</v>
      </c>
    </row>
    <row r="228" spans="2:2">
      <c r="B228" s="847" t="s">
        <v>392</v>
      </c>
    </row>
    <row r="229" spans="2:2">
      <c r="B229" s="847" t="s">
        <v>393</v>
      </c>
    </row>
    <row r="230" spans="2:2">
      <c r="B230" s="847" t="s">
        <v>277</v>
      </c>
    </row>
    <row r="231" spans="2:2">
      <c r="B231" s="847" t="s">
        <v>394</v>
      </c>
    </row>
    <row r="232" spans="2:2">
      <c r="B232" s="847"/>
    </row>
    <row r="233" spans="2:2">
      <c r="B233" s="848"/>
    </row>
    <row r="234" spans="2:2">
      <c r="B234" s="223"/>
    </row>
    <row r="235" spans="2:2">
      <c r="B235" s="845" t="s">
        <v>284</v>
      </c>
    </row>
    <row r="236" spans="2:2">
      <c r="B236" s="849" t="s">
        <v>395</v>
      </c>
    </row>
    <row r="237" spans="2:2">
      <c r="B237" s="847" t="s">
        <v>396</v>
      </c>
    </row>
    <row r="238" spans="2:2">
      <c r="B238" s="847" t="s">
        <v>397</v>
      </c>
    </row>
    <row r="239" spans="2:2">
      <c r="B239" s="847" t="s">
        <v>398</v>
      </c>
    </row>
    <row r="240" spans="2:2">
      <c r="B240" s="847" t="s">
        <v>399</v>
      </c>
    </row>
    <row r="241" spans="2:2">
      <c r="B241" s="848"/>
    </row>
    <row r="242" spans="2:2">
      <c r="B242" s="223"/>
    </row>
    <row r="243" spans="2:2">
      <c r="B243" s="845" t="s">
        <v>400</v>
      </c>
    </row>
    <row r="244" spans="2:2">
      <c r="B244" s="849" t="s">
        <v>401</v>
      </c>
    </row>
    <row r="245" spans="2:2">
      <c r="B245" s="847" t="s">
        <v>402</v>
      </c>
    </row>
    <row r="246" spans="2:2">
      <c r="B246" s="848"/>
    </row>
    <row r="247" spans="2:2">
      <c r="B247" s="223"/>
    </row>
    <row r="248" spans="2:2">
      <c r="B248" s="845" t="s">
        <v>403</v>
      </c>
    </row>
    <row r="249" spans="2:2">
      <c r="B249" s="849" t="s">
        <v>444</v>
      </c>
    </row>
    <row r="250" spans="2:2">
      <c r="B250" s="847" t="s">
        <v>443</v>
      </c>
    </row>
    <row r="251" spans="2:2">
      <c r="B251" s="848" t="s">
        <v>260</v>
      </c>
    </row>
    <row r="252" spans="2:2">
      <c r="B252" s="223"/>
    </row>
    <row r="253" spans="2:2">
      <c r="B253" s="845" t="s">
        <v>275</v>
      </c>
    </row>
    <row r="254" spans="2:2">
      <c r="B254" s="849" t="s">
        <v>404</v>
      </c>
    </row>
    <row r="255" spans="2:2">
      <c r="B255" s="847" t="s">
        <v>448</v>
      </c>
    </row>
    <row r="256" spans="2:2">
      <c r="B256" s="847"/>
    </row>
    <row r="257" spans="2:2">
      <c r="B257" s="848"/>
    </row>
    <row r="258" spans="2:2">
      <c r="B258" s="223"/>
    </row>
    <row r="259" spans="2:2">
      <c r="B259" s="845" t="s">
        <v>280</v>
      </c>
    </row>
    <row r="260" spans="2:2">
      <c r="B260" s="849" t="s">
        <v>281</v>
      </c>
    </row>
    <row r="261" spans="2:2">
      <c r="B261" s="847" t="s">
        <v>286</v>
      </c>
    </row>
    <row r="262" spans="2:2">
      <c r="B262" s="847"/>
    </row>
    <row r="263" spans="2:2">
      <c r="B263" s="848"/>
    </row>
    <row r="264" spans="2:2">
      <c r="B264" s="223"/>
    </row>
    <row r="265" spans="2:2">
      <c r="B265" s="845" t="s">
        <v>405</v>
      </c>
    </row>
    <row r="266" spans="2:2">
      <c r="B266" s="849" t="s">
        <v>279</v>
      </c>
    </row>
    <row r="267" spans="2:2">
      <c r="B267" s="847" t="s">
        <v>278</v>
      </c>
    </row>
    <row r="268" spans="2:2">
      <c r="B268" s="848"/>
    </row>
  </sheetData>
  <sheetProtection password="FE19" sheet="1" objects="1" scenarios="1"/>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57" priority="20">
      <formula>AND(#REF!="Actuals",#REF!="Forecast")</formula>
    </cfRule>
  </conditionalFormatting>
  <conditionalFormatting sqref="C47">
    <cfRule type="expression" dxfId="56" priority="18">
      <formula>AND(#REF!="Actuals",#REF!="Forecast")</formula>
    </cfRule>
  </conditionalFormatting>
  <conditionalFormatting sqref="C50:J50">
    <cfRule type="expression" dxfId="55" priority="17">
      <formula>AND(#REF!="Actuals",#REF!="Forecast")</formula>
    </cfRule>
  </conditionalFormatting>
  <conditionalFormatting sqref="B14:D30">
    <cfRule type="cellIs" dxfId="54" priority="14" operator="equal">
      <formula>"Forecast"</formula>
    </cfRule>
  </conditionalFormatting>
  <conditionalFormatting sqref="B23:C30 E24:F27">
    <cfRule type="expression" dxfId="53" priority="111">
      <formula>$D13="Forecast"</formula>
    </cfRule>
  </conditionalFormatting>
  <conditionalFormatting sqref="K71">
    <cfRule type="expression" dxfId="52" priority="5">
      <formula>AND(#REF!="Actuals",#REF!="Forecast")</formula>
    </cfRule>
  </conditionalFormatting>
  <conditionalFormatting sqref="K72:T72">
    <cfRule type="expression" dxfId="51" priority="4">
      <formula>AND(#REF!="Actuals",#REF!="Forecast")</formula>
    </cfRule>
  </conditionalFormatting>
  <conditionalFormatting sqref="C62:L62">
    <cfRule type="expression" dxfId="50" priority="3">
      <formula>AND(#REF!="Actuals",#REF!="Forecast")</formula>
    </cfRule>
  </conditionalFormatting>
  <conditionalFormatting sqref="C118:L118">
    <cfRule type="expression" dxfId="49" priority="1">
      <formula>AND(#REF!="Actuals",#REF!="Forecast")</formula>
    </cfRule>
  </conditionalFormatting>
  <hyperlinks>
    <hyperlink ref="K39" r:id="rId1" display="https://assets.publishing.service.gov.uk/government/uploads/system/uploads/attachment_data/file/801759/PU797_Forecast_for_the_UK_Economy_May_2019_covers.pdf"/>
    <hyperlink ref="K39:M39" r:id="rId2" display="May_2019.pdf"/>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activeCell="D26" sqref="D26"/>
    </sheetView>
  </sheetViews>
  <sheetFormatPr defaultRowHeight="12.75"/>
  <cols>
    <col min="1" max="1" width="8.375" customWidth="1"/>
    <col min="2" max="2" width="23.75" customWidth="1"/>
    <col min="3" max="3" width="25.75" customWidth="1"/>
    <col min="4" max="4" width="9.75" customWidth="1"/>
  </cols>
  <sheetData>
    <row r="1" spans="1:14" s="32" customFormat="1" ht="20.25">
      <c r="A1" s="30" t="s">
        <v>73</v>
      </c>
      <c r="B1" s="30"/>
      <c r="C1" s="30"/>
      <c r="D1" s="30"/>
      <c r="E1" s="30"/>
      <c r="F1" s="30"/>
      <c r="G1" s="30"/>
      <c r="H1" s="30"/>
      <c r="I1" s="33" t="s">
        <v>74</v>
      </c>
      <c r="J1" s="34"/>
      <c r="K1" s="34"/>
      <c r="L1" s="34"/>
      <c r="M1" s="34"/>
    </row>
    <row r="2" spans="1:14" s="32" customFormat="1" ht="20.25">
      <c r="A2" s="30" t="str">
        <f>'RFPR cover'!C5</f>
        <v>ENWL</v>
      </c>
      <c r="B2" s="30"/>
      <c r="C2" s="30"/>
      <c r="D2" s="30"/>
      <c r="E2" s="30"/>
      <c r="F2" s="30"/>
      <c r="G2" s="30"/>
      <c r="H2" s="30"/>
      <c r="I2" s="34"/>
      <c r="J2" s="34"/>
      <c r="K2" s="34"/>
      <c r="L2" s="34"/>
      <c r="M2" s="34"/>
      <c r="N2" s="386"/>
    </row>
    <row r="3" spans="1:14" s="32" customFormat="1" ht="20.25">
      <c r="A3" s="30">
        <f>'RFPR cover'!C7</f>
        <v>2019</v>
      </c>
      <c r="B3" s="30"/>
      <c r="C3" s="30"/>
      <c r="D3" s="30"/>
      <c r="E3" s="30"/>
      <c r="F3" s="30"/>
      <c r="G3" s="30"/>
      <c r="H3" s="30"/>
      <c r="I3" s="34"/>
      <c r="J3" s="34"/>
      <c r="K3" s="34"/>
      <c r="L3" s="34"/>
      <c r="M3" s="34"/>
      <c r="N3" s="386"/>
    </row>
    <row r="4" spans="1:14">
      <c r="A4" s="24"/>
      <c r="B4" s="24"/>
      <c r="C4" s="24"/>
      <c r="D4" s="24"/>
      <c r="E4" s="24"/>
      <c r="F4" s="24"/>
      <c r="G4" s="24"/>
      <c r="H4" s="24"/>
      <c r="I4" s="575"/>
      <c r="J4" s="575"/>
      <c r="K4" s="575"/>
      <c r="L4" s="575"/>
      <c r="M4" s="575"/>
      <c r="N4" s="43"/>
    </row>
    <row r="5" spans="1:14">
      <c r="A5" s="24"/>
      <c r="B5" s="24"/>
      <c r="C5" s="24"/>
      <c r="D5" s="24"/>
      <c r="E5" s="24"/>
      <c r="F5" s="24"/>
      <c r="G5" s="24"/>
      <c r="H5" s="24"/>
      <c r="I5" s="575"/>
      <c r="J5" s="575"/>
      <c r="K5" s="575"/>
      <c r="L5" s="575"/>
      <c r="M5" s="575"/>
      <c r="N5" s="43"/>
    </row>
    <row r="6" spans="1:14">
      <c r="A6" s="24"/>
      <c r="B6" s="25" t="s">
        <v>75</v>
      </c>
      <c r="C6" s="24"/>
      <c r="D6" s="24"/>
      <c r="E6" s="24"/>
      <c r="F6" s="24"/>
      <c r="G6" s="24"/>
      <c r="H6" s="24"/>
      <c r="I6" s="575"/>
      <c r="J6" s="575"/>
      <c r="K6" s="575"/>
      <c r="L6" s="575"/>
      <c r="M6" s="575"/>
      <c r="N6" s="43"/>
    </row>
    <row r="7" spans="1:14">
      <c r="A7" s="24"/>
      <c r="B7" s="24"/>
      <c r="C7" s="24"/>
      <c r="D7" s="24"/>
      <c r="E7" s="24"/>
      <c r="F7" s="24"/>
      <c r="G7" s="24"/>
      <c r="H7" s="24"/>
      <c r="I7" s="575"/>
      <c r="J7" s="575"/>
      <c r="K7" s="575"/>
      <c r="L7" s="575"/>
      <c r="M7" s="575"/>
      <c r="N7" s="43"/>
    </row>
    <row r="8" spans="1:14">
      <c r="A8" s="24"/>
      <c r="B8" s="48" t="s">
        <v>76</v>
      </c>
      <c r="C8" s="48" t="s">
        <v>77</v>
      </c>
      <c r="D8" s="987" t="s">
        <v>78</v>
      </c>
      <c r="E8" s="988"/>
      <c r="F8" s="988"/>
      <c r="G8" s="988"/>
      <c r="H8" s="988"/>
      <c r="I8" s="575"/>
      <c r="J8" s="575"/>
      <c r="K8" s="575"/>
      <c r="L8" s="575"/>
      <c r="M8" s="575"/>
      <c r="N8" s="43"/>
    </row>
    <row r="9" spans="1:14">
      <c r="A9" s="24"/>
      <c r="B9" s="26" t="s">
        <v>79</v>
      </c>
      <c r="C9" s="47">
        <v>43677</v>
      </c>
      <c r="D9" s="985"/>
      <c r="E9" s="986"/>
      <c r="F9" s="986"/>
      <c r="G9" s="986"/>
      <c r="H9" s="986"/>
      <c r="I9" s="24"/>
      <c r="J9" s="24"/>
      <c r="K9" s="24"/>
      <c r="L9" s="24"/>
      <c r="M9" s="24"/>
    </row>
    <row r="10" spans="1:14">
      <c r="A10" s="24"/>
      <c r="B10" s="26" t="s">
        <v>80</v>
      </c>
      <c r="C10" s="47"/>
      <c r="D10" s="985"/>
      <c r="E10" s="986"/>
      <c r="F10" s="986"/>
      <c r="G10" s="986"/>
      <c r="H10" s="986"/>
      <c r="I10" s="24"/>
      <c r="J10" s="24"/>
      <c r="K10" s="24"/>
      <c r="L10" s="24"/>
      <c r="M10" s="24"/>
    </row>
    <row r="11" spans="1:14">
      <c r="A11" s="24"/>
      <c r="B11" s="26" t="s">
        <v>81</v>
      </c>
      <c r="C11" s="47"/>
      <c r="D11" s="985"/>
      <c r="E11" s="986"/>
      <c r="F11" s="986"/>
      <c r="G11" s="986"/>
      <c r="H11" s="986"/>
      <c r="I11" s="24"/>
      <c r="J11" s="24"/>
      <c r="K11" s="24"/>
      <c r="L11" s="24"/>
      <c r="M11" s="24"/>
    </row>
    <row r="12" spans="1:14">
      <c r="A12" s="24"/>
      <c r="B12" s="26" t="s">
        <v>82</v>
      </c>
      <c r="C12" s="47"/>
      <c r="D12" s="985"/>
      <c r="E12" s="986"/>
      <c r="F12" s="986"/>
      <c r="G12" s="986"/>
      <c r="H12" s="986"/>
      <c r="I12" s="24"/>
      <c r="J12" s="24"/>
      <c r="K12" s="24"/>
      <c r="L12" s="24"/>
      <c r="M12" s="24"/>
    </row>
    <row r="13" spans="1:14">
      <c r="A13" s="24"/>
      <c r="B13" s="26" t="s">
        <v>83</v>
      </c>
      <c r="C13" s="47"/>
      <c r="D13" s="985"/>
      <c r="E13" s="986"/>
      <c r="F13" s="986"/>
      <c r="G13" s="986"/>
      <c r="H13" s="986"/>
      <c r="I13" s="24"/>
      <c r="J13" s="24"/>
      <c r="K13" s="24"/>
      <c r="L13" s="24"/>
      <c r="M13" s="24"/>
    </row>
    <row r="14" spans="1:14">
      <c r="A14" s="24"/>
      <c r="B14" s="26" t="s">
        <v>84</v>
      </c>
      <c r="C14" s="47"/>
      <c r="D14" s="985"/>
      <c r="E14" s="986"/>
      <c r="F14" s="986"/>
      <c r="G14" s="986"/>
      <c r="H14" s="986"/>
      <c r="I14" s="24"/>
      <c r="J14" s="24"/>
      <c r="K14" s="24"/>
      <c r="L14" s="24"/>
      <c r="M14" s="24"/>
    </row>
    <row r="15" spans="1:14">
      <c r="A15" s="24"/>
      <c r="B15" s="26" t="s">
        <v>85</v>
      </c>
      <c r="C15" s="47"/>
      <c r="D15" s="985"/>
      <c r="E15" s="986"/>
      <c r="F15" s="986"/>
      <c r="G15" s="986"/>
      <c r="H15" s="986"/>
      <c r="I15" s="24"/>
      <c r="J15" s="24"/>
      <c r="K15" s="24"/>
      <c r="L15" s="24"/>
      <c r="M15" s="24"/>
    </row>
    <row r="16" spans="1:14">
      <c r="A16" s="24"/>
      <c r="B16" s="26" t="s">
        <v>86</v>
      </c>
      <c r="C16" s="47"/>
      <c r="D16" s="985"/>
      <c r="E16" s="986"/>
      <c r="F16" s="986"/>
      <c r="G16" s="986"/>
      <c r="H16" s="986"/>
      <c r="I16" s="24"/>
      <c r="J16" s="24"/>
      <c r="K16" s="24"/>
      <c r="L16" s="24"/>
      <c r="M16" s="24"/>
    </row>
    <row r="17" spans="1:13">
      <c r="A17" s="24"/>
      <c r="B17" s="26" t="s">
        <v>87</v>
      </c>
      <c r="C17" s="47"/>
      <c r="D17" s="985"/>
      <c r="E17" s="986"/>
      <c r="F17" s="986"/>
      <c r="G17" s="986"/>
      <c r="H17" s="986"/>
      <c r="I17" s="24"/>
      <c r="J17" s="24"/>
      <c r="K17" s="24"/>
      <c r="L17" s="24"/>
      <c r="M17" s="24"/>
    </row>
    <row r="18" spans="1:13">
      <c r="A18" s="24"/>
      <c r="B18" s="26" t="s">
        <v>88</v>
      </c>
      <c r="C18" s="47"/>
      <c r="D18" s="985"/>
      <c r="E18" s="986"/>
      <c r="F18" s="986"/>
      <c r="G18" s="986"/>
      <c r="H18" s="986"/>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253</v>
      </c>
      <c r="C21" s="24"/>
      <c r="D21" s="24"/>
      <c r="E21" s="24"/>
      <c r="F21" s="24"/>
      <c r="G21" s="24"/>
      <c r="H21" s="24"/>
      <c r="I21" s="24"/>
      <c r="J21" s="24"/>
      <c r="K21" s="24"/>
      <c r="L21" s="24"/>
    </row>
    <row r="22" spans="1:13">
      <c r="A22" s="24"/>
      <c r="B22" s="301" t="s">
        <v>109</v>
      </c>
      <c r="C22" s="24"/>
      <c r="D22" s="24"/>
      <c r="E22" s="24"/>
      <c r="F22" s="24"/>
      <c r="G22" s="24"/>
      <c r="H22" s="24"/>
      <c r="I22" s="24"/>
      <c r="J22" s="24"/>
      <c r="K22" s="24"/>
      <c r="L22" s="24"/>
    </row>
    <row r="23" spans="1:13">
      <c r="A23" s="24"/>
      <c r="B23" s="301" t="s">
        <v>254</v>
      </c>
      <c r="C23" s="24"/>
      <c r="D23" s="24"/>
      <c r="E23" s="24"/>
      <c r="F23" s="24"/>
      <c r="G23" s="24"/>
      <c r="H23" s="24"/>
      <c r="I23" s="24"/>
      <c r="J23" s="24"/>
      <c r="K23" s="24"/>
      <c r="L23" s="24"/>
    </row>
    <row r="24" spans="1:13">
      <c r="B24" s="301" t="s">
        <v>89</v>
      </c>
    </row>
    <row r="25" spans="1:13">
      <c r="B25" s="301" t="s">
        <v>252</v>
      </c>
    </row>
    <row r="26" spans="1:13">
      <c r="B26" s="301" t="s">
        <v>90</v>
      </c>
    </row>
    <row r="27" spans="1:13">
      <c r="B27" s="301" t="s">
        <v>255</v>
      </c>
    </row>
    <row r="28" spans="1:13">
      <c r="B28" s="301" t="s">
        <v>271</v>
      </c>
    </row>
    <row r="29" spans="1:13">
      <c r="B29" s="301" t="s">
        <v>227</v>
      </c>
    </row>
    <row r="30" spans="1:13">
      <c r="B30" s="301" t="s">
        <v>273</v>
      </c>
    </row>
    <row r="31" spans="1:13">
      <c r="B31" s="301" t="s">
        <v>91</v>
      </c>
    </row>
    <row r="32" spans="1:13">
      <c r="B32" s="301" t="s">
        <v>251</v>
      </c>
    </row>
    <row r="33" spans="2:2">
      <c r="B33" s="301" t="s">
        <v>256</v>
      </c>
    </row>
    <row r="34" spans="2:2">
      <c r="B34" s="301" t="s">
        <v>249</v>
      </c>
    </row>
    <row r="35" spans="2:2">
      <c r="B35" s="301" t="s">
        <v>257</v>
      </c>
    </row>
  </sheetData>
  <sheetProtection password="FE19" sheet="1" objects="1" scenarios="1"/>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14" sqref="C14"/>
    </sheetView>
  </sheetViews>
  <sheetFormatPr defaultRowHeight="12.75"/>
  <cols>
    <col min="1" max="1" width="25.5" bestFit="1" customWidth="1"/>
    <col min="2" max="2" width="12.125" bestFit="1" customWidth="1"/>
    <col min="3" max="3" width="104.125" customWidth="1"/>
    <col min="4" max="4" width="35.5" customWidth="1"/>
  </cols>
  <sheetData>
    <row r="1" spans="1:4" s="32" customFormat="1" ht="20.25">
      <c r="A1" s="30" t="s">
        <v>111</v>
      </c>
      <c r="B1" s="30"/>
      <c r="C1" s="30"/>
      <c r="D1" s="30"/>
    </row>
    <row r="2" spans="1:4" s="32" customFormat="1" ht="20.25">
      <c r="A2" s="30" t="str">
        <f>'RFPR cover'!C5</f>
        <v>ENWL</v>
      </c>
      <c r="B2" s="30"/>
      <c r="C2" s="30"/>
      <c r="D2" s="30"/>
    </row>
    <row r="3" spans="1:4" s="32" customFormat="1" ht="20.25">
      <c r="A3" s="30">
        <f>'RFPR cover'!C7</f>
        <v>2019</v>
      </c>
      <c r="B3" s="30"/>
      <c r="C3" s="30"/>
      <c r="D3" s="30"/>
    </row>
    <row r="4" spans="1:4" s="32" customFormat="1" ht="20.25">
      <c r="A4" s="877"/>
      <c r="B4" s="877"/>
      <c r="C4" s="877"/>
      <c r="D4" s="877"/>
    </row>
    <row r="5" spans="1:4" ht="30">
      <c r="A5" s="874" t="s">
        <v>427</v>
      </c>
      <c r="B5" s="875" t="s">
        <v>428</v>
      </c>
      <c r="C5" s="876" t="s">
        <v>429</v>
      </c>
    </row>
    <row r="6" spans="1:4" ht="25.5">
      <c r="A6" s="354" t="s">
        <v>506</v>
      </c>
      <c r="B6" s="885" t="s">
        <v>227</v>
      </c>
      <c r="C6" s="892" t="s">
        <v>509</v>
      </c>
    </row>
    <row r="7" spans="1:4">
      <c r="A7" s="354" t="s">
        <v>506</v>
      </c>
      <c r="B7" s="885" t="s">
        <v>507</v>
      </c>
      <c r="C7" s="892" t="s">
        <v>508</v>
      </c>
    </row>
    <row r="8" spans="1:4">
      <c r="A8" s="354"/>
      <c r="B8" s="883"/>
      <c r="C8" s="891"/>
    </row>
    <row r="9" spans="1:4">
      <c r="A9" s="354"/>
      <c r="B9" s="883"/>
      <c r="C9" s="891"/>
    </row>
    <row r="10" spans="1:4">
      <c r="A10" s="355"/>
      <c r="B10" s="883"/>
      <c r="C10" s="891"/>
    </row>
    <row r="11" spans="1:4">
      <c r="A11" s="355"/>
      <c r="B11" s="883"/>
      <c r="C11" s="891"/>
    </row>
    <row r="12" spans="1:4">
      <c r="A12" s="355"/>
      <c r="B12" s="883"/>
      <c r="C12" s="891"/>
    </row>
    <row r="13" spans="1:4">
      <c r="A13" s="355"/>
      <c r="B13" s="883"/>
      <c r="C13" s="891"/>
    </row>
    <row r="14" spans="1:4">
      <c r="A14" s="355"/>
      <c r="B14" s="883"/>
      <c r="C14" s="891"/>
    </row>
    <row r="15" spans="1:4">
      <c r="A15" s="355"/>
      <c r="B15" s="883"/>
      <c r="C15" s="891"/>
    </row>
    <row r="16" spans="1:4">
      <c r="A16" s="355"/>
      <c r="B16" s="883"/>
      <c r="C16" s="891"/>
    </row>
    <row r="17" spans="1:3">
      <c r="A17" s="355"/>
      <c r="B17" s="883"/>
      <c r="C17" s="302"/>
    </row>
    <row r="18" spans="1:3">
      <c r="A18" s="355"/>
      <c r="B18" s="883"/>
      <c r="C18" s="302"/>
    </row>
    <row r="19" spans="1:3">
      <c r="A19" s="355"/>
      <c r="B19" s="883"/>
      <c r="C19" s="302"/>
    </row>
    <row r="20" spans="1:3">
      <c r="A20" s="355"/>
      <c r="B20" s="883"/>
      <c r="C20" s="302"/>
    </row>
    <row r="21" spans="1:3">
      <c r="A21" s="355"/>
      <c r="B21" s="883"/>
      <c r="C21" s="302"/>
    </row>
    <row r="22" spans="1:3">
      <c r="A22" s="355"/>
      <c r="B22" s="883"/>
      <c r="C22" s="302"/>
    </row>
    <row r="23" spans="1:3">
      <c r="A23" s="355"/>
      <c r="B23" s="883"/>
      <c r="C23" s="302"/>
    </row>
    <row r="24" spans="1:3">
      <c r="A24" s="355"/>
      <c r="B24" s="883"/>
      <c r="C24" s="302"/>
    </row>
    <row r="25" spans="1:3">
      <c r="A25" s="355"/>
      <c r="B25" s="883"/>
      <c r="C25" s="302"/>
    </row>
    <row r="26" spans="1:3">
      <c r="A26" s="355"/>
      <c r="B26" s="883"/>
      <c r="C26" s="302"/>
    </row>
    <row r="27" spans="1:3">
      <c r="A27" s="355"/>
      <c r="B27" s="883"/>
      <c r="C27" s="302"/>
    </row>
    <row r="28" spans="1:3">
      <c r="A28" s="355"/>
      <c r="B28" s="883"/>
      <c r="C28" s="302"/>
    </row>
    <row r="29" spans="1:3">
      <c r="A29" s="355"/>
      <c r="B29" s="883"/>
      <c r="C29" s="302"/>
    </row>
    <row r="30" spans="1:3">
      <c r="A30" s="355"/>
      <c r="B30" s="883"/>
      <c r="C30" s="302"/>
    </row>
    <row r="31" spans="1:3">
      <c r="A31" s="355"/>
      <c r="B31" s="883"/>
      <c r="C31" s="905"/>
    </row>
    <row r="32" spans="1:3">
      <c r="A32" s="355"/>
      <c r="B32" s="883"/>
      <c r="C32" s="302"/>
    </row>
    <row r="33" spans="1:3">
      <c r="A33" s="355"/>
      <c r="B33" s="883"/>
      <c r="C33" s="302"/>
    </row>
    <row r="34" spans="1:3">
      <c r="A34" s="356"/>
      <c r="B34" s="883"/>
      <c r="C34" s="302"/>
    </row>
    <row r="35" spans="1:3">
      <c r="A35" s="356"/>
      <c r="B35" s="908"/>
      <c r="C35" s="302"/>
    </row>
    <row r="36" spans="1:3">
      <c r="A36" s="356"/>
      <c r="B36" s="908"/>
      <c r="C36" s="302"/>
    </row>
    <row r="37" spans="1:3">
      <c r="A37" s="356"/>
      <c r="B37" s="908"/>
      <c r="C37" s="302"/>
    </row>
    <row r="38" spans="1:3">
      <c r="A38" s="356"/>
      <c r="B38" s="908"/>
      <c r="C38" s="302"/>
    </row>
    <row r="39" spans="1:3">
      <c r="A39" s="355"/>
      <c r="B39" s="908"/>
      <c r="C39" s="302"/>
    </row>
    <row r="40" spans="1:3">
      <c r="A40" s="356"/>
      <c r="B40" s="908"/>
      <c r="C40" s="302"/>
    </row>
    <row r="41" spans="1:3">
      <c r="A41" s="356"/>
      <c r="B41" s="908"/>
      <c r="C41" s="302"/>
    </row>
    <row r="42" spans="1:3">
      <c r="A42" s="356"/>
      <c r="B42" s="908"/>
      <c r="C42" s="302"/>
    </row>
    <row r="43" spans="1:3">
      <c r="A43" s="356"/>
      <c r="B43" s="883"/>
      <c r="C43" s="302"/>
    </row>
    <row r="44" spans="1:3">
      <c r="A44" s="356"/>
      <c r="B44" s="883"/>
      <c r="C44" s="302"/>
    </row>
    <row r="45" spans="1:3">
      <c r="A45" s="356"/>
      <c r="B45" s="883"/>
      <c r="C45" s="302"/>
    </row>
    <row r="46" spans="1:3">
      <c r="A46" s="356"/>
      <c r="B46" s="883"/>
      <c r="C46" s="302"/>
    </row>
    <row r="47" spans="1:3">
      <c r="A47" s="356"/>
      <c r="B47" s="883"/>
      <c r="C47" s="302"/>
    </row>
    <row r="48" spans="1:3">
      <c r="A48" s="356"/>
      <c r="B48" s="883"/>
      <c r="C48" s="302"/>
    </row>
    <row r="49" spans="1:3">
      <c r="A49" s="356"/>
      <c r="B49" s="883"/>
      <c r="C49" s="302"/>
    </row>
    <row r="50" spans="1:3">
      <c r="A50" s="356"/>
      <c r="B50" s="883"/>
      <c r="C50" s="302"/>
    </row>
    <row r="51" spans="1:3">
      <c r="A51" s="356"/>
      <c r="B51" s="883"/>
      <c r="C51" s="302"/>
    </row>
    <row r="52" spans="1:3">
      <c r="A52" s="356"/>
      <c r="B52" s="883"/>
      <c r="C52" s="302"/>
    </row>
    <row r="53" spans="1:3">
      <c r="A53" s="356"/>
      <c r="B53" s="916"/>
      <c r="C53" s="917"/>
    </row>
    <row r="54" spans="1:3">
      <c r="A54" s="356"/>
      <c r="B54" s="883"/>
      <c r="C54" s="302"/>
    </row>
    <row r="55" spans="1:3">
      <c r="A55" s="356"/>
      <c r="B55" s="883"/>
      <c r="C55" s="302"/>
    </row>
    <row r="56" spans="1:3">
      <c r="A56" s="356"/>
      <c r="B56" s="883"/>
      <c r="C56" s="302"/>
    </row>
    <row r="57" spans="1:3">
      <c r="A57" s="356"/>
      <c r="B57" s="883"/>
      <c r="C57" s="302"/>
    </row>
    <row r="58" spans="1:3">
      <c r="A58" s="356"/>
      <c r="B58" s="883"/>
      <c r="C58" s="905"/>
    </row>
    <row r="59" spans="1:3">
      <c r="A59" s="357"/>
      <c r="B59" s="884"/>
      <c r="C59" s="303"/>
    </row>
    <row r="60" spans="1:3">
      <c r="A60" s="357"/>
      <c r="B60" s="884"/>
      <c r="C60" s="303"/>
    </row>
    <row r="61" spans="1:3">
      <c r="A61" s="357"/>
      <c r="B61" s="884"/>
      <c r="C61" s="303"/>
    </row>
    <row r="62" spans="1:3">
      <c r="A62" s="357"/>
      <c r="B62" s="884"/>
      <c r="C62" s="303"/>
    </row>
    <row r="63" spans="1:3">
      <c r="A63" s="357"/>
      <c r="B63" s="884"/>
      <c r="C63" s="303"/>
    </row>
    <row r="64" spans="1:3">
      <c r="A64" s="357"/>
      <c r="B64" s="884"/>
      <c r="C64" s="303"/>
    </row>
    <row r="65" spans="1:3">
      <c r="A65" s="357"/>
      <c r="B65" s="884"/>
      <c r="C65" s="303"/>
    </row>
    <row r="66" spans="1:3">
      <c r="A66" s="357"/>
      <c r="B66" s="884"/>
      <c r="C66" s="303"/>
    </row>
  </sheetData>
  <sheetProtection password="FE19" sheet="1" objects="1" scenarios="1"/>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sheetPr codeName="Sheet7">
    <tabColor rgb="FFFFFFCC"/>
    <pageSetUpPr fitToPage="1"/>
  </sheetPr>
  <dimension ref="A1:AV66"/>
  <sheetViews>
    <sheetView showGridLines="0" tabSelected="1" zoomScale="80" zoomScaleNormal="80" workbookViewId="0">
      <pane ySplit="6" topLeftCell="A7" activePane="bottomLeft" state="frozen"/>
      <selection activeCell="B75" sqref="A1:XFD1048576"/>
      <selection pane="bottomLeft" activeCell="W12" sqref="W12"/>
    </sheetView>
  </sheetViews>
  <sheetFormatPr defaultRowHeight="12.75"/>
  <cols>
    <col min="1" max="1" width="8.375" customWidth="1"/>
    <col min="2" max="2" width="63.375" style="206" customWidth="1"/>
    <col min="3" max="3" width="13.375" style="43" customWidth="1"/>
    <col min="4" max="11" width="9.125" customWidth="1"/>
    <col min="12" max="12" width="3.625" customWidth="1"/>
    <col min="13" max="14" width="13.75" customWidth="1"/>
    <col min="15" max="15" width="5.125" customWidth="1"/>
  </cols>
  <sheetData>
    <row r="1" spans="1:15" s="32" customFormat="1" ht="20.25">
      <c r="A1" s="383" t="s">
        <v>229</v>
      </c>
      <c r="B1" s="387"/>
      <c r="C1" s="269"/>
      <c r="D1" s="269"/>
      <c r="E1" s="269"/>
      <c r="F1" s="269"/>
      <c r="G1" s="269"/>
      <c r="H1" s="269"/>
      <c r="I1" s="270"/>
      <c r="J1" s="270"/>
      <c r="K1" s="271"/>
      <c r="L1" s="271"/>
      <c r="M1" s="271"/>
      <c r="N1" s="271"/>
      <c r="O1" s="388" t="s">
        <v>74</v>
      </c>
    </row>
    <row r="2" spans="1:15" s="32" customFormat="1" ht="20.25">
      <c r="A2" s="126" t="str">
        <f>'RFPR cover'!C5</f>
        <v>ENWL</v>
      </c>
      <c r="B2" s="205"/>
      <c r="C2" s="30"/>
      <c r="D2" s="30"/>
      <c r="E2" s="30"/>
      <c r="F2" s="30"/>
      <c r="G2" s="30"/>
      <c r="H2" s="30"/>
      <c r="I2" s="27"/>
      <c r="J2" s="27"/>
      <c r="K2" s="27"/>
      <c r="L2" s="27"/>
      <c r="M2" s="27"/>
      <c r="N2" s="27"/>
      <c r="O2" s="127"/>
    </row>
    <row r="3" spans="1:15" s="32" customFormat="1" ht="23.25">
      <c r="A3" s="273">
        <f>'RFPR cover'!C7</f>
        <v>2019</v>
      </c>
      <c r="B3" s="944"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15" ht="12.75" customHeight="1"/>
    <row r="5" spans="1:15">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c r="L5" s="2"/>
      <c r="M5" s="2"/>
    </row>
    <row r="6" spans="1:15"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99</v>
      </c>
    </row>
    <row r="7" spans="1:15">
      <c r="C7" s="181"/>
      <c r="D7" s="181"/>
      <c r="E7" s="181"/>
      <c r="F7" s="181"/>
      <c r="G7" s="181"/>
      <c r="H7" s="181"/>
      <c r="I7" s="181"/>
      <c r="J7" s="181"/>
      <c r="K7" s="181"/>
      <c r="L7" s="181"/>
      <c r="M7" s="181"/>
      <c r="N7" s="181"/>
      <c r="O7" s="181"/>
    </row>
    <row r="8" spans="1:15">
      <c r="B8" s="558" t="s">
        <v>98</v>
      </c>
      <c r="C8" s="450"/>
      <c r="D8" s="450"/>
      <c r="E8" s="450"/>
      <c r="F8" s="450"/>
      <c r="G8" s="450"/>
      <c r="H8" s="450"/>
      <c r="I8" s="450"/>
      <c r="J8" s="450"/>
      <c r="K8" s="450"/>
      <c r="L8" s="559"/>
      <c r="M8" s="227"/>
      <c r="N8" s="227"/>
      <c r="O8" s="227"/>
    </row>
    <row r="9" spans="1:15">
      <c r="B9" s="207"/>
      <c r="D9" s="43"/>
      <c r="E9" s="43"/>
      <c r="F9" s="43"/>
      <c r="G9" s="43"/>
      <c r="H9" s="43"/>
      <c r="I9" s="43"/>
      <c r="J9" s="43"/>
      <c r="K9" s="43"/>
      <c r="L9" s="50"/>
    </row>
    <row r="10" spans="1:15">
      <c r="B10" s="262" t="s">
        <v>205</v>
      </c>
      <c r="C10" s="264" t="s">
        <v>7</v>
      </c>
      <c r="D10" s="534">
        <f t="shared" ref="D10:K19" si="1">D48/D$65</f>
        <v>0.06</v>
      </c>
      <c r="E10" s="536">
        <f t="shared" si="1"/>
        <v>0.06</v>
      </c>
      <c r="F10" s="536">
        <f t="shared" si="1"/>
        <v>0.06</v>
      </c>
      <c r="G10" s="536">
        <f t="shared" si="1"/>
        <v>5.9999999999999991E-2</v>
      </c>
      <c r="H10" s="536">
        <f t="shared" si="1"/>
        <v>0.06</v>
      </c>
      <c r="I10" s="536">
        <f t="shared" si="1"/>
        <v>0.06</v>
      </c>
      <c r="J10" s="536">
        <f t="shared" si="1"/>
        <v>0.06</v>
      </c>
      <c r="K10" s="535">
        <f t="shared" si="1"/>
        <v>6.0000000000000005E-2</v>
      </c>
      <c r="L10" s="182"/>
      <c r="M10" s="536">
        <f>AVERAGE(D48:INDEX(D48:K48,0,MATCH('RFPR cover'!$C$7,$D$6:$K$6,0)))/AVERAGE($D$65:INDEX($D$65:$K$65,0,MATCH('RFPR cover'!$C$7,$D$6:$K$6,0)))</f>
        <v>6.0000000000000005E-2</v>
      </c>
      <c r="N10" s="536">
        <f>AVERAGE(D48:K48)/AVERAGE($D$65:$K$65)</f>
        <v>6.0000000000000005E-2</v>
      </c>
    </row>
    <row r="11" spans="1:15">
      <c r="B11" s="262" t="str">
        <f t="shared" ref="B11:B18" si="2">B49</f>
        <v>Totex outperformance</v>
      </c>
      <c r="C11" s="264" t="s">
        <v>7</v>
      </c>
      <c r="D11" s="184">
        <f t="shared" si="1"/>
        <v>4.1138487031878238E-3</v>
      </c>
      <c r="E11" s="185">
        <f t="shared" si="1"/>
        <v>1.2249291692087187E-2</v>
      </c>
      <c r="F11" s="185">
        <f t="shared" si="1"/>
        <v>4.7029937880681905E-3</v>
      </c>
      <c r="G11" s="185">
        <f t="shared" si="1"/>
        <v>2.9346429960416656E-2</v>
      </c>
      <c r="H11" s="185">
        <f t="shared" si="1"/>
        <v>1.2390229571180173E-2</v>
      </c>
      <c r="I11" s="185">
        <f t="shared" si="1"/>
        <v>2.7204559909924399E-2</v>
      </c>
      <c r="J11" s="185">
        <f t="shared" si="1"/>
        <v>1.9256320504438769E-2</v>
      </c>
      <c r="K11" s="186">
        <f t="shared" si="1"/>
        <v>3.3979600905840658E-2</v>
      </c>
      <c r="L11" s="182"/>
      <c r="M11" s="185">
        <f>AVERAGE(D49:INDEX(D49:K49,0,MATCH('RFPR cover'!$C$7,$D$6:$K$6,0)))/AVERAGE($D$65:INDEX($D$65:$K$65,0,MATCH('RFPR cover'!$C$7,$D$6:$K$6,0)))</f>
        <v>1.2661316610926367E-2</v>
      </c>
      <c r="N11" s="185">
        <f t="shared" ref="N11:N19" si="3">AVERAGE(D49:K49)/AVERAGE($D$65:$K$65)</f>
        <v>1.8087108312275762E-2</v>
      </c>
    </row>
    <row r="12" spans="1:15">
      <c r="B12" s="262" t="str">
        <f t="shared" si="2"/>
        <v>IQI Reward</v>
      </c>
      <c r="C12" s="264" t="s">
        <v>7</v>
      </c>
      <c r="D12" s="184">
        <f t="shared" si="1"/>
        <v>2.9574573161600835E-3</v>
      </c>
      <c r="E12" s="185">
        <f t="shared" si="1"/>
        <v>2.7829642754302699E-3</v>
      </c>
      <c r="F12" s="185">
        <f t="shared" si="1"/>
        <v>2.759628952259945E-3</v>
      </c>
      <c r="G12" s="185">
        <f t="shared" si="1"/>
        <v>2.7399779935907698E-3</v>
      </c>
      <c r="H12" s="185">
        <f t="shared" si="1"/>
        <v>2.7054121758736845E-3</v>
      </c>
      <c r="I12" s="185">
        <f t="shared" si="1"/>
        <v>2.6353226663062145E-3</v>
      </c>
      <c r="J12" s="185">
        <f t="shared" si="1"/>
        <v>2.6846544346967528E-3</v>
      </c>
      <c r="K12" s="186">
        <f t="shared" si="1"/>
        <v>2.5543297763191697E-3</v>
      </c>
      <c r="L12" s="182"/>
      <c r="M12" s="185">
        <f>AVERAGE(D50:INDEX(D50:K50,0,MATCH('RFPR cover'!$C$7,$D$6:$K$6,0)))/AVERAGE($D$65:INDEX($D$65:$K$65,0,MATCH('RFPR cover'!$C$7,$D$6:$K$6,0)))</f>
        <v>2.8095047835508418E-3</v>
      </c>
      <c r="N12" s="185">
        <f t="shared" si="3"/>
        <v>2.7252289242852292E-3</v>
      </c>
    </row>
    <row r="13" spans="1:15">
      <c r="B13" s="262" t="str">
        <f t="shared" si="2"/>
        <v>Broad measure of customer service</v>
      </c>
      <c r="C13" s="264" t="s">
        <v>7</v>
      </c>
      <c r="D13" s="184">
        <f t="shared" si="1"/>
        <v>-3.1819221263875195E-4</v>
      </c>
      <c r="E13" s="185">
        <f t="shared" si="1"/>
        <v>1.018011446919693E-3</v>
      </c>
      <c r="F13" s="185">
        <f t="shared" si="1"/>
        <v>2.7963408226853673E-3</v>
      </c>
      <c r="G13" s="185">
        <f t="shared" si="1"/>
        <v>3.7417465652996545E-3</v>
      </c>
      <c r="H13" s="185">
        <f t="shared" si="1"/>
        <v>4.920285843185059E-3</v>
      </c>
      <c r="I13" s="185">
        <f t="shared" si="1"/>
        <v>5.8675935505750464E-3</v>
      </c>
      <c r="J13" s="185">
        <f t="shared" si="1"/>
        <v>5.7893611533197317E-3</v>
      </c>
      <c r="K13" s="186">
        <f t="shared" si="1"/>
        <v>5.7224415301164568E-3</v>
      </c>
      <c r="L13" s="182"/>
      <c r="M13" s="185">
        <f>AVERAGE(D51:INDEX(D51:K51,0,MATCH('RFPR cover'!$C$7,$D$6:$K$6,0)))/AVERAGE($D$65:INDEX($D$65:$K$65,0,MATCH('RFPR cover'!$C$7,$D$6:$K$6,0)))</f>
        <v>1.8202517852272605E-3</v>
      </c>
      <c r="N13" s="185">
        <f t="shared" si="3"/>
        <v>3.7374826674287059E-3</v>
      </c>
    </row>
    <row r="14" spans="1:15">
      <c r="B14" s="262" t="str">
        <f t="shared" si="2"/>
        <v>Interruptions-related quality of service</v>
      </c>
      <c r="C14" s="264" t="s">
        <v>7</v>
      </c>
      <c r="D14" s="184">
        <f t="shared" si="1"/>
        <v>1.9633954484098218E-2</v>
      </c>
      <c r="E14" s="185">
        <f t="shared" si="1"/>
        <v>1.8064625198092241E-2</v>
      </c>
      <c r="F14" s="185">
        <f t="shared" si="1"/>
        <v>1.4718837750067484E-2</v>
      </c>
      <c r="G14" s="185">
        <f t="shared" si="1"/>
        <v>1.5222462018196862E-2</v>
      </c>
      <c r="H14" s="185">
        <f t="shared" si="1"/>
        <v>2.0810414388840539E-2</v>
      </c>
      <c r="I14" s="185">
        <f t="shared" si="1"/>
        <v>2.0535067495579148E-2</v>
      </c>
      <c r="J14" s="185">
        <f t="shared" si="1"/>
        <v>2.0261274237042794E-2</v>
      </c>
      <c r="K14" s="186">
        <f t="shared" si="1"/>
        <v>2.0027072776526957E-2</v>
      </c>
      <c r="L14" s="182"/>
      <c r="M14" s="185">
        <f>AVERAGE(D52:INDEX(D52:K52,0,MATCH('RFPR cover'!$C$7,$D$6:$K$6,0)))/AVERAGE($D$65:INDEX($D$65:$K$65,0,MATCH('RFPR cover'!$C$7,$D$6:$K$6,0)))</f>
        <v>1.6897634760451623E-2</v>
      </c>
      <c r="N14" s="185">
        <f t="shared" si="3"/>
        <v>1.8686386677667765E-2</v>
      </c>
    </row>
    <row r="15" spans="1:15">
      <c r="B15" s="262" t="str">
        <f t="shared" si="2"/>
        <v>Incentive on connections engagement</v>
      </c>
      <c r="C15" s="264" t="s">
        <v>7</v>
      </c>
      <c r="D15" s="184">
        <f t="shared" si="1"/>
        <v>0</v>
      </c>
      <c r="E15" s="185">
        <f t="shared" si="1"/>
        <v>0</v>
      </c>
      <c r="F15" s="185">
        <f t="shared" si="1"/>
        <v>0</v>
      </c>
      <c r="G15" s="185">
        <f t="shared" si="1"/>
        <v>0</v>
      </c>
      <c r="H15" s="185">
        <f t="shared" si="1"/>
        <v>0</v>
      </c>
      <c r="I15" s="185">
        <f t="shared" si="1"/>
        <v>0</v>
      </c>
      <c r="J15" s="185">
        <f t="shared" si="1"/>
        <v>0</v>
      </c>
      <c r="K15" s="186">
        <f t="shared" si="1"/>
        <v>0</v>
      </c>
      <c r="L15" s="182"/>
      <c r="M15" s="185">
        <f>AVERAGE(D53:INDEX(D53:K53,0,MATCH('RFPR cover'!$C$7,$D$6:$K$6,0)))/AVERAGE($D$65:INDEX($D$65:$K$65,0,MATCH('RFPR cover'!$C$7,$D$6:$K$6,0)))</f>
        <v>0</v>
      </c>
      <c r="N15" s="185">
        <f t="shared" si="3"/>
        <v>0</v>
      </c>
    </row>
    <row r="16" spans="1:15">
      <c r="B16" s="262" t="str">
        <f t="shared" si="2"/>
        <v>Time to Connect Incentive</v>
      </c>
      <c r="C16" s="264" t="s">
        <v>7</v>
      </c>
      <c r="D16" s="184">
        <f t="shared" si="1"/>
        <v>1.8456063169080934E-3</v>
      </c>
      <c r="E16" s="185">
        <f t="shared" si="1"/>
        <v>1.835900193662974E-3</v>
      </c>
      <c r="F16" s="185">
        <f t="shared" si="1"/>
        <v>1.8260275085981716E-3</v>
      </c>
      <c r="G16" s="185">
        <f t="shared" si="1"/>
        <v>1.8189185419921618E-3</v>
      </c>
      <c r="H16" s="185">
        <f t="shared" si="1"/>
        <v>1.8349888922865861E-3</v>
      </c>
      <c r="I16" s="185">
        <f t="shared" si="1"/>
        <v>1.8119177201981604E-3</v>
      </c>
      <c r="J16" s="185">
        <f t="shared" si="1"/>
        <v>1.7877594915037761E-3</v>
      </c>
      <c r="K16" s="186">
        <f t="shared" si="1"/>
        <v>1.7670946567523787E-3</v>
      </c>
      <c r="L16" s="182"/>
      <c r="M16" s="185">
        <f>AVERAGE(D54:INDEX(D54:K54,0,MATCH('RFPR cover'!$C$7,$D$6:$K$6,0)))/AVERAGE($D$65:INDEX($D$65:$K$65,0,MATCH('RFPR cover'!$C$7,$D$6:$K$6,0)))</f>
        <v>1.8315435399159116E-3</v>
      </c>
      <c r="N16" s="185">
        <f t="shared" si="3"/>
        <v>1.8154906117563052E-3</v>
      </c>
    </row>
    <row r="17" spans="2:48">
      <c r="B17" s="262" t="str">
        <f t="shared" si="2"/>
        <v>Losses discretionary reward scheme</v>
      </c>
      <c r="C17" s="264" t="s">
        <v>7</v>
      </c>
      <c r="D17" s="184">
        <f t="shared" si="1"/>
        <v>0</v>
      </c>
      <c r="E17" s="185">
        <f t="shared" si="1"/>
        <v>1.0632921954964723E-3</v>
      </c>
      <c r="F17" s="185">
        <f t="shared" si="1"/>
        <v>0</v>
      </c>
      <c r="G17" s="185">
        <f t="shared" si="1"/>
        <v>0</v>
      </c>
      <c r="H17" s="185">
        <f t="shared" si="1"/>
        <v>0</v>
      </c>
      <c r="I17" s="185">
        <f t="shared" si="1"/>
        <v>0</v>
      </c>
      <c r="J17" s="185">
        <f t="shared" si="1"/>
        <v>0</v>
      </c>
      <c r="K17" s="186">
        <f t="shared" si="1"/>
        <v>0</v>
      </c>
      <c r="L17" s="182"/>
      <c r="M17" s="185">
        <f>AVERAGE(D55:INDEX(D55:K55,0,MATCH('RFPR cover'!$C$7,$D$6:$K$6,0)))/AVERAGE($D$65:INDEX($D$65:$K$65,0,MATCH('RFPR cover'!$C$7,$D$6:$K$6,0)))</f>
        <v>2.6489729819747056E-4</v>
      </c>
      <c r="N17" s="185">
        <f t="shared" si="3"/>
        <v>1.2977068474702926E-4</v>
      </c>
    </row>
    <row r="18" spans="2:48">
      <c r="B18" s="262" t="str">
        <f t="shared" si="2"/>
        <v xml:space="preserve">Network Innovation </v>
      </c>
      <c r="C18" s="264" t="s">
        <v>7</v>
      </c>
      <c r="D18" s="184">
        <f t="shared" si="1"/>
        <v>2.4804598943856033E-3</v>
      </c>
      <c r="E18" s="185">
        <f t="shared" si="1"/>
        <v>-7.7981416443911877E-4</v>
      </c>
      <c r="F18" s="185">
        <f t="shared" si="1"/>
        <v>-6.9504221224400849E-4</v>
      </c>
      <c r="G18" s="185">
        <f t="shared" si="1"/>
        <v>-7.0463952823644586E-4</v>
      </c>
      <c r="H18" s="185">
        <f t="shared" si="1"/>
        <v>-7.2150369361968412E-4</v>
      </c>
      <c r="I18" s="185">
        <f t="shared" si="1"/>
        <v>-6.8444655613549292E-4</v>
      </c>
      <c r="J18" s="185">
        <f t="shared" si="1"/>
        <v>-6.2050613956860889E-4</v>
      </c>
      <c r="K18" s="186">
        <f t="shared" si="1"/>
        <v>-5.4821022726780574E-4</v>
      </c>
      <c r="L18" s="182"/>
      <c r="M18" s="185">
        <f>AVERAGE(D56:INDEX(D56:K56,0,MATCH('RFPR cover'!$C$7,$D$6:$K$6,0)))/AVERAGE($D$65:INDEX($D$65:$K$65,0,MATCH('RFPR cover'!$C$7,$D$6:$K$6,0)))</f>
        <v>6.836486630060067E-5</v>
      </c>
      <c r="N18" s="185">
        <f t="shared" si="3"/>
        <v>-2.9437216405988134E-4</v>
      </c>
    </row>
    <row r="19" spans="2:48">
      <c r="B19" s="262" t="str">
        <f>B57</f>
        <v>Penalties and fines</v>
      </c>
      <c r="C19" s="264" t="s">
        <v>7</v>
      </c>
      <c r="D19" s="194">
        <f t="shared" si="1"/>
        <v>-1.3213343563450827E-3</v>
      </c>
      <c r="E19" s="195">
        <f t="shared" si="1"/>
        <v>-9.8101587712216918E-4</v>
      </c>
      <c r="F19" s="195">
        <f t="shared" si="1"/>
        <v>-8.8092180447499064E-4</v>
      </c>
      <c r="G19" s="195">
        <f t="shared" si="1"/>
        <v>-1.0652350330222565E-3</v>
      </c>
      <c r="H19" s="195">
        <f t="shared" si="1"/>
        <v>-1.160821332727234E-3</v>
      </c>
      <c r="I19" s="195">
        <f t="shared" si="1"/>
        <v>-1.2059929100072331E-3</v>
      </c>
      <c r="J19" s="195">
        <f t="shared" si="1"/>
        <v>-1.2204343085547818E-3</v>
      </c>
      <c r="K19" s="196">
        <f t="shared" si="1"/>
        <v>-1.199335290755697E-3</v>
      </c>
      <c r="L19" s="182"/>
      <c r="M19" s="195">
        <f>AVERAGE(D57:INDEX(D57:K57,0,MATCH('RFPR cover'!$C$7,$D$6:$K$6,0)))/AVERAGE($D$65:INDEX($D$65:$K$65,0,MATCH('RFPR cover'!$C$7,$D$6:$K$6,0)))</f>
        <v>-1.0615537943006979E-3</v>
      </c>
      <c r="N19" s="195">
        <f t="shared" si="3"/>
        <v>-1.1305750244302042E-3</v>
      </c>
    </row>
    <row r="20" spans="2:48">
      <c r="B20" s="263" t="str">
        <f>B58</f>
        <v>RoRE - Operational performance</v>
      </c>
      <c r="C20" s="264" t="s">
        <v>7</v>
      </c>
      <c r="D20" s="197">
        <f t="shared" ref="D20:K20" si="4">SUM(D10:D19)</f>
        <v>8.939180014575597E-2</v>
      </c>
      <c r="E20" s="198">
        <f t="shared" si="4"/>
        <v>9.5253254960127556E-2</v>
      </c>
      <c r="F20" s="198">
        <f t="shared" si="4"/>
        <v>8.5227864804960168E-2</v>
      </c>
      <c r="G20" s="198">
        <f t="shared" si="4"/>
        <v>0.11109966051823739</v>
      </c>
      <c r="H20" s="198">
        <f t="shared" si="4"/>
        <v>0.10077900584501912</v>
      </c>
      <c r="I20" s="198">
        <f t="shared" si="4"/>
        <v>0.11616402187644025</v>
      </c>
      <c r="J20" s="198">
        <f t="shared" si="4"/>
        <v>0.10793842937287844</v>
      </c>
      <c r="K20" s="199">
        <f t="shared" si="4"/>
        <v>0.12230299412753214</v>
      </c>
      <c r="L20" s="183"/>
      <c r="M20" s="198">
        <f>SUM(M10:M19)</f>
        <v>9.5291959850269378E-2</v>
      </c>
      <c r="N20" s="198">
        <f>SUM(N10:N19)</f>
        <v>0.10375652068967071</v>
      </c>
    </row>
    <row r="21" spans="2:48">
      <c r="B21" s="262" t="str">
        <f>B59</f>
        <v>Debt performance - at notional gearing</v>
      </c>
      <c r="C21" s="264" t="s">
        <v>7</v>
      </c>
      <c r="D21" s="184">
        <f>(D59)/D$65</f>
        <v>-1.9374168552444903E-2</v>
      </c>
      <c r="E21" s="185">
        <f t="shared" ref="E21:K21" si="5">(E59)/E$65</f>
        <v>-1.6929822673876584E-2</v>
      </c>
      <c r="F21" s="185">
        <f t="shared" si="5"/>
        <v>-6.9188832572907632E-3</v>
      </c>
      <c r="G21" s="185">
        <f t="shared" si="5"/>
        <v>-1.0398966418001207E-2</v>
      </c>
      <c r="H21" s="185">
        <f t="shared" si="5"/>
        <v>-9.7702958639551175E-3</v>
      </c>
      <c r="I21" s="185">
        <f t="shared" si="5"/>
        <v>-1.3992594385449321E-2</v>
      </c>
      <c r="J21" s="185">
        <f t="shared" si="5"/>
        <v>-1.5338226027269149E-2</v>
      </c>
      <c r="K21" s="186">
        <f t="shared" si="5"/>
        <v>-1.5467293385083266E-2</v>
      </c>
      <c r="L21" s="182"/>
      <c r="M21" s="185">
        <f>AVERAGE(D59:INDEX(D59:K59,0,MATCH('RFPR cover'!$C$7,$D$6:$K$6,0)))/AVERAGE($D$65:INDEX($D$65:$K$65,0,MATCH('RFPR cover'!$C$7,$D$6:$K$6,0)))</f>
        <v>-1.3378543201361493E-2</v>
      </c>
      <c r="N21" s="185">
        <f>AVERAGE(D59:K59)/AVERAGE($D$65:$K$65)</f>
        <v>-1.3528249459667971E-2</v>
      </c>
    </row>
    <row r="22" spans="2:48">
      <c r="B22" s="262" t="str">
        <f>B61</f>
        <v>Tax performance - at notional gearing</v>
      </c>
      <c r="C22" s="264" t="s">
        <v>7</v>
      </c>
      <c r="D22" s="184">
        <f>(D61)/D$65</f>
        <v>-1.1063199636849883E-2</v>
      </c>
      <c r="E22" s="185">
        <f t="shared" ref="E22:K22" si="6">(E61)/E$65</f>
        <v>-4.2836461560080211E-3</v>
      </c>
      <c r="F22" s="185">
        <f t="shared" si="6"/>
        <v>7.2057629384089496E-3</v>
      </c>
      <c r="G22" s="185">
        <f t="shared" si="6"/>
        <v>-4.9663214231299357E-3</v>
      </c>
      <c r="H22" s="185">
        <f t="shared" si="6"/>
        <v>-1.2697464929195872E-2</v>
      </c>
      <c r="I22" s="185">
        <f t="shared" si="6"/>
        <v>-6.4821571664314282E-3</v>
      </c>
      <c r="J22" s="185">
        <f t="shared" si="6"/>
        <v>-2.5625220256517045E-3</v>
      </c>
      <c r="K22" s="186">
        <f t="shared" si="6"/>
        <v>3.3920075057982208E-3</v>
      </c>
      <c r="L22" s="182"/>
      <c r="M22" s="185">
        <f>AVERAGE(D61:INDEX(D61:K61,0,MATCH('RFPR cover'!$C$7,$D$6:$K$6,0)))/AVERAGE($D$65:INDEX($D$65:$K$65,0,MATCH('RFPR cover'!$C$7,$D$6:$K$6,0)))</f>
        <v>-3.2583515271997193E-3</v>
      </c>
      <c r="N22" s="185">
        <f>AVERAGE(D61:K61)/AVERAGE($D$65:$K$65)</f>
        <v>-3.8936680095030319E-3</v>
      </c>
    </row>
    <row r="23" spans="2:48">
      <c r="B23" s="263" t="str">
        <f>B63</f>
        <v>RoRE - including financing and tax</v>
      </c>
      <c r="C23" s="264" t="s">
        <v>7</v>
      </c>
      <c r="D23" s="200">
        <f>SUM(D20:D22)</f>
        <v>5.8954431956461183E-2</v>
      </c>
      <c r="E23" s="201">
        <f t="shared" ref="E23:K23" si="7">SUM(E20:E22)</f>
        <v>7.4039786130242952E-2</v>
      </c>
      <c r="F23" s="201">
        <f t="shared" si="7"/>
        <v>8.5514744486078362E-2</v>
      </c>
      <c r="G23" s="201">
        <f t="shared" si="7"/>
        <v>9.5734372677106244E-2</v>
      </c>
      <c r="H23" s="201">
        <f t="shared" si="7"/>
        <v>7.8311245051868122E-2</v>
      </c>
      <c r="I23" s="201">
        <f t="shared" si="7"/>
        <v>9.5689270324559497E-2</v>
      </c>
      <c r="J23" s="201">
        <f t="shared" si="7"/>
        <v>9.0037681319957583E-2</v>
      </c>
      <c r="K23" s="202">
        <f t="shared" si="7"/>
        <v>0.1102277082482471</v>
      </c>
      <c r="L23" s="183"/>
      <c r="M23" s="201">
        <f>SUM(M20:M22)</f>
        <v>7.8655065121708168E-2</v>
      </c>
      <c r="N23" s="201">
        <f>SUM(N20:N22)</f>
        <v>8.6334603220499712E-2</v>
      </c>
    </row>
    <row r="26" spans="2:48" s="32" customFormat="1">
      <c r="B26" s="496"/>
      <c r="C26" s="386"/>
      <c r="P26"/>
      <c r="Q26"/>
      <c r="R26"/>
      <c r="S26"/>
      <c r="T26"/>
      <c r="U26"/>
      <c r="V26"/>
      <c r="W26"/>
      <c r="X26"/>
      <c r="Y26"/>
      <c r="Z26"/>
      <c r="AA26"/>
      <c r="AB26"/>
      <c r="AC26"/>
      <c r="AD26"/>
      <c r="AE26"/>
      <c r="AF26"/>
      <c r="AG26"/>
      <c r="AH26"/>
      <c r="AI26"/>
      <c r="AJ26"/>
      <c r="AK26"/>
      <c r="AL26"/>
      <c r="AM26"/>
      <c r="AN26"/>
      <c r="AO26"/>
      <c r="AP26"/>
      <c r="AQ26"/>
      <c r="AR26"/>
      <c r="AS26"/>
      <c r="AT26"/>
      <c r="AU26"/>
      <c r="AV26"/>
    </row>
    <row r="27" spans="2:48">
      <c r="B27" s="558" t="s">
        <v>206</v>
      </c>
      <c r="C27" s="450"/>
      <c r="D27" s="227"/>
      <c r="E27" s="227"/>
      <c r="F27" s="227"/>
      <c r="G27" s="227"/>
      <c r="H27" s="227"/>
      <c r="I27" s="227"/>
      <c r="J27" s="227"/>
      <c r="K27" s="227"/>
      <c r="L27" s="559"/>
      <c r="M27" s="227"/>
      <c r="N27" s="227"/>
      <c r="O27" s="227"/>
    </row>
    <row r="28" spans="2:48">
      <c r="B28" s="207"/>
      <c r="L28" s="50"/>
    </row>
    <row r="29" spans="2:48">
      <c r="B29" s="262" t="s">
        <v>205</v>
      </c>
      <c r="C29" s="264" t="s">
        <v>7</v>
      </c>
      <c r="D29" s="184">
        <f t="shared" ref="D29:K38" si="8">D48/D$66</f>
        <v>5.4125334556257024E-2</v>
      </c>
      <c r="E29" s="185">
        <f t="shared" si="8"/>
        <v>5.3827777219646114E-2</v>
      </c>
      <c r="F29" s="185">
        <f t="shared" si="8"/>
        <v>5.3529382163582016E-2</v>
      </c>
      <c r="G29" s="185">
        <f t="shared" si="8"/>
        <v>5.5705441090047061E-2</v>
      </c>
      <c r="H29" s="185">
        <f t="shared" si="8"/>
        <v>5.5642773438061698E-2</v>
      </c>
      <c r="I29" s="185">
        <f t="shared" si="8"/>
        <v>5.4397619700650671E-2</v>
      </c>
      <c r="J29" s="185">
        <f t="shared" si="8"/>
        <v>5.3357821234808603E-2</v>
      </c>
      <c r="K29" s="186">
        <f t="shared" si="8"/>
        <v>5.2759809462204044E-2</v>
      </c>
      <c r="L29" s="182"/>
      <c r="M29" s="185">
        <f>AVERAGE(D48:INDEX(D48:K48,0,MATCH('RFPR cover'!$C$7,$D$6:$K$6,0)))/AVERAGE($D$66:INDEX($D$66:$K$66,0,MATCH('RFPR cover'!$C$7,$D$6:$K$6,0)))</f>
        <v>5.4288123980312422E-2</v>
      </c>
      <c r="N29" s="185">
        <f>AVERAGE(D48:K48)/AVERAGE($D$66:$K$66)</f>
        <v>5.4141742046007732E-2</v>
      </c>
    </row>
    <row r="30" spans="2:48">
      <c r="B30" s="262" t="str">
        <f t="shared" ref="B30:B37" si="9">B49</f>
        <v>Totex outperformance</v>
      </c>
      <c r="C30" s="264" t="s">
        <v>7</v>
      </c>
      <c r="D30" s="184">
        <f t="shared" si="8"/>
        <v>3.7110572895644174E-3</v>
      </c>
      <c r="E30" s="185">
        <f t="shared" si="8"/>
        <v>1.0989202405002185E-2</v>
      </c>
      <c r="F30" s="185">
        <f t="shared" si="8"/>
        <v>4.1958058632409071E-3</v>
      </c>
      <c r="G30" s="185">
        <f t="shared" si="8"/>
        <v>2.7245930422719705E-2</v>
      </c>
      <c r="H30" s="185">
        <f t="shared" si="8"/>
        <v>1.1490445614579178E-2</v>
      </c>
      <c r="I30" s="185">
        <f t="shared" si="8"/>
        <v>2.4664388401727251E-2</v>
      </c>
      <c r="J30" s="185">
        <f t="shared" si="8"/>
        <v>1.7124588451933723E-2</v>
      </c>
      <c r="K30" s="186">
        <f t="shared" si="8"/>
        <v>2.9879287823231487E-2</v>
      </c>
      <c r="L30" s="182"/>
      <c r="M30" s="185">
        <f>AVERAGE(D49:INDEX(D49:K49,0,MATCH('RFPR cover'!$C$7,$D$6:$K$6,0)))/AVERAGE($D$66:INDEX($D$66:$K$66,0,MATCH('RFPR cover'!$C$7,$D$6:$K$6,0)))</f>
        <v>1.1455985432132661E-2</v>
      </c>
      <c r="N30" s="185">
        <f t="shared" ref="N30:N38" si="10">AVERAGE(D49:K49)/AVERAGE($D$66:$K$66)</f>
        <v>1.6321125876690608E-2</v>
      </c>
    </row>
    <row r="31" spans="2:48">
      <c r="B31" s="262" t="str">
        <f t="shared" si="9"/>
        <v>IQI Reward</v>
      </c>
      <c r="C31" s="264" t="s">
        <v>7</v>
      </c>
      <c r="D31" s="184">
        <f t="shared" si="8"/>
        <v>2.6678894445502422E-3</v>
      </c>
      <c r="E31" s="185">
        <f t="shared" si="8"/>
        <v>2.4966796838015739E-3</v>
      </c>
      <c r="F31" s="185">
        <f t="shared" si="8"/>
        <v>2.4620205469201338E-3</v>
      </c>
      <c r="G31" s="185">
        <f t="shared" si="8"/>
        <v>2.5438613784999329E-3</v>
      </c>
      <c r="H31" s="185">
        <f t="shared" si="8"/>
        <v>2.5089439459785494E-3</v>
      </c>
      <c r="I31" s="185">
        <f t="shared" si="8"/>
        <v>2.3892546698371696E-3</v>
      </c>
      <c r="J31" s="185">
        <f t="shared" si="8"/>
        <v>2.3874551900630917E-3</v>
      </c>
      <c r="K31" s="186">
        <f t="shared" si="8"/>
        <v>2.2460992050372277E-3</v>
      </c>
      <c r="L31" s="182"/>
      <c r="M31" s="185">
        <f>AVERAGE(D50:INDEX(D50:K50,0,MATCH('RFPR cover'!$C$7,$D$6:$K$6,0)))/AVERAGE($D$66:INDEX($D$66:$K$66,0,MATCH('RFPR cover'!$C$7,$D$6:$K$6,0)))</f>
        <v>2.5420457335448153E-3</v>
      </c>
      <c r="N31" s="185">
        <f t="shared" si="10"/>
        <v>2.4591440239161667E-3</v>
      </c>
    </row>
    <row r="32" spans="2:48">
      <c r="B32" s="262" t="str">
        <f t="shared" si="9"/>
        <v>Broad measure of customer service</v>
      </c>
      <c r="C32" s="264" t="s">
        <v>7</v>
      </c>
      <c r="D32" s="184">
        <f t="shared" si="8"/>
        <v>-2.8703766603780208E-4</v>
      </c>
      <c r="E32" s="185">
        <f t="shared" si="8"/>
        <v>9.1328822286404704E-4</v>
      </c>
      <c r="F32" s="185">
        <f t="shared" si="8"/>
        <v>2.4947732759525057E-3</v>
      </c>
      <c r="G32" s="185">
        <f t="shared" si="8"/>
        <v>3.4739273811197641E-3</v>
      </c>
      <c r="H32" s="185">
        <f t="shared" si="8"/>
        <v>4.5629725070474763E-3</v>
      </c>
      <c r="I32" s="185">
        <f t="shared" si="8"/>
        <v>5.3197187087028657E-3</v>
      </c>
      <c r="J32" s="185">
        <f t="shared" si="8"/>
        <v>5.1484616247096607E-3</v>
      </c>
      <c r="K32" s="186">
        <f t="shared" si="8"/>
        <v>5.0319154131257936E-3</v>
      </c>
      <c r="L32" s="182"/>
      <c r="M32" s="185">
        <f>AVERAGE(D51:INDEX(D51:K51,0,MATCH('RFPR cover'!$C$7,$D$6:$K$6,0)))/AVERAGE($D$66:INDEX($D$66:$K$66,0,MATCH('RFPR cover'!$C$7,$D$6:$K$6,0)))</f>
        <v>1.6469675765300423E-3</v>
      </c>
      <c r="N32" s="185">
        <f t="shared" si="10"/>
        <v>3.3725637080224986E-3</v>
      </c>
    </row>
    <row r="33" spans="2:48">
      <c r="B33" s="262" t="str">
        <f t="shared" si="9"/>
        <v>Interruptions-related quality of service</v>
      </c>
      <c r="C33" s="264" t="s">
        <v>7</v>
      </c>
      <c r="D33" s="184">
        <f t="shared" si="8"/>
        <v>1.7711572585235646E-2</v>
      </c>
      <c r="E33" s="185">
        <f t="shared" si="8"/>
        <v>1.6206310345321912E-2</v>
      </c>
      <c r="F33" s="185">
        <f t="shared" si="8"/>
        <v>1.3131504848785334E-2</v>
      </c>
      <c r="G33" s="185">
        <f t="shared" si="8"/>
        <v>1.4132899353335737E-2</v>
      </c>
      <c r="H33" s="185">
        <f t="shared" si="8"/>
        <v>1.9299152883173888E-2</v>
      </c>
      <c r="I33" s="185">
        <f t="shared" si="8"/>
        <v>1.8617646535861794E-2</v>
      </c>
      <c r="J33" s="185">
        <f t="shared" si="8"/>
        <v>1.8018290812159377E-2</v>
      </c>
      <c r="K33" s="186">
        <f t="shared" si="8"/>
        <v>1.7610409062920936E-2</v>
      </c>
      <c r="L33" s="182"/>
      <c r="M33" s="185">
        <f>AVERAGE(D52:INDEX(D52:K52,0,MATCH('RFPR cover'!$C$7,$D$6:$K$6,0)))/AVERAGE($D$66:INDEX($D$66:$K$66,0,MATCH('RFPR cover'!$C$7,$D$6:$K$6,0)))</f>
        <v>1.5289014847490573E-2</v>
      </c>
      <c r="N33" s="185">
        <f t="shared" si="10"/>
        <v>1.6861892121237392E-2</v>
      </c>
    </row>
    <row r="34" spans="2:48">
      <c r="B34" s="262" t="str">
        <f t="shared" si="9"/>
        <v>Incentive on connections engagement</v>
      </c>
      <c r="C34" s="264" t="s">
        <v>7</v>
      </c>
      <c r="D34" s="184">
        <f t="shared" si="8"/>
        <v>0</v>
      </c>
      <c r="E34" s="185">
        <f t="shared" si="8"/>
        <v>0</v>
      </c>
      <c r="F34" s="185">
        <f t="shared" si="8"/>
        <v>0</v>
      </c>
      <c r="G34" s="185">
        <f t="shared" si="8"/>
        <v>0</v>
      </c>
      <c r="H34" s="185">
        <f t="shared" si="8"/>
        <v>0</v>
      </c>
      <c r="I34" s="185">
        <f t="shared" si="8"/>
        <v>0</v>
      </c>
      <c r="J34" s="185">
        <f t="shared" si="8"/>
        <v>0</v>
      </c>
      <c r="K34" s="186">
        <f t="shared" si="8"/>
        <v>0</v>
      </c>
      <c r="L34" s="182"/>
      <c r="M34" s="185">
        <f>AVERAGE(D53:INDEX(D53:K53,0,MATCH('RFPR cover'!$C$7,$D$6:$K$6,0)))/AVERAGE($D$66:INDEX($D$66:$K$66,0,MATCH('RFPR cover'!$C$7,$D$6:$K$6,0)))</f>
        <v>0</v>
      </c>
      <c r="N34" s="185">
        <f t="shared" si="10"/>
        <v>0</v>
      </c>
    </row>
    <row r="35" spans="2:48">
      <c r="B35" s="262" t="str">
        <f t="shared" si="9"/>
        <v>Time to Connect Incentive</v>
      </c>
      <c r="C35" s="264" t="s">
        <v>7</v>
      </c>
      <c r="D35" s="184">
        <f t="shared" si="8"/>
        <v>1.6649009893631981E-3</v>
      </c>
      <c r="E35" s="185">
        <f t="shared" si="8"/>
        <v>1.6470404436999286E-3</v>
      </c>
      <c r="F35" s="185">
        <f t="shared" si="8"/>
        <v>1.6291020724827512E-3</v>
      </c>
      <c r="G35" s="185">
        <f t="shared" si="8"/>
        <v>1.6887276614756446E-3</v>
      </c>
      <c r="H35" s="185">
        <f t="shared" si="8"/>
        <v>1.7017311865810385E-3</v>
      </c>
      <c r="I35" s="185">
        <f t="shared" si="8"/>
        <v>1.6427335178701584E-3</v>
      </c>
      <c r="J35" s="185">
        <f t="shared" si="8"/>
        <v>1.5898491893081802E-3</v>
      </c>
      <c r="K35" s="186">
        <f t="shared" si="8"/>
        <v>1.553859623198906E-3</v>
      </c>
      <c r="L35" s="182"/>
      <c r="M35" s="185">
        <f>AVERAGE(D54:INDEX(D54:K54,0,MATCH('RFPR cover'!$C$7,$D$6:$K$6,0)))/AVERAGE($D$66:INDEX($D$66:$K$66,0,MATCH('RFPR cover'!$C$7,$D$6:$K$6,0)))</f>
        <v>1.6571843795049215E-3</v>
      </c>
      <c r="N35" s="185">
        <f t="shared" si="10"/>
        <v>1.6382304064776441E-3</v>
      </c>
    </row>
    <row r="36" spans="2:48">
      <c r="B36" s="262" t="str">
        <f t="shared" si="9"/>
        <v>Losses discretionary reward scheme</v>
      </c>
      <c r="C36" s="264" t="s">
        <v>7</v>
      </c>
      <c r="D36" s="184">
        <f t="shared" si="8"/>
        <v>0</v>
      </c>
      <c r="E36" s="185">
        <f t="shared" si="8"/>
        <v>9.5391092364287527E-4</v>
      </c>
      <c r="F36" s="185">
        <f t="shared" si="8"/>
        <v>0</v>
      </c>
      <c r="G36" s="185">
        <f t="shared" si="8"/>
        <v>0</v>
      </c>
      <c r="H36" s="185">
        <f t="shared" si="8"/>
        <v>0</v>
      </c>
      <c r="I36" s="185">
        <f t="shared" si="8"/>
        <v>0</v>
      </c>
      <c r="J36" s="185">
        <f t="shared" si="8"/>
        <v>0</v>
      </c>
      <c r="K36" s="186">
        <f t="shared" si="8"/>
        <v>0</v>
      </c>
      <c r="L36" s="182"/>
      <c r="M36" s="185">
        <f>AVERAGE(D55:INDEX(D55:K55,0,MATCH('RFPR cover'!$C$7,$D$6:$K$6,0)))/AVERAGE($D$66:INDEX($D$66:$K$66,0,MATCH('RFPR cover'!$C$7,$D$6:$K$6,0)))</f>
        <v>2.3967962277656783E-4</v>
      </c>
      <c r="N36" s="185">
        <f t="shared" si="10"/>
        <v>1.1710018231179081E-4</v>
      </c>
    </row>
    <row r="37" spans="2:48">
      <c r="B37" s="262" t="str">
        <f t="shared" si="9"/>
        <v xml:space="preserve">Network Innovation </v>
      </c>
      <c r="C37" s="264" t="s">
        <v>7</v>
      </c>
      <c r="D37" s="184">
        <f t="shared" si="8"/>
        <v>2.2375953606166457E-3</v>
      </c>
      <c r="E37" s="185">
        <f t="shared" si="8"/>
        <v>-6.9959438526922277E-4</v>
      </c>
      <c r="F37" s="185">
        <f t="shared" si="8"/>
        <v>-6.2008633665051687E-4</v>
      </c>
      <c r="G37" s="185">
        <f t="shared" si="8"/>
        <v>-6.5420426216489822E-4</v>
      </c>
      <c r="H37" s="185">
        <f t="shared" si="8"/>
        <v>-6.691077759800794E-4</v>
      </c>
      <c r="I37" s="185">
        <f t="shared" si="8"/>
        <v>-6.2053772443464335E-4</v>
      </c>
      <c r="J37" s="185">
        <f t="shared" si="8"/>
        <v>-5.5181426117005062E-4</v>
      </c>
      <c r="K37" s="186">
        <f t="shared" si="8"/>
        <v>-4.8205778559801674E-4</v>
      </c>
      <c r="L37" s="182"/>
      <c r="M37" s="185">
        <f>AVERAGE(D56:INDEX(D56:K56,0,MATCH('RFPR cover'!$C$7,$D$6:$K$6,0)))/AVERAGE($D$66:INDEX($D$66:$K$66,0,MATCH('RFPR cover'!$C$7,$D$6:$K$6,0)))</f>
        <v>6.1856672293741523E-5</v>
      </c>
      <c r="N37" s="185">
        <f t="shared" si="10"/>
        <v>-2.6563036286758607E-4</v>
      </c>
    </row>
    <row r="38" spans="2:48">
      <c r="B38" s="262" t="str">
        <f>B57</f>
        <v>Penalties and fines</v>
      </c>
      <c r="C38" s="264" t="s">
        <v>7</v>
      </c>
      <c r="D38" s="194">
        <f t="shared" si="8"/>
        <v>-1.1919610682975691E-3</v>
      </c>
      <c r="E38" s="195">
        <f t="shared" si="8"/>
        <v>-8.8009840137779737E-4</v>
      </c>
      <c r="F38" s="195">
        <f t="shared" si="8"/>
        <v>-7.8591999879956741E-4</v>
      </c>
      <c r="G38" s="195">
        <f t="shared" si="8"/>
        <v>-9.8898978965126084E-4</v>
      </c>
      <c r="H38" s="195">
        <f t="shared" si="8"/>
        <v>-1.076521973650172E-3</v>
      </c>
      <c r="I38" s="195">
        <f t="shared" si="8"/>
        <v>-1.0933857280042416E-3</v>
      </c>
      <c r="J38" s="195">
        <f t="shared" si="8"/>
        <v>-1.0853285944115551E-3</v>
      </c>
      <c r="K38" s="196">
        <f t="shared" si="8"/>
        <v>-1.054611690359461E-3</v>
      </c>
      <c r="L38" s="182"/>
      <c r="M38" s="195">
        <f>AVERAGE(D57:INDEX(D57:K57,0,MATCH('RFPR cover'!$C$7,$D$6:$K$6,0)))/AVERAGE($D$66:INDEX($D$66:$K$66,0,MATCH('RFPR cover'!$C$7,$D$6:$K$6,0)))</f>
        <v>-9.6049606661278921E-4</v>
      </c>
      <c r="N38" s="195">
        <f t="shared" si="10"/>
        <v>-1.0201883556059832E-3</v>
      </c>
    </row>
    <row r="39" spans="2:48">
      <c r="B39" s="263" t="str">
        <f>B58</f>
        <v>RoRE - Operational performance</v>
      </c>
      <c r="C39" s="264" t="s">
        <v>7</v>
      </c>
      <c r="D39" s="197">
        <f t="shared" ref="D39:K39" si="11">SUM(D29:D38)</f>
        <v>8.0639351491251801E-2</v>
      </c>
      <c r="E39" s="198">
        <f t="shared" si="11"/>
        <v>8.5454516457331611E-2</v>
      </c>
      <c r="F39" s="198">
        <f t="shared" si="11"/>
        <v>7.6036582435513561E-2</v>
      </c>
      <c r="G39" s="198">
        <f t="shared" si="11"/>
        <v>0.1031475932353817</v>
      </c>
      <c r="H39" s="198">
        <f t="shared" si="11"/>
        <v>9.3460389825791579E-2</v>
      </c>
      <c r="I39" s="198">
        <f t="shared" si="11"/>
        <v>0.10531743808221103</v>
      </c>
      <c r="J39" s="198">
        <f t="shared" si="11"/>
        <v>9.5989323647401023E-2</v>
      </c>
      <c r="K39" s="199">
        <f t="shared" si="11"/>
        <v>0.10754471111376092</v>
      </c>
      <c r="L39" s="183"/>
      <c r="M39" s="198">
        <f>SUM(M29:M38)</f>
        <v>8.6220362177972965E-2</v>
      </c>
      <c r="N39" s="198">
        <f>SUM(N29:N38)</f>
        <v>9.362597964619028E-2</v>
      </c>
    </row>
    <row r="40" spans="2:48">
      <c r="B40" s="262" t="s">
        <v>434</v>
      </c>
      <c r="C40" s="264" t="s">
        <v>7</v>
      </c>
      <c r="D40" s="184">
        <f>(D59+D60)/D$66</f>
        <v>-1.4669433794361688E-2</v>
      </c>
      <c r="E40" s="185">
        <f t="shared" ref="E40:K40" si="12">(E59+E60)/E$66</f>
        <v>-1.2699753416170119E-2</v>
      </c>
      <c r="F40" s="185">
        <f t="shared" si="12"/>
        <v>-4.5373037482379424E-3</v>
      </c>
      <c r="G40" s="185">
        <f t="shared" si="12"/>
        <v>-8.4576947150182703E-3</v>
      </c>
      <c r="H40" s="185">
        <f t="shared" si="12"/>
        <v>-7.8997585146671333E-3</v>
      </c>
      <c r="I40" s="185">
        <f t="shared" si="12"/>
        <v>-1.1012541868713652E-2</v>
      </c>
      <c r="J40" s="185">
        <f t="shared" si="12"/>
        <v>-1.1714832179762684E-2</v>
      </c>
      <c r="K40" s="186">
        <f t="shared" si="12"/>
        <v>-1.1594112914591542E-2</v>
      </c>
      <c r="L40" s="182"/>
      <c r="M40" s="185">
        <f>(AVERAGE(D59:INDEX(D59:K59,0,MATCH('RFPR cover'!$C$7,$D$6:$K$6,0)))+AVERAGE(D60:INDEX(D60:K60,0,MATCH('RFPR cover'!$C$7,$D$6:$K$6,0))))/AVERAGE($D$66:INDEX($D$66:$K$66,0,MATCH('RFPR cover'!$C$7,$D$6:$K$6,0)))</f>
        <v>-1.007168845369107E-2</v>
      </c>
      <c r="N40" s="185">
        <f>(AVERAGE(D59:K59)+AVERAGE(D60:K60))/AVERAGE($D$66:$K$66)</f>
        <v>-1.0343212422205436E-2</v>
      </c>
    </row>
    <row r="41" spans="2:48">
      <c r="B41" s="262" t="s">
        <v>435</v>
      </c>
      <c r="C41" s="264" t="s">
        <v>7</v>
      </c>
      <c r="D41" s="184">
        <f>(D61+D62)/D$66</f>
        <v>-9.6415658508630687E-3</v>
      </c>
      <c r="E41" s="185">
        <f t="shared" ref="E41:K41" si="13">(E61+E62)/E$66</f>
        <v>-3.0149214551989552E-3</v>
      </c>
      <c r="F41" s="185">
        <f t="shared" si="13"/>
        <v>7.8206917884040949E-3</v>
      </c>
      <c r="G41" s="185">
        <f t="shared" si="13"/>
        <v>-3.9420297282864994E-3</v>
      </c>
      <c r="H41" s="185">
        <f t="shared" si="13"/>
        <v>-1.1151787404563681E-2</v>
      </c>
      <c r="I41" s="185">
        <f t="shared" si="13"/>
        <v>-5.0147835458130815E-3</v>
      </c>
      <c r="J41" s="185">
        <f t="shared" si="13"/>
        <v>-1.2368590032363306E-3</v>
      </c>
      <c r="K41" s="186">
        <f t="shared" si="13"/>
        <v>4.1272198871492704E-3</v>
      </c>
      <c r="L41" s="182"/>
      <c r="M41" s="185">
        <f>(AVERAGE(D61:INDEX(D61:K61,0,MATCH('RFPR cover'!$C$7,$D$6:$K$6,0)))+AVERAGE(D62:INDEX(D62:K62,0,MATCH('RFPR cover'!$C$7,$D$6:$K$6,0))))/AVERAGE($D$66:INDEX($D$66:$K$66,0,MATCH('RFPR cover'!$C$7,$D$6:$K$6,0)))</f>
        <v>-2.1377424325222149E-3</v>
      </c>
      <c r="N41" s="185">
        <f>(AVERAGE(D61:K61)+AVERAGE(D62:K62))/AVERAGE($D$66:$K$66)</f>
        <v>-2.6445679742483803E-3</v>
      </c>
    </row>
    <row r="42" spans="2:48">
      <c r="B42" s="263" t="str">
        <f>B63</f>
        <v>RoRE - including financing and tax</v>
      </c>
      <c r="C42" s="264" t="s">
        <v>7</v>
      </c>
      <c r="D42" s="200">
        <f>SUM(D39:D41)</f>
        <v>5.6328351846027053E-2</v>
      </c>
      <c r="E42" s="201">
        <f t="shared" ref="E42:K42" si="14">SUM(E39:E41)</f>
        <v>6.9739841585962539E-2</v>
      </c>
      <c r="F42" s="201">
        <f t="shared" si="14"/>
        <v>7.9319970475679721E-2</v>
      </c>
      <c r="G42" s="201">
        <f t="shared" si="14"/>
        <v>9.0747868792076927E-2</v>
      </c>
      <c r="H42" s="201">
        <f t="shared" si="14"/>
        <v>7.4408843906560759E-2</v>
      </c>
      <c r="I42" s="201">
        <f t="shared" si="14"/>
        <v>8.9290112667684288E-2</v>
      </c>
      <c r="J42" s="201">
        <f t="shared" si="14"/>
        <v>8.3037632464402003E-2</v>
      </c>
      <c r="K42" s="202">
        <f t="shared" si="14"/>
        <v>0.10007781808631865</v>
      </c>
      <c r="L42" s="183"/>
      <c r="M42" s="201">
        <f>SUM(M39:M41)</f>
        <v>7.4010931291759688E-2</v>
      </c>
      <c r="N42" s="201">
        <f>SUM(N39:N41)</f>
        <v>8.0638199249736461E-2</v>
      </c>
    </row>
    <row r="43" spans="2:48" s="32" customFormat="1">
      <c r="B43" s="497"/>
      <c r="C43" s="498"/>
      <c r="D43" s="499"/>
      <c r="E43" s="499"/>
      <c r="F43" s="499"/>
      <c r="G43" s="499"/>
      <c r="H43" s="499"/>
      <c r="I43" s="499"/>
      <c r="J43" s="499"/>
      <c r="K43" s="499"/>
      <c r="L43" s="500"/>
      <c r="M43" s="499"/>
      <c r="N43" s="499"/>
      <c r="P43"/>
      <c r="Q43"/>
      <c r="R43"/>
      <c r="S43"/>
      <c r="T43"/>
      <c r="U43"/>
      <c r="V43"/>
      <c r="W43"/>
      <c r="X43"/>
      <c r="Y43"/>
      <c r="Z43"/>
      <c r="AA43"/>
      <c r="AB43"/>
      <c r="AC43"/>
      <c r="AD43"/>
      <c r="AE43"/>
      <c r="AF43"/>
      <c r="AG43"/>
      <c r="AH43"/>
      <c r="AI43"/>
      <c r="AJ43"/>
      <c r="AK43"/>
      <c r="AL43"/>
      <c r="AM43"/>
      <c r="AN43"/>
      <c r="AO43"/>
      <c r="AP43"/>
      <c r="AQ43"/>
      <c r="AR43"/>
      <c r="AS43"/>
      <c r="AT43"/>
      <c r="AU43"/>
      <c r="AV43"/>
    </row>
    <row r="44" spans="2:48" s="32" customFormat="1">
      <c r="B44" s="497"/>
      <c r="C44" s="498"/>
      <c r="D44" s="499"/>
      <c r="E44" s="499"/>
      <c r="F44" s="499"/>
      <c r="G44" s="499"/>
      <c r="H44" s="499"/>
      <c r="I44" s="499"/>
      <c r="J44" s="499"/>
      <c r="K44" s="499"/>
      <c r="L44" s="500"/>
      <c r="M44" s="499"/>
      <c r="N44" s="499"/>
      <c r="P44"/>
      <c r="Q44"/>
      <c r="R44"/>
      <c r="S44"/>
      <c r="T44"/>
      <c r="U44"/>
      <c r="V44"/>
      <c r="W44"/>
      <c r="X44"/>
      <c r="Y44"/>
      <c r="Z44"/>
      <c r="AA44"/>
      <c r="AB44"/>
      <c r="AC44"/>
      <c r="AD44"/>
      <c r="AE44"/>
      <c r="AF44"/>
      <c r="AG44"/>
      <c r="AH44"/>
      <c r="AI44"/>
      <c r="AJ44"/>
      <c r="AK44"/>
      <c r="AL44"/>
      <c r="AM44"/>
      <c r="AN44"/>
      <c r="AO44"/>
      <c r="AP44"/>
      <c r="AQ44"/>
      <c r="AR44"/>
      <c r="AS44"/>
      <c r="AT44"/>
      <c r="AU44"/>
      <c r="AV44"/>
    </row>
    <row r="45" spans="2:48" s="32" customFormat="1">
      <c r="B45" s="552" t="s">
        <v>370</v>
      </c>
      <c r="C45" s="553"/>
      <c r="D45" s="554"/>
      <c r="E45" s="554"/>
      <c r="F45" s="554"/>
      <c r="G45" s="554"/>
      <c r="H45" s="554"/>
      <c r="I45" s="554"/>
      <c r="J45" s="554"/>
      <c r="K45" s="554"/>
      <c r="L45" s="555"/>
      <c r="M45" s="554"/>
      <c r="N45" s="554"/>
      <c r="O45" s="227"/>
      <c r="P45"/>
      <c r="Q45"/>
      <c r="R45"/>
      <c r="S45"/>
      <c r="T45"/>
      <c r="U45"/>
      <c r="V45"/>
      <c r="W45"/>
      <c r="X45"/>
      <c r="Y45"/>
      <c r="Z45"/>
      <c r="AA45"/>
      <c r="AB45"/>
      <c r="AC45"/>
      <c r="AD45"/>
      <c r="AE45"/>
      <c r="AF45"/>
      <c r="AG45"/>
      <c r="AH45"/>
      <c r="AI45"/>
      <c r="AJ45"/>
      <c r="AK45"/>
      <c r="AL45"/>
      <c r="AM45"/>
      <c r="AN45"/>
      <c r="AO45"/>
      <c r="AP45"/>
      <c r="AQ45"/>
      <c r="AR45"/>
      <c r="AS45"/>
      <c r="AT45"/>
      <c r="AU45"/>
      <c r="AV45"/>
    </row>
    <row r="46" spans="2:48" s="32" customFormat="1">
      <c r="B46" s="557" t="str">
        <f>"Input values provided in "&amp;'RFPR cover'!C14&amp;" prices"</f>
        <v>Input values provided in £m 12/13 prices</v>
      </c>
      <c r="C46" s="556"/>
      <c r="D46" s="556"/>
      <c r="E46" s="556"/>
      <c r="F46" s="556"/>
      <c r="G46" s="556"/>
      <c r="H46" s="556"/>
      <c r="I46" s="556"/>
      <c r="J46" s="556"/>
      <c r="K46" s="556"/>
      <c r="L46" s="556"/>
      <c r="M46" s="556"/>
      <c r="N46" s="556"/>
      <c r="O46" s="556"/>
      <c r="P46"/>
      <c r="Q46"/>
      <c r="R46"/>
      <c r="S46"/>
      <c r="T46"/>
      <c r="U46"/>
      <c r="V46"/>
      <c r="W46"/>
      <c r="X46"/>
      <c r="Y46"/>
      <c r="Z46"/>
      <c r="AA46"/>
      <c r="AB46"/>
      <c r="AC46"/>
      <c r="AD46"/>
      <c r="AE46"/>
      <c r="AF46"/>
      <c r="AG46"/>
      <c r="AH46"/>
      <c r="AI46"/>
      <c r="AJ46"/>
      <c r="AK46"/>
      <c r="AL46"/>
      <c r="AM46"/>
      <c r="AN46"/>
      <c r="AO46"/>
      <c r="AP46"/>
      <c r="AQ46"/>
      <c r="AR46"/>
      <c r="AS46"/>
      <c r="AT46"/>
      <c r="AU46"/>
      <c r="AV46"/>
    </row>
    <row r="48" spans="2:48">
      <c r="B48" s="257" t="s">
        <v>218</v>
      </c>
      <c r="C48" s="361" t="str">
        <f>'RFPR cover'!$C$14</f>
        <v>£m 12/13</v>
      </c>
      <c r="D48" s="187">
        <f>'R9 - RAV'!D50</f>
        <v>31.599371689246439</v>
      </c>
      <c r="E48" s="188">
        <f>'R9 - RAV'!E50</f>
        <v>31.766432729461389</v>
      </c>
      <c r="F48" s="188">
        <f>'R9 - RAV'!F50</f>
        <v>31.93818259877796</v>
      </c>
      <c r="G48" s="188">
        <f>'R9 - RAV'!G50</f>
        <v>32.205807268224781</v>
      </c>
      <c r="H48" s="188">
        <f>'R9 - RAV'!H50</f>
        <v>32.545243326014081</v>
      </c>
      <c r="I48" s="188">
        <f>'R9 - RAV'!I50</f>
        <v>32.981630089397406</v>
      </c>
      <c r="J48" s="188">
        <f>'R9 - RAV'!J50</f>
        <v>33.427315186414027</v>
      </c>
      <c r="K48" s="189">
        <f>'R9 - RAV'!K50</f>
        <v>33.81822234120088</v>
      </c>
      <c r="M48" s="97">
        <f>SUM(D48:INDEX(D48:K48,0,MATCH('RFPR cover'!$C$7,$D$6:$K$6,0)))</f>
        <v>127.50979428571057</v>
      </c>
      <c r="N48" s="97">
        <f>SUM(D48:K48)</f>
        <v>260.28220522873698</v>
      </c>
    </row>
    <row r="49" spans="2:14">
      <c r="B49" s="257" t="s">
        <v>92</v>
      </c>
      <c r="C49" s="361" t="str">
        <f>'RFPR cover'!$C$14</f>
        <v>£m 12/13</v>
      </c>
      <c r="D49" s="261">
        <f>'R4 - Totex'!D35+'R4 - Totex'!D63</f>
        <v>2.1665839040892747</v>
      </c>
      <c r="E49" s="261">
        <f>'R4 - Totex'!E35+'R4 - Totex'!E63</f>
        <v>6.4852716753372981</v>
      </c>
      <c r="F49" s="261">
        <f>'R4 - Totex'!F35+'R4 - Totex'!F63</f>
        <v>2.503417906070672</v>
      </c>
      <c r="G49" s="261">
        <f>'R4 - Totex'!G35+'R4 - Totex'!G63</f>
        <v>15.752091121927272</v>
      </c>
      <c r="H49" s="261">
        <f>'R4 - Totex'!H35+'R4 - Totex'!H63</f>
        <v>6.7207172709872305</v>
      </c>
      <c r="I49" s="261">
        <f>'R4 - Totex'!I35+'R4 - Totex'!I63</f>
        <v>14.954178861566282</v>
      </c>
      <c r="J49" s="261">
        <f>'R4 - Totex'!J35+'R4 - Totex'!J63</f>
        <v>10.728118247208032</v>
      </c>
      <c r="K49" s="261">
        <f>'R4 - Totex'!K35+'R4 - Totex'!K63</f>
        <v>19.152161641649837</v>
      </c>
      <c r="M49" s="97">
        <f>SUM(D49:INDEX(D49:K49,0,MATCH('RFPR cover'!$C$7,$D$6:$K$6,0)))</f>
        <v>26.907364607424519</v>
      </c>
      <c r="N49" s="97">
        <f>SUM(D49:K49)</f>
        <v>78.462540628835896</v>
      </c>
    </row>
    <row r="50" spans="2:14">
      <c r="B50" s="259" t="s">
        <v>100</v>
      </c>
      <c r="C50" s="361" t="str">
        <f>'RFPR cover'!$C$14</f>
        <v>£m 12/13</v>
      </c>
      <c r="D50" s="252">
        <f>'R4 - Totex'!D79</f>
        <v>1.5575632164737283</v>
      </c>
      <c r="E50" s="190">
        <f>'R4 - Totex'!E79</f>
        <v>1.4734141240658321</v>
      </c>
      <c r="F50" s="190">
        <f>'R4 - Totex'!F79</f>
        <v>1.4689588897025405</v>
      </c>
      <c r="G50" s="190">
        <f>'R4 - Totex'!G79</f>
        <v>1.4707200530126929</v>
      </c>
      <c r="H50" s="190">
        <f>'R4 - Totex'!H79</f>
        <v>1.4674716260161711</v>
      </c>
      <c r="I50" s="190">
        <f>'R4 - Totex'!I79</f>
        <v>1.4486206224386007</v>
      </c>
      <c r="J50" s="190">
        <f>'R4 - Totex'!J79</f>
        <v>1.4956798325868756</v>
      </c>
      <c r="K50" s="191">
        <f>'R4 - Totex'!K79</f>
        <v>1.4397148718051931</v>
      </c>
      <c r="M50" s="97">
        <f>SUM(D50:INDEX(D50:K50,0,MATCH('RFPR cover'!$C$7,$D$6:$K$6,0)))</f>
        <v>5.9706562832547938</v>
      </c>
      <c r="N50" s="97">
        <f t="shared" ref="N50:N57" si="15">SUM(D50:K50)</f>
        <v>11.822143236101635</v>
      </c>
    </row>
    <row r="51" spans="2:14">
      <c r="B51" s="260" t="str">
        <f>'R5 - Output Incentives'!B39</f>
        <v>Broad measure of customer service</v>
      </c>
      <c r="C51" s="361" t="str">
        <f>'RFPR cover'!$C$14</f>
        <v>£m 12/13</v>
      </c>
      <c r="D51" s="252">
        <f>'R5 - Output Incentives'!D39</f>
        <v>-0.16757789992992769</v>
      </c>
      <c r="E51" s="190">
        <f>'R5 - Output Incentives'!E39</f>
        <v>0.53897653577326798</v>
      </c>
      <c r="F51" s="190">
        <f>'R5 - Output Incentives'!F39</f>
        <v>1.488500730055704</v>
      </c>
      <c r="G51" s="190">
        <f>'R5 - Output Incentives'!G39</f>
        <v>2.0084328121430457</v>
      </c>
      <c r="H51" s="190">
        <f>'R5 - Output Incentives'!H39</f>
        <v>2.6688650000000016</v>
      </c>
      <c r="I51" s="190">
        <f>'R5 - Output Incentives'!I39</f>
        <v>3.2253800000000017</v>
      </c>
      <c r="J51" s="190">
        <f>'R5 - Output Incentives'!J39</f>
        <v>3.2253800000000017</v>
      </c>
      <c r="K51" s="191">
        <f>'R5 - Output Incentives'!K39</f>
        <v>3.2253800000000017</v>
      </c>
      <c r="M51" s="97">
        <f>SUM(D51:INDEX(D51:K51,0,MATCH('RFPR cover'!$C$7,$D$6:$K$6,0)))</f>
        <v>3.8683321780420901</v>
      </c>
      <c r="N51" s="97">
        <f t="shared" si="15"/>
        <v>16.213337178042096</v>
      </c>
    </row>
    <row r="52" spans="2:14">
      <c r="B52" s="260" t="str">
        <f>'R5 - Output Incentives'!B40</f>
        <v>Interruptions-related quality of service</v>
      </c>
      <c r="C52" s="361" t="str">
        <f>'RFPR cover'!$C$14</f>
        <v>£m 12/13</v>
      </c>
      <c r="D52" s="252">
        <f>'R5 - Output Incentives'!D40</f>
        <v>10.34034375787944</v>
      </c>
      <c r="E52" s="190">
        <f>'R5 - Output Incentives'!E40</f>
        <v>9.5641450189688388</v>
      </c>
      <c r="F52" s="190">
        <f>'R5 - Output Incentives'!F40</f>
        <v>7.8348821283906913</v>
      </c>
      <c r="G52" s="190">
        <f>'R5 - Output Incentives'!G40</f>
        <v>8.170861298432003</v>
      </c>
      <c r="H52" s="190">
        <f>'R5 - Output Incentives'!H40</f>
        <v>11.287999999999998</v>
      </c>
      <c r="I52" s="190">
        <f>'R5 - Output Incentives'!I40</f>
        <v>11.287999999999998</v>
      </c>
      <c r="J52" s="190">
        <f>'R5 - Output Incentives'!J40</f>
        <v>11.287999999999998</v>
      </c>
      <c r="K52" s="191">
        <f>'R5 - Output Incentives'!K40</f>
        <v>11.287999999999998</v>
      </c>
      <c r="M52" s="97">
        <f>SUM(D52:INDEX(D52:K52,0,MATCH('RFPR cover'!$C$7,$D$6:$K$6,0)))</f>
        <v>35.910232203670972</v>
      </c>
      <c r="N52" s="97">
        <f t="shared" si="15"/>
        <v>81.062232203670959</v>
      </c>
    </row>
    <row r="53" spans="2:14">
      <c r="B53" s="260" t="str">
        <f>'R5 - Output Incentives'!B41</f>
        <v>Incentive on connections engagement</v>
      </c>
      <c r="C53" s="361"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row>
    <row r="54" spans="2:14">
      <c r="B54" s="260" t="str">
        <f>'R5 - Output Incentives'!B42</f>
        <v>Time to Connect Incentive</v>
      </c>
      <c r="C54" s="361" t="str">
        <f>'RFPR cover'!$C$14</f>
        <v>£m 12/13</v>
      </c>
      <c r="D54" s="252">
        <f>'R5 - Output Incentives'!D42</f>
        <v>0.97199999999999998</v>
      </c>
      <c r="E54" s="190">
        <f>'R5 - Output Incentives'!E42</f>
        <v>0.97199999999999998</v>
      </c>
      <c r="F54" s="190">
        <f>'R5 - Output Incentives'!F42</f>
        <v>0.97199999999999998</v>
      </c>
      <c r="G54" s="190">
        <f>'R5 - Output Incentives'!G42</f>
        <v>0.97632899999999989</v>
      </c>
      <c r="H54" s="190">
        <f>'R5 - Output Incentives'!H42</f>
        <v>0.99533599999999978</v>
      </c>
      <c r="I54" s="190">
        <f>'R5 - Output Incentives'!I42</f>
        <v>0.99599999999999989</v>
      </c>
      <c r="J54" s="190">
        <f>'R5 - Output Incentives'!J42</f>
        <v>0.99599999999999989</v>
      </c>
      <c r="K54" s="191">
        <f>'R5 - Output Incentives'!K42</f>
        <v>0.99599999999999989</v>
      </c>
      <c r="M54" s="97">
        <f>SUM(D54:INDEX(D54:K54,0,MATCH('RFPR cover'!$C$7,$D$6:$K$6,0)))</f>
        <v>3.8923289999999997</v>
      </c>
      <c r="N54" s="97">
        <f t="shared" si="15"/>
        <v>7.8756649999999979</v>
      </c>
    </row>
    <row r="55" spans="2:14">
      <c r="B55" s="260" t="str">
        <f>'R5 - Output Incentives'!B43</f>
        <v>Losses discretionary reward scheme</v>
      </c>
      <c r="C55" s="361" t="str">
        <f>'RFPR cover'!$C$14</f>
        <v>£m 12/13</v>
      </c>
      <c r="D55" s="252">
        <f>'R5 - Output Incentives'!D43</f>
        <v>0</v>
      </c>
      <c r="E55" s="190">
        <f>'R5 - Output Incentives'!E43</f>
        <v>0.56294999999999995</v>
      </c>
      <c r="F55" s="190">
        <f>'R5 - Output Incentives'!F43</f>
        <v>0</v>
      </c>
      <c r="G55" s="190">
        <f>'R5 - Output Incentives'!G43</f>
        <v>0</v>
      </c>
      <c r="H55" s="190">
        <f>'R5 - Output Incentives'!H43</f>
        <v>0</v>
      </c>
      <c r="I55" s="190">
        <f>'R5 - Output Incentives'!I43</f>
        <v>0</v>
      </c>
      <c r="J55" s="190">
        <f>'R5 - Output Incentives'!J43</f>
        <v>0</v>
      </c>
      <c r="K55" s="191">
        <f>'R5 - Output Incentives'!K43</f>
        <v>0</v>
      </c>
      <c r="M55" s="97">
        <f>SUM(D55:INDEX(D55:K55,0,MATCH('RFPR cover'!$C$7,$D$6:$K$6,0)))</f>
        <v>0.56294999999999995</v>
      </c>
      <c r="N55" s="97">
        <f t="shared" si="15"/>
        <v>0.56294999999999995</v>
      </c>
    </row>
    <row r="56" spans="2:14">
      <c r="B56" s="257" t="s">
        <v>476</v>
      </c>
      <c r="C56" s="361" t="str">
        <f>'RFPR cover'!$C$14</f>
        <v>£m 12/13</v>
      </c>
      <c r="D56" s="252">
        <f>-'R6 - Innovation'!D28</f>
        <v>1.3063495693826608</v>
      </c>
      <c r="E56" s="190">
        <f>-'R6 - Innovation'!E28</f>
        <v>-0.41286523660227348</v>
      </c>
      <c r="F56" s="190">
        <f>-'R6 - Innovation'!F28</f>
        <v>-0.36997308480846214</v>
      </c>
      <c r="G56" s="190">
        <f>-'R6 - Innovation'!G28</f>
        <v>-0.37822474733259687</v>
      </c>
      <c r="H56" s="190">
        <f>-'R6 - Innovation'!H28</f>
        <v>-0.39135855449117557</v>
      </c>
      <c r="I56" s="190">
        <f>-'R6 - Innovation'!I28</f>
        <v>-0.37623605217371342</v>
      </c>
      <c r="J56" s="190">
        <f>-'R6 - Innovation'!J28</f>
        <v>-0.3456975717077484</v>
      </c>
      <c r="K56" s="191">
        <f>-'R6 - Innovation'!K28</f>
        <v>-0.3089915892577153</v>
      </c>
      <c r="M56" s="97">
        <f>SUM(D56:INDEX(D56:K56,0,MATCH('RFPR cover'!$C$7,$D$6:$K$6,0)))</f>
        <v>0.1452865006393283</v>
      </c>
      <c r="N56" s="97">
        <f t="shared" si="15"/>
        <v>-1.2769972669910243</v>
      </c>
    </row>
    <row r="57" spans="2:14">
      <c r="B57" s="257" t="s">
        <v>25</v>
      </c>
      <c r="C57" s="361" t="str">
        <f>'RFPR cover'!$C$14</f>
        <v>£m 12/13</v>
      </c>
      <c r="D57" s="253">
        <f>-'R13 - Other Activities '!D8</f>
        <v>-0.69588892419865789</v>
      </c>
      <c r="E57" s="253">
        <f>-'R13 - Other Activities '!E8</f>
        <v>-0.51938958111891576</v>
      </c>
      <c r="F57" s="253">
        <f>-'R13 - Other Activities '!F8</f>
        <v>-0.46891735744278712</v>
      </c>
      <c r="G57" s="253">
        <f>-'R13 - Other Activities '!G8</f>
        <v>-0.57177923614793091</v>
      </c>
      <c r="H57" s="253">
        <f>-'R13 - Other Activities '!H8</f>
        <v>-0.62965354552726305</v>
      </c>
      <c r="I57" s="253">
        <f>-'R13 - Other Activities '!I8</f>
        <v>-0.66292686747157492</v>
      </c>
      <c r="J57" s="253">
        <f>-'R13 - Other Activities '!J8</f>
        <v>-0.67993070493956609</v>
      </c>
      <c r="K57" s="253">
        <f>-'R13 - Other Activities '!K8</f>
        <v>-0.67598979207374943</v>
      </c>
      <c r="M57" s="97">
        <f>SUM(D57:INDEX(D57:K57,0,MATCH('RFPR cover'!$C$7,$D$6:$K$6,0)))</f>
        <v>-2.2559750989082916</v>
      </c>
      <c r="N57" s="97">
        <f t="shared" si="15"/>
        <v>-4.9044760089204447</v>
      </c>
    </row>
    <row r="58" spans="2:14">
      <c r="B58" s="258" t="s">
        <v>93</v>
      </c>
      <c r="C58" s="361" t="str">
        <f>'RFPR cover'!$C$14</f>
        <v>£m 12/13</v>
      </c>
      <c r="D58" s="254">
        <f t="shared" ref="D58:K58" si="16">SUM(D48:D57)</f>
        <v>47.078745312942957</v>
      </c>
      <c r="E58" s="151">
        <f t="shared" si="16"/>
        <v>50.430935265885438</v>
      </c>
      <c r="F58" s="151">
        <f t="shared" si="16"/>
        <v>45.367051810746318</v>
      </c>
      <c r="G58" s="151">
        <f t="shared" si="16"/>
        <v>59.634237570259266</v>
      </c>
      <c r="H58" s="151">
        <f t="shared" si="16"/>
        <v>54.664621122999044</v>
      </c>
      <c r="I58" s="151">
        <f t="shared" si="16"/>
        <v>63.854646653757008</v>
      </c>
      <c r="J58" s="151">
        <f t="shared" si="16"/>
        <v>60.134864989561621</v>
      </c>
      <c r="K58" s="152">
        <f t="shared" si="16"/>
        <v>68.934497473324441</v>
      </c>
      <c r="M58" s="150">
        <f>SUM(M48:M57)</f>
        <v>202.51096995983394</v>
      </c>
      <c r="N58" s="152">
        <f>SUM(N48:N57)</f>
        <v>450.09960019947607</v>
      </c>
    </row>
    <row r="59" spans="2:14">
      <c r="B59" s="257" t="s">
        <v>415</v>
      </c>
      <c r="C59" s="361" t="str">
        <f>'RFPR cover'!$C$14</f>
        <v>£m 12/13</v>
      </c>
      <c r="D59" s="252">
        <f>'R7 - Financing'!D87+'R10 - Tax'!D94</f>
        <v>-10.203525887646935</v>
      </c>
      <c r="E59" s="252">
        <f>'R7 - Financing'!E87+'R10 - Tax'!E94</f>
        <v>-8.963334551523511</v>
      </c>
      <c r="F59" s="252">
        <f>'R7 - Financing'!F87+'R10 - Tax'!F94</f>
        <v>-3.6829426141830002</v>
      </c>
      <c r="G59" s="252">
        <f>'R7 - Financing'!G87+'R10 - Tax'!G94</f>
        <v>-5.5817851374481453</v>
      </c>
      <c r="H59" s="252">
        <f>'R7 - Financing'!H87+'R10 - Tax'!H94</f>
        <v>-5.2996109376594713</v>
      </c>
      <c r="I59" s="252">
        <f>'R7 - Financing'!I87+'R10 - Tax'!I94</f>
        <v>-7.6916428668644752</v>
      </c>
      <c r="J59" s="252">
        <f>'R7 - Financing'!J87+'R10 - Tax'!J94</f>
        <v>-8.5452619302330817</v>
      </c>
      <c r="K59" s="252">
        <f>'R7 - Financing'!K87+'R10 - Tax'!K94</f>
        <v>-8.717939445222191</v>
      </c>
      <c r="M59" s="97">
        <f>SUM(D59:INDEX(D59:K59,0,MATCH('RFPR cover'!$C$7,$D$6:$K$6,0)))</f>
        <v>-28.431588190801591</v>
      </c>
      <c r="N59" s="97">
        <f>SUM(D59:K59)</f>
        <v>-58.686043370780816</v>
      </c>
    </row>
    <row r="60" spans="2:14">
      <c r="B60" s="257" t="s">
        <v>410</v>
      </c>
      <c r="C60" s="361" t="str">
        <f>'RFPR cover'!$C$14</f>
        <v>£m 12/13</v>
      </c>
      <c r="D60" s="252">
        <f>'R7 - Financing'!D89+'R10 - Tax'!D95</f>
        <v>1.639239038629376</v>
      </c>
      <c r="E60" s="252">
        <f>'R7 - Financing'!E89+'R10 - Tax'!E95</f>
        <v>1.4685821501876299</v>
      </c>
      <c r="F60" s="252">
        <f>'R7 - Financing'!F89+'R10 - Tax'!F95</f>
        <v>0.97577078144077967</v>
      </c>
      <c r="G60" s="252">
        <f>'R7 - Financing'!G89+'R10 - Tax'!G95</f>
        <v>0.69201349943073565</v>
      </c>
      <c r="H60" s="252">
        <f>'R7 - Financing'!H89+'R10 - Tax'!H95</f>
        <v>0.67907268640242857</v>
      </c>
      <c r="I60" s="252">
        <f>'R7 - Financing'!I89+'R10 - Tax'!I95</f>
        <v>1.0146672150498728</v>
      </c>
      <c r="J60" s="252">
        <f>'R7 - Financing'!J89+'R10 - Tax'!J95</f>
        <v>1.2062181205992091</v>
      </c>
      <c r="K60" s="252">
        <f>'R7 - Financing'!K89+'R10 - Tax'!K95</f>
        <v>1.2862922806218053</v>
      </c>
      <c r="M60" s="97">
        <f>SUM(D60:INDEX(D60:K60,0,MATCH('RFPR cover'!$C$7,$D$6:$K$6,0)))</f>
        <v>4.7756054696885215</v>
      </c>
      <c r="N60" s="97">
        <f>SUM(D60:K60)</f>
        <v>8.9618557723618366</v>
      </c>
    </row>
    <row r="61" spans="2:14">
      <c r="B61" s="257" t="s">
        <v>416</v>
      </c>
      <c r="C61" s="361" t="str">
        <f>'RFPR cover'!$C$14</f>
        <v>£m 12/13</v>
      </c>
      <c r="D61" s="252">
        <f>'R10 - Tax'!D87-'R10 - Tax'!D94</f>
        <v>-5.8265026232859274</v>
      </c>
      <c r="E61" s="252">
        <f>'R10 - Tax'!E87-'R10 - Tax'!E94</f>
        <v>-2.2679359575274112</v>
      </c>
      <c r="F61" s="252">
        <f>'R10 - Tax'!F87-'R10 - Tax'!F94</f>
        <v>3.8356495415068643</v>
      </c>
      <c r="G61" s="252">
        <f>'R10 - Tax'!G87-'R10 - Tax'!G94</f>
        <v>-2.6657398430896424</v>
      </c>
      <c r="H61" s="252">
        <f>'R10 - Tax'!H87-'R10 - Tax'!H94</f>
        <v>-6.8873680957368304</v>
      </c>
      <c r="I61" s="252">
        <f>'R10 - Tax'!I87-'R10 - Tax'!I94</f>
        <v>-3.5632018307429636</v>
      </c>
      <c r="J61" s="252">
        <f>'R10 - Tax'!J87-'R10 - Tax'!J94</f>
        <v>-1.4276371903931278</v>
      </c>
      <c r="K61" s="252">
        <f>'R10 - Tax'!K87-'R10 - Tax'!K94</f>
        <v>1.9118610669017744</v>
      </c>
      <c r="M61" s="97">
        <f>SUM(D61:INDEX(D61:K61,0,MATCH('RFPR cover'!$C$7,$D$6:$K$6,0)))</f>
        <v>-6.9245288823961175</v>
      </c>
      <c r="N61" s="97">
        <f>SUM(D61:K61)</f>
        <v>-16.890874932367264</v>
      </c>
    </row>
    <row r="62" spans="2:14">
      <c r="B62" s="257" t="s">
        <v>411</v>
      </c>
      <c r="C62" s="361" t="str">
        <f>'RFPR cover'!$C$14</f>
        <v>£m 12/13</v>
      </c>
      <c r="D62" s="252">
        <f>'R10 - Tax'!D89-'R10 - Tax'!D95</f>
        <v>0.19757810049889191</v>
      </c>
      <c r="E62" s="252">
        <f>'R10 - Tax'!E89-'R10 - Tax'!E95</f>
        <v>0.48868174087303995</v>
      </c>
      <c r="F62" s="252">
        <f>'R10 - Tax'!F89-'R10 - Tax'!F95</f>
        <v>0.83054820431256871</v>
      </c>
      <c r="G62" s="252">
        <f>'R10 - Tax'!G89-'R10 - Tax'!G95</f>
        <v>0.38667612524591322</v>
      </c>
      <c r="H62" s="252">
        <f>'R10 - Tax'!H89-'R10 - Tax'!H95</f>
        <v>0.36473070409952979</v>
      </c>
      <c r="I62" s="252">
        <f>'R10 - Tax'!I89-'R10 - Tax'!I95</f>
        <v>0.52270600028982761</v>
      </c>
      <c r="J62" s="252">
        <f>'R10 - Tax'!J89-'R10 - Tax'!J95</f>
        <v>0.65277654605776858</v>
      </c>
      <c r="K62" s="252">
        <f>'R10 - Tax'!K89-'R10 - Tax'!K95</f>
        <v>0.73362308509518481</v>
      </c>
      <c r="M62" s="97">
        <f>SUM(D62:INDEX(D62:K62,0,MATCH('RFPR cover'!$C$7,$D$6:$K$6,0)))</f>
        <v>1.9034841709304138</v>
      </c>
      <c r="N62" s="97">
        <f>SUM(D62:K62)</f>
        <v>4.177320506472725</v>
      </c>
    </row>
    <row r="63" spans="2:14">
      <c r="B63" s="258" t="s">
        <v>94</v>
      </c>
      <c r="C63" s="361" t="str">
        <f>'RFPR cover'!$C$14</f>
        <v>£m 12/13</v>
      </c>
      <c r="D63" s="255">
        <f>SUM(D58:D62)</f>
        <v>32.88553394113837</v>
      </c>
      <c r="E63" s="154">
        <f t="shared" ref="E63:K63" si="17">SUM(E58:E62)</f>
        <v>41.156928647895185</v>
      </c>
      <c r="F63" s="154">
        <f t="shared" si="17"/>
        <v>47.326077723823538</v>
      </c>
      <c r="G63" s="154">
        <f t="shared" si="17"/>
        <v>52.465402214398132</v>
      </c>
      <c r="H63" s="154">
        <f t="shared" si="17"/>
        <v>43.521445480104695</v>
      </c>
      <c r="I63" s="154">
        <f t="shared" si="17"/>
        <v>54.137175171489275</v>
      </c>
      <c r="J63" s="154">
        <f t="shared" si="17"/>
        <v>52.020960535592387</v>
      </c>
      <c r="K63" s="155">
        <f t="shared" si="17"/>
        <v>64.148334460721017</v>
      </c>
      <c r="M63" s="153">
        <f>SUM(M58:M62)</f>
        <v>173.83394252725518</v>
      </c>
      <c r="N63" s="155">
        <f>SUM(N58:N62)</f>
        <v>387.66185817516259</v>
      </c>
    </row>
    <row r="64" spans="2:14">
      <c r="B64" s="257"/>
      <c r="D64" s="447"/>
    </row>
    <row r="65" spans="2:11">
      <c r="B65" s="257" t="s">
        <v>222</v>
      </c>
      <c r="C65" s="361" t="str">
        <f>'RFPR cover'!$C$14</f>
        <v>£m 12/13</v>
      </c>
      <c r="D65" s="251">
        <f>'R9 - RAV'!D46</f>
        <v>526.65619482077398</v>
      </c>
      <c r="E65" s="188">
        <f>'R9 - RAV'!E46</f>
        <v>529.44054549102316</v>
      </c>
      <c r="F65" s="188">
        <f>'R9 - RAV'!F46</f>
        <v>532.303043312966</v>
      </c>
      <c r="G65" s="188">
        <f>'R9 - RAV'!G46</f>
        <v>536.76345447041308</v>
      </c>
      <c r="H65" s="188">
        <f>'R9 - RAV'!H46</f>
        <v>542.42072210023468</v>
      </c>
      <c r="I65" s="188">
        <f>'R9 - RAV'!I46</f>
        <v>549.6938348232901</v>
      </c>
      <c r="J65" s="188">
        <f>'R9 - RAV'!J46</f>
        <v>557.12191977356713</v>
      </c>
      <c r="K65" s="189">
        <f>'R9 - RAV'!K46</f>
        <v>563.63703902001464</v>
      </c>
    </row>
    <row r="66" spans="2:11">
      <c r="B66" s="257" t="s">
        <v>97</v>
      </c>
      <c r="C66" s="361" t="str">
        <f>'RFPR cover'!$C$14</f>
        <v>£m 12/13</v>
      </c>
      <c r="D66" s="256">
        <f>'R8 - Net Debt'!D62</f>
        <v>583.81850104598516</v>
      </c>
      <c r="E66" s="192">
        <f>'R8 - Net Debt'!E62</f>
        <v>590.14944272800562</v>
      </c>
      <c r="F66" s="192">
        <f>'R8 - Net Debt'!F62</f>
        <v>596.64769716895159</v>
      </c>
      <c r="G66" s="192">
        <f>'R8 - Net Debt'!G62</f>
        <v>578.14473125101995</v>
      </c>
      <c r="H66" s="192">
        <f>'R8 - Net Debt'!H62</f>
        <v>584.8961386197177</v>
      </c>
      <c r="I66" s="192">
        <f>'R8 - Net Debt'!I62</f>
        <v>606.30649412409673</v>
      </c>
      <c r="J66" s="192">
        <f>'R8 - Net Debt'!J62</f>
        <v>626.47451512895213</v>
      </c>
      <c r="K66" s="193">
        <f>'R8 - Net Debt'!K62</f>
        <v>640.98454270248078</v>
      </c>
    </row>
  </sheetData>
  <sheetProtection password="FE19" sheet="1" objects="1" scenarios="1"/>
  <conditionalFormatting sqref="D5:K6">
    <cfRule type="expression" dxfId="48"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G37" sqref="G37"/>
    </sheetView>
  </sheetViews>
  <sheetFormatPr defaultRowHeight="12.75"/>
  <cols>
    <col min="1" max="1" width="8.375" customWidth="1"/>
    <col min="2" max="2" width="64.375" style="223" customWidth="1"/>
    <col min="3" max="3" width="13.375" style="144" customWidth="1"/>
    <col min="4" max="11" width="11.125" customWidth="1"/>
    <col min="12" max="12" width="5" style="43" customWidth="1"/>
  </cols>
  <sheetData>
    <row r="1" spans="1:12" s="32" customFormat="1" ht="20.25">
      <c r="A1" s="268" t="s">
        <v>109</v>
      </c>
      <c r="B1" s="801"/>
      <c r="C1" s="289"/>
      <c r="D1" s="288"/>
      <c r="E1" s="288"/>
      <c r="F1" s="288"/>
      <c r="G1" s="288"/>
      <c r="H1" s="288"/>
      <c r="I1" s="288"/>
      <c r="J1" s="288"/>
      <c r="K1" s="288"/>
      <c r="L1" s="290"/>
    </row>
    <row r="2" spans="1:12" s="32" customFormat="1" ht="20.25">
      <c r="A2" s="126" t="str">
        <f>'RFPR cover'!C5</f>
        <v>ENWL</v>
      </c>
      <c r="B2" s="415"/>
      <c r="C2" s="142"/>
      <c r="D2" s="30"/>
      <c r="E2" s="30"/>
      <c r="F2" s="30"/>
      <c r="G2" s="30"/>
      <c r="H2" s="30"/>
      <c r="I2" s="27"/>
      <c r="J2" s="27"/>
      <c r="K2" s="27"/>
      <c r="L2" s="127"/>
    </row>
    <row r="3" spans="1:12" s="32" customFormat="1" ht="20.25">
      <c r="A3" s="273">
        <f>'RFPR cover'!C7</f>
        <v>2019</v>
      </c>
      <c r="B3" s="416"/>
      <c r="C3" s="291"/>
      <c r="D3" s="274"/>
      <c r="E3" s="274"/>
      <c r="F3" s="274"/>
      <c r="G3" s="274"/>
      <c r="H3" s="274"/>
      <c r="I3" s="267"/>
      <c r="J3" s="267"/>
      <c r="K3" s="267"/>
      <c r="L3" s="275"/>
    </row>
    <row r="4" spans="1:12" s="36" customFormat="1" ht="12.75" customHeight="1">
      <c r="B4" s="235"/>
      <c r="C4" s="146"/>
      <c r="L4" s="59"/>
    </row>
    <row r="5" spans="1:12" s="2" customFormat="1">
      <c r="B5" s="134"/>
      <c r="C5" s="144"/>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802"/>
      <c r="C7" s="160"/>
      <c r="D7" s="51"/>
      <c r="E7" s="51"/>
      <c r="F7" s="51"/>
      <c r="G7" s="51"/>
      <c r="H7" s="51"/>
      <c r="I7" s="51"/>
      <c r="J7" s="51"/>
      <c r="K7" s="51"/>
      <c r="L7" s="59"/>
    </row>
    <row r="8" spans="1:12" s="2" customFormat="1">
      <c r="B8" s="803" t="s">
        <v>145</v>
      </c>
      <c r="C8" s="158"/>
      <c r="D8" s="82"/>
      <c r="E8" s="82"/>
      <c r="F8" s="82"/>
      <c r="G8" s="82"/>
      <c r="H8" s="82"/>
      <c r="I8" s="82"/>
      <c r="J8" s="82"/>
      <c r="K8" s="82"/>
      <c r="L8" s="286"/>
    </row>
    <row r="9" spans="1:12" s="36" customFormat="1">
      <c r="A9" s="2"/>
      <c r="B9" s="804"/>
      <c r="C9" s="146"/>
      <c r="L9" s="59"/>
    </row>
    <row r="10" spans="1:12" s="2" customFormat="1">
      <c r="B10" s="805" t="s">
        <v>363</v>
      </c>
      <c r="C10" s="159" t="str">
        <f>'RFPR cover'!$C$14</f>
        <v>£m 12/13</v>
      </c>
      <c r="D10" s="623">
        <v>373</v>
      </c>
      <c r="E10" s="624">
        <v>379.9</v>
      </c>
      <c r="F10" s="624">
        <v>360.9</v>
      </c>
      <c r="G10" s="624">
        <v>357.3</v>
      </c>
      <c r="H10" s="624"/>
      <c r="I10" s="624"/>
      <c r="J10" s="624"/>
      <c r="K10" s="624"/>
      <c r="L10" s="59"/>
    </row>
    <row r="11" spans="1:12" s="2" customFormat="1">
      <c r="B11" s="805" t="s">
        <v>364</v>
      </c>
      <c r="C11" s="159" t="str">
        <f>'RFPR cover'!$C$14</f>
        <v>£m 12/13</v>
      </c>
      <c r="D11" s="625">
        <v>0</v>
      </c>
      <c r="E11" s="626">
        <v>-3.2491500373297413</v>
      </c>
      <c r="F11" s="626">
        <v>-4.9139999999999997</v>
      </c>
      <c r="G11" s="626">
        <v>-11.597</v>
      </c>
      <c r="H11" s="626"/>
      <c r="I11" s="626"/>
      <c r="J11" s="626"/>
      <c r="K11" s="626"/>
      <c r="L11" s="59"/>
    </row>
    <row r="12" spans="1:12" s="2" customFormat="1">
      <c r="B12" s="805" t="s">
        <v>137</v>
      </c>
      <c r="C12" s="159" t="str">
        <f>'RFPR cover'!$C$14</f>
        <v>£m 12/13</v>
      </c>
      <c r="D12" s="625">
        <v>0</v>
      </c>
      <c r="E12" s="626">
        <v>0</v>
      </c>
      <c r="F12" s="626">
        <v>-8.2050799877558322</v>
      </c>
      <c r="G12" s="626">
        <v>-1.4825975099565856</v>
      </c>
      <c r="H12" s="626"/>
      <c r="I12" s="626"/>
      <c r="J12" s="626"/>
      <c r="K12" s="626"/>
      <c r="L12" s="59"/>
    </row>
    <row r="13" spans="1:12" s="2" customFormat="1">
      <c r="B13" s="805" t="s">
        <v>352</v>
      </c>
      <c r="C13" s="160" t="s">
        <v>117</v>
      </c>
      <c r="D13" s="855">
        <v>1.0820000000000001</v>
      </c>
      <c r="E13" s="856">
        <v>1.087</v>
      </c>
      <c r="F13" s="856">
        <v>1.121</v>
      </c>
      <c r="G13" s="856">
        <v>1.159</v>
      </c>
      <c r="H13" s="856"/>
      <c r="I13" s="856"/>
      <c r="J13" s="856"/>
      <c r="K13" s="856"/>
      <c r="L13" s="59"/>
    </row>
    <row r="14" spans="1:12" s="2" customFormat="1">
      <c r="B14" s="806" t="s">
        <v>186</v>
      </c>
      <c r="C14" s="280" t="s">
        <v>118</v>
      </c>
      <c r="D14" s="658">
        <f>SUM(D10:D12)*D13</f>
        <v>403.58600000000001</v>
      </c>
      <c r="E14" s="659">
        <f t="shared" ref="E14:K14" si="1">SUM(E10:E12)*E13</f>
        <v>409.41947390942255</v>
      </c>
      <c r="F14" s="659">
        <f t="shared" si="1"/>
        <v>389.86241133372573</v>
      </c>
      <c r="G14" s="659">
        <f t="shared" si="1"/>
        <v>398.95144648596039</v>
      </c>
      <c r="H14" s="659">
        <f t="shared" si="1"/>
        <v>0</v>
      </c>
      <c r="I14" s="659">
        <f t="shared" si="1"/>
        <v>0</v>
      </c>
      <c r="J14" s="659">
        <f t="shared" si="1"/>
        <v>0</v>
      </c>
      <c r="K14" s="660">
        <f t="shared" si="1"/>
        <v>0</v>
      </c>
      <c r="L14" s="59"/>
    </row>
    <row r="15" spans="1:12" s="2" customFormat="1">
      <c r="B15" s="223" t="s">
        <v>121</v>
      </c>
      <c r="C15" s="160" t="s">
        <v>118</v>
      </c>
      <c r="D15" s="627">
        <f>'R5 - Output Incentives'!D102</f>
        <v>8.3946523265849056</v>
      </c>
      <c r="E15" s="628">
        <f>'R5 - Output Incentives'!E102</f>
        <v>15.816916746370953</v>
      </c>
      <c r="F15" s="629">
        <f>'R5 - Output Incentives'!F102</f>
        <v>17.225729169157102</v>
      </c>
      <c r="G15" s="629">
        <f>'R5 - Output Incentives'!G102</f>
        <v>16.717066034911376</v>
      </c>
      <c r="H15" s="629">
        <f>'R5 - Output Incentives'!H102</f>
        <v>15.831867129179622</v>
      </c>
      <c r="I15" s="629">
        <f>'R5 - Output Incentives'!I102</f>
        <v>17.017609010904362</v>
      </c>
      <c r="J15" s="629">
        <f>'R5 - Output Incentives'!J102</f>
        <v>23.51033028939873</v>
      </c>
      <c r="K15" s="630">
        <f>'R5 - Output Incentives'!K102</f>
        <v>25.015913255330979</v>
      </c>
      <c r="L15" s="59"/>
    </row>
    <row r="16" spans="1:12" s="2" customFormat="1">
      <c r="B16" s="807" t="s">
        <v>365</v>
      </c>
      <c r="C16" s="160" t="s">
        <v>118</v>
      </c>
      <c r="D16" s="625">
        <v>0</v>
      </c>
      <c r="E16" s="626">
        <v>0</v>
      </c>
      <c r="F16" s="626">
        <v>-0.88931801153572032</v>
      </c>
      <c r="G16" s="626">
        <v>-0.8470221320312612</v>
      </c>
      <c r="H16" s="626"/>
      <c r="I16" s="626"/>
      <c r="J16" s="626"/>
      <c r="K16" s="626"/>
      <c r="L16" s="59"/>
    </row>
    <row r="17" spans="2:12" s="2" customFormat="1">
      <c r="B17" s="807" t="s">
        <v>124</v>
      </c>
      <c r="C17" s="160" t="s">
        <v>118</v>
      </c>
      <c r="D17" s="627">
        <f>'R6 - Innovation'!D12</f>
        <v>2.5253786443801003</v>
      </c>
      <c r="E17" s="628">
        <f>'R6 - Innovation'!E12</f>
        <v>2.8649822704817343</v>
      </c>
      <c r="F17" s="629">
        <f>'R6 - Innovation'!F12</f>
        <v>2.7290368793360802</v>
      </c>
      <c r="G17" s="629">
        <f>'R6 - Innovation'!G12</f>
        <v>2.7926601254017229</v>
      </c>
      <c r="H17" s="629">
        <f>'R6 - Innovation'!H12</f>
        <v>2.8695158462162538</v>
      </c>
      <c r="I17" s="629">
        <f>'R6 - Innovation'!I12</f>
        <v>2.871536050780263</v>
      </c>
      <c r="J17" s="629">
        <f>'R6 - Innovation'!J12</f>
        <v>2.9655146858932602</v>
      </c>
      <c r="K17" s="630">
        <f>'R6 - Innovation'!K12</f>
        <v>3.070965781040818</v>
      </c>
      <c r="L17" s="59"/>
    </row>
    <row r="18" spans="2:12" s="2" customFormat="1">
      <c r="B18" s="807" t="s">
        <v>123</v>
      </c>
      <c r="C18" s="160" t="s">
        <v>118</v>
      </c>
      <c r="D18" s="627">
        <f>'R6 - Innovation'!D17</f>
        <v>1.6461309099999999</v>
      </c>
      <c r="E18" s="628">
        <f>'R6 - Innovation'!E17</f>
        <v>8.7207129999999994E-2</v>
      </c>
      <c r="F18" s="629">
        <f>'R6 - Innovation'!F17</f>
        <v>0.25213538000000002</v>
      </c>
      <c r="G18" s="629">
        <f>'R6 - Innovation'!G17</f>
        <v>0.68253417000000005</v>
      </c>
      <c r="H18" s="629">
        <f>'R6 - Innovation'!H17</f>
        <v>9.3236239999999998E-2</v>
      </c>
      <c r="I18" s="629">
        <f>'R6 - Innovation'!I17</f>
        <v>0</v>
      </c>
      <c r="J18" s="629">
        <f>'R6 - Innovation'!J17</f>
        <v>0</v>
      </c>
      <c r="K18" s="630">
        <f>'R6 - Innovation'!K17</f>
        <v>0</v>
      </c>
      <c r="L18" s="59"/>
    </row>
    <row r="19" spans="2:12" s="2" customFormat="1">
      <c r="B19" s="570" t="s">
        <v>510</v>
      </c>
      <c r="C19" s="160" t="s">
        <v>118</v>
      </c>
      <c r="D19" s="625">
        <v>0</v>
      </c>
      <c r="E19" s="626">
        <v>0</v>
      </c>
      <c r="F19" s="626">
        <v>0</v>
      </c>
      <c r="G19" s="626">
        <v>0</v>
      </c>
      <c r="H19" s="626"/>
      <c r="I19" s="626"/>
      <c r="J19" s="626"/>
      <c r="K19" s="626"/>
      <c r="L19" s="59"/>
    </row>
    <row r="20" spans="2:12" s="2" customFormat="1">
      <c r="B20" s="570" t="s">
        <v>511</v>
      </c>
      <c r="C20" s="160" t="s">
        <v>118</v>
      </c>
      <c r="D20" s="625">
        <v>0</v>
      </c>
      <c r="E20" s="626">
        <v>0</v>
      </c>
      <c r="F20" s="626">
        <v>0</v>
      </c>
      <c r="G20" s="626">
        <v>0</v>
      </c>
      <c r="H20" s="626"/>
      <c r="I20" s="626"/>
      <c r="J20" s="626"/>
      <c r="K20" s="626"/>
      <c r="L20" s="59"/>
    </row>
    <row r="21" spans="2:12" s="2" customFormat="1">
      <c r="B21" s="570" t="s">
        <v>512</v>
      </c>
      <c r="C21" s="160" t="s">
        <v>118</v>
      </c>
      <c r="D21" s="625">
        <v>-11.558263661289118</v>
      </c>
      <c r="E21" s="626">
        <v>-10.709473797917887</v>
      </c>
      <c r="F21" s="626">
        <v>0</v>
      </c>
      <c r="G21" s="626">
        <v>0</v>
      </c>
      <c r="H21" s="626"/>
      <c r="I21" s="626"/>
      <c r="J21" s="626"/>
      <c r="K21" s="626"/>
      <c r="L21" s="59"/>
    </row>
    <row r="22" spans="2:12" s="2" customFormat="1">
      <c r="B22" s="570" t="s">
        <v>233</v>
      </c>
      <c r="C22" s="160" t="s">
        <v>118</v>
      </c>
      <c r="D22" s="625"/>
      <c r="E22" s="626"/>
      <c r="F22" s="626"/>
      <c r="G22" s="626"/>
      <c r="H22" s="626"/>
      <c r="I22" s="626"/>
      <c r="J22" s="626"/>
      <c r="K22" s="626"/>
      <c r="L22" s="59"/>
    </row>
    <row r="23" spans="2:12" s="2" customFormat="1">
      <c r="B23" s="570" t="s">
        <v>233</v>
      </c>
      <c r="C23" s="160" t="s">
        <v>118</v>
      </c>
      <c r="D23" s="625"/>
      <c r="E23" s="626"/>
      <c r="F23" s="626"/>
      <c r="G23" s="626"/>
      <c r="H23" s="626"/>
      <c r="I23" s="626"/>
      <c r="J23" s="626"/>
      <c r="K23" s="626"/>
      <c r="L23" s="59"/>
    </row>
    <row r="24" spans="2:12" s="2" customFormat="1">
      <c r="B24" s="570" t="s">
        <v>233</v>
      </c>
      <c r="C24" s="160" t="s">
        <v>118</v>
      </c>
      <c r="D24" s="625"/>
      <c r="E24" s="626"/>
      <c r="F24" s="626"/>
      <c r="G24" s="626"/>
      <c r="H24" s="626"/>
      <c r="I24" s="626"/>
      <c r="J24" s="626"/>
      <c r="K24" s="626"/>
      <c r="L24" s="59"/>
    </row>
    <row r="25" spans="2:12" s="2" customFormat="1">
      <c r="B25" s="807" t="s">
        <v>125</v>
      </c>
      <c r="C25" s="160" t="s">
        <v>118</v>
      </c>
      <c r="D25" s="625">
        <v>0</v>
      </c>
      <c r="E25" s="626">
        <v>-30.584258893461001</v>
      </c>
      <c r="F25" s="626">
        <v>11.088673086225823</v>
      </c>
      <c r="G25" s="626">
        <v>4.1599120641999239</v>
      </c>
      <c r="H25" s="626"/>
      <c r="I25" s="626"/>
      <c r="J25" s="626"/>
      <c r="K25" s="626"/>
      <c r="L25" s="59"/>
    </row>
    <row r="26" spans="2:12" s="2" customFormat="1">
      <c r="B26" s="802" t="s">
        <v>138</v>
      </c>
      <c r="C26" s="160" t="s">
        <v>118</v>
      </c>
      <c r="D26" s="631">
        <f>SUM(D14:D24,-D25)</f>
        <v>404.59389821967591</v>
      </c>
      <c r="E26" s="632">
        <f t="shared" ref="E26:K26" si="2">SUM(E14:E24,-E25)</f>
        <v>448.0633651518184</v>
      </c>
      <c r="F26" s="632">
        <f t="shared" si="2"/>
        <v>398.09132166445744</v>
      </c>
      <c r="G26" s="632">
        <f t="shared" si="2"/>
        <v>414.13677262004228</v>
      </c>
      <c r="H26" s="632">
        <f t="shared" si="2"/>
        <v>18.794619215395876</v>
      </c>
      <c r="I26" s="632">
        <f t="shared" si="2"/>
        <v>19.889145061684626</v>
      </c>
      <c r="J26" s="632">
        <f t="shared" si="2"/>
        <v>26.475844975291992</v>
      </c>
      <c r="K26" s="633">
        <f t="shared" si="2"/>
        <v>28.086879036371798</v>
      </c>
      <c r="L26" s="59"/>
    </row>
    <row r="27" spans="2:12" s="2" customFormat="1">
      <c r="B27" s="235"/>
      <c r="C27" s="146"/>
      <c r="D27" s="56"/>
      <c r="E27" s="56"/>
      <c r="F27" s="56"/>
      <c r="G27" s="62"/>
      <c r="H27" s="62"/>
      <c r="I27" s="62"/>
      <c r="J27" s="62"/>
      <c r="K27" s="62"/>
      <c r="L27" s="59"/>
    </row>
    <row r="28" spans="2:12" s="2" customFormat="1">
      <c r="B28" s="235" t="s">
        <v>140</v>
      </c>
      <c r="C28" s="146"/>
      <c r="D28" s="631">
        <f>IF(ISBLANK(D33),0,D33-D26)</f>
        <v>10.675290732227722</v>
      </c>
      <c r="E28" s="632">
        <f t="shared" ref="E28:K28" si="3">IF(ISBLANK(E33),0,E33-E26)</f>
        <v>4.0106220580176455</v>
      </c>
      <c r="F28" s="632">
        <f t="shared" si="3"/>
        <v>-3.6833216644574236</v>
      </c>
      <c r="G28" s="632">
        <f t="shared" si="3"/>
        <v>-0.22025295004232248</v>
      </c>
      <c r="H28" s="632">
        <f t="shared" si="3"/>
        <v>0</v>
      </c>
      <c r="I28" s="632">
        <f t="shared" si="3"/>
        <v>0</v>
      </c>
      <c r="J28" s="632">
        <f t="shared" si="3"/>
        <v>0</v>
      </c>
      <c r="K28" s="633">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803" t="s">
        <v>183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804" t="s">
        <v>139</v>
      </c>
      <c r="C33" s="146"/>
      <c r="D33" s="667">
        <v>415.26918895190363</v>
      </c>
      <c r="E33" s="668">
        <v>452.07398720983605</v>
      </c>
      <c r="F33" s="668">
        <v>394.40800000000002</v>
      </c>
      <c r="G33" s="668">
        <v>413.91651966999996</v>
      </c>
      <c r="H33" s="668"/>
      <c r="I33" s="668"/>
      <c r="J33" s="668"/>
      <c r="K33" s="669"/>
      <c r="L33" s="59"/>
    </row>
    <row r="34" spans="2:12" s="2" customFormat="1">
      <c r="B34" s="134"/>
      <c r="C34" s="144"/>
      <c r="L34" s="59"/>
    </row>
    <row r="35" spans="2:12" s="2" customFormat="1">
      <c r="B35" s="418" t="s">
        <v>126</v>
      </c>
      <c r="C35" s="144"/>
      <c r="L35" s="59"/>
    </row>
    <row r="36" spans="2:12" s="2" customFormat="1">
      <c r="B36" s="937" t="s">
        <v>127</v>
      </c>
      <c r="C36" s="160" t="s">
        <v>118</v>
      </c>
      <c r="D36" s="623">
        <v>0</v>
      </c>
      <c r="E36" s="624">
        <v>4.74383351</v>
      </c>
      <c r="F36" s="624">
        <v>0</v>
      </c>
      <c r="G36" s="624">
        <v>0</v>
      </c>
      <c r="H36" s="624"/>
      <c r="I36" s="624"/>
      <c r="J36" s="624"/>
      <c r="K36" s="634"/>
      <c r="L36" s="59"/>
    </row>
    <row r="37" spans="2:12" s="2" customFormat="1">
      <c r="B37" s="937" t="s">
        <v>128</v>
      </c>
      <c r="C37" s="160" t="s">
        <v>118</v>
      </c>
      <c r="D37" s="625">
        <v>3.3428548300000003</v>
      </c>
      <c r="E37" s="626">
        <v>3.1227670000000001</v>
      </c>
      <c r="F37" s="626">
        <v>2.7855081400000001</v>
      </c>
      <c r="G37" s="626">
        <v>2.5674263699999997</v>
      </c>
      <c r="H37" s="626"/>
      <c r="I37" s="626"/>
      <c r="J37" s="626"/>
      <c r="K37" s="635"/>
      <c r="L37" s="59"/>
    </row>
    <row r="38" spans="2:12" s="2" customFormat="1">
      <c r="B38" s="937" t="s">
        <v>129</v>
      </c>
      <c r="C38" s="160" t="s">
        <v>118</v>
      </c>
      <c r="D38" s="625">
        <v>54.082507396350096</v>
      </c>
      <c r="E38" s="626">
        <v>55.814502219999994</v>
      </c>
      <c r="F38" s="626">
        <v>48.158962101949264</v>
      </c>
      <c r="G38" s="626">
        <v>48.971750857535376</v>
      </c>
      <c r="H38" s="626"/>
      <c r="I38" s="626"/>
      <c r="J38" s="626"/>
      <c r="K38" s="635"/>
      <c r="L38" s="59"/>
    </row>
    <row r="39" spans="2:12" s="2" customFormat="1">
      <c r="B39" s="937" t="s">
        <v>130</v>
      </c>
      <c r="C39" s="160" t="s">
        <v>118</v>
      </c>
      <c r="D39" s="625">
        <v>0</v>
      </c>
      <c r="E39" s="626">
        <v>0</v>
      </c>
      <c r="F39" s="626">
        <v>0</v>
      </c>
      <c r="G39" s="626">
        <v>0</v>
      </c>
      <c r="H39" s="626"/>
      <c r="I39" s="626"/>
      <c r="J39" s="626"/>
      <c r="K39" s="635"/>
      <c r="L39" s="59"/>
    </row>
    <row r="40" spans="2:12" s="2" customFormat="1">
      <c r="B40" s="937" t="s">
        <v>131</v>
      </c>
      <c r="C40" s="160" t="s">
        <v>118</v>
      </c>
      <c r="D40" s="625">
        <v>0</v>
      </c>
      <c r="E40" s="626">
        <v>0</v>
      </c>
      <c r="F40" s="626">
        <v>0</v>
      </c>
      <c r="G40" s="626">
        <v>0</v>
      </c>
      <c r="H40" s="626"/>
      <c r="I40" s="626"/>
      <c r="J40" s="626"/>
      <c r="K40" s="635"/>
      <c r="L40" s="59"/>
    </row>
    <row r="41" spans="2:12" s="2" customFormat="1">
      <c r="B41" s="937" t="s">
        <v>132</v>
      </c>
      <c r="C41" s="160" t="s">
        <v>118</v>
      </c>
      <c r="D41" s="625">
        <v>1.6678053200000009</v>
      </c>
      <c r="E41" s="626">
        <v>0.96157862000000005</v>
      </c>
      <c r="F41" s="626">
        <v>4.3052643555645682</v>
      </c>
      <c r="G41" s="626">
        <v>2.084525071464622</v>
      </c>
      <c r="H41" s="626"/>
      <c r="I41" s="626"/>
      <c r="J41" s="626"/>
      <c r="K41" s="635"/>
      <c r="L41" s="59"/>
    </row>
    <row r="42" spans="2:12" s="2" customFormat="1">
      <c r="B42" s="937" t="s">
        <v>133</v>
      </c>
      <c r="C42" s="160" t="s">
        <v>118</v>
      </c>
      <c r="D42" s="625">
        <v>0</v>
      </c>
      <c r="E42" s="626">
        <v>0</v>
      </c>
      <c r="F42" s="626">
        <v>0</v>
      </c>
      <c r="G42" s="626">
        <v>0</v>
      </c>
      <c r="H42" s="626"/>
      <c r="I42" s="626"/>
      <c r="J42" s="626"/>
      <c r="K42" s="635"/>
      <c r="L42" s="59"/>
    </row>
    <row r="43" spans="2:12" s="2" customFormat="1">
      <c r="B43" s="938" t="s">
        <v>134</v>
      </c>
      <c r="C43" s="160" t="s">
        <v>118</v>
      </c>
      <c r="D43" s="636">
        <v>0</v>
      </c>
      <c r="E43" s="637">
        <v>0</v>
      </c>
      <c r="F43" s="637">
        <v>0</v>
      </c>
      <c r="G43" s="637">
        <v>0</v>
      </c>
      <c r="H43" s="637"/>
      <c r="I43" s="637"/>
      <c r="J43" s="637"/>
      <c r="K43" s="638"/>
      <c r="L43" s="59"/>
    </row>
    <row r="44" spans="2:12" s="2" customFormat="1">
      <c r="B44" s="936" t="s">
        <v>513</v>
      </c>
      <c r="C44" s="160" t="s">
        <v>118</v>
      </c>
      <c r="D44" s="636">
        <v>0</v>
      </c>
      <c r="E44" s="637">
        <v>0</v>
      </c>
      <c r="F44" s="637">
        <v>0</v>
      </c>
      <c r="G44" s="637">
        <v>0.62048033000000002</v>
      </c>
      <c r="H44" s="637"/>
      <c r="I44" s="637"/>
      <c r="J44" s="637"/>
      <c r="K44" s="638"/>
      <c r="L44" s="59"/>
    </row>
    <row r="45" spans="2:12" s="2" customFormat="1">
      <c r="B45" s="418" t="s">
        <v>166</v>
      </c>
      <c r="C45" s="160" t="s">
        <v>118</v>
      </c>
      <c r="D45" s="639">
        <f>SUM(D36:D44)</f>
        <v>59.093167546350095</v>
      </c>
      <c r="E45" s="640">
        <f t="shared" ref="E45:K45" si="4">SUM(E36:E44)</f>
        <v>64.642681349999989</v>
      </c>
      <c r="F45" s="640">
        <f t="shared" si="4"/>
        <v>55.249734597513829</v>
      </c>
      <c r="G45" s="640">
        <f t="shared" si="4"/>
        <v>54.244182629000001</v>
      </c>
      <c r="H45" s="640">
        <f t="shared" si="4"/>
        <v>0</v>
      </c>
      <c r="I45" s="640">
        <f t="shared" si="4"/>
        <v>0</v>
      </c>
      <c r="J45" s="640">
        <f t="shared" si="4"/>
        <v>0</v>
      </c>
      <c r="K45" s="641">
        <f t="shared" si="4"/>
        <v>0</v>
      </c>
      <c r="L45" s="59"/>
    </row>
    <row r="46" spans="2:12" s="2" customFormat="1">
      <c r="B46" s="134"/>
      <c r="C46" s="144"/>
      <c r="L46" s="59"/>
    </row>
    <row r="47" spans="2:12" s="2" customFormat="1">
      <c r="B47" s="418" t="s">
        <v>135</v>
      </c>
      <c r="C47" s="144"/>
      <c r="L47" s="55"/>
    </row>
    <row r="48" spans="2:12" s="2" customFormat="1">
      <c r="B48" s="570" t="s">
        <v>514</v>
      </c>
      <c r="C48" s="160" t="s">
        <v>118</v>
      </c>
      <c r="D48" s="642">
        <v>-38.202786846350094</v>
      </c>
      <c r="E48" s="643">
        <v>-41.48276181</v>
      </c>
      <c r="F48" s="643">
        <v>-33.142870897513831</v>
      </c>
      <c r="G48" s="643">
        <v>-35.908215939000002</v>
      </c>
      <c r="H48" s="643"/>
      <c r="I48" s="643"/>
      <c r="J48" s="643"/>
      <c r="K48" s="644"/>
      <c r="L48" s="59"/>
    </row>
    <row r="49" spans="2:12" s="2" customFormat="1">
      <c r="B49" s="570" t="s">
        <v>515</v>
      </c>
      <c r="C49" s="160" t="s">
        <v>118</v>
      </c>
      <c r="D49" s="645">
        <v>5.5660210000000001</v>
      </c>
      <c r="E49" s="646">
        <v>-1.4829417399999998</v>
      </c>
      <c r="F49" s="646">
        <v>2.3942835800000002</v>
      </c>
      <c r="G49" s="646">
        <v>2.4063430100000001</v>
      </c>
      <c r="H49" s="646"/>
      <c r="I49" s="646"/>
      <c r="J49" s="646"/>
      <c r="K49" s="647"/>
      <c r="L49" s="59"/>
    </row>
    <row r="50" spans="2:12" s="2" customFormat="1">
      <c r="B50" s="570" t="s">
        <v>516</v>
      </c>
      <c r="C50" s="160" t="s">
        <v>118</v>
      </c>
      <c r="D50" s="645">
        <v>2.2785844700000002</v>
      </c>
      <c r="E50" s="646">
        <v>2.4680794000000001</v>
      </c>
      <c r="F50" s="646">
        <v>1.8157624200000007</v>
      </c>
      <c r="G50" s="646">
        <v>2.5789156900000014</v>
      </c>
      <c r="H50" s="646"/>
      <c r="I50" s="646"/>
      <c r="J50" s="646"/>
      <c r="K50" s="647"/>
      <c r="L50" s="59"/>
    </row>
    <row r="51" spans="2:12" s="2" customFormat="1">
      <c r="B51" s="570" t="s">
        <v>517</v>
      </c>
      <c r="C51" s="160" t="s">
        <v>118</v>
      </c>
      <c r="D51" s="645">
        <v>4.6383260000000002</v>
      </c>
      <c r="E51" s="646">
        <v>5.5418890000000003</v>
      </c>
      <c r="F51" s="646">
        <v>6.39616805</v>
      </c>
      <c r="G51" s="646">
        <v>17.593685810000004</v>
      </c>
      <c r="H51" s="646"/>
      <c r="I51" s="646"/>
      <c r="J51" s="646"/>
      <c r="K51" s="647"/>
      <c r="L51" s="59"/>
    </row>
    <row r="52" spans="2:12" s="2" customFormat="1">
      <c r="B52" s="570" t="s">
        <v>518</v>
      </c>
      <c r="C52" s="160" t="s">
        <v>118</v>
      </c>
      <c r="D52" s="645">
        <v>0.94732206000000008</v>
      </c>
      <c r="E52" s="646">
        <v>0.91621300000000006</v>
      </c>
      <c r="F52" s="646">
        <v>1.2438243399999998</v>
      </c>
      <c r="G52" s="646">
        <v>1.25670525</v>
      </c>
      <c r="H52" s="646"/>
      <c r="I52" s="646"/>
      <c r="J52" s="646"/>
      <c r="K52" s="647"/>
      <c r="L52" s="59"/>
    </row>
    <row r="53" spans="2:12" s="2" customFormat="1">
      <c r="B53" s="570" t="s">
        <v>519</v>
      </c>
      <c r="C53" s="160" t="s">
        <v>118</v>
      </c>
      <c r="D53" s="645">
        <v>0.87485400000000002</v>
      </c>
      <c r="E53" s="646">
        <v>0.99982599999999999</v>
      </c>
      <c r="F53" s="646">
        <v>1.1054805599999999</v>
      </c>
      <c r="G53" s="646">
        <v>1.4557728900000002</v>
      </c>
      <c r="H53" s="646"/>
      <c r="I53" s="646"/>
      <c r="J53" s="646"/>
      <c r="K53" s="647"/>
      <c r="L53" s="59"/>
    </row>
    <row r="54" spans="2:12" s="2" customFormat="1">
      <c r="B54" s="570" t="s">
        <v>520</v>
      </c>
      <c r="C54" s="160" t="s">
        <v>118</v>
      </c>
      <c r="D54" s="645">
        <v>0.17303499999999999</v>
      </c>
      <c r="E54" s="646">
        <v>0.28488606</v>
      </c>
      <c r="F54" s="646">
        <v>0.32445767999999997</v>
      </c>
      <c r="G54" s="646">
        <v>0.16728709</v>
      </c>
      <c r="H54" s="646"/>
      <c r="I54" s="646"/>
      <c r="J54" s="646"/>
      <c r="K54" s="647"/>
      <c r="L54" s="59"/>
    </row>
    <row r="55" spans="2:12" s="2" customFormat="1">
      <c r="B55" s="570" t="s">
        <v>521</v>
      </c>
      <c r="C55" s="160" t="s">
        <v>118</v>
      </c>
      <c r="D55" s="645">
        <v>3.8899790000000004E-2</v>
      </c>
      <c r="E55" s="646">
        <v>2.1218000000000001E-2</v>
      </c>
      <c r="F55" s="646">
        <v>0</v>
      </c>
      <c r="G55" s="646">
        <v>0</v>
      </c>
      <c r="H55" s="646"/>
      <c r="I55" s="646"/>
      <c r="J55" s="646"/>
      <c r="K55" s="647"/>
      <c r="L55" s="59"/>
    </row>
    <row r="56" spans="2:12" s="2" customFormat="1">
      <c r="B56" s="570" t="s">
        <v>522</v>
      </c>
      <c r="C56" s="160" t="s">
        <v>118</v>
      </c>
      <c r="D56" s="645">
        <v>5.2614899999999997E-3</v>
      </c>
      <c r="E56" s="646">
        <v>6.5290000000000001E-3</v>
      </c>
      <c r="F56" s="646">
        <v>1.250826E-2</v>
      </c>
      <c r="G56" s="646">
        <v>0.30560978</v>
      </c>
      <c r="H56" s="646"/>
      <c r="I56" s="646"/>
      <c r="J56" s="646"/>
      <c r="K56" s="647"/>
      <c r="L56" s="59"/>
    </row>
    <row r="57" spans="2:12" s="2" customFormat="1">
      <c r="B57" s="570" t="s">
        <v>523</v>
      </c>
      <c r="C57" s="160" t="s">
        <v>118</v>
      </c>
      <c r="D57" s="645">
        <v>8.3865010000000004E-2</v>
      </c>
      <c r="E57" s="646">
        <v>1.4831505899999999</v>
      </c>
      <c r="F57" s="646">
        <v>0.39443776000000003</v>
      </c>
      <c r="G57" s="646">
        <v>0.30644798000000001</v>
      </c>
      <c r="H57" s="646"/>
      <c r="I57" s="646"/>
      <c r="J57" s="646"/>
      <c r="K57" s="647"/>
      <c r="L57" s="59"/>
    </row>
    <row r="58" spans="2:12" s="2" customFormat="1">
      <c r="B58" s="945" t="s">
        <v>233</v>
      </c>
      <c r="C58" s="160" t="s">
        <v>118</v>
      </c>
      <c r="D58" s="645">
        <v>0</v>
      </c>
      <c r="E58" s="646">
        <v>0</v>
      </c>
      <c r="F58" s="646">
        <v>0</v>
      </c>
      <c r="G58" s="646">
        <v>0</v>
      </c>
      <c r="H58" s="646"/>
      <c r="I58" s="646"/>
      <c r="J58" s="646"/>
      <c r="K58" s="647"/>
      <c r="L58" s="59"/>
    </row>
    <row r="59" spans="2:12" s="2" customFormat="1">
      <c r="B59" s="570" t="s">
        <v>233</v>
      </c>
      <c r="C59" s="160" t="s">
        <v>118</v>
      </c>
      <c r="D59" s="645">
        <v>0</v>
      </c>
      <c r="E59" s="646">
        <v>0</v>
      </c>
      <c r="F59" s="646">
        <v>0</v>
      </c>
      <c r="G59" s="646">
        <v>0</v>
      </c>
      <c r="H59" s="646"/>
      <c r="I59" s="646"/>
      <c r="J59" s="646"/>
      <c r="K59" s="647"/>
      <c r="L59" s="59"/>
    </row>
    <row r="60" spans="2:12" s="2" customFormat="1">
      <c r="B60" s="570" t="s">
        <v>233</v>
      </c>
      <c r="C60" s="160" t="s">
        <v>118</v>
      </c>
      <c r="D60" s="645">
        <v>0</v>
      </c>
      <c r="E60" s="646">
        <v>0</v>
      </c>
      <c r="F60" s="646">
        <v>0</v>
      </c>
      <c r="G60" s="646">
        <v>0</v>
      </c>
      <c r="H60" s="646"/>
      <c r="I60" s="646"/>
      <c r="J60" s="646"/>
      <c r="K60" s="647"/>
      <c r="L60" s="59"/>
    </row>
    <row r="61" spans="2:12" s="2" customFormat="1">
      <c r="B61" s="570" t="s">
        <v>233</v>
      </c>
      <c r="C61" s="160" t="s">
        <v>118</v>
      </c>
      <c r="D61" s="645">
        <v>0</v>
      </c>
      <c r="E61" s="646">
        <v>0</v>
      </c>
      <c r="F61" s="646">
        <v>0</v>
      </c>
      <c r="G61" s="646">
        <v>0</v>
      </c>
      <c r="H61" s="646"/>
      <c r="I61" s="646"/>
      <c r="J61" s="646"/>
      <c r="K61" s="647"/>
      <c r="L61" s="59"/>
    </row>
    <row r="62" spans="2:12" s="2" customFormat="1">
      <c r="B62" s="570" t="s">
        <v>233</v>
      </c>
      <c r="C62" s="160" t="s">
        <v>118</v>
      </c>
      <c r="D62" s="645">
        <v>0</v>
      </c>
      <c r="E62" s="646">
        <v>0</v>
      </c>
      <c r="F62" s="646">
        <v>0</v>
      </c>
      <c r="G62" s="646">
        <v>0</v>
      </c>
      <c r="H62" s="646"/>
      <c r="I62" s="646"/>
      <c r="J62" s="646"/>
      <c r="K62" s="647"/>
      <c r="L62" s="59"/>
    </row>
    <row r="63" spans="2:12" s="2" customFormat="1">
      <c r="B63" s="808" t="s">
        <v>144</v>
      </c>
      <c r="C63" s="160" t="s">
        <v>118</v>
      </c>
      <c r="D63" s="648">
        <v>0</v>
      </c>
      <c r="E63" s="649">
        <v>0</v>
      </c>
      <c r="F63" s="650">
        <v>0</v>
      </c>
      <c r="G63" s="649">
        <v>0</v>
      </c>
      <c r="H63" s="649"/>
      <c r="I63" s="649"/>
      <c r="J63" s="649"/>
      <c r="K63" s="651"/>
      <c r="L63" s="59"/>
    </row>
    <row r="64" spans="2:12" s="2" customFormat="1">
      <c r="B64" s="804" t="s">
        <v>167</v>
      </c>
      <c r="C64" s="160" t="s">
        <v>118</v>
      </c>
      <c r="D64" s="631">
        <f t="shared" ref="D64:K64" si="5">SUM(D48:D63)</f>
        <v>-23.5966180263501</v>
      </c>
      <c r="E64" s="632">
        <f t="shared" si="5"/>
        <v>-31.243912500000008</v>
      </c>
      <c r="F64" s="632">
        <f t="shared" si="5"/>
        <v>-19.455948247513831</v>
      </c>
      <c r="G64" s="632">
        <f t="shared" si="5"/>
        <v>-9.8374484389999957</v>
      </c>
      <c r="H64" s="632">
        <f t="shared" si="5"/>
        <v>0</v>
      </c>
      <c r="I64" s="632">
        <f t="shared" si="5"/>
        <v>0</v>
      </c>
      <c r="J64" s="632">
        <f t="shared" si="5"/>
        <v>0</v>
      </c>
      <c r="K64" s="633">
        <f t="shared" si="5"/>
        <v>0</v>
      </c>
      <c r="L64" s="59"/>
    </row>
    <row r="65" spans="1:12" s="2" customFormat="1">
      <c r="B65" s="235"/>
      <c r="C65" s="146"/>
      <c r="D65" s="57"/>
      <c r="E65" s="57"/>
      <c r="F65" s="57"/>
      <c r="G65" s="57"/>
      <c r="H65" s="57"/>
      <c r="I65" s="57"/>
      <c r="J65" s="57"/>
      <c r="K65" s="57"/>
      <c r="L65" s="59"/>
    </row>
    <row r="66" spans="1:12" s="2" customFormat="1">
      <c r="B66" s="804" t="s">
        <v>136</v>
      </c>
      <c r="C66" s="160" t="s">
        <v>118</v>
      </c>
      <c r="D66" s="652">
        <f t="shared" ref="D66:K66" si="6">D33+D45+D64</f>
        <v>450.76573847190366</v>
      </c>
      <c r="E66" s="653">
        <f t="shared" si="6"/>
        <v>485.47275605983606</v>
      </c>
      <c r="F66" s="653">
        <f t="shared" si="6"/>
        <v>430.20178635000002</v>
      </c>
      <c r="G66" s="653">
        <f t="shared" si="6"/>
        <v>458.32325385999997</v>
      </c>
      <c r="H66" s="653">
        <f t="shared" si="6"/>
        <v>0</v>
      </c>
      <c r="I66" s="653">
        <f t="shared" si="6"/>
        <v>0</v>
      </c>
      <c r="J66" s="653">
        <f t="shared" si="6"/>
        <v>0</v>
      </c>
      <c r="K66" s="654">
        <f t="shared" si="6"/>
        <v>0</v>
      </c>
      <c r="L66" s="59"/>
    </row>
    <row r="67" spans="1:12" s="2" customFormat="1">
      <c r="B67" s="804" t="s">
        <v>184</v>
      </c>
      <c r="C67" s="160" t="s">
        <v>118</v>
      </c>
      <c r="D67" s="655">
        <v>450.8</v>
      </c>
      <c r="E67" s="656">
        <v>485.5</v>
      </c>
      <c r="F67" s="656">
        <v>430.2</v>
      </c>
      <c r="G67" s="656">
        <v>458.3</v>
      </c>
      <c r="H67" s="656"/>
      <c r="I67" s="656"/>
      <c r="J67" s="656"/>
      <c r="K67" s="657"/>
      <c r="L67" s="59"/>
    </row>
    <row r="68" spans="1:12" s="2" customFormat="1">
      <c r="B68" s="235" t="s">
        <v>112</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809"/>
      <c r="C71" s="158"/>
      <c r="D71" s="82"/>
      <c r="E71" s="82"/>
      <c r="F71" s="82"/>
      <c r="G71" s="82"/>
      <c r="H71" s="82"/>
      <c r="I71" s="82"/>
      <c r="J71" s="82"/>
      <c r="K71" s="82"/>
      <c r="L71" s="286"/>
    </row>
  </sheetData>
  <sheetProtection password="FE19" sheet="1" objects="1" scenarios="1"/>
  <conditionalFormatting sqref="D6:K6">
    <cfRule type="expression" dxfId="47" priority="12">
      <formula>AND(D$5="Actuals",E$5="Forecast")</formula>
    </cfRule>
  </conditionalFormatting>
  <conditionalFormatting sqref="D5:K5">
    <cfRule type="expression" dxfId="46" priority="5">
      <formula>AND(D$5="Actuals",E$5="Forecast")</formula>
    </cfRule>
  </conditionalFormatting>
  <conditionalFormatting sqref="D33:K33 D36:K45 D48:K64 D28:H28 D66:K68">
    <cfRule type="expression" dxfId="45" priority="4">
      <formula>D$5="Forecast"</formula>
    </cfRule>
  </conditionalFormatting>
  <conditionalFormatting sqref="I10:K26 I28:K28">
    <cfRule type="expression" dxfId="44" priority="3">
      <formula>I$5="Forecast"</formula>
    </cfRule>
  </conditionalFormatting>
  <conditionalFormatting sqref="H10:H26">
    <cfRule type="expression" dxfId="43" priority="2">
      <formula>H$5="Forecast"</formula>
    </cfRule>
  </conditionalFormatting>
  <conditionalFormatting sqref="G10:G26">
    <cfRule type="expression" dxfId="42"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activeCell="N33" sqref="N33"/>
    </sheetView>
  </sheetViews>
  <sheetFormatPr defaultRowHeight="12.75"/>
  <cols>
    <col min="1" max="1" width="8.375" customWidth="1"/>
    <col min="2" max="2" width="74.5" customWidth="1"/>
    <col min="3" max="3" width="13.375" style="144" customWidth="1"/>
    <col min="4" max="11" width="11.125" customWidth="1"/>
    <col min="12" max="12" width="5" customWidth="1"/>
  </cols>
  <sheetData>
    <row r="1" spans="1:12" s="32" customFormat="1" ht="20.25">
      <c r="A1" s="122" t="s">
        <v>299</v>
      </c>
      <c r="B1" s="124"/>
      <c r="C1" s="156"/>
      <c r="D1" s="124"/>
      <c r="E1" s="124"/>
      <c r="F1" s="124"/>
      <c r="G1" s="124"/>
      <c r="H1" s="124"/>
      <c r="I1" s="124"/>
      <c r="J1" s="124"/>
      <c r="K1" s="124"/>
      <c r="L1" s="125"/>
    </row>
    <row r="2" spans="1:12" s="32" customFormat="1" ht="20.25">
      <c r="A2" s="126" t="str">
        <f>'RFPR cover'!C5</f>
        <v>ENWL</v>
      </c>
      <c r="B2" s="30"/>
      <c r="C2" s="142"/>
      <c r="D2" s="30"/>
      <c r="E2" s="30"/>
      <c r="F2" s="30"/>
      <c r="G2" s="30"/>
      <c r="H2" s="30"/>
      <c r="I2" s="27"/>
      <c r="J2" s="27"/>
      <c r="K2" s="27"/>
      <c r="L2" s="127"/>
    </row>
    <row r="3" spans="1:12" s="32" customFormat="1" ht="20.25">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411" t="str">
        <f>IF(D6&lt;='RFPR cover'!$C$7,"Actuals","N/A")</f>
        <v>Actuals</v>
      </c>
      <c r="E5" s="412" t="str">
        <f>IF(E6&lt;='RFPR cover'!$C$7,"Actuals","N/A")</f>
        <v>Actuals</v>
      </c>
      <c r="F5" s="412" t="str">
        <f>IF(F6&lt;='RFPR cover'!$C$7,"Actuals","N/A")</f>
        <v>Actuals</v>
      </c>
      <c r="G5" s="412" t="str">
        <f>IF(G6&lt;='RFPR cover'!$C$7,"Actuals","N/A")</f>
        <v>Actuals</v>
      </c>
      <c r="H5" s="412" t="str">
        <f>IF(H6&lt;='RFPR cover'!$C$7,"Actuals","N/A")</f>
        <v>N/A</v>
      </c>
      <c r="I5" s="412" t="str">
        <f>IF(I6&lt;='RFPR cover'!$C$7,"Actuals","N/A")</f>
        <v>N/A</v>
      </c>
      <c r="J5" s="412" t="str">
        <f>IF(J6&lt;='RFPR cover'!$C$7,"Actuals","N/A")</f>
        <v>N/A</v>
      </c>
      <c r="K5" s="413"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305</v>
      </c>
      <c r="C8" s="145"/>
      <c r="D8" s="52"/>
      <c r="E8" s="52"/>
      <c r="F8" s="52"/>
      <c r="G8" s="52"/>
      <c r="H8" s="52"/>
      <c r="I8" s="52"/>
      <c r="J8" s="52"/>
      <c r="K8" s="52"/>
      <c r="L8" s="36"/>
    </row>
    <row r="9" spans="1:12" s="2" customFormat="1">
      <c r="B9" s="134" t="s">
        <v>150</v>
      </c>
      <c r="C9" s="160" t="s">
        <v>118</v>
      </c>
      <c r="D9" s="623">
        <v>206.46236121785822</v>
      </c>
      <c r="E9" s="624">
        <v>200.4</v>
      </c>
      <c r="F9" s="624">
        <v>208.91333318000002</v>
      </c>
      <c r="G9" s="624">
        <v>232.48008367000006</v>
      </c>
      <c r="H9" s="624"/>
      <c r="I9" s="624"/>
      <c r="J9" s="624"/>
      <c r="K9" s="634"/>
    </row>
    <row r="10" spans="1:12" s="2" customFormat="1">
      <c r="B10" s="134" t="s">
        <v>151</v>
      </c>
      <c r="C10" s="160" t="s">
        <v>118</v>
      </c>
      <c r="D10" s="625">
        <v>14.895001890000106</v>
      </c>
      <c r="E10" s="626">
        <v>10.1</v>
      </c>
      <c r="F10" s="626">
        <v>9.5501010199999996</v>
      </c>
      <c r="G10" s="626">
        <v>8.870313659999999</v>
      </c>
      <c r="H10" s="626"/>
      <c r="I10" s="626"/>
      <c r="J10" s="626"/>
      <c r="K10" s="635"/>
    </row>
    <row r="11" spans="1:12" s="2" customFormat="1" ht="29.25" customHeight="1">
      <c r="B11" s="135" t="s">
        <v>432</v>
      </c>
      <c r="C11" s="160" t="s">
        <v>118</v>
      </c>
      <c r="D11" s="625">
        <v>-0.93469595671135608</v>
      </c>
      <c r="E11" s="626">
        <v>-0.96651071</v>
      </c>
      <c r="F11" s="626">
        <v>-1.1831797499999999</v>
      </c>
      <c r="G11" s="626">
        <v>-1.2145819230000001</v>
      </c>
      <c r="H11" s="626"/>
      <c r="I11" s="626"/>
      <c r="J11" s="626"/>
      <c r="K11" s="635"/>
    </row>
    <row r="12" spans="1:12" s="2" customFormat="1">
      <c r="B12" s="134" t="s">
        <v>152</v>
      </c>
      <c r="C12" s="160" t="s">
        <v>118</v>
      </c>
      <c r="D12" s="625">
        <v>-44.3</v>
      </c>
      <c r="E12" s="626">
        <v>-45.4</v>
      </c>
      <c r="F12" s="626">
        <v>-44.021677959999998</v>
      </c>
      <c r="G12" s="626">
        <v>-37.799999999999997</v>
      </c>
      <c r="H12" s="626"/>
      <c r="I12" s="626"/>
      <c r="J12" s="626"/>
      <c r="K12" s="635"/>
    </row>
    <row r="13" spans="1:12" s="2" customFormat="1">
      <c r="B13" s="134" t="s">
        <v>153</v>
      </c>
      <c r="C13" s="160" t="s">
        <v>118</v>
      </c>
      <c r="D13" s="625">
        <v>-0.97577899999999995</v>
      </c>
      <c r="E13" s="626">
        <v>-0.9</v>
      </c>
      <c r="F13" s="626">
        <v>-1.047474</v>
      </c>
      <c r="G13" s="626">
        <v>-1.124142</v>
      </c>
      <c r="H13" s="626"/>
      <c r="I13" s="626"/>
      <c r="J13" s="626"/>
      <c r="K13" s="635"/>
    </row>
    <row r="14" spans="1:12" s="2" customFormat="1">
      <c r="B14" s="134" t="s">
        <v>154</v>
      </c>
      <c r="C14" s="160" t="s">
        <v>118</v>
      </c>
      <c r="D14" s="661">
        <v>0</v>
      </c>
      <c r="E14" s="662">
        <v>0</v>
      </c>
      <c r="F14" s="662">
        <v>0</v>
      </c>
      <c r="G14" s="662">
        <v>0</v>
      </c>
      <c r="H14" s="662"/>
      <c r="I14" s="662"/>
      <c r="J14" s="662"/>
      <c r="K14" s="663"/>
    </row>
    <row r="15" spans="1:12" s="2" customFormat="1">
      <c r="A15" s="3">
        <v>1</v>
      </c>
      <c r="B15" s="909" t="s">
        <v>233</v>
      </c>
      <c r="C15" s="160" t="s">
        <v>118</v>
      </c>
      <c r="D15" s="623"/>
      <c r="E15" s="624"/>
      <c r="F15" s="624"/>
      <c r="G15" s="624"/>
      <c r="H15" s="624"/>
      <c r="I15" s="624"/>
      <c r="J15" s="624"/>
      <c r="K15" s="634"/>
    </row>
    <row r="16" spans="1:12" s="2" customFormat="1">
      <c r="A16" s="3">
        <v>2</v>
      </c>
      <c r="B16" s="909" t="s">
        <v>233</v>
      </c>
      <c r="C16" s="160" t="s">
        <v>118</v>
      </c>
      <c r="D16" s="625"/>
      <c r="E16" s="626"/>
      <c r="F16" s="626"/>
      <c r="G16" s="626"/>
      <c r="H16" s="626"/>
      <c r="I16" s="626"/>
      <c r="J16" s="626"/>
      <c r="K16" s="635"/>
    </row>
    <row r="17" spans="1:11" s="2" customFormat="1">
      <c r="A17" s="3">
        <v>3</v>
      </c>
      <c r="B17" s="909" t="s">
        <v>233</v>
      </c>
      <c r="C17" s="160" t="s">
        <v>118</v>
      </c>
      <c r="D17" s="625"/>
      <c r="E17" s="626"/>
      <c r="F17" s="626"/>
      <c r="G17" s="626"/>
      <c r="H17" s="626"/>
      <c r="I17" s="626"/>
      <c r="J17" s="626"/>
      <c r="K17" s="635"/>
    </row>
    <row r="18" spans="1:11" s="2" customFormat="1">
      <c r="B18" s="12" t="s">
        <v>155</v>
      </c>
      <c r="C18" s="160" t="s">
        <v>118</v>
      </c>
      <c r="D18" s="664">
        <f>SUM(D9:D17)</f>
        <v>175.14688815114698</v>
      </c>
      <c r="E18" s="665">
        <f t="shared" ref="E18:K18" si="1">SUM(E9:E17)</f>
        <v>163.23348928999999</v>
      </c>
      <c r="F18" s="665">
        <f t="shared" si="1"/>
        <v>172.21110249000003</v>
      </c>
      <c r="G18" s="665">
        <f t="shared" si="1"/>
        <v>201.21167340700003</v>
      </c>
      <c r="H18" s="665">
        <f t="shared" si="1"/>
        <v>0</v>
      </c>
      <c r="I18" s="665">
        <f t="shared" si="1"/>
        <v>0</v>
      </c>
      <c r="J18" s="665">
        <f t="shared" si="1"/>
        <v>0</v>
      </c>
      <c r="K18" s="666">
        <f t="shared" si="1"/>
        <v>0</v>
      </c>
    </row>
    <row r="19" spans="1:11" s="2" customFormat="1">
      <c r="B19" s="134" t="s">
        <v>156</v>
      </c>
      <c r="C19" s="160" t="s">
        <v>118</v>
      </c>
      <c r="D19" s="667">
        <v>141.72690119000004</v>
      </c>
      <c r="E19" s="668">
        <v>126.8</v>
      </c>
      <c r="F19" s="668">
        <v>143.57558348000001</v>
      </c>
      <c r="G19" s="668">
        <v>150.94076291000002</v>
      </c>
      <c r="H19" s="668"/>
      <c r="I19" s="668"/>
      <c r="J19" s="668"/>
      <c r="K19" s="669"/>
    </row>
    <row r="20" spans="1:11" s="2" customFormat="1">
      <c r="A20" s="3">
        <v>1</v>
      </c>
      <c r="B20" s="909" t="s">
        <v>233</v>
      </c>
      <c r="C20" s="160" t="s">
        <v>118</v>
      </c>
      <c r="D20" s="623"/>
      <c r="E20" s="624"/>
      <c r="F20" s="624"/>
      <c r="G20" s="624"/>
      <c r="H20" s="624"/>
      <c r="I20" s="624"/>
      <c r="J20" s="624"/>
      <c r="K20" s="634"/>
    </row>
    <row r="21" spans="1:11" s="2" customFormat="1">
      <c r="A21" s="3">
        <v>2</v>
      </c>
      <c r="B21" s="909" t="s">
        <v>233</v>
      </c>
      <c r="C21" s="160" t="s">
        <v>118</v>
      </c>
      <c r="D21" s="625"/>
      <c r="E21" s="626"/>
      <c r="F21" s="626"/>
      <c r="G21" s="626"/>
      <c r="H21" s="626"/>
      <c r="I21" s="626"/>
      <c r="J21" s="626"/>
      <c r="K21" s="635"/>
    </row>
    <row r="22" spans="1:11" s="2" customFormat="1">
      <c r="A22" s="3">
        <v>3</v>
      </c>
      <c r="B22" s="909" t="s">
        <v>233</v>
      </c>
      <c r="C22" s="160" t="s">
        <v>118</v>
      </c>
      <c r="D22" s="625"/>
      <c r="E22" s="626"/>
      <c r="F22" s="626"/>
      <c r="G22" s="626"/>
      <c r="H22" s="626"/>
      <c r="I22" s="626"/>
      <c r="J22" s="626"/>
      <c r="K22" s="635"/>
    </row>
    <row r="23" spans="1:11" s="2" customFormat="1">
      <c r="B23" s="12" t="s">
        <v>157</v>
      </c>
      <c r="C23" s="160" t="s">
        <v>118</v>
      </c>
      <c r="D23" s="639">
        <f>SUM(D18:D22)</f>
        <v>316.87378934114702</v>
      </c>
      <c r="E23" s="640">
        <f t="shared" ref="E23:K23" si="2">SUM(E18:E22)</f>
        <v>290.03348928999998</v>
      </c>
      <c r="F23" s="640">
        <f t="shared" si="2"/>
        <v>315.78668597000001</v>
      </c>
      <c r="G23" s="640">
        <f t="shared" si="2"/>
        <v>352.15243631700002</v>
      </c>
      <c r="H23" s="640">
        <f t="shared" si="2"/>
        <v>0</v>
      </c>
      <c r="I23" s="640">
        <f t="shared" si="2"/>
        <v>0</v>
      </c>
      <c r="J23" s="640">
        <f t="shared" si="2"/>
        <v>0</v>
      </c>
      <c r="K23" s="641">
        <f t="shared" si="2"/>
        <v>0</v>
      </c>
    </row>
    <row r="24" spans="1:11" s="2" customFormat="1">
      <c r="C24" s="144"/>
      <c r="D24" s="53"/>
      <c r="E24" s="53"/>
      <c r="F24" s="53"/>
      <c r="G24" s="53"/>
      <c r="H24" s="53"/>
      <c r="I24" s="53"/>
      <c r="J24" s="53"/>
      <c r="K24" s="53"/>
    </row>
    <row r="25" spans="1:11" s="2" customFormat="1">
      <c r="B25" s="12" t="s">
        <v>422</v>
      </c>
      <c r="C25" s="160" t="s">
        <v>118</v>
      </c>
      <c r="D25" s="55"/>
    </row>
    <row r="26" spans="1:11" s="2" customFormat="1">
      <c r="A26" s="3">
        <v>1</v>
      </c>
      <c r="B26" s="547" t="s">
        <v>524</v>
      </c>
      <c r="C26" s="160" t="s">
        <v>118</v>
      </c>
      <c r="D26" s="623">
        <v>4.7860798783695104</v>
      </c>
      <c r="E26" s="624">
        <v>-1.8330883</v>
      </c>
      <c r="F26" s="624">
        <v>10.556866199999998</v>
      </c>
      <c r="G26" s="624">
        <v>-0.71020308400000465</v>
      </c>
      <c r="H26" s="624"/>
      <c r="I26" s="624"/>
      <c r="J26" s="624"/>
      <c r="K26" s="634"/>
    </row>
    <row r="27" spans="1:11" s="2" customFormat="1">
      <c r="A27" s="3">
        <v>2</v>
      </c>
      <c r="B27" s="547" t="s">
        <v>525</v>
      </c>
      <c r="C27" s="160" t="s">
        <v>118</v>
      </c>
      <c r="D27" s="625">
        <v>-2.2301440000000001</v>
      </c>
      <c r="E27" s="626">
        <v>-2.407073</v>
      </c>
      <c r="F27" s="626">
        <v>-1.75218242</v>
      </c>
      <c r="G27" s="626">
        <v>-2.5247307700000001</v>
      </c>
      <c r="H27" s="626"/>
      <c r="I27" s="626"/>
      <c r="J27" s="626"/>
      <c r="K27" s="635"/>
    </row>
    <row r="28" spans="1:11" s="2" customFormat="1">
      <c r="A28" s="3">
        <v>3</v>
      </c>
      <c r="B28" s="547" t="s">
        <v>526</v>
      </c>
      <c r="C28" s="160" t="s">
        <v>118</v>
      </c>
      <c r="D28" s="625">
        <v>7.33223337</v>
      </c>
      <c r="E28" s="626">
        <v>-0.88319831000000004</v>
      </c>
      <c r="F28" s="626">
        <v>0.8811109399999999</v>
      </c>
      <c r="G28" s="626">
        <v>8.1475399999999906E-2</v>
      </c>
      <c r="H28" s="626"/>
      <c r="I28" s="626"/>
      <c r="J28" s="626"/>
      <c r="K28" s="635"/>
    </row>
    <row r="29" spans="1:11" s="2" customFormat="1">
      <c r="A29" s="3">
        <v>4</v>
      </c>
      <c r="B29" s="547" t="s">
        <v>527</v>
      </c>
      <c r="C29" s="160" t="s">
        <v>118</v>
      </c>
      <c r="D29" s="625">
        <v>-0.87485442999999996</v>
      </c>
      <c r="E29" s="626">
        <v>-0.93213000000000001</v>
      </c>
      <c r="F29" s="626">
        <v>-1.0829085199999999</v>
      </c>
      <c r="G29" s="626">
        <v>-1.45577289</v>
      </c>
      <c r="H29" s="626"/>
      <c r="I29" s="626"/>
      <c r="J29" s="626"/>
      <c r="K29" s="635"/>
    </row>
    <row r="30" spans="1:11" s="2" customFormat="1">
      <c r="A30" s="3">
        <v>5</v>
      </c>
      <c r="B30" s="547" t="s">
        <v>528</v>
      </c>
      <c r="C30" s="160" t="s">
        <v>118</v>
      </c>
      <c r="D30" s="625">
        <v>-2.3845047400000001</v>
      </c>
      <c r="E30" s="626">
        <v>-1.2241580000000001</v>
      </c>
      <c r="F30" s="626">
        <v>-3.8587189999999998</v>
      </c>
      <c r="G30" s="626">
        <v>-8.7952385500000005</v>
      </c>
      <c r="H30" s="626"/>
      <c r="I30" s="626"/>
      <c r="J30" s="626"/>
      <c r="K30" s="635"/>
    </row>
    <row r="31" spans="1:11" s="2" customFormat="1">
      <c r="A31" s="3">
        <v>6</v>
      </c>
      <c r="B31" s="547" t="s">
        <v>529</v>
      </c>
      <c r="C31" s="160" t="s">
        <v>118</v>
      </c>
      <c r="D31" s="625">
        <v>0.35973699999999997</v>
      </c>
      <c r="E31" s="626">
        <v>0.48987999999999998</v>
      </c>
      <c r="F31" s="626">
        <v>0.48381235</v>
      </c>
      <c r="G31" s="626">
        <v>0.54587655000000002</v>
      </c>
      <c r="H31" s="626"/>
      <c r="I31" s="626"/>
      <c r="J31" s="626"/>
      <c r="K31" s="635"/>
    </row>
    <row r="32" spans="1:11" s="2" customFormat="1">
      <c r="A32" s="3">
        <v>7</v>
      </c>
      <c r="B32" s="547" t="s">
        <v>530</v>
      </c>
      <c r="C32" s="160" t="s">
        <v>118</v>
      </c>
      <c r="D32" s="625">
        <v>0</v>
      </c>
      <c r="E32" s="626">
        <v>0.1891933404893606</v>
      </c>
      <c r="F32" s="626">
        <v>0.34600799999999998</v>
      </c>
      <c r="G32" s="626">
        <v>0.35515999999999998</v>
      </c>
      <c r="H32" s="626"/>
      <c r="I32" s="626"/>
      <c r="J32" s="626"/>
      <c r="K32" s="635"/>
    </row>
    <row r="33" spans="1:11" s="2" customFormat="1">
      <c r="A33" s="3">
        <v>8</v>
      </c>
      <c r="B33" s="547" t="s">
        <v>531</v>
      </c>
      <c r="C33" s="160" t="s">
        <v>118</v>
      </c>
      <c r="D33" s="625">
        <v>11.000400000000001</v>
      </c>
      <c r="E33" s="626">
        <v>11.111206659510641</v>
      </c>
      <c r="F33" s="626">
        <v>16.954391999999999</v>
      </c>
      <c r="G33" s="626">
        <v>17.402840000000001</v>
      </c>
      <c r="H33" s="626"/>
      <c r="I33" s="626"/>
      <c r="J33" s="626"/>
      <c r="K33" s="635"/>
    </row>
    <row r="34" spans="1:11" s="2" customFormat="1">
      <c r="A34" s="3">
        <v>9</v>
      </c>
      <c r="B34" s="547" t="s">
        <v>532</v>
      </c>
      <c r="C34" s="160" t="s">
        <v>118</v>
      </c>
      <c r="D34" s="625">
        <v>0</v>
      </c>
      <c r="E34" s="626">
        <v>0</v>
      </c>
      <c r="F34" s="626">
        <v>0</v>
      </c>
      <c r="G34" s="626">
        <v>-0.51706711000000005</v>
      </c>
      <c r="H34" s="626"/>
      <c r="I34" s="626"/>
      <c r="J34" s="626"/>
      <c r="K34" s="635"/>
    </row>
    <row r="35" spans="1:11" s="2" customFormat="1">
      <c r="A35" s="3">
        <v>10</v>
      </c>
      <c r="B35" s="547" t="s">
        <v>533</v>
      </c>
      <c r="C35" s="160" t="s">
        <v>118</v>
      </c>
      <c r="D35" s="625">
        <v>0</v>
      </c>
      <c r="E35" s="626">
        <v>0</v>
      </c>
      <c r="F35" s="626">
        <v>-0.16920134636929887</v>
      </c>
      <c r="G35" s="626">
        <v>-0.28240498999999997</v>
      </c>
      <c r="H35" s="626"/>
      <c r="I35" s="626"/>
      <c r="J35" s="626"/>
      <c r="K35" s="635"/>
    </row>
    <row r="36" spans="1:11" s="2" customFormat="1">
      <c r="A36" s="3">
        <v>11</v>
      </c>
      <c r="B36" s="547" t="s">
        <v>534</v>
      </c>
      <c r="C36" s="160" t="s">
        <v>118</v>
      </c>
      <c r="D36" s="625">
        <v>0</v>
      </c>
      <c r="E36" s="626">
        <v>0.34851643999999998</v>
      </c>
      <c r="F36" s="626">
        <v>0.77391355999999989</v>
      </c>
      <c r="G36" s="626">
        <v>1.5911100000000001E-2</v>
      </c>
      <c r="H36" s="626"/>
      <c r="I36" s="626"/>
      <c r="J36" s="626"/>
      <c r="K36" s="635"/>
    </row>
    <row r="37" spans="1:11" s="2" customFormat="1">
      <c r="A37" s="3">
        <v>12</v>
      </c>
      <c r="B37" s="547" t="s">
        <v>535</v>
      </c>
      <c r="C37" s="160" t="s">
        <v>118</v>
      </c>
      <c r="D37" s="625">
        <v>0</v>
      </c>
      <c r="E37" s="626">
        <v>0</v>
      </c>
      <c r="F37" s="626">
        <v>1.7787329999999999</v>
      </c>
      <c r="G37" s="626">
        <v>-0.92994840999999995</v>
      </c>
      <c r="H37" s="626"/>
      <c r="I37" s="626"/>
      <c r="J37" s="626"/>
      <c r="K37" s="635"/>
    </row>
    <row r="38" spans="1:11" s="2" customFormat="1">
      <c r="A38" s="3">
        <v>13</v>
      </c>
      <c r="B38" s="547" t="s">
        <v>536</v>
      </c>
      <c r="C38" s="160" t="s">
        <v>118</v>
      </c>
      <c r="D38" s="625">
        <v>0</v>
      </c>
      <c r="E38" s="626">
        <v>0</v>
      </c>
      <c r="F38" s="626">
        <v>0</v>
      </c>
      <c r="G38" s="626">
        <v>1.4492579999999533E-2</v>
      </c>
      <c r="H38" s="626"/>
      <c r="I38" s="626"/>
      <c r="J38" s="626"/>
      <c r="K38" s="635"/>
    </row>
    <row r="39" spans="1:11" s="2" customFormat="1">
      <c r="A39" s="3">
        <v>14</v>
      </c>
      <c r="B39" s="547" t="s">
        <v>537</v>
      </c>
      <c r="C39" s="160" t="s">
        <v>118</v>
      </c>
      <c r="D39" s="625">
        <v>0</v>
      </c>
      <c r="E39" s="626">
        <v>0</v>
      </c>
      <c r="F39" s="626">
        <v>0</v>
      </c>
      <c r="G39" s="626">
        <v>0.13</v>
      </c>
      <c r="H39" s="626"/>
      <c r="I39" s="626"/>
      <c r="J39" s="626"/>
      <c r="K39" s="635"/>
    </row>
    <row r="40" spans="1:11" s="2" customFormat="1">
      <c r="A40" s="3">
        <v>15</v>
      </c>
      <c r="B40" s="547" t="s">
        <v>233</v>
      </c>
      <c r="C40" s="160" t="s">
        <v>118</v>
      </c>
      <c r="D40" s="625">
        <v>0</v>
      </c>
      <c r="E40" s="626">
        <v>0</v>
      </c>
      <c r="F40" s="626">
        <v>0</v>
      </c>
      <c r="G40" s="626">
        <v>0</v>
      </c>
      <c r="H40" s="626"/>
      <c r="I40" s="626"/>
      <c r="J40" s="626"/>
      <c r="K40" s="635"/>
    </row>
    <row r="41" spans="1:11" s="2" customFormat="1">
      <c r="A41" s="3">
        <v>16</v>
      </c>
      <c r="B41" s="547" t="s">
        <v>233</v>
      </c>
      <c r="C41" s="160" t="s">
        <v>118</v>
      </c>
      <c r="D41" s="625"/>
      <c r="E41" s="626"/>
      <c r="F41" s="626"/>
      <c r="G41" s="626"/>
      <c r="H41" s="626"/>
      <c r="I41" s="626"/>
      <c r="J41" s="626"/>
      <c r="K41" s="635"/>
    </row>
    <row r="42" spans="1:11" s="2" customFormat="1">
      <c r="A42" s="3">
        <v>17</v>
      </c>
      <c r="B42" s="547" t="s">
        <v>233</v>
      </c>
      <c r="C42" s="160" t="s">
        <v>118</v>
      </c>
      <c r="D42" s="625"/>
      <c r="E42" s="626"/>
      <c r="F42" s="626"/>
      <c r="G42" s="626"/>
      <c r="H42" s="626"/>
      <c r="I42" s="626"/>
      <c r="J42" s="626"/>
      <c r="K42" s="635"/>
    </row>
    <row r="43" spans="1:11" s="2" customFormat="1">
      <c r="A43" s="3">
        <v>18</v>
      </c>
      <c r="B43" s="547" t="s">
        <v>233</v>
      </c>
      <c r="C43" s="160" t="s">
        <v>118</v>
      </c>
      <c r="D43" s="625"/>
      <c r="E43" s="626"/>
      <c r="F43" s="626"/>
      <c r="G43" s="626"/>
      <c r="H43" s="626"/>
      <c r="I43" s="626"/>
      <c r="J43" s="626"/>
      <c r="K43" s="635"/>
    </row>
    <row r="44" spans="1:11" s="2" customFormat="1">
      <c r="A44" s="3">
        <v>19</v>
      </c>
      <c r="B44" s="547" t="s">
        <v>233</v>
      </c>
      <c r="C44" s="160" t="s">
        <v>118</v>
      </c>
      <c r="D44" s="625"/>
      <c r="E44" s="626"/>
      <c r="F44" s="626"/>
      <c r="G44" s="626"/>
      <c r="H44" s="626"/>
      <c r="I44" s="626"/>
      <c r="J44" s="626"/>
      <c r="K44" s="635"/>
    </row>
    <row r="45" spans="1:11" s="2" customFormat="1">
      <c r="A45" s="3">
        <v>20</v>
      </c>
      <c r="B45" s="547" t="s">
        <v>233</v>
      </c>
      <c r="C45" s="160" t="s">
        <v>118</v>
      </c>
      <c r="D45" s="625"/>
      <c r="E45" s="626"/>
      <c r="F45" s="626"/>
      <c r="G45" s="626"/>
      <c r="H45" s="626"/>
      <c r="I45" s="626"/>
      <c r="J45" s="626"/>
      <c r="K45" s="635"/>
    </row>
    <row r="46" spans="1:11" s="2" customFormat="1">
      <c r="B46" s="12" t="s">
        <v>375</v>
      </c>
      <c r="C46" s="160" t="s">
        <v>118</v>
      </c>
      <c r="D46" s="639">
        <f>SUM(D26:D45)</f>
        <v>17.988947078369513</v>
      </c>
      <c r="E46" s="640">
        <f t="shared" ref="E46:K46" si="3">SUM(E26:E45)</f>
        <v>4.8591488300000014</v>
      </c>
      <c r="F46" s="640">
        <f t="shared" si="3"/>
        <v>24.911824763630698</v>
      </c>
      <c r="G46" s="640">
        <f t="shared" si="3"/>
        <v>3.3303898259999949</v>
      </c>
      <c r="H46" s="640">
        <f t="shared" si="3"/>
        <v>0</v>
      </c>
      <c r="I46" s="640">
        <f t="shared" si="3"/>
        <v>0</v>
      </c>
      <c r="J46" s="640">
        <f t="shared" si="3"/>
        <v>0</v>
      </c>
      <c r="K46" s="641">
        <f t="shared" si="3"/>
        <v>0</v>
      </c>
    </row>
    <row r="47" spans="1:11" s="2" customFormat="1">
      <c r="C47" s="144"/>
      <c r="D47" s="54"/>
      <c r="E47" s="53"/>
      <c r="F47" s="53"/>
      <c r="G47" s="53"/>
      <c r="H47" s="53"/>
      <c r="I47" s="53"/>
      <c r="J47" s="53"/>
      <c r="K47" s="53"/>
    </row>
    <row r="48" spans="1:11" s="2" customFormat="1">
      <c r="B48" s="12" t="s">
        <v>421</v>
      </c>
      <c r="C48" s="160" t="s">
        <v>118</v>
      </c>
      <c r="D48" s="639">
        <f>D46+D23</f>
        <v>334.86273641951652</v>
      </c>
      <c r="E48" s="640">
        <f t="shared" ref="E48:K48" si="4">E46+E23</f>
        <v>294.89263811999996</v>
      </c>
      <c r="F48" s="640">
        <f t="shared" si="4"/>
        <v>340.69851073363071</v>
      </c>
      <c r="G48" s="640">
        <f t="shared" si="4"/>
        <v>355.48282614300001</v>
      </c>
      <c r="H48" s="640">
        <f t="shared" si="4"/>
        <v>0</v>
      </c>
      <c r="I48" s="640">
        <f t="shared" si="4"/>
        <v>0</v>
      </c>
      <c r="J48" s="640">
        <f t="shared" si="4"/>
        <v>0</v>
      </c>
      <c r="K48" s="641">
        <f t="shared" si="4"/>
        <v>0</v>
      </c>
    </row>
    <row r="49" spans="1:11" s="2" customFormat="1">
      <c r="B49" s="2" t="s">
        <v>376</v>
      </c>
      <c r="C49" s="160" t="s">
        <v>118</v>
      </c>
      <c r="D49" s="623">
        <v>334.87706273696244</v>
      </c>
      <c r="E49" s="624">
        <v>294.94110962895104</v>
      </c>
      <c r="F49" s="624">
        <v>340.69589644195509</v>
      </c>
      <c r="G49" s="624">
        <v>355.48778195954031</v>
      </c>
      <c r="H49" s="624"/>
      <c r="I49" s="624"/>
      <c r="J49" s="624"/>
      <c r="K49" s="634"/>
    </row>
    <row r="50" spans="1:11" s="2" customFormat="1">
      <c r="C50" s="144" t="s">
        <v>379</v>
      </c>
      <c r="D50" s="670" t="str">
        <f>IF(D$5="Actuals",IF(ABS(D48-D49)&lt;1,"OK","ERROR"),"N/A")</f>
        <v>OK</v>
      </c>
      <c r="E50" s="671" t="str">
        <f t="shared" ref="E50:K50" si="5">IF(E$5="Actuals",IF(ABS(E48-E49)&lt;1,"OK","ERROR"),"N/A")</f>
        <v>OK</v>
      </c>
      <c r="F50" s="671" t="str">
        <f t="shared" si="5"/>
        <v>OK</v>
      </c>
      <c r="G50" s="671" t="str">
        <f t="shared" si="5"/>
        <v>OK</v>
      </c>
      <c r="H50" s="671" t="str">
        <f t="shared" si="5"/>
        <v>N/A</v>
      </c>
      <c r="I50" s="671" t="str">
        <f t="shared" si="5"/>
        <v>N/A</v>
      </c>
      <c r="J50" s="671" t="str">
        <f t="shared" si="5"/>
        <v>N/A</v>
      </c>
      <c r="K50" s="672" t="str">
        <f t="shared" si="5"/>
        <v>N/A</v>
      </c>
    </row>
    <row r="51" spans="1:11" s="2" customFormat="1">
      <c r="B51" s="2" t="s">
        <v>74</v>
      </c>
      <c r="C51" s="144"/>
      <c r="D51" s="55"/>
    </row>
    <row r="52" spans="1:11" s="2" customFormat="1">
      <c r="B52" s="12" t="s">
        <v>377</v>
      </c>
      <c r="C52" s="160"/>
      <c r="D52" s="55"/>
    </row>
    <row r="53" spans="1:11" s="2" customFormat="1">
      <c r="A53" s="3">
        <v>1</v>
      </c>
      <c r="B53" s="546" t="s">
        <v>531</v>
      </c>
      <c r="C53" s="160" t="s">
        <v>118</v>
      </c>
      <c r="D53" s="623">
        <v>11.000400000000001</v>
      </c>
      <c r="E53" s="624">
        <v>11.111206659510641</v>
      </c>
      <c r="F53" s="624">
        <v>16.954391999999999</v>
      </c>
      <c r="G53" s="624">
        <v>17.402840000000001</v>
      </c>
      <c r="H53" s="624"/>
      <c r="I53" s="624"/>
      <c r="J53" s="624"/>
      <c r="K53" s="634"/>
    </row>
    <row r="54" spans="1:11" s="2" customFormat="1">
      <c r="A54" s="3">
        <v>2</v>
      </c>
      <c r="B54" s="546" t="s">
        <v>538</v>
      </c>
      <c r="C54" s="160" t="s">
        <v>118</v>
      </c>
      <c r="D54" s="625">
        <v>0.12001889266475937</v>
      </c>
      <c r="E54" s="626">
        <v>0.20522187593440253</v>
      </c>
      <c r="F54" s="626">
        <v>0.24003460443445374</v>
      </c>
      <c r="G54" s="626">
        <v>0.12128624164708288</v>
      </c>
      <c r="H54" s="626"/>
      <c r="I54" s="626"/>
      <c r="J54" s="626"/>
      <c r="K54" s="635"/>
    </row>
    <row r="55" spans="1:11" s="2" customFormat="1">
      <c r="A55" s="3">
        <v>3</v>
      </c>
      <c r="B55" s="546" t="s">
        <v>539</v>
      </c>
      <c r="C55" s="160" t="s">
        <v>118</v>
      </c>
      <c r="D55" s="625">
        <v>0.76358499999999996</v>
      </c>
      <c r="E55" s="626">
        <v>0.22807599999999995</v>
      </c>
      <c r="F55" s="626">
        <v>-3.585143291624294</v>
      </c>
      <c r="G55" s="626">
        <v>-5.737533642999999</v>
      </c>
      <c r="H55" s="626"/>
      <c r="I55" s="626"/>
      <c r="J55" s="626"/>
      <c r="K55" s="635"/>
    </row>
    <row r="56" spans="1:11" s="2" customFormat="1">
      <c r="A56" s="3">
        <v>4</v>
      </c>
      <c r="B56" s="546" t="s">
        <v>540</v>
      </c>
      <c r="C56" s="160" t="s">
        <v>118</v>
      </c>
      <c r="D56" s="625">
        <v>0.50000000199999994</v>
      </c>
      <c r="E56" s="626">
        <v>0.179504997</v>
      </c>
      <c r="F56" s="626">
        <v>1.425001E-3</v>
      </c>
      <c r="G56" s="626">
        <v>-0.84107999899999997</v>
      </c>
      <c r="H56" s="626"/>
      <c r="I56" s="626"/>
      <c r="J56" s="626"/>
      <c r="K56" s="635"/>
    </row>
    <row r="57" spans="1:11" s="2" customFormat="1">
      <c r="A57" s="3">
        <v>5</v>
      </c>
      <c r="B57" s="546" t="s">
        <v>541</v>
      </c>
      <c r="C57" s="160" t="s">
        <v>118</v>
      </c>
      <c r="D57" s="625">
        <v>18.956565574778494</v>
      </c>
      <c r="E57" s="626">
        <v>14.275960056066184</v>
      </c>
      <c r="F57" s="626">
        <v>21.477909935832681</v>
      </c>
      <c r="G57" s="626">
        <v>18.709284858914423</v>
      </c>
      <c r="H57" s="626"/>
      <c r="I57" s="626"/>
      <c r="J57" s="626"/>
      <c r="K57" s="635"/>
    </row>
    <row r="58" spans="1:11" s="2" customFormat="1">
      <c r="A58" s="3">
        <v>6</v>
      </c>
      <c r="B58" s="546" t="s">
        <v>542</v>
      </c>
      <c r="C58" s="160" t="s">
        <v>118</v>
      </c>
      <c r="D58" s="625">
        <v>45.341787163580527</v>
      </c>
      <c r="E58" s="626">
        <v>48.216241381296946</v>
      </c>
      <c r="F58" s="626">
        <v>46.960026271591637</v>
      </c>
      <c r="G58" s="626">
        <v>48.422366395000005</v>
      </c>
      <c r="H58" s="626"/>
      <c r="I58" s="626"/>
      <c r="J58" s="626"/>
      <c r="K58" s="635"/>
    </row>
    <row r="59" spans="1:11" s="2" customFormat="1">
      <c r="A59" s="3">
        <v>7</v>
      </c>
      <c r="B59" s="546" t="s">
        <v>543</v>
      </c>
      <c r="C59" s="160" t="s">
        <v>118</v>
      </c>
      <c r="D59" s="625">
        <v>10.887017504208734</v>
      </c>
      <c r="E59" s="626">
        <v>8.2348628787701461</v>
      </c>
      <c r="F59" s="626">
        <v>5.3698531168405967</v>
      </c>
      <c r="G59" s="626">
        <v>5.0472079789999995</v>
      </c>
      <c r="H59" s="626"/>
      <c r="I59" s="626"/>
      <c r="J59" s="626"/>
      <c r="K59" s="635"/>
    </row>
    <row r="60" spans="1:11" s="2" customFormat="1">
      <c r="A60" s="3">
        <v>8</v>
      </c>
      <c r="B60" s="546" t="s">
        <v>544</v>
      </c>
      <c r="C60" s="160" t="s">
        <v>118</v>
      </c>
      <c r="D60" s="625">
        <v>1.90117208224</v>
      </c>
      <c r="E60" s="626">
        <v>0</v>
      </c>
      <c r="F60" s="626">
        <v>0</v>
      </c>
      <c r="G60" s="626">
        <v>3.7297409999999996E-2</v>
      </c>
      <c r="H60" s="626"/>
      <c r="I60" s="626"/>
      <c r="J60" s="626"/>
      <c r="K60" s="635"/>
    </row>
    <row r="61" spans="1:11" s="2" customFormat="1">
      <c r="A61" s="3">
        <v>9</v>
      </c>
      <c r="B61" s="546" t="s">
        <v>545</v>
      </c>
      <c r="C61" s="160" t="s">
        <v>118</v>
      </c>
      <c r="D61" s="625">
        <v>0.9422466722177909</v>
      </c>
      <c r="E61" s="626">
        <v>0.82962636030378945</v>
      </c>
      <c r="F61" s="626">
        <v>0.8074036109999998</v>
      </c>
      <c r="G61" s="626">
        <v>1.5055245009999998</v>
      </c>
      <c r="H61" s="626"/>
      <c r="I61" s="626"/>
      <c r="J61" s="626"/>
      <c r="K61" s="635"/>
    </row>
    <row r="62" spans="1:11" s="2" customFormat="1">
      <c r="A62" s="3">
        <v>10</v>
      </c>
      <c r="B62" s="546" t="s">
        <v>546</v>
      </c>
      <c r="C62" s="160" t="s">
        <v>118</v>
      </c>
      <c r="D62" s="625">
        <v>0</v>
      </c>
      <c r="E62" s="626">
        <v>0</v>
      </c>
      <c r="F62" s="626">
        <v>-2.1567791563692986</v>
      </c>
      <c r="G62" s="626">
        <v>1.4036847704033464</v>
      </c>
      <c r="H62" s="626"/>
      <c r="I62" s="626"/>
      <c r="J62" s="626"/>
      <c r="K62" s="635"/>
    </row>
    <row r="63" spans="1:11" s="2" customFormat="1">
      <c r="A63" s="3">
        <v>11</v>
      </c>
      <c r="B63" s="546" t="s">
        <v>233</v>
      </c>
      <c r="C63" s="160" t="s">
        <v>118</v>
      </c>
      <c r="D63" s="625"/>
      <c r="E63" s="626"/>
      <c r="F63" s="626"/>
      <c r="G63" s="626"/>
      <c r="H63" s="626"/>
      <c r="I63" s="626"/>
      <c r="J63" s="626"/>
      <c r="K63" s="635"/>
    </row>
    <row r="64" spans="1:11" s="2" customFormat="1">
      <c r="A64" s="3">
        <v>12</v>
      </c>
      <c r="B64" s="546" t="s">
        <v>233</v>
      </c>
      <c r="C64" s="160" t="s">
        <v>118</v>
      </c>
      <c r="D64" s="625"/>
      <c r="E64" s="626"/>
      <c r="F64" s="626"/>
      <c r="G64" s="626"/>
      <c r="H64" s="626"/>
      <c r="I64" s="626"/>
      <c r="J64" s="626"/>
      <c r="K64" s="635"/>
    </row>
    <row r="65" spans="1:11" s="2" customFormat="1">
      <c r="A65" s="3">
        <v>13</v>
      </c>
      <c r="B65" s="546" t="s">
        <v>233</v>
      </c>
      <c r="C65" s="160" t="s">
        <v>118</v>
      </c>
      <c r="D65" s="625"/>
      <c r="E65" s="626"/>
      <c r="F65" s="626"/>
      <c r="G65" s="626"/>
      <c r="H65" s="626"/>
      <c r="I65" s="626"/>
      <c r="J65" s="626"/>
      <c r="K65" s="635"/>
    </row>
    <row r="66" spans="1:11" s="2" customFormat="1">
      <c r="A66" s="3">
        <v>14</v>
      </c>
      <c r="B66" s="546" t="s">
        <v>233</v>
      </c>
      <c r="C66" s="160" t="s">
        <v>118</v>
      </c>
      <c r="D66" s="625"/>
      <c r="E66" s="626"/>
      <c r="F66" s="626"/>
      <c r="G66" s="626"/>
      <c r="H66" s="626"/>
      <c r="I66" s="626"/>
      <c r="J66" s="626"/>
      <c r="K66" s="635"/>
    </row>
    <row r="67" spans="1:11" s="2" customFormat="1">
      <c r="A67" s="3">
        <v>15</v>
      </c>
      <c r="B67" s="546" t="s">
        <v>233</v>
      </c>
      <c r="C67" s="160" t="s">
        <v>118</v>
      </c>
      <c r="D67" s="625"/>
      <c r="E67" s="626"/>
      <c r="F67" s="626"/>
      <c r="G67" s="626"/>
      <c r="H67" s="626"/>
      <c r="I67" s="626"/>
      <c r="J67" s="626"/>
      <c r="K67" s="635"/>
    </row>
    <row r="68" spans="1:11" s="2" customFormat="1">
      <c r="A68" s="3">
        <v>16</v>
      </c>
      <c r="B68" s="546" t="s">
        <v>233</v>
      </c>
      <c r="C68" s="160" t="s">
        <v>118</v>
      </c>
      <c r="D68" s="625"/>
      <c r="E68" s="626"/>
      <c r="F68" s="626"/>
      <c r="G68" s="626"/>
      <c r="H68" s="626"/>
      <c r="I68" s="626"/>
      <c r="J68" s="626"/>
      <c r="K68" s="635"/>
    </row>
    <row r="69" spans="1:11" s="2" customFormat="1">
      <c r="A69" s="3">
        <v>17</v>
      </c>
      <c r="B69" s="546" t="s">
        <v>233</v>
      </c>
      <c r="C69" s="160" t="s">
        <v>118</v>
      </c>
      <c r="D69" s="625"/>
      <c r="E69" s="626"/>
      <c r="F69" s="626"/>
      <c r="G69" s="626"/>
      <c r="H69" s="626"/>
      <c r="I69" s="626"/>
      <c r="J69" s="626"/>
      <c r="K69" s="635"/>
    </row>
    <row r="70" spans="1:11" s="2" customFormat="1">
      <c r="A70" s="3">
        <v>18</v>
      </c>
      <c r="B70" s="546" t="s">
        <v>233</v>
      </c>
      <c r="C70" s="160" t="s">
        <v>118</v>
      </c>
      <c r="D70" s="625"/>
      <c r="E70" s="626"/>
      <c r="F70" s="626"/>
      <c r="G70" s="626"/>
      <c r="H70" s="626"/>
      <c r="I70" s="626"/>
      <c r="J70" s="626"/>
      <c r="K70" s="635"/>
    </row>
    <row r="71" spans="1:11" s="2" customFormat="1">
      <c r="A71" s="3">
        <v>19</v>
      </c>
      <c r="B71" s="546" t="s">
        <v>233</v>
      </c>
      <c r="C71" s="160" t="s">
        <v>118</v>
      </c>
      <c r="D71" s="625"/>
      <c r="E71" s="626"/>
      <c r="F71" s="626"/>
      <c r="G71" s="626"/>
      <c r="H71" s="626"/>
      <c r="I71" s="626"/>
      <c r="J71" s="626"/>
      <c r="K71" s="635"/>
    </row>
    <row r="72" spans="1:11" s="2" customFormat="1">
      <c r="A72" s="3">
        <v>20</v>
      </c>
      <c r="B72" s="546" t="s">
        <v>233</v>
      </c>
      <c r="C72" s="160" t="s">
        <v>118</v>
      </c>
      <c r="D72" s="625"/>
      <c r="E72" s="626"/>
      <c r="F72" s="626"/>
      <c r="G72" s="626"/>
      <c r="H72" s="626"/>
      <c r="I72" s="626"/>
      <c r="J72" s="626"/>
      <c r="K72" s="635"/>
    </row>
    <row r="73" spans="1:11" s="2" customFormat="1">
      <c r="A73" s="3">
        <v>21</v>
      </c>
      <c r="B73" s="546" t="s">
        <v>233</v>
      </c>
      <c r="C73" s="160" t="s">
        <v>118</v>
      </c>
      <c r="D73" s="625"/>
      <c r="E73" s="626"/>
      <c r="F73" s="626"/>
      <c r="G73" s="626"/>
      <c r="H73" s="626"/>
      <c r="I73" s="626"/>
      <c r="J73" s="626"/>
      <c r="K73" s="635"/>
    </row>
    <row r="74" spans="1:11" s="2" customFormat="1">
      <c r="A74" s="3">
        <v>22</v>
      </c>
      <c r="B74" s="546" t="s">
        <v>233</v>
      </c>
      <c r="C74" s="160" t="s">
        <v>118</v>
      </c>
      <c r="D74" s="625"/>
      <c r="E74" s="626"/>
      <c r="F74" s="626"/>
      <c r="G74" s="626"/>
      <c r="H74" s="626"/>
      <c r="I74" s="626"/>
      <c r="J74" s="626"/>
      <c r="K74" s="635"/>
    </row>
    <row r="75" spans="1:11" s="2" customFormat="1">
      <c r="A75" s="3">
        <v>23</v>
      </c>
      <c r="B75" s="546" t="s">
        <v>233</v>
      </c>
      <c r="C75" s="160" t="s">
        <v>118</v>
      </c>
      <c r="D75" s="625"/>
      <c r="E75" s="626"/>
      <c r="F75" s="626"/>
      <c r="G75" s="626"/>
      <c r="H75" s="626"/>
      <c r="I75" s="626"/>
      <c r="J75" s="626"/>
      <c r="K75" s="635"/>
    </row>
    <row r="76" spans="1:11" s="2" customFormat="1">
      <c r="A76" s="3">
        <v>24</v>
      </c>
      <c r="B76" s="546" t="s">
        <v>233</v>
      </c>
      <c r="C76" s="160" t="s">
        <v>118</v>
      </c>
      <c r="D76" s="625"/>
      <c r="E76" s="626"/>
      <c r="F76" s="626"/>
      <c r="G76" s="626"/>
      <c r="H76" s="626"/>
      <c r="I76" s="626"/>
      <c r="J76" s="626"/>
      <c r="K76" s="635"/>
    </row>
    <row r="77" spans="1:11" s="2" customFormat="1">
      <c r="A77" s="3">
        <v>25</v>
      </c>
      <c r="B77" s="546" t="s">
        <v>233</v>
      </c>
      <c r="C77" s="160" t="s">
        <v>118</v>
      </c>
      <c r="D77" s="661"/>
      <c r="E77" s="662"/>
      <c r="F77" s="662"/>
      <c r="G77" s="662"/>
      <c r="H77" s="662"/>
      <c r="I77" s="662"/>
      <c r="J77" s="662"/>
      <c r="K77" s="663"/>
    </row>
    <row r="78" spans="1:11" s="2" customFormat="1">
      <c r="B78" s="12" t="s">
        <v>161</v>
      </c>
      <c r="C78" s="160" t="s">
        <v>118</v>
      </c>
      <c r="D78" s="639">
        <f>SUM(D53:D77)</f>
        <v>90.412792891690302</v>
      </c>
      <c r="E78" s="640">
        <f t="shared" ref="E78:K78" si="6">SUM(E53:E77)</f>
        <v>83.280700208882109</v>
      </c>
      <c r="F78" s="640">
        <f t="shared" si="6"/>
        <v>86.069122092705783</v>
      </c>
      <c r="G78" s="640">
        <f t="shared" si="6"/>
        <v>86.070878513964843</v>
      </c>
      <c r="H78" s="640">
        <f t="shared" si="6"/>
        <v>0</v>
      </c>
      <c r="I78" s="640">
        <f t="shared" si="6"/>
        <v>0</v>
      </c>
      <c r="J78" s="640">
        <f t="shared" si="6"/>
        <v>0</v>
      </c>
      <c r="K78" s="641">
        <f t="shared" si="6"/>
        <v>0</v>
      </c>
    </row>
    <row r="79" spans="1:11" s="2" customFormat="1">
      <c r="C79" s="144"/>
      <c r="D79" s="54"/>
      <c r="E79" s="53"/>
      <c r="F79" s="53"/>
      <c r="G79" s="53"/>
      <c r="H79" s="53"/>
      <c r="I79" s="53"/>
      <c r="J79" s="53"/>
      <c r="K79" s="53"/>
    </row>
    <row r="80" spans="1:11" s="2" customFormat="1">
      <c r="B80" s="12" t="s">
        <v>378</v>
      </c>
      <c r="C80" s="160" t="s">
        <v>118</v>
      </c>
      <c r="D80" s="639">
        <f>D48-D78</f>
        <v>244.44994352782624</v>
      </c>
      <c r="E80" s="640">
        <f t="shared" ref="E80:K80" si="7">E48-E78</f>
        <v>211.61193791111785</v>
      </c>
      <c r="F80" s="640">
        <f t="shared" si="7"/>
        <v>254.62938864092493</v>
      </c>
      <c r="G80" s="640">
        <f t="shared" si="7"/>
        <v>269.41194762903518</v>
      </c>
      <c r="H80" s="640">
        <f t="shared" si="7"/>
        <v>0</v>
      </c>
      <c r="I80" s="640">
        <f t="shared" si="7"/>
        <v>0</v>
      </c>
      <c r="J80" s="640">
        <f t="shared" si="7"/>
        <v>0</v>
      </c>
      <c r="K80" s="641">
        <f t="shared" si="7"/>
        <v>0</v>
      </c>
    </row>
    <row r="81" spans="2:11" s="2" customFormat="1">
      <c r="B81" s="12" t="s">
        <v>466</v>
      </c>
      <c r="C81" s="160" t="s">
        <v>118</v>
      </c>
      <c r="D81" s="673">
        <f>'R4 - Totex'!D90+'R4 - Totex'!D118</f>
        <v>244.41971962527217</v>
      </c>
      <c r="E81" s="674">
        <f>'R4 - Totex'!E90+'R4 - Totex'!E118</f>
        <v>211.60842556006889</v>
      </c>
      <c r="F81" s="674">
        <f>'R4 - Totex'!F90+'R4 - Totex'!F118</f>
        <v>254.61943506924939</v>
      </c>
      <c r="G81" s="674">
        <f>'R4 - Totex'!G90+'R4 - Totex'!G118</f>
        <v>269.41690344357545</v>
      </c>
      <c r="H81" s="674">
        <f>'R4 - Totex'!H90+'R4 - Totex'!H118</f>
        <v>261.55120765636411</v>
      </c>
      <c r="I81" s="674">
        <f>'R4 - Totex'!I90+'R4 - Totex'!I118</f>
        <v>257.83142812119189</v>
      </c>
      <c r="J81" s="674">
        <f>'R4 - Totex'!J90+'R4 - Totex'!J118</f>
        <v>268.80310678437723</v>
      </c>
      <c r="K81" s="674">
        <f>'R4 - Totex'!K90+'R4 - Totex'!K118</f>
        <v>250.65203522504603</v>
      </c>
    </row>
    <row r="82" spans="2:11" s="2" customFormat="1">
      <c r="C82" s="144" t="s">
        <v>379</v>
      </c>
      <c r="D82" s="601" t="str">
        <f>IF(D$5="Actuals",IF(ABS(D80-('R4 - Totex'!D90+'R4 - Totex'!D118))&lt;'RFPR cover'!$F$14,"OK","Error"),"N/A")</f>
        <v>OK</v>
      </c>
      <c r="E82" s="601" t="str">
        <f>IF(E$5="Actuals",IF(ABS(E80-('R4 - Totex'!E90+'R4 - Totex'!E118))&lt;'RFPR cover'!$F$14,"OK","Error"),"N/A")</f>
        <v>OK</v>
      </c>
      <c r="F82" s="601" t="str">
        <f>IF(F$5="Actuals",IF(ABS(F80-('R4 - Totex'!F90+'R4 - Totex'!F118))&lt;'RFPR cover'!$F$14,"OK","Error"),"N/A")</f>
        <v>OK</v>
      </c>
      <c r="G82" s="601" t="str">
        <f>IF(G$5="Actuals",IF(ABS(G80-('R4 - Totex'!G90+'R4 - Totex'!G118))&lt;'RFPR cover'!$F$14,"OK","Error"),"N/A")</f>
        <v>OK</v>
      </c>
      <c r="H82" s="601" t="str">
        <f>IF(H$5="Actuals",IF(ABS(H80-('R4 - Totex'!H90+'R4 - Totex'!H118))&lt;'RFPR cover'!$F$14,"OK","Error"),"N/A")</f>
        <v>N/A</v>
      </c>
      <c r="I82" s="601" t="str">
        <f>IF(I$5="Actuals",IF(ABS(I80-('R4 - Totex'!I90+'R4 - Totex'!I118))&lt;'RFPR cover'!$F$14,"OK","Error"),"N/A")</f>
        <v>N/A</v>
      </c>
      <c r="J82" s="601" t="str">
        <f>IF(J$5="Actuals",IF(ABS(J80-('R4 - Totex'!J90+'R4 - Totex'!J118))&lt;'RFPR cover'!$F$14,"OK","Error"),"N/A")</f>
        <v>N/A</v>
      </c>
      <c r="K82" s="601"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sheetProtection password="FE19" sheet="1" objects="1" scenarios="1"/>
  <conditionalFormatting sqref="D6:J6">
    <cfRule type="expression" dxfId="41" priority="17">
      <formula>AND(D$5="Actuals",E$5="N/A")</formula>
    </cfRule>
  </conditionalFormatting>
  <conditionalFormatting sqref="D5:K5">
    <cfRule type="expression" dxfId="40" priority="8">
      <formula>AND(D$5="Actuals",E$5="N/A")</formula>
    </cfRule>
  </conditionalFormatting>
  <conditionalFormatting sqref="D9:K14 D26:K46 D48:K50 D53:K78 D80:K80 D82:K82 D18:K19 D23:K23">
    <cfRule type="expression" dxfId="39" priority="3">
      <formula>D$5="N/A"</formula>
    </cfRule>
  </conditionalFormatting>
  <conditionalFormatting sqref="D15:K17">
    <cfRule type="expression" dxfId="38" priority="2">
      <formula>D$5="N/A"</formula>
    </cfRule>
  </conditionalFormatting>
  <conditionalFormatting sqref="D20:K22">
    <cfRule type="expression" dxfId="37"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P33" sqref="P33"/>
    </sheetView>
  </sheetViews>
  <sheetFormatPr defaultColWidth="9.125" defaultRowHeight="12.75"/>
  <cols>
    <col min="1" max="1" width="8.375" style="2" customWidth="1"/>
    <col min="2" max="2" width="75.5" style="134" customWidth="1"/>
    <col min="3" max="3" width="13.375" style="144" customWidth="1"/>
    <col min="4" max="11" width="11.125" style="2" customWidth="1"/>
    <col min="12" max="13" width="12.875" style="2" customWidth="1"/>
    <col min="14" max="14" width="25.5" style="2" customWidth="1"/>
    <col min="15" max="16384" width="9.125" style="2"/>
  </cols>
  <sheetData>
    <row r="1" spans="1:20" s="32" customFormat="1" ht="20.25">
      <c r="A1" s="383" t="s">
        <v>89</v>
      </c>
      <c r="B1" s="414"/>
      <c r="C1" s="292"/>
      <c r="D1" s="269"/>
      <c r="E1" s="269"/>
      <c r="F1" s="269"/>
      <c r="G1" s="269"/>
      <c r="H1" s="269"/>
      <c r="I1" s="270"/>
      <c r="J1" s="270"/>
      <c r="K1" s="271"/>
      <c r="L1" s="271"/>
      <c r="M1" s="271"/>
      <c r="N1" s="271"/>
      <c r="O1" s="384"/>
    </row>
    <row r="2" spans="1:20" s="32" customFormat="1" ht="20.25">
      <c r="A2" s="126" t="str">
        <f>'RFPR cover'!C5</f>
        <v>ENWL</v>
      </c>
      <c r="B2" s="415"/>
      <c r="C2" s="142"/>
      <c r="D2" s="30"/>
      <c r="E2" s="30"/>
      <c r="F2" s="30"/>
      <c r="G2" s="30"/>
      <c r="H2" s="30"/>
      <c r="I2" s="27"/>
      <c r="J2" s="27"/>
      <c r="K2" s="27"/>
      <c r="L2" s="27"/>
      <c r="M2" s="27"/>
      <c r="N2" s="27"/>
      <c r="O2" s="127"/>
    </row>
    <row r="3" spans="1:20" s="32" customFormat="1" ht="20.25">
      <c r="A3" s="273">
        <f>'RFPR cover'!C7</f>
        <v>2019</v>
      </c>
      <c r="B3" s="416"/>
      <c r="C3" s="291"/>
      <c r="D3" s="274"/>
      <c r="E3" s="274"/>
      <c r="F3" s="274"/>
      <c r="G3" s="274"/>
      <c r="H3" s="274"/>
      <c r="I3" s="267"/>
      <c r="J3" s="267"/>
      <c r="K3" s="267"/>
      <c r="L3" s="267"/>
      <c r="M3" s="267"/>
      <c r="N3" s="267"/>
      <c r="O3" s="275"/>
    </row>
    <row r="4" spans="1:20" ht="12.75" customHeight="1"/>
    <row r="5" spans="1:20" ht="12.75" customHeight="1">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20" ht="27.75" customHeight="1">
      <c r="B6" s="810"/>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99</v>
      </c>
      <c r="N6" s="121" t="s">
        <v>300</v>
      </c>
    </row>
    <row r="7" spans="1:20" s="36" customFormat="1">
      <c r="B7" s="811"/>
      <c r="C7" s="166"/>
      <c r="D7" s="59"/>
      <c r="E7" s="59"/>
      <c r="F7" s="59"/>
      <c r="G7" s="59"/>
      <c r="H7" s="59"/>
      <c r="I7" s="59"/>
      <c r="J7" s="59"/>
      <c r="K7" s="59"/>
      <c r="L7" s="59"/>
      <c r="M7" s="59"/>
      <c r="N7" s="59"/>
    </row>
    <row r="8" spans="1:20" s="36" customFormat="1">
      <c r="B8" s="812" t="s">
        <v>366</v>
      </c>
      <c r="C8" s="306"/>
      <c r="D8" s="340"/>
      <c r="E8" s="340"/>
      <c r="F8" s="340"/>
      <c r="G8" s="340"/>
      <c r="H8" s="340"/>
      <c r="I8" s="340"/>
      <c r="J8" s="340"/>
      <c r="K8" s="340"/>
      <c r="L8" s="340"/>
      <c r="M8" s="340"/>
      <c r="N8" s="340"/>
    </row>
    <row r="9" spans="1:20" s="36" customFormat="1">
      <c r="B9" s="811"/>
      <c r="C9" s="166"/>
      <c r="D9" s="59"/>
      <c r="E9" s="59"/>
      <c r="F9" s="59"/>
      <c r="G9" s="59"/>
      <c r="H9" s="59"/>
      <c r="I9" s="59"/>
      <c r="J9" s="59"/>
      <c r="K9" s="59"/>
      <c r="L9" s="59"/>
      <c r="M9" s="59"/>
      <c r="N9" s="59"/>
    </row>
    <row r="10" spans="1:20">
      <c r="A10" s="36"/>
      <c r="B10" s="813" t="str">
        <f>Data!B48</f>
        <v>Totex</v>
      </c>
      <c r="C10" s="158"/>
      <c r="D10" s="83"/>
      <c r="E10" s="83"/>
      <c r="F10" s="83"/>
      <c r="G10" s="83"/>
      <c r="H10" s="83"/>
      <c r="I10" s="83"/>
      <c r="J10" s="83"/>
      <c r="K10" s="83"/>
      <c r="L10" s="83"/>
      <c r="M10" s="83"/>
      <c r="N10" s="83"/>
    </row>
    <row r="11" spans="1:20" s="36" customFormat="1">
      <c r="B11" s="814"/>
      <c r="C11" s="146"/>
      <c r="D11" s="339"/>
      <c r="E11" s="339"/>
      <c r="F11" s="339"/>
      <c r="G11" s="339"/>
      <c r="H11" s="339"/>
      <c r="I11" s="339"/>
      <c r="J11" s="339"/>
      <c r="K11" s="339"/>
      <c r="L11" s="339"/>
      <c r="M11" s="339"/>
      <c r="N11" s="339"/>
    </row>
    <row r="12" spans="1:20">
      <c r="A12" s="36"/>
      <c r="B12" s="324" t="s">
        <v>24</v>
      </c>
      <c r="C12" s="163" t="str">
        <f>'RFPR cover'!$C$14</f>
        <v>£m 12/13</v>
      </c>
      <c r="D12" s="509">
        <v>230.51575897944159</v>
      </c>
      <c r="E12" s="510">
        <v>195.38435697647421</v>
      </c>
      <c r="F12" s="510">
        <v>226.61766945875928</v>
      </c>
      <c r="G12" s="510">
        <v>232.6781483405228</v>
      </c>
      <c r="H12" s="510">
        <v>220.10723503762634</v>
      </c>
      <c r="I12" s="510">
        <v>211.11833753861197</v>
      </c>
      <c r="J12" s="510">
        <v>213.63960381115967</v>
      </c>
      <c r="K12" s="510">
        <v>193.27041172423409</v>
      </c>
      <c r="L12" s="109">
        <f>SUM(D12:INDEX(D12:K12,0,MATCH('RFPR cover'!$C$7,$D$6:$K$6,0)))</f>
        <v>885.19593375519776</v>
      </c>
      <c r="M12" s="110">
        <f>SUM(D12:K12)</f>
        <v>1723.3315218668299</v>
      </c>
      <c r="N12" s="64"/>
      <c r="O12" s="64"/>
    </row>
    <row r="13" spans="1:20" ht="25.5">
      <c r="A13" s="36"/>
      <c r="B13" s="815" t="s">
        <v>478</v>
      </c>
      <c r="C13" s="163" t="str">
        <f>'RFPR cover'!$C$14</f>
        <v>£m 12/13</v>
      </c>
      <c r="D13" s="511">
        <v>236.30140140083267</v>
      </c>
      <c r="E13" s="512">
        <v>225.83472325588991</v>
      </c>
      <c r="F13" s="512">
        <v>227.58411349207501</v>
      </c>
      <c r="G13" s="512">
        <v>229.81262874202218</v>
      </c>
      <c r="H13" s="512">
        <v>235.18393301521039</v>
      </c>
      <c r="I13" s="512">
        <v>235.38292539345593</v>
      </c>
      <c r="J13" s="512">
        <v>233.13167296980978</v>
      </c>
      <c r="K13" s="512">
        <v>224.85919985456172</v>
      </c>
      <c r="L13" s="107">
        <f>SUM(D13:INDEX(D13:K13,0,MATCH('RFPR cover'!$C$7,$D$6:$K$6,0)))</f>
        <v>919.53286689081972</v>
      </c>
      <c r="M13" s="108">
        <f>SUM(D13:K13)</f>
        <v>1848.0905981238575</v>
      </c>
      <c r="N13" s="64"/>
      <c r="O13" s="64"/>
    </row>
    <row r="14" spans="1:20">
      <c r="A14" s="36"/>
      <c r="B14" s="816" t="s">
        <v>185</v>
      </c>
      <c r="C14" s="163" t="str">
        <f>'RFPR cover'!$C$14</f>
        <v>£m 12/13</v>
      </c>
      <c r="D14" s="104">
        <f>D13-D12</f>
        <v>5.7856424213910884</v>
      </c>
      <c r="E14" s="105">
        <f t="shared" ref="E14:M14" si="1">E13-E12</f>
        <v>30.450366279415704</v>
      </c>
      <c r="F14" s="105">
        <f t="shared" si="1"/>
        <v>0.96644403331572448</v>
      </c>
      <c r="G14" s="105">
        <f t="shared" si="1"/>
        <v>-2.8655195985006117</v>
      </c>
      <c r="H14" s="105">
        <f t="shared" si="1"/>
        <v>15.076697977584047</v>
      </c>
      <c r="I14" s="105">
        <f t="shared" si="1"/>
        <v>24.264587854843967</v>
      </c>
      <c r="J14" s="105">
        <f t="shared" si="1"/>
        <v>19.492069158650111</v>
      </c>
      <c r="K14" s="105">
        <f t="shared" si="1"/>
        <v>31.588788130327629</v>
      </c>
      <c r="L14" s="104">
        <f t="shared" si="1"/>
        <v>34.336933135621962</v>
      </c>
      <c r="M14" s="106">
        <f t="shared" si="1"/>
        <v>124.75907625702757</v>
      </c>
      <c r="N14" s="64"/>
      <c r="O14" s="989"/>
      <c r="P14" s="989"/>
      <c r="Q14" s="989"/>
      <c r="R14"/>
      <c r="S14"/>
      <c r="T14"/>
    </row>
    <row r="15" spans="1:20">
      <c r="A15" s="36"/>
      <c r="B15" s="816"/>
      <c r="C15" s="163"/>
      <c r="D15" s="60"/>
      <c r="E15" s="60"/>
      <c r="F15" s="60"/>
      <c r="G15" s="60"/>
      <c r="H15" s="60"/>
      <c r="I15" s="60"/>
      <c r="J15" s="60"/>
      <c r="K15" s="60"/>
      <c r="L15" s="60"/>
      <c r="M15" s="60"/>
      <c r="O15" s="65"/>
      <c r="P15" s="65"/>
      <c r="Q15" s="65"/>
      <c r="R15"/>
      <c r="S15"/>
      <c r="T15"/>
    </row>
    <row r="16" spans="1:20">
      <c r="A16" s="36"/>
      <c r="B16" s="810" t="s">
        <v>168</v>
      </c>
      <c r="C16" s="144" t="s">
        <v>7</v>
      </c>
      <c r="D16" s="111">
        <f>1-INDEX(Data!$D$73:$D$100,MATCH('RFPR cover'!$C$5,Data!$B$73:$B$100,0),0)</f>
        <v>0.41890000000000005</v>
      </c>
      <c r="E16" s="112">
        <f>1-INDEX(Data!$D$73:$D$100,MATCH('RFPR cover'!$C$5,Data!$B$73:$B$100,0),0)</f>
        <v>0.41890000000000005</v>
      </c>
      <c r="F16" s="112">
        <f>1-INDEX(Data!$D$73:$D$100,MATCH('RFPR cover'!$C$5,Data!$B$73:$B$100,0),0)</f>
        <v>0.41890000000000005</v>
      </c>
      <c r="G16" s="112">
        <f>1-INDEX(Data!$D$73:$D$100,MATCH('RFPR cover'!$C$5,Data!$B$73:$B$100,0),0)</f>
        <v>0.41890000000000005</v>
      </c>
      <c r="H16" s="112">
        <f>1-INDEX(Data!$D$73:$D$100,MATCH('RFPR cover'!$C$5,Data!$B$73:$B$100,0),0)</f>
        <v>0.41890000000000005</v>
      </c>
      <c r="I16" s="112">
        <f>1-INDEX(Data!$D$73:$D$100,MATCH('RFPR cover'!$C$5,Data!$B$73:$B$100,0),0)</f>
        <v>0.41890000000000005</v>
      </c>
      <c r="J16" s="112">
        <f>1-INDEX(Data!$D$73:$D$100,MATCH('RFPR cover'!$C$5,Data!$B$73:$B$100,0),0)</f>
        <v>0.41890000000000005</v>
      </c>
      <c r="K16" s="113">
        <f>1-INDEX(Data!$D$73:$D$100,MATCH('RFPR cover'!$C$5,Data!$B$73:$B$100,0),0)</f>
        <v>0.41890000000000005</v>
      </c>
      <c r="L16" s="63"/>
      <c r="M16" s="63"/>
      <c r="O16"/>
      <c r="P16"/>
      <c r="Q16"/>
      <c r="R16"/>
      <c r="S16"/>
      <c r="T16"/>
    </row>
    <row r="17" spans="1:20">
      <c r="A17" s="36"/>
      <c r="B17" s="810"/>
      <c r="O17"/>
      <c r="P17"/>
      <c r="Q17"/>
      <c r="R17"/>
      <c r="S17"/>
      <c r="T17"/>
    </row>
    <row r="18" spans="1:20">
      <c r="A18" s="36"/>
      <c r="B18" s="817" t="s">
        <v>173</v>
      </c>
      <c r="C18" s="167" t="str">
        <f>'RFPR cover'!$C$14</f>
        <v>£m 12/13</v>
      </c>
      <c r="D18" s="97">
        <f>D14*D16</f>
        <v>2.4236056103207271</v>
      </c>
      <c r="E18" s="98">
        <f t="shared" ref="E18:K18" si="2">E14*E16</f>
        <v>12.755658434447239</v>
      </c>
      <c r="F18" s="98">
        <f t="shared" si="2"/>
        <v>0.40484340555595705</v>
      </c>
      <c r="G18" s="98">
        <f t="shared" si="2"/>
        <v>-1.2003661598119064</v>
      </c>
      <c r="H18" s="98">
        <f t="shared" si="2"/>
        <v>6.3156287828099575</v>
      </c>
      <c r="I18" s="98">
        <f t="shared" si="2"/>
        <v>10.164435852394138</v>
      </c>
      <c r="J18" s="98">
        <f t="shared" si="2"/>
        <v>8.1652277705585323</v>
      </c>
      <c r="K18" s="98">
        <f t="shared" si="2"/>
        <v>13.232543347794245</v>
      </c>
      <c r="L18" s="97">
        <f>SUM(D18:INDEX(D18:K18,0,MATCH('RFPR cover'!$C$7,$D$6:$K$6,0)))</f>
        <v>14.383741290512017</v>
      </c>
      <c r="M18" s="99">
        <f>SUM(D18:K18)</f>
        <v>52.261577044068886</v>
      </c>
      <c r="O18"/>
      <c r="P18"/>
      <c r="Q18"/>
      <c r="R18"/>
      <c r="S18"/>
      <c r="T18"/>
    </row>
    <row r="19" spans="1:20">
      <c r="A19" s="36"/>
      <c r="B19" s="817" t="s">
        <v>270</v>
      </c>
      <c r="C19" s="167" t="str">
        <f>'RFPR cover'!$C$14</f>
        <v>£m 12/13</v>
      </c>
      <c r="D19" s="94">
        <f>D14*(1-D16)</f>
        <v>3.3620368110703613</v>
      </c>
      <c r="E19" s="95">
        <f t="shared" ref="E19:K19" si="3">E14*(1-E16)</f>
        <v>17.694707844968462</v>
      </c>
      <c r="F19" s="95">
        <f t="shared" si="3"/>
        <v>0.56160062775976749</v>
      </c>
      <c r="G19" s="95">
        <f t="shared" si="3"/>
        <v>-1.6651534386887052</v>
      </c>
      <c r="H19" s="95">
        <f t="shared" si="3"/>
        <v>8.7610691947740893</v>
      </c>
      <c r="I19" s="95">
        <f t="shared" si="3"/>
        <v>14.100152002449828</v>
      </c>
      <c r="J19" s="95">
        <f t="shared" si="3"/>
        <v>11.326841388091578</v>
      </c>
      <c r="K19" s="95">
        <f t="shared" si="3"/>
        <v>18.356244782533384</v>
      </c>
      <c r="L19" s="94">
        <f>SUM(D19:INDEX(D19:K19,0,MATCH('RFPR cover'!$C$7,$D$6:$K$6,0)))</f>
        <v>19.953191845109885</v>
      </c>
      <c r="M19" s="96">
        <f>SUM(D19:K19)</f>
        <v>72.497499212958758</v>
      </c>
      <c r="O19"/>
      <c r="P19"/>
      <c r="Q19"/>
      <c r="R19"/>
      <c r="S19"/>
      <c r="T19"/>
    </row>
    <row r="20" spans="1:20">
      <c r="A20" s="36"/>
      <c r="B20" s="810"/>
      <c r="O20"/>
      <c r="P20"/>
      <c r="Q20"/>
      <c r="R20"/>
      <c r="S20"/>
      <c r="T20"/>
    </row>
    <row r="21" spans="1:20">
      <c r="A21" s="36"/>
      <c r="B21" s="818" t="s">
        <v>172</v>
      </c>
      <c r="N21" s="64"/>
      <c r="O21"/>
      <c r="P21"/>
      <c r="Q21"/>
      <c r="R21"/>
      <c r="S21"/>
      <c r="T21"/>
    </row>
    <row r="22" spans="1:20">
      <c r="A22" s="283" t="s">
        <v>141</v>
      </c>
      <c r="B22" s="808" t="s">
        <v>547</v>
      </c>
      <c r="C22" s="163" t="str">
        <f>'RFPR cover'!$C$14</f>
        <v>£m 12/13</v>
      </c>
      <c r="D22" s="611">
        <v>-3.2541520848881946</v>
      </c>
      <c r="E22" s="612">
        <v>-20.403855213195648</v>
      </c>
      <c r="F22" s="612">
        <v>1.9201407629063469</v>
      </c>
      <c r="G22" s="612">
        <v>28.557414646859513</v>
      </c>
      <c r="H22" s="612">
        <v>-4.8</v>
      </c>
      <c r="I22" s="612">
        <v>0.18086178438016276</v>
      </c>
      <c r="J22" s="612">
        <v>-2.3191382156198372</v>
      </c>
      <c r="K22" s="612">
        <v>8.0861784380163115E-2</v>
      </c>
      <c r="L22" s="613">
        <f>SUM(D22:INDEX(D22:K22,0,MATCH('RFPR cover'!$C$7,$D$6:$K$6,0)))</f>
        <v>6.8195481116820176</v>
      </c>
      <c r="M22" s="614">
        <f t="shared" ref="M22:M27" si="4">SUM(D22:K22)</f>
        <v>-3.786653517749361E-2</v>
      </c>
      <c r="N22" s="602" t="s">
        <v>557</v>
      </c>
      <c r="O22"/>
      <c r="P22"/>
      <c r="Q22"/>
      <c r="R22"/>
      <c r="S22"/>
      <c r="T22"/>
    </row>
    <row r="23" spans="1:20">
      <c r="A23" s="283" t="s">
        <v>142</v>
      </c>
      <c r="B23" s="808" t="s">
        <v>548</v>
      </c>
      <c r="C23" s="163" t="str">
        <f>'RFPR cover'!$C$14</f>
        <v>£m 12/13</v>
      </c>
      <c r="D23" s="615">
        <v>1.1969280150532491</v>
      </c>
      <c r="E23" s="616">
        <v>1.1138256664202812</v>
      </c>
      <c r="F23" s="616">
        <v>1.421482500406172</v>
      </c>
      <c r="G23" s="616">
        <v>1.4154722239303335</v>
      </c>
      <c r="H23" s="616">
        <v>1.2888110070781986</v>
      </c>
      <c r="I23" s="616">
        <v>1.2888110070781986</v>
      </c>
      <c r="J23" s="616">
        <v>1.2888110070781986</v>
      </c>
      <c r="K23" s="616">
        <v>1.2888110070781986</v>
      </c>
      <c r="L23" s="617">
        <f>SUM(D23:INDEX(D23:K23,0,MATCH('RFPR cover'!$C$7,$D$6:$K$6,0)))</f>
        <v>5.1477084058100351</v>
      </c>
      <c r="M23" s="618">
        <f t="shared" si="4"/>
        <v>10.30295243412283</v>
      </c>
      <c r="N23" s="603" t="s">
        <v>557</v>
      </c>
      <c r="O23"/>
      <c r="P23"/>
      <c r="Q23"/>
      <c r="R23"/>
      <c r="S23"/>
      <c r="T23"/>
    </row>
    <row r="24" spans="1:20">
      <c r="A24" s="283" t="s">
        <v>143</v>
      </c>
      <c r="B24" s="808" t="s">
        <v>232</v>
      </c>
      <c r="C24" s="163" t="str">
        <f>'RFPR cover'!$C$14</f>
        <v>£m 12/13</v>
      </c>
      <c r="D24" s="615"/>
      <c r="E24" s="616"/>
      <c r="F24" s="616"/>
      <c r="G24" s="616"/>
      <c r="H24" s="616"/>
      <c r="I24" s="616"/>
      <c r="J24" s="616"/>
      <c r="K24" s="616"/>
      <c r="L24" s="617">
        <f>SUM(D24:INDEX(D24:K24,0,MATCH('RFPR cover'!$C$7,$D$6:$K$6,0)))</f>
        <v>0</v>
      </c>
      <c r="M24" s="618">
        <f t="shared" si="4"/>
        <v>0</v>
      </c>
      <c r="N24" s="603"/>
      <c r="O24"/>
      <c r="P24"/>
      <c r="Q24"/>
      <c r="R24"/>
      <c r="S24" s="66"/>
      <c r="T24"/>
    </row>
    <row r="25" spans="1:20">
      <c r="A25" s="283" t="s">
        <v>158</v>
      </c>
      <c r="B25" s="808" t="s">
        <v>232</v>
      </c>
      <c r="C25" s="163" t="str">
        <f>'RFPR cover'!$C$14</f>
        <v>£m 12/13</v>
      </c>
      <c r="D25" s="615"/>
      <c r="E25" s="616"/>
      <c r="F25" s="616"/>
      <c r="G25" s="616"/>
      <c r="H25" s="616"/>
      <c r="I25" s="616"/>
      <c r="J25" s="616"/>
      <c r="K25" s="616"/>
      <c r="L25" s="617">
        <f>SUM(D25:INDEX(D25:K25,0,MATCH('RFPR cover'!$C$7,$D$6:$K$6,0)))</f>
        <v>0</v>
      </c>
      <c r="M25" s="618">
        <f t="shared" si="4"/>
        <v>0</v>
      </c>
      <c r="N25" s="603"/>
      <c r="O25"/>
      <c r="P25"/>
      <c r="Q25"/>
      <c r="R25"/>
      <c r="S25"/>
      <c r="T25"/>
    </row>
    <row r="26" spans="1:20">
      <c r="A26" s="283" t="s">
        <v>159</v>
      </c>
      <c r="B26" s="808" t="s">
        <v>232</v>
      </c>
      <c r="C26" s="163" t="str">
        <f>'RFPR cover'!$C$14</f>
        <v>£m 12/13</v>
      </c>
      <c r="D26" s="615"/>
      <c r="E26" s="616"/>
      <c r="F26" s="616"/>
      <c r="G26" s="616"/>
      <c r="H26" s="616"/>
      <c r="I26" s="616"/>
      <c r="J26" s="616"/>
      <c r="K26" s="616"/>
      <c r="L26" s="617">
        <f>SUM(D26:INDEX(D26:K26,0,MATCH('RFPR cover'!$C$7,$D$6:$K$6,0)))</f>
        <v>0</v>
      </c>
      <c r="M26" s="618">
        <f t="shared" si="4"/>
        <v>0</v>
      </c>
      <c r="N26" s="603"/>
      <c r="O26"/>
      <c r="P26"/>
      <c r="Q26"/>
      <c r="R26"/>
      <c r="S26"/>
      <c r="T26"/>
    </row>
    <row r="27" spans="1:20">
      <c r="A27" s="283" t="s">
        <v>160</v>
      </c>
      <c r="B27" s="808" t="s">
        <v>232</v>
      </c>
      <c r="C27" s="163" t="str">
        <f>'RFPR cover'!$C$14</f>
        <v>£m 12/13</v>
      </c>
      <c r="D27" s="619"/>
      <c r="E27" s="620"/>
      <c r="F27" s="620"/>
      <c r="G27" s="620"/>
      <c r="H27" s="620"/>
      <c r="I27" s="620"/>
      <c r="J27" s="620"/>
      <c r="K27" s="620"/>
      <c r="L27" s="621">
        <f>SUM(D27:INDEX(D27:K27,0,MATCH('RFPR cover'!$C$7,$D$6:$K$6,0)))</f>
        <v>0</v>
      </c>
      <c r="M27" s="622">
        <f t="shared" si="4"/>
        <v>0</v>
      </c>
      <c r="N27" s="604"/>
      <c r="O27"/>
      <c r="P27"/>
      <c r="Q27"/>
      <c r="R27"/>
      <c r="S27"/>
      <c r="T27"/>
    </row>
    <row r="28" spans="1:20">
      <c r="A28" s="36"/>
      <c r="B28" s="818" t="s">
        <v>180</v>
      </c>
      <c r="C28" s="163" t="str">
        <f>'RFPR cover'!$C$14</f>
        <v>£m 12/13</v>
      </c>
      <c r="D28" s="104">
        <f>SUM(D22:D27)</f>
        <v>-2.0572240698349455</v>
      </c>
      <c r="E28" s="105">
        <f t="shared" ref="E28:K28" si="5">SUM(E22:E27)</f>
        <v>-19.290029546775365</v>
      </c>
      <c r="F28" s="105">
        <f t="shared" si="5"/>
        <v>3.3416232633125187</v>
      </c>
      <c r="G28" s="105">
        <f t="shared" si="5"/>
        <v>29.972886870789846</v>
      </c>
      <c r="H28" s="105">
        <f t="shared" si="5"/>
        <v>-3.5111889929218014</v>
      </c>
      <c r="I28" s="105">
        <f t="shared" si="5"/>
        <v>1.4696727914583614</v>
      </c>
      <c r="J28" s="105">
        <f t="shared" si="5"/>
        <v>-1.0303272085416386</v>
      </c>
      <c r="K28" s="105">
        <f t="shared" si="5"/>
        <v>1.3696727914583617</v>
      </c>
      <c r="L28" s="104">
        <f>SUM(D28:INDEX(D28:K28,0,MATCH('RFPR cover'!$C$7,$D$6:$K$6,0)))</f>
        <v>11.967256517492057</v>
      </c>
      <c r="M28" s="106">
        <f>SUM(D28:K28)</f>
        <v>10.265085898945339</v>
      </c>
      <c r="N28" s="64"/>
    </row>
    <row r="29" spans="1:20">
      <c r="A29" s="36"/>
      <c r="B29" s="810"/>
    </row>
    <row r="30" spans="1:20">
      <c r="A30" s="36"/>
      <c r="B30" s="817" t="s">
        <v>188</v>
      </c>
      <c r="C30" s="167" t="str">
        <f>'RFPR cover'!$C$14</f>
        <v>£m 12/13</v>
      </c>
      <c r="D30" s="97">
        <f t="shared" ref="D30:K30" si="6">D28*D16</f>
        <v>-0.8617711628538588</v>
      </c>
      <c r="E30" s="98">
        <f t="shared" si="6"/>
        <v>-8.0805933771442007</v>
      </c>
      <c r="F30" s="98">
        <f t="shared" si="6"/>
        <v>1.3998059850016142</v>
      </c>
      <c r="G30" s="98">
        <f t="shared" si="6"/>
        <v>12.555642310173868</v>
      </c>
      <c r="H30" s="98">
        <f t="shared" si="6"/>
        <v>-1.4708370691349428</v>
      </c>
      <c r="I30" s="98">
        <f t="shared" si="6"/>
        <v>0.61564593234190768</v>
      </c>
      <c r="J30" s="98">
        <f t="shared" si="6"/>
        <v>-0.43160406765809245</v>
      </c>
      <c r="K30" s="98">
        <f t="shared" si="6"/>
        <v>0.5737559323419078</v>
      </c>
      <c r="L30" s="97">
        <f>SUM(D30:INDEX(D30:K30,0,MATCH('RFPR cover'!$C$7,$D$6:$K$6,0)))</f>
        <v>5.0130837551774219</v>
      </c>
      <c r="M30" s="99">
        <f>SUM(D30:K30)</f>
        <v>4.3000444830682021</v>
      </c>
    </row>
    <row r="31" spans="1:20">
      <c r="A31" s="36"/>
      <c r="B31" s="817" t="s">
        <v>298</v>
      </c>
      <c r="C31" s="167" t="str">
        <f>'RFPR cover'!$C$14</f>
        <v>£m 12/13</v>
      </c>
      <c r="D31" s="94">
        <f t="shared" ref="D31:K31" si="7">D28*(1-D16)</f>
        <v>-1.1954529069810869</v>
      </c>
      <c r="E31" s="95">
        <f t="shared" si="7"/>
        <v>-11.209436169631164</v>
      </c>
      <c r="F31" s="95">
        <f t="shared" si="7"/>
        <v>1.9418172783109044</v>
      </c>
      <c r="G31" s="95">
        <f t="shared" si="7"/>
        <v>17.417244560615977</v>
      </c>
      <c r="H31" s="95">
        <f t="shared" si="7"/>
        <v>-2.0403519237868588</v>
      </c>
      <c r="I31" s="95">
        <f t="shared" si="7"/>
        <v>0.85402685911645371</v>
      </c>
      <c r="J31" s="95">
        <f t="shared" si="7"/>
        <v>-0.59872314088354617</v>
      </c>
      <c r="K31" s="95">
        <f t="shared" si="7"/>
        <v>0.79591685911645393</v>
      </c>
      <c r="L31" s="94">
        <f>SUM(D31:INDEX(D31:K31,0,MATCH('RFPR cover'!$C$7,$D$6:$K$6,0)))</f>
        <v>6.9541727623146308</v>
      </c>
      <c r="M31" s="96">
        <f>SUM(D31:K31)</f>
        <v>5.965041415877133</v>
      </c>
    </row>
    <row r="32" spans="1:20">
      <c r="A32" s="36"/>
      <c r="B32" s="810"/>
    </row>
    <row r="33" spans="1:20">
      <c r="A33" s="36"/>
      <c r="B33" s="818" t="s">
        <v>171</v>
      </c>
    </row>
    <row r="34" spans="1:20">
      <c r="A34" s="36"/>
      <c r="B34" s="810" t="s">
        <v>170</v>
      </c>
      <c r="C34" s="163" t="str">
        <f>'RFPR cover'!$C$14</f>
        <v>£m 12/13</v>
      </c>
      <c r="D34" s="97">
        <f>D18+D30</f>
        <v>1.5618344474668682</v>
      </c>
      <c r="E34" s="98">
        <f t="shared" ref="E34:K34" si="8">E18+E30</f>
        <v>4.6750650573030388</v>
      </c>
      <c r="F34" s="98">
        <f t="shared" si="8"/>
        <v>1.8046493905575713</v>
      </c>
      <c r="G34" s="98">
        <f t="shared" si="8"/>
        <v>11.355276150361961</v>
      </c>
      <c r="H34" s="98">
        <f t="shared" si="8"/>
        <v>4.8447917136750149</v>
      </c>
      <c r="I34" s="98">
        <f t="shared" si="8"/>
        <v>10.780081784736046</v>
      </c>
      <c r="J34" s="98">
        <f t="shared" si="8"/>
        <v>7.7336237029004398</v>
      </c>
      <c r="K34" s="98">
        <f t="shared" si="8"/>
        <v>13.806299280136152</v>
      </c>
      <c r="L34" s="97">
        <f>SUM(D34:INDEX(D34:K34,0,MATCH('RFPR cover'!$C$7,$D$6:$K$6,0)))</f>
        <v>19.39682504568944</v>
      </c>
      <c r="M34" s="99">
        <f>SUM(D34:K34)</f>
        <v>56.561621527137092</v>
      </c>
    </row>
    <row r="35" spans="1:20">
      <c r="A35" s="36"/>
      <c r="B35" s="810" t="s">
        <v>270</v>
      </c>
      <c r="C35" s="163" t="str">
        <f>'RFPR cover'!$C$14</f>
        <v>£m 12/13</v>
      </c>
      <c r="D35" s="100">
        <f>D19+D31</f>
        <v>2.1665839040892747</v>
      </c>
      <c r="E35" s="101">
        <f t="shared" ref="E35:K35" si="9">E19+E31</f>
        <v>6.4852716753372981</v>
      </c>
      <c r="F35" s="101">
        <f t="shared" si="9"/>
        <v>2.503417906070672</v>
      </c>
      <c r="G35" s="101">
        <f t="shared" si="9"/>
        <v>15.752091121927272</v>
      </c>
      <c r="H35" s="101">
        <f t="shared" si="9"/>
        <v>6.7207172709872305</v>
      </c>
      <c r="I35" s="101">
        <f t="shared" si="9"/>
        <v>14.954178861566282</v>
      </c>
      <c r="J35" s="101">
        <f t="shared" si="9"/>
        <v>10.728118247208032</v>
      </c>
      <c r="K35" s="101">
        <f t="shared" si="9"/>
        <v>19.152161641649837</v>
      </c>
      <c r="L35" s="100">
        <f>SUM(D35:INDEX(D35:K35,0,MATCH('RFPR cover'!$C$7,$D$6:$K$6,0)))</f>
        <v>26.907364607424519</v>
      </c>
      <c r="M35" s="102">
        <f>SUM(D35:K35)</f>
        <v>78.462540628835896</v>
      </c>
    </row>
    <row r="36" spans="1:20">
      <c r="A36" s="36"/>
      <c r="B36" s="818" t="s">
        <v>8</v>
      </c>
      <c r="C36" s="164" t="str">
        <f>'RFPR cover'!$C$14</f>
        <v>£m 12/13</v>
      </c>
      <c r="D36" s="147">
        <f>SUM(D34:D35)</f>
        <v>3.7284183515561429</v>
      </c>
      <c r="E36" s="148">
        <f t="shared" ref="E36:K36" si="10">SUM(E34:E35)</f>
        <v>11.160336732640337</v>
      </c>
      <c r="F36" s="148">
        <f t="shared" si="10"/>
        <v>4.3080672966282432</v>
      </c>
      <c r="G36" s="148">
        <f t="shared" si="10"/>
        <v>27.107367272289231</v>
      </c>
      <c r="H36" s="148">
        <f t="shared" si="10"/>
        <v>11.565508984662245</v>
      </c>
      <c r="I36" s="148">
        <f t="shared" si="10"/>
        <v>25.734260646302328</v>
      </c>
      <c r="J36" s="148">
        <f t="shared" si="10"/>
        <v>18.461741950108472</v>
      </c>
      <c r="K36" s="148">
        <f t="shared" si="10"/>
        <v>32.958460921785985</v>
      </c>
      <c r="L36" s="147">
        <f>SUM(D36:INDEX(D36:K36,0,MATCH('RFPR cover'!$C$7,$D$6:$K$6,0)))</f>
        <v>46.304189653113951</v>
      </c>
      <c r="M36" s="149">
        <f>SUM(D36:K36)</f>
        <v>135.02416215597299</v>
      </c>
    </row>
    <row r="37" spans="1:20">
      <c r="A37" s="36"/>
      <c r="B37" s="810"/>
    </row>
    <row r="38" spans="1:20">
      <c r="A38" s="36"/>
      <c r="B38" s="813" t="str">
        <f>Data!B51</f>
        <v>n/a</v>
      </c>
      <c r="C38" s="158"/>
      <c r="D38" s="83"/>
      <c r="E38" s="83"/>
      <c r="F38" s="83"/>
      <c r="G38" s="83"/>
      <c r="H38" s="83"/>
      <c r="I38" s="83"/>
      <c r="J38" s="83"/>
      <c r="K38" s="83"/>
      <c r="L38" s="83"/>
      <c r="M38" s="83"/>
      <c r="N38" s="83"/>
    </row>
    <row r="39" spans="1:20" s="36" customFormat="1">
      <c r="B39" s="811"/>
      <c r="C39" s="146"/>
      <c r="D39" s="339"/>
      <c r="E39" s="339"/>
      <c r="F39" s="339"/>
      <c r="G39" s="339"/>
      <c r="H39" s="339"/>
      <c r="I39" s="339"/>
      <c r="J39" s="339"/>
      <c r="K39" s="339"/>
      <c r="L39" s="339"/>
      <c r="M39" s="339"/>
      <c r="N39" s="339"/>
    </row>
    <row r="40" spans="1:20">
      <c r="A40" s="36"/>
      <c r="B40" s="324" t="s">
        <v>24</v>
      </c>
      <c r="C40" s="163" t="str">
        <f>'RFPR cover'!$C$14</f>
        <v>£m 12/13</v>
      </c>
      <c r="D40" s="678"/>
      <c r="E40" s="679"/>
      <c r="F40" s="679"/>
      <c r="G40" s="679"/>
      <c r="H40" s="679"/>
      <c r="I40" s="679"/>
      <c r="J40" s="679"/>
      <c r="K40" s="679"/>
      <c r="L40" s="680">
        <f>SUM(D40:INDEX(D40:K40,0,MATCH('RFPR cover'!$C$7,$D$6:$K$6,0)))</f>
        <v>0</v>
      </c>
      <c r="M40" s="681">
        <f>SUM(D40:K40)</f>
        <v>0</v>
      </c>
      <c r="N40" s="371"/>
      <c r="O40" s="64"/>
    </row>
    <row r="41" spans="1:20" ht="25.5">
      <c r="A41" s="36"/>
      <c r="B41" s="815" t="s">
        <v>478</v>
      </c>
      <c r="C41" s="163" t="str">
        <f>'RFPR cover'!$C$14</f>
        <v>£m 12/13</v>
      </c>
      <c r="D41" s="682"/>
      <c r="E41" s="683"/>
      <c r="F41" s="683"/>
      <c r="G41" s="683"/>
      <c r="H41" s="683"/>
      <c r="I41" s="683"/>
      <c r="J41" s="683"/>
      <c r="K41" s="683"/>
      <c r="L41" s="684">
        <f>SUM(D41:INDEX(D41:K41,0,MATCH('RFPR cover'!$C$7,$D$6:$K$6,0)))</f>
        <v>0</v>
      </c>
      <c r="M41" s="685">
        <f>SUM(D41:K41)</f>
        <v>0</v>
      </c>
      <c r="N41" s="371"/>
      <c r="O41" s="64"/>
    </row>
    <row r="42" spans="1:20">
      <c r="A42" s="36"/>
      <c r="B42" s="816" t="s">
        <v>185</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374">
        <f t="shared" si="11"/>
        <v>0</v>
      </c>
      <c r="M42" s="375">
        <f t="shared" si="11"/>
        <v>0</v>
      </c>
      <c r="N42" s="372"/>
      <c r="O42" s="989"/>
      <c r="P42" s="989"/>
      <c r="Q42" s="989"/>
      <c r="R42"/>
      <c r="S42"/>
      <c r="T42"/>
    </row>
    <row r="43" spans="1:20">
      <c r="A43" s="36"/>
      <c r="B43" s="816"/>
      <c r="C43" s="163"/>
      <c r="D43" s="60"/>
      <c r="E43" s="60"/>
      <c r="F43" s="60"/>
      <c r="G43" s="60"/>
      <c r="H43" s="60"/>
      <c r="I43" s="60"/>
      <c r="J43" s="60"/>
      <c r="K43" s="60"/>
      <c r="L43" s="60"/>
      <c r="M43" s="60"/>
      <c r="N43" s="368"/>
      <c r="O43" s="65"/>
      <c r="P43" s="65"/>
      <c r="Q43" s="65"/>
      <c r="R43"/>
      <c r="S43"/>
      <c r="T43"/>
    </row>
    <row r="44" spans="1:20">
      <c r="A44" s="36"/>
      <c r="B44" s="810" t="s">
        <v>168</v>
      </c>
      <c r="C44" s="144" t="s">
        <v>7</v>
      </c>
      <c r="D44" s="111">
        <f>1-INDEX(Data!$D$73:$D$100,MATCH('RFPR cover'!$C$5,Data!$B$73:$B$100,0),0)</f>
        <v>0.41890000000000005</v>
      </c>
      <c r="E44" s="112">
        <f>1-INDEX(Data!$D$73:$D$100,MATCH('RFPR cover'!$C$5,Data!$B$73:$B$100,0),0)</f>
        <v>0.41890000000000005</v>
      </c>
      <c r="F44" s="112">
        <f>1-INDEX(Data!$D$73:$D$100,MATCH('RFPR cover'!$C$5,Data!$B$73:$B$100,0),0)</f>
        <v>0.41890000000000005</v>
      </c>
      <c r="G44" s="112">
        <f>1-INDEX(Data!$D$73:$D$100,MATCH('RFPR cover'!$C$5,Data!$B$73:$B$100,0),0)</f>
        <v>0.41890000000000005</v>
      </c>
      <c r="H44" s="112">
        <f>1-INDEX(Data!$D$73:$D$100,MATCH('RFPR cover'!$C$5,Data!$B$73:$B$100,0),0)</f>
        <v>0.41890000000000005</v>
      </c>
      <c r="I44" s="112">
        <f>1-INDEX(Data!$D$73:$D$100,MATCH('RFPR cover'!$C$5,Data!$B$73:$B$100,0),0)</f>
        <v>0.41890000000000005</v>
      </c>
      <c r="J44" s="112">
        <f>1-INDEX(Data!$D$73:$D$100,MATCH('RFPR cover'!$C$5,Data!$B$73:$B$100,0),0)</f>
        <v>0.41890000000000005</v>
      </c>
      <c r="K44" s="113">
        <f>1-INDEX(Data!$D$73:$D$100,MATCH('RFPR cover'!$C$5,Data!$B$73:$B$100,0),0)</f>
        <v>0.41890000000000005</v>
      </c>
      <c r="L44" s="63"/>
      <c r="M44" s="63"/>
      <c r="N44" s="369"/>
      <c r="O44"/>
      <c r="P44"/>
      <c r="Q44"/>
      <c r="R44"/>
      <c r="S44"/>
      <c r="T44"/>
    </row>
    <row r="45" spans="1:20">
      <c r="A45" s="36"/>
      <c r="B45" s="810"/>
      <c r="N45" s="370"/>
      <c r="O45"/>
      <c r="P45"/>
      <c r="Q45"/>
      <c r="R45"/>
      <c r="S45"/>
      <c r="T45"/>
    </row>
    <row r="46" spans="1:20">
      <c r="A46" s="36"/>
      <c r="B46" s="817" t="s">
        <v>173</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376">
        <f>SUM(D46:INDEX(D46:K46,0,MATCH('RFPR cover'!$C$7,$D$6:$K$6,0)))</f>
        <v>0</v>
      </c>
      <c r="M46" s="605">
        <f>SUM(D46:K46)</f>
        <v>0</v>
      </c>
      <c r="N46" s="372"/>
      <c r="O46"/>
      <c r="P46"/>
      <c r="Q46"/>
      <c r="R46"/>
      <c r="S46"/>
      <c r="T46"/>
    </row>
    <row r="47" spans="1:20">
      <c r="A47" s="36"/>
      <c r="B47" s="817" t="s">
        <v>270</v>
      </c>
      <c r="C47" s="167" t="str">
        <f>'RFPR cover'!$C$14</f>
        <v>£m 12/13</v>
      </c>
      <c r="D47" s="607">
        <f>D42*(1-D44)</f>
        <v>0</v>
      </c>
      <c r="E47" s="608">
        <f t="shared" ref="E47:K47" si="13">E42*(1-E44)</f>
        <v>0</v>
      </c>
      <c r="F47" s="608">
        <f t="shared" si="13"/>
        <v>0</v>
      </c>
      <c r="G47" s="608">
        <f t="shared" si="13"/>
        <v>0</v>
      </c>
      <c r="H47" s="608">
        <f t="shared" si="13"/>
        <v>0</v>
      </c>
      <c r="I47" s="608">
        <f t="shared" si="13"/>
        <v>0</v>
      </c>
      <c r="J47" s="608">
        <f t="shared" si="13"/>
        <v>0</v>
      </c>
      <c r="K47" s="608">
        <f t="shared" si="13"/>
        <v>0</v>
      </c>
      <c r="L47" s="609">
        <f>SUM(D47:INDEX(D47:K47,0,MATCH('RFPR cover'!$C$7,$D$6:$K$6,0)))</f>
        <v>0</v>
      </c>
      <c r="M47" s="610">
        <f>SUM(D47:K47)</f>
        <v>0</v>
      </c>
      <c r="N47" s="372"/>
      <c r="O47"/>
      <c r="P47"/>
      <c r="Q47"/>
      <c r="R47"/>
      <c r="S47"/>
      <c r="T47"/>
    </row>
    <row r="48" spans="1:20">
      <c r="A48" s="36"/>
      <c r="B48" s="810"/>
      <c r="N48" s="370"/>
      <c r="O48"/>
      <c r="P48"/>
      <c r="Q48"/>
      <c r="R48"/>
      <c r="S48"/>
      <c r="T48"/>
    </row>
    <row r="49" spans="1:20">
      <c r="A49" s="36"/>
      <c r="B49" s="818" t="s">
        <v>172</v>
      </c>
      <c r="N49" s="370"/>
      <c r="O49"/>
      <c r="P49"/>
      <c r="Q49"/>
      <c r="R49"/>
      <c r="S49"/>
      <c r="T49"/>
    </row>
    <row r="50" spans="1:20">
      <c r="A50" s="283" t="s">
        <v>141</v>
      </c>
      <c r="B50" s="808" t="s">
        <v>232</v>
      </c>
      <c r="C50" s="163" t="str">
        <f>'RFPR cover'!$C$14</f>
        <v>£m 12/13</v>
      </c>
      <c r="D50" s="611"/>
      <c r="E50" s="612"/>
      <c r="F50" s="612"/>
      <c r="G50" s="612"/>
      <c r="H50" s="612"/>
      <c r="I50" s="612"/>
      <c r="J50" s="612"/>
      <c r="K50" s="612"/>
      <c r="L50" s="686">
        <f>SUM(D50:INDEX(D50:K50,0,MATCH('RFPR cover'!$C$7,$D$6:$K$6,0)))</f>
        <v>0</v>
      </c>
      <c r="M50" s="687">
        <f t="shared" ref="M50:M56" si="14">SUM(D50:K50)</f>
        <v>0</v>
      </c>
      <c r="N50" s="602"/>
      <c r="O50"/>
      <c r="P50"/>
      <c r="Q50"/>
      <c r="R50"/>
      <c r="S50"/>
      <c r="T50"/>
    </row>
    <row r="51" spans="1:20">
      <c r="A51" s="283" t="s">
        <v>142</v>
      </c>
      <c r="B51" s="808" t="s">
        <v>232</v>
      </c>
      <c r="C51" s="163" t="str">
        <f>'RFPR cover'!$C$14</f>
        <v>£m 12/13</v>
      </c>
      <c r="D51" s="615"/>
      <c r="E51" s="616"/>
      <c r="F51" s="616"/>
      <c r="G51" s="616"/>
      <c r="H51" s="616"/>
      <c r="I51" s="616"/>
      <c r="J51" s="616"/>
      <c r="K51" s="616"/>
      <c r="L51" s="688">
        <f>SUM(D51:INDEX(D51:K51,0,MATCH('RFPR cover'!$C$7,$D$6:$K$6,0)))</f>
        <v>0</v>
      </c>
      <c r="M51" s="689">
        <f t="shared" si="14"/>
        <v>0</v>
      </c>
      <c r="N51" s="603"/>
      <c r="O51"/>
      <c r="P51"/>
      <c r="Q51"/>
      <c r="R51"/>
      <c r="S51"/>
      <c r="T51"/>
    </row>
    <row r="52" spans="1:20">
      <c r="A52" s="283" t="s">
        <v>143</v>
      </c>
      <c r="B52" s="808" t="s">
        <v>232</v>
      </c>
      <c r="C52" s="163" t="str">
        <f>'RFPR cover'!$C$14</f>
        <v>£m 12/13</v>
      </c>
      <c r="D52" s="615"/>
      <c r="E52" s="616"/>
      <c r="F52" s="616"/>
      <c r="G52" s="616"/>
      <c r="H52" s="616"/>
      <c r="I52" s="616"/>
      <c r="J52" s="616"/>
      <c r="K52" s="616"/>
      <c r="L52" s="688">
        <f>SUM(D52:INDEX(D52:K52,0,MATCH('RFPR cover'!$C$7,$D$6:$K$6,0)))</f>
        <v>0</v>
      </c>
      <c r="M52" s="689">
        <f t="shared" si="14"/>
        <v>0</v>
      </c>
      <c r="N52" s="603"/>
      <c r="O52"/>
      <c r="P52"/>
      <c r="Q52"/>
      <c r="R52"/>
      <c r="S52" s="66"/>
      <c r="T52"/>
    </row>
    <row r="53" spans="1:20">
      <c r="A53" s="283" t="s">
        <v>158</v>
      </c>
      <c r="B53" s="808" t="s">
        <v>232</v>
      </c>
      <c r="C53" s="163" t="str">
        <f>'RFPR cover'!$C$14</f>
        <v>£m 12/13</v>
      </c>
      <c r="D53" s="615"/>
      <c r="E53" s="616"/>
      <c r="F53" s="616"/>
      <c r="G53" s="616"/>
      <c r="H53" s="616"/>
      <c r="I53" s="616"/>
      <c r="J53" s="616"/>
      <c r="K53" s="616"/>
      <c r="L53" s="688">
        <f>SUM(D53:INDEX(D53:K53,0,MATCH('RFPR cover'!$C$7,$D$6:$K$6,0)))</f>
        <v>0</v>
      </c>
      <c r="M53" s="689">
        <f t="shared" si="14"/>
        <v>0</v>
      </c>
      <c r="N53" s="603"/>
      <c r="O53"/>
      <c r="P53"/>
      <c r="Q53"/>
      <c r="R53"/>
      <c r="S53"/>
      <c r="T53"/>
    </row>
    <row r="54" spans="1:20">
      <c r="A54" s="283" t="s">
        <v>159</v>
      </c>
      <c r="B54" s="808" t="s">
        <v>232</v>
      </c>
      <c r="C54" s="163" t="str">
        <f>'RFPR cover'!$C$14</f>
        <v>£m 12/13</v>
      </c>
      <c r="D54" s="615"/>
      <c r="E54" s="616"/>
      <c r="F54" s="616"/>
      <c r="G54" s="616"/>
      <c r="H54" s="616"/>
      <c r="I54" s="616"/>
      <c r="J54" s="616"/>
      <c r="K54" s="616"/>
      <c r="L54" s="688">
        <f>SUM(D54:INDEX(D54:K54,0,MATCH('RFPR cover'!$C$7,$D$6:$K$6,0)))</f>
        <v>0</v>
      </c>
      <c r="M54" s="689">
        <f t="shared" si="14"/>
        <v>0</v>
      </c>
      <c r="N54" s="603"/>
      <c r="O54"/>
      <c r="P54"/>
      <c r="Q54"/>
      <c r="R54"/>
      <c r="S54"/>
      <c r="T54"/>
    </row>
    <row r="55" spans="1:20">
      <c r="A55" s="283" t="s">
        <v>160</v>
      </c>
      <c r="B55" s="808" t="s">
        <v>232</v>
      </c>
      <c r="C55" s="163" t="str">
        <f>'RFPR cover'!$C$14</f>
        <v>£m 12/13</v>
      </c>
      <c r="D55" s="619"/>
      <c r="E55" s="620"/>
      <c r="F55" s="620"/>
      <c r="G55" s="620"/>
      <c r="H55" s="620"/>
      <c r="I55" s="620"/>
      <c r="J55" s="620"/>
      <c r="K55" s="620"/>
      <c r="L55" s="690">
        <f>SUM(D55:INDEX(D55:K55,0,MATCH('RFPR cover'!$C$7,$D$6:$K$6,0)))</f>
        <v>0</v>
      </c>
      <c r="M55" s="691">
        <f t="shared" si="14"/>
        <v>0</v>
      </c>
      <c r="N55" s="604"/>
      <c r="O55"/>
      <c r="P55"/>
      <c r="Q55"/>
      <c r="R55"/>
      <c r="S55"/>
      <c r="T55"/>
    </row>
    <row r="56" spans="1:20">
      <c r="A56" s="36"/>
      <c r="B56" s="818" t="s">
        <v>180</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374">
        <f>SUM(D56:INDEX(D56:K56,0,MATCH('RFPR cover'!$C$7,$D$6:$K$6,0)))</f>
        <v>0</v>
      </c>
      <c r="M56" s="375">
        <f t="shared" si="14"/>
        <v>0</v>
      </c>
      <c r="N56" s="372"/>
    </row>
    <row r="57" spans="1:20">
      <c r="A57" s="36"/>
      <c r="B57" s="810"/>
      <c r="N57" s="370"/>
    </row>
    <row r="58" spans="1:20">
      <c r="A58" s="36"/>
      <c r="B58" s="817" t="s">
        <v>188</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376">
        <f>SUM(D58:INDEX(D58:K58,0,MATCH('RFPR cover'!$C$7,$D$6:$K$6,0)))</f>
        <v>0</v>
      </c>
      <c r="M58" s="605">
        <f>SUM(D58:K58)</f>
        <v>0</v>
      </c>
      <c r="N58" s="372"/>
    </row>
    <row r="59" spans="1:20">
      <c r="A59" s="36"/>
      <c r="B59" s="817" t="s">
        <v>298</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377">
        <f>SUM(D59:INDEX(D59:K59,0,MATCH('RFPR cover'!$C$7,$D$6:$K$6,0)))</f>
        <v>0</v>
      </c>
      <c r="M59" s="606">
        <f>SUM(D59:K59)</f>
        <v>0</v>
      </c>
      <c r="N59" s="372"/>
    </row>
    <row r="60" spans="1:20">
      <c r="A60" s="36"/>
      <c r="B60" s="810"/>
      <c r="N60" s="370"/>
    </row>
    <row r="61" spans="1:20">
      <c r="A61" s="36"/>
      <c r="B61" s="818" t="s">
        <v>171</v>
      </c>
      <c r="N61" s="370"/>
    </row>
    <row r="62" spans="1:20">
      <c r="A62" s="36"/>
      <c r="B62" s="810" t="s">
        <v>170</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376">
        <f>SUM(D62:INDEX(D62:K62,0,MATCH('RFPR cover'!$C$7,$D$6:$K$6,0)))</f>
        <v>0</v>
      </c>
      <c r="M62" s="605">
        <f>SUM(D62:K62)</f>
        <v>0</v>
      </c>
      <c r="N62" s="372"/>
    </row>
    <row r="63" spans="1:20">
      <c r="A63" s="36"/>
      <c r="B63" s="810" t="s">
        <v>270</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378">
        <f>SUM(D63:INDEX(D63:K63,0,MATCH('RFPR cover'!$C$7,$D$6:$K$6,0)))</f>
        <v>0</v>
      </c>
      <c r="M63" s="606">
        <f>SUM(D63:K63)</f>
        <v>0</v>
      </c>
      <c r="N63" s="372"/>
    </row>
    <row r="64" spans="1:20">
      <c r="A64" s="36"/>
      <c r="B64" s="818" t="s">
        <v>8</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379">
        <f>SUM(D64:INDEX(D64:K64,0,MATCH('RFPR cover'!$C$7,$D$6:$K$6,0)))</f>
        <v>0</v>
      </c>
      <c r="M64" s="380">
        <f>SUM(D64:K64)</f>
        <v>0</v>
      </c>
      <c r="N64" s="373"/>
    </row>
    <row r="65" spans="1:20">
      <c r="A65" s="36"/>
      <c r="B65" s="818"/>
      <c r="C65" s="164"/>
      <c r="D65" s="164"/>
      <c r="E65" s="164"/>
      <c r="F65" s="164"/>
      <c r="G65" s="164"/>
      <c r="H65" s="164"/>
      <c r="I65" s="164"/>
      <c r="J65" s="164"/>
      <c r="K65" s="164"/>
      <c r="L65" s="164"/>
      <c r="M65" s="164"/>
    </row>
    <row r="66" spans="1:20">
      <c r="A66" s="36"/>
      <c r="B66" s="813" t="s">
        <v>247</v>
      </c>
      <c r="C66" s="158"/>
      <c r="D66" s="83"/>
      <c r="E66" s="83"/>
      <c r="F66" s="83"/>
      <c r="G66" s="83"/>
      <c r="H66" s="83"/>
      <c r="I66" s="83"/>
      <c r="J66" s="83"/>
      <c r="K66" s="83"/>
      <c r="L66" s="83"/>
      <c r="M66" s="83"/>
      <c r="N66" s="83"/>
    </row>
    <row r="67" spans="1:20">
      <c r="A67" s="36"/>
      <c r="B67" s="810"/>
      <c r="O67"/>
      <c r="P67"/>
      <c r="Q67"/>
      <c r="R67"/>
      <c r="S67"/>
      <c r="T67"/>
    </row>
    <row r="68" spans="1:20">
      <c r="A68" s="36"/>
      <c r="B68" s="818" t="s">
        <v>171</v>
      </c>
    </row>
    <row r="69" spans="1:20">
      <c r="A69" s="36"/>
      <c r="B69" s="810" t="s">
        <v>170</v>
      </c>
      <c r="C69" s="163" t="str">
        <f>'RFPR cover'!$C$14</f>
        <v>£m 12/13</v>
      </c>
      <c r="D69" s="97">
        <f>D34+D62</f>
        <v>1.5618344474668682</v>
      </c>
      <c r="E69" s="98">
        <f t="shared" ref="E69:K69" si="21">E34+E62</f>
        <v>4.6750650573030388</v>
      </c>
      <c r="F69" s="98">
        <f t="shared" si="21"/>
        <v>1.8046493905575713</v>
      </c>
      <c r="G69" s="98">
        <f t="shared" si="21"/>
        <v>11.355276150361961</v>
      </c>
      <c r="H69" s="98">
        <f t="shared" si="21"/>
        <v>4.8447917136750149</v>
      </c>
      <c r="I69" s="98">
        <f t="shared" si="21"/>
        <v>10.780081784736046</v>
      </c>
      <c r="J69" s="98">
        <f t="shared" si="21"/>
        <v>7.7336237029004398</v>
      </c>
      <c r="K69" s="98">
        <f t="shared" si="21"/>
        <v>13.806299280136152</v>
      </c>
      <c r="L69" s="97">
        <f>SUM(D69:INDEX(D69:K69,0,MATCH('RFPR cover'!$C$7,$D$6:$K$6,0)))</f>
        <v>19.39682504568944</v>
      </c>
      <c r="M69" s="99">
        <f>SUM(D69:K69)</f>
        <v>56.561621527137092</v>
      </c>
    </row>
    <row r="70" spans="1:20">
      <c r="A70" s="36"/>
      <c r="B70" s="810" t="s">
        <v>270</v>
      </c>
      <c r="C70" s="163" t="str">
        <f>'RFPR cover'!$C$14</f>
        <v>£m 12/13</v>
      </c>
      <c r="D70" s="548">
        <f t="shared" ref="D70:K70" si="22">D35+D63</f>
        <v>2.1665839040892747</v>
      </c>
      <c r="E70" s="549">
        <f t="shared" si="22"/>
        <v>6.4852716753372981</v>
      </c>
      <c r="F70" s="549">
        <f t="shared" si="22"/>
        <v>2.503417906070672</v>
      </c>
      <c r="G70" s="549">
        <f t="shared" si="22"/>
        <v>15.752091121927272</v>
      </c>
      <c r="H70" s="549">
        <f t="shared" si="22"/>
        <v>6.7207172709872305</v>
      </c>
      <c r="I70" s="549">
        <f t="shared" si="22"/>
        <v>14.954178861566282</v>
      </c>
      <c r="J70" s="549">
        <f t="shared" si="22"/>
        <v>10.728118247208032</v>
      </c>
      <c r="K70" s="549">
        <f t="shared" si="22"/>
        <v>19.152161641649837</v>
      </c>
      <c r="L70" s="548">
        <f>SUM(D70:INDEX(D70:K70,0,MATCH('RFPR cover'!$C$7,$D$6:$K$6,0)))</f>
        <v>26.907364607424519</v>
      </c>
      <c r="M70" s="550">
        <f>SUM(D70:K70)</f>
        <v>78.462540628835896</v>
      </c>
    </row>
    <row r="71" spans="1:20">
      <c r="A71" s="36"/>
      <c r="B71" s="818" t="s">
        <v>8</v>
      </c>
      <c r="C71" s="164" t="str">
        <f>'RFPR cover'!$C$14</f>
        <v>£m 12/13</v>
      </c>
      <c r="D71" s="153">
        <f>SUM(D69:D70)</f>
        <v>3.7284183515561429</v>
      </c>
      <c r="E71" s="154">
        <f t="shared" ref="E71:K71" si="23">SUM(E69:E70)</f>
        <v>11.160336732640337</v>
      </c>
      <c r="F71" s="154">
        <f t="shared" si="23"/>
        <v>4.3080672966282432</v>
      </c>
      <c r="G71" s="154">
        <f t="shared" si="23"/>
        <v>27.107367272289231</v>
      </c>
      <c r="H71" s="154">
        <f t="shared" si="23"/>
        <v>11.565508984662245</v>
      </c>
      <c r="I71" s="154">
        <f t="shared" si="23"/>
        <v>25.734260646302328</v>
      </c>
      <c r="J71" s="154">
        <f t="shared" si="23"/>
        <v>18.461741950108472</v>
      </c>
      <c r="K71" s="154">
        <f t="shared" si="23"/>
        <v>32.958460921785985</v>
      </c>
      <c r="L71" s="153">
        <f>SUM(D71:INDEX(D71:K71,0,MATCH('RFPR cover'!$C$7,$D$6:$K$6,0)))</f>
        <v>46.304189653113951</v>
      </c>
      <c r="M71" s="155">
        <f>SUM(D71:K71)</f>
        <v>135.02416215597299</v>
      </c>
    </row>
    <row r="72" spans="1:20">
      <c r="A72" s="36"/>
      <c r="B72" s="818"/>
      <c r="C72" s="164"/>
      <c r="D72" s="164"/>
      <c r="E72" s="164"/>
      <c r="F72" s="164"/>
      <c r="G72" s="164"/>
      <c r="H72" s="164"/>
      <c r="I72" s="164"/>
      <c r="J72" s="164"/>
      <c r="K72" s="164"/>
      <c r="L72" s="164"/>
      <c r="M72" s="164"/>
    </row>
    <row r="73" spans="1:20">
      <c r="A73" s="36"/>
      <c r="B73" s="810"/>
    </row>
    <row r="74" spans="1:20">
      <c r="A74" s="36"/>
      <c r="B74" s="813" t="s">
        <v>204</v>
      </c>
      <c r="C74" s="158"/>
      <c r="D74" s="82"/>
      <c r="E74" s="82"/>
      <c r="F74" s="82"/>
      <c r="G74" s="82"/>
      <c r="H74" s="82"/>
      <c r="I74" s="82"/>
      <c r="J74" s="82"/>
      <c r="K74" s="82"/>
      <c r="L74" s="82"/>
      <c r="M74" s="82"/>
      <c r="N74" s="82"/>
    </row>
    <row r="75" spans="1:20">
      <c r="A75" s="36"/>
      <c r="B75" s="390" t="s">
        <v>203</v>
      </c>
      <c r="C75" s="389"/>
      <c r="D75" s="389"/>
      <c r="E75" s="389"/>
      <c r="F75" s="389"/>
      <c r="G75" s="389"/>
      <c r="H75" s="389"/>
      <c r="I75" s="389"/>
      <c r="J75" s="389"/>
      <c r="K75" s="389"/>
      <c r="L75" s="389"/>
      <c r="M75" s="389"/>
      <c r="N75" s="389"/>
    </row>
    <row r="76" spans="1:20" s="36" customFormat="1">
      <c r="B76" s="455"/>
      <c r="C76" s="394"/>
      <c r="D76" s="394"/>
      <c r="E76" s="394"/>
      <c r="F76" s="394"/>
      <c r="G76" s="394"/>
      <c r="H76" s="394"/>
      <c r="I76" s="394"/>
      <c r="J76" s="394"/>
      <c r="K76" s="394"/>
      <c r="L76" s="394"/>
      <c r="M76" s="394"/>
      <c r="N76" s="394"/>
    </row>
    <row r="77" spans="1:20">
      <c r="A77" s="36"/>
      <c r="B77" s="817" t="s">
        <v>207</v>
      </c>
      <c r="C77" s="163" t="str">
        <f>'RFPR cover'!$C$14</f>
        <v>£m 12/13</v>
      </c>
      <c r="D77" s="692">
        <f>INDEX(Data!$C$119:$L$146,MATCH('RFPR cover'!$C$5,Data!$B$119:$B$146,0),MATCH('R4 - Totex'!D$6,Data!$C$118:$L$118,0))</f>
        <v>1.5575632164737283</v>
      </c>
      <c r="E77" s="693">
        <f>INDEX(Data!$C$119:$L$146,MATCH('RFPR cover'!$C$5,Data!$B$119:$B$146,0),MATCH('R4 - Totex'!E$6,Data!$C$118:$L$118,0))</f>
        <v>1.4734141240658321</v>
      </c>
      <c r="F77" s="693">
        <f>INDEX(Data!$C$119:$L$146,MATCH('RFPR cover'!$C$5,Data!$B$119:$B$146,0),MATCH('R4 - Totex'!F$6,Data!$C$118:$L$118,0))</f>
        <v>1.4689588897025405</v>
      </c>
      <c r="G77" s="693">
        <f>INDEX(Data!$C$119:$L$146,MATCH('RFPR cover'!$C$5,Data!$B$119:$B$146,0),MATCH('R4 - Totex'!G$6,Data!$C$118:$L$118,0))</f>
        <v>1.4707200530126929</v>
      </c>
      <c r="H77" s="693">
        <f>INDEX(Data!$C$119:$L$146,MATCH('RFPR cover'!$C$5,Data!$B$119:$B$146,0),MATCH('R4 - Totex'!H$6,Data!$C$118:$L$118,0))</f>
        <v>1.4674716260161711</v>
      </c>
      <c r="I77" s="693">
        <f>INDEX(Data!$C$119:$L$146,MATCH('RFPR cover'!$C$5,Data!$B$119:$B$146,0),MATCH('R4 - Totex'!I$6,Data!$C$118:$L$118,0))</f>
        <v>1.4486206224386007</v>
      </c>
      <c r="J77" s="693">
        <f>INDEX(Data!$C$119:$L$146,MATCH('RFPR cover'!$C$5,Data!$B$119:$B$146,0),MATCH('R4 - Totex'!J$6,Data!$C$118:$L$118,0))</f>
        <v>1.4956798325868756</v>
      </c>
      <c r="K77" s="694">
        <f>INDEX(Data!$C$119:$L$146,MATCH('RFPR cover'!$C$5,Data!$B$119:$B$146,0),MATCH('R4 - Totex'!K$6,Data!$C$118:$L$118,0))</f>
        <v>1.4397148718051931</v>
      </c>
      <c r="L77" s="100">
        <f>SUM(D77:INDEX(D77:K77,0,MATCH('RFPR cover'!$C$7,$D$6:$K$6,0)))</f>
        <v>5.9706562832547938</v>
      </c>
      <c r="M77" s="102">
        <f>SUM(D77:K77)</f>
        <v>11.822143236101635</v>
      </c>
    </row>
    <row r="78" spans="1:20">
      <c r="A78" s="36"/>
      <c r="B78" s="235" t="s">
        <v>191</v>
      </c>
      <c r="C78" s="163" t="s">
        <v>7</v>
      </c>
      <c r="D78" s="925" t="str">
        <f>IF(INDEX(Data!$J$73:$J$100,MATCH('RFPR cover'!$C$5,Data!$B$73:$B$100,0),0)="Pre",INDEX(Data!$G$18:$G$27,MATCH('R4 - Totex'!D$6,Data!$C$18:$C$27,0),0),"n/a")</f>
        <v>n/a</v>
      </c>
      <c r="E78" s="925" t="str">
        <f>IF(INDEX(Data!$J$73:$J$100,MATCH('RFPR cover'!$C$5,Data!$B$73:$B$100,0),0)="Pre",INDEX(Data!$G$18:$G$27,MATCH('R4 - Totex'!E$6,Data!$C$18:$C$27,0),0),"n/a")</f>
        <v>n/a</v>
      </c>
      <c r="F78" s="925" t="str">
        <f>IF(INDEX(Data!$J$73:$J$100,MATCH('RFPR cover'!$C$5,Data!$B$73:$B$100,0),0)="Pre",INDEX(Data!$G$18:$G$27,MATCH('R4 - Totex'!F$6,Data!$C$18:$C$27,0),0),"n/a")</f>
        <v>n/a</v>
      </c>
      <c r="G78" s="925" t="str">
        <f>IF(INDEX(Data!$J$73:$J$100,MATCH('RFPR cover'!$C$5,Data!$B$73:$B$100,0),0)="Pre",INDEX(Data!$G$18:$G$27,MATCH('R4 - Totex'!G$6,Data!$C$18:$C$27,0),0),"n/a")</f>
        <v>n/a</v>
      </c>
      <c r="H78" s="925" t="str">
        <f>IF(INDEX(Data!$J$73:$J$100,MATCH('RFPR cover'!$C$5,Data!$B$73:$B$100,0),0)="Pre",INDEX(Data!$G$18:$G$27,MATCH('R4 - Totex'!H$6,Data!$C$18:$C$27,0),0),"n/a")</f>
        <v>n/a</v>
      </c>
      <c r="I78" s="925" t="str">
        <f>IF(INDEX(Data!$J$73:$J$100,MATCH('RFPR cover'!$C$5,Data!$B$73:$B$100,0),0)="Pre",INDEX(Data!$G$18:$G$27,MATCH('R4 - Totex'!I$6,Data!$C$18:$C$27,0),0),"n/a")</f>
        <v>n/a</v>
      </c>
      <c r="J78" s="925" t="str">
        <f>IF(INDEX(Data!$J$73:$J$100,MATCH('RFPR cover'!$C$5,Data!$B$73:$B$100,0),0)="Pre",INDEX(Data!$G$18:$G$27,MATCH('R4 - Totex'!J$6,Data!$C$18:$C$27,0),0),"n/a")</f>
        <v>n/a</v>
      </c>
      <c r="K78" s="925" t="str">
        <f>IF(INDEX(Data!$J$73:$J$100,MATCH('RFPR cover'!$C$5,Data!$B$73:$B$100,0),0)="Pre",INDEX(Data!$G$18:$G$27,MATCH('R4 - Totex'!K$6,Data!$C$18:$C$27,0),0),"n/a")</f>
        <v>n/a</v>
      </c>
      <c r="L78" s="923"/>
      <c r="M78" s="924"/>
    </row>
    <row r="79" spans="1:20">
      <c r="A79" s="36"/>
      <c r="B79" s="235" t="s">
        <v>200</v>
      </c>
      <c r="C79" s="163" t="str">
        <f>'RFPR cover'!$C$14</f>
        <v>£m 12/13</v>
      </c>
      <c r="D79" s="639">
        <f>IF(ISNUMBER(D78),D77*(1-D78),D77)</f>
        <v>1.5575632164737283</v>
      </c>
      <c r="E79" s="640">
        <f t="shared" ref="E79:K79" si="24">IF(ISNUMBER(E78),E77*(1-E78),E77)</f>
        <v>1.4734141240658321</v>
      </c>
      <c r="F79" s="640">
        <f t="shared" si="24"/>
        <v>1.4689588897025405</v>
      </c>
      <c r="G79" s="640">
        <f t="shared" si="24"/>
        <v>1.4707200530126929</v>
      </c>
      <c r="H79" s="640">
        <f t="shared" si="24"/>
        <v>1.4674716260161711</v>
      </c>
      <c r="I79" s="640">
        <f t="shared" si="24"/>
        <v>1.4486206224386007</v>
      </c>
      <c r="J79" s="640">
        <f t="shared" si="24"/>
        <v>1.4956798325868756</v>
      </c>
      <c r="K79" s="641">
        <f t="shared" si="24"/>
        <v>1.4397148718051931</v>
      </c>
      <c r="L79" s="698">
        <f>SUM(D79:INDEX(D79:K79,0,MATCH('RFPR cover'!$C$7,$D$6:$K$6,0)))</f>
        <v>5.9706562832547938</v>
      </c>
      <c r="M79" s="699">
        <f>SUM(D79:K79)</f>
        <v>11.822143236101635</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10"/>
    </row>
    <row r="84" spans="1:20">
      <c r="A84" s="36"/>
      <c r="B84" s="812" t="s">
        <v>177</v>
      </c>
      <c r="C84" s="306"/>
      <c r="D84" s="308"/>
      <c r="E84" s="308"/>
      <c r="F84" s="308"/>
      <c r="G84" s="308"/>
      <c r="H84" s="308"/>
      <c r="I84" s="308"/>
      <c r="J84" s="308"/>
      <c r="K84" s="308"/>
      <c r="L84" s="308"/>
      <c r="M84" s="308"/>
      <c r="N84" s="308"/>
    </row>
    <row r="85" spans="1:20">
      <c r="A85" s="36"/>
      <c r="B85" s="818"/>
    </row>
    <row r="86" spans="1:20">
      <c r="A86" s="36"/>
      <c r="B86" s="817" t="str">
        <f>Data!B34</f>
        <v>Financial Year Average RPI (RPIt)</v>
      </c>
      <c r="C86" s="144" t="s">
        <v>117</v>
      </c>
      <c r="D86" s="114">
        <f>Data!C$34</f>
        <v>1.0603167467048125</v>
      </c>
      <c r="E86" s="115">
        <f>Data!D$34</f>
        <v>1.0830366813119445</v>
      </c>
      <c r="F86" s="115">
        <f>Data!E$34</f>
        <v>1.1235639113109226</v>
      </c>
      <c r="G86" s="115">
        <f>Data!F$34</f>
        <v>1.1578951670583426</v>
      </c>
      <c r="H86" s="115">
        <f>Data!G$34</f>
        <v>1.1882899151936241</v>
      </c>
      <c r="I86" s="115">
        <f>Data!H$34</f>
        <v>1.2212649603402472</v>
      </c>
      <c r="J86" s="115">
        <f>Data!I$34</f>
        <v>1.2582082253905398</v>
      </c>
      <c r="K86" s="116">
        <f>Data!J$34</f>
        <v>1.296898128321299</v>
      </c>
    </row>
    <row r="87" spans="1:20">
      <c r="A87" s="36"/>
      <c r="B87" s="817"/>
      <c r="D87" s="144"/>
      <c r="E87" s="144"/>
      <c r="F87" s="144"/>
      <c r="G87" s="144"/>
      <c r="H87" s="144"/>
      <c r="I87" s="144"/>
      <c r="J87" s="144"/>
      <c r="K87" s="144"/>
    </row>
    <row r="88" spans="1:20">
      <c r="A88" s="36"/>
      <c r="B88" s="813" t="str">
        <f>B10</f>
        <v>Totex</v>
      </c>
      <c r="C88" s="158"/>
      <c r="D88" s="83"/>
      <c r="E88" s="83"/>
      <c r="F88" s="83"/>
      <c r="G88" s="83"/>
      <c r="H88" s="83"/>
      <c r="I88" s="83"/>
      <c r="J88" s="83"/>
      <c r="K88" s="83"/>
      <c r="L88" s="83"/>
      <c r="M88" s="83"/>
      <c r="N88" s="83"/>
    </row>
    <row r="89" spans="1:20" s="36" customFormat="1">
      <c r="B89" s="814"/>
      <c r="C89" s="146"/>
      <c r="D89" s="339"/>
      <c r="E89" s="339"/>
      <c r="F89" s="339"/>
      <c r="G89" s="339"/>
      <c r="H89" s="339"/>
      <c r="I89" s="339"/>
      <c r="J89" s="339"/>
      <c r="K89" s="339"/>
      <c r="L89" s="339"/>
      <c r="M89" s="339"/>
      <c r="N89" s="339"/>
    </row>
    <row r="90" spans="1:20">
      <c r="A90" s="36"/>
      <c r="B90" s="324" t="s">
        <v>24</v>
      </c>
      <c r="C90" s="163" t="s">
        <v>118</v>
      </c>
      <c r="D90" s="701">
        <f t="shared" ref="D90:K91" si="25">D12*D$86</f>
        <v>244.41971962527217</v>
      </c>
      <c r="E90" s="701">
        <f t="shared" si="25"/>
        <v>211.60842556006889</v>
      </c>
      <c r="F90" s="701">
        <f t="shared" si="25"/>
        <v>254.61943506924939</v>
      </c>
      <c r="G90" s="701">
        <f t="shared" si="25"/>
        <v>269.41690344357545</v>
      </c>
      <c r="H90" s="701">
        <f t="shared" si="25"/>
        <v>261.55120765636411</v>
      </c>
      <c r="I90" s="701">
        <f t="shared" si="25"/>
        <v>257.83142812119189</v>
      </c>
      <c r="J90" s="701">
        <f t="shared" si="25"/>
        <v>268.80310678437723</v>
      </c>
      <c r="K90" s="701">
        <f t="shared" si="25"/>
        <v>250.65203522504603</v>
      </c>
      <c r="L90" s="700">
        <f>SUM(D90:INDEX(D90:K90,0,MATCH('RFPR cover'!$C$7,$D$6:$K$6,0)))</f>
        <v>980.06448369816576</v>
      </c>
      <c r="M90" s="701">
        <f>SUM(D90:K90)</f>
        <v>2018.9022614851451</v>
      </c>
      <c r="N90" s="64"/>
      <c r="O90" s="64"/>
    </row>
    <row r="91" spans="1:20" ht="25.5">
      <c r="A91" s="36"/>
      <c r="B91" s="815" t="s">
        <v>187</v>
      </c>
      <c r="C91" s="163" t="s">
        <v>118</v>
      </c>
      <c r="D91" s="701">
        <f t="shared" si="25"/>
        <v>250.55433317511893</v>
      </c>
      <c r="E91" s="701">
        <f t="shared" si="25"/>
        <v>244.58728920006044</v>
      </c>
      <c r="F91" s="701">
        <f t="shared" si="25"/>
        <v>255.70529670738469</v>
      </c>
      <c r="G91" s="701">
        <f t="shared" si="25"/>
        <v>266.09893214936062</v>
      </c>
      <c r="H91" s="701">
        <f t="shared" si="25"/>
        <v>279.4666958175473</v>
      </c>
      <c r="I91" s="701">
        <f t="shared" si="25"/>
        <v>287.46491904541034</v>
      </c>
      <c r="J91" s="701">
        <f t="shared" si="25"/>
        <v>293.32818852967205</v>
      </c>
      <c r="K91" s="701">
        <f t="shared" si="25"/>
        <v>291.619475427206</v>
      </c>
      <c r="L91" s="702">
        <f>SUM(D91:INDEX(D91:K91,0,MATCH('RFPR cover'!$C$7,$D$6:$K$6,0)))</f>
        <v>1016.9458512319247</v>
      </c>
      <c r="M91" s="703">
        <f>SUM(D91:K91)</f>
        <v>2168.8251300517604</v>
      </c>
      <c r="N91" s="64"/>
      <c r="O91" s="64"/>
    </row>
    <row r="92" spans="1:20">
      <c r="A92" s="36"/>
      <c r="B92" s="816" t="s">
        <v>185</v>
      </c>
      <c r="C92" s="163" t="s">
        <v>118</v>
      </c>
      <c r="D92" s="104">
        <f>D91-D90</f>
        <v>6.1346135498467618</v>
      </c>
      <c r="E92" s="105">
        <f t="shared" ref="E92:M92" si="26">E91-E90</f>
        <v>32.978863639991545</v>
      </c>
      <c r="F92" s="105">
        <f t="shared" si="26"/>
        <v>1.0858616381352988</v>
      </c>
      <c r="G92" s="105">
        <f t="shared" si="26"/>
        <v>-3.3179712942148285</v>
      </c>
      <c r="H92" s="105">
        <f t="shared" si="26"/>
        <v>17.915488161183191</v>
      </c>
      <c r="I92" s="105">
        <f t="shared" si="26"/>
        <v>29.633490924218449</v>
      </c>
      <c r="J92" s="105">
        <f t="shared" si="26"/>
        <v>24.525081745294813</v>
      </c>
      <c r="K92" s="106">
        <f t="shared" si="26"/>
        <v>40.967440202159963</v>
      </c>
      <c r="L92" s="104">
        <f t="shared" si="26"/>
        <v>36.881367533758976</v>
      </c>
      <c r="M92" s="106">
        <f t="shared" si="26"/>
        <v>149.92286856661531</v>
      </c>
      <c r="N92" s="64"/>
      <c r="O92" s="989"/>
      <c r="P92" s="989"/>
      <c r="Q92" s="989"/>
      <c r="R92"/>
      <c r="S92"/>
      <c r="T92"/>
    </row>
    <row r="93" spans="1:20">
      <c r="A93" s="36"/>
      <c r="B93" s="816"/>
      <c r="C93" s="163"/>
      <c r="D93" s="60"/>
      <c r="E93" s="60"/>
      <c r="F93" s="60"/>
      <c r="G93" s="60"/>
      <c r="H93" s="60"/>
      <c r="I93" s="60"/>
      <c r="J93" s="60"/>
      <c r="K93" s="60"/>
      <c r="L93" s="60"/>
      <c r="M93" s="60"/>
      <c r="O93" s="65"/>
      <c r="P93" s="65"/>
      <c r="Q93" s="65"/>
      <c r="R93"/>
      <c r="S93"/>
      <c r="T93"/>
    </row>
    <row r="94" spans="1:20">
      <c r="A94" s="36"/>
      <c r="B94" s="810" t="s">
        <v>168</v>
      </c>
      <c r="C94" s="144" t="s">
        <v>7</v>
      </c>
      <c r="D94" s="111">
        <f>1-INDEX(Data!$D$73:$D$100,MATCH('RFPR cover'!$C$5,Data!$B$73:$B$100,0),0)</f>
        <v>0.41890000000000005</v>
      </c>
      <c r="E94" s="112">
        <f>1-INDEX(Data!$D$73:$D$100,MATCH('RFPR cover'!$C$5,Data!$B$73:$B$100,0),0)</f>
        <v>0.41890000000000005</v>
      </c>
      <c r="F94" s="112">
        <f>1-INDEX(Data!$D$73:$D$100,MATCH('RFPR cover'!$C$5,Data!$B$73:$B$100,0),0)</f>
        <v>0.41890000000000005</v>
      </c>
      <c r="G94" s="112">
        <f>1-INDEX(Data!$D$73:$D$100,MATCH('RFPR cover'!$C$5,Data!$B$73:$B$100,0),0)</f>
        <v>0.41890000000000005</v>
      </c>
      <c r="H94" s="112">
        <f>1-INDEX(Data!$D$73:$D$100,MATCH('RFPR cover'!$C$5,Data!$B$73:$B$100,0),0)</f>
        <v>0.41890000000000005</v>
      </c>
      <c r="I94" s="112">
        <f>1-INDEX(Data!$D$73:$D$100,MATCH('RFPR cover'!$C$5,Data!$B$73:$B$100,0),0)</f>
        <v>0.41890000000000005</v>
      </c>
      <c r="J94" s="112">
        <f>1-INDEX(Data!$D$73:$D$100,MATCH('RFPR cover'!$C$5,Data!$B$73:$B$100,0),0)</f>
        <v>0.41890000000000005</v>
      </c>
      <c r="K94" s="113">
        <f>1-INDEX(Data!$D$73:$D$100,MATCH('RFPR cover'!$C$5,Data!$B$73:$B$100,0),0)</f>
        <v>0.41890000000000005</v>
      </c>
      <c r="L94" s="63"/>
      <c r="M94" s="63"/>
      <c r="O94"/>
      <c r="P94"/>
      <c r="Q94"/>
      <c r="R94"/>
      <c r="S94"/>
      <c r="T94"/>
    </row>
    <row r="95" spans="1:20">
      <c r="A95" s="36"/>
      <c r="B95" s="810"/>
      <c r="O95"/>
      <c r="P95"/>
      <c r="Q95"/>
      <c r="R95"/>
      <c r="S95"/>
      <c r="T95"/>
    </row>
    <row r="96" spans="1:20">
      <c r="A96" s="36"/>
      <c r="B96" s="817" t="s">
        <v>173</v>
      </c>
      <c r="C96" s="163" t="s">
        <v>118</v>
      </c>
      <c r="D96" s="97">
        <f>D92*D94</f>
        <v>2.5697896160308087</v>
      </c>
      <c r="E96" s="98">
        <f t="shared" ref="E96:K96" si="27">E92*E94</f>
        <v>13.81484597879246</v>
      </c>
      <c r="F96" s="98">
        <f t="shared" si="27"/>
        <v>0.45486744021487674</v>
      </c>
      <c r="G96" s="98">
        <f t="shared" si="27"/>
        <v>-1.3898981751465918</v>
      </c>
      <c r="H96" s="98">
        <f t="shared" si="27"/>
        <v>7.5047979907196396</v>
      </c>
      <c r="I96" s="98">
        <f t="shared" si="27"/>
        <v>12.413469348155109</v>
      </c>
      <c r="J96" s="98">
        <f t="shared" si="27"/>
        <v>10.273556743103999</v>
      </c>
      <c r="K96" s="98">
        <f t="shared" si="27"/>
        <v>17.16126070068481</v>
      </c>
      <c r="L96" s="97">
        <f>SUM(D96:INDEX(D96:K96,0,MATCH('RFPR cover'!$C$7,$D$6:$K$6,0)))</f>
        <v>15.449604859891554</v>
      </c>
      <c r="M96" s="99">
        <f>SUM(D96:K96)</f>
        <v>62.802689642555109</v>
      </c>
      <c r="O96"/>
      <c r="P96"/>
      <c r="Q96"/>
      <c r="R96"/>
      <c r="S96"/>
      <c r="T96"/>
    </row>
    <row r="97" spans="1:20">
      <c r="A97" s="36"/>
      <c r="B97" s="817" t="s">
        <v>270</v>
      </c>
      <c r="C97" s="163" t="s">
        <v>118</v>
      </c>
      <c r="D97" s="94">
        <f>D92*(1-D94)</f>
        <v>3.5648239338159531</v>
      </c>
      <c r="E97" s="95">
        <f t="shared" ref="E97:K97" si="28">E92*(1-E94)</f>
        <v>19.164017661199086</v>
      </c>
      <c r="F97" s="95">
        <f t="shared" si="28"/>
        <v>0.63099419792042211</v>
      </c>
      <c r="G97" s="95">
        <f t="shared" si="28"/>
        <v>-1.9280731190682368</v>
      </c>
      <c r="H97" s="95">
        <f t="shared" si="28"/>
        <v>10.410690170463551</v>
      </c>
      <c r="I97" s="95">
        <f t="shared" si="28"/>
        <v>17.220021576063338</v>
      </c>
      <c r="J97" s="95">
        <f t="shared" si="28"/>
        <v>14.251525002190814</v>
      </c>
      <c r="K97" s="95">
        <f t="shared" si="28"/>
        <v>23.806179501475153</v>
      </c>
      <c r="L97" s="94">
        <f>SUM(D97:INDEX(D97:K97,0,MATCH('RFPR cover'!$C$7,$D$6:$K$6,0)))</f>
        <v>21.431762673867226</v>
      </c>
      <c r="M97" s="96">
        <f>SUM(D97:K97)</f>
        <v>87.120178924060085</v>
      </c>
      <c r="O97"/>
      <c r="P97"/>
      <c r="Q97"/>
      <c r="R97"/>
      <c r="S97"/>
      <c r="T97"/>
    </row>
    <row r="98" spans="1:20">
      <c r="A98" s="36"/>
      <c r="B98" s="810"/>
      <c r="O98"/>
      <c r="P98"/>
      <c r="Q98"/>
      <c r="R98"/>
      <c r="S98"/>
      <c r="T98"/>
    </row>
    <row r="99" spans="1:20">
      <c r="A99" s="36"/>
      <c r="B99" s="818" t="s">
        <v>172</v>
      </c>
      <c r="N99" s="64"/>
      <c r="O99"/>
      <c r="P99"/>
      <c r="Q99"/>
      <c r="R99"/>
      <c r="S99"/>
      <c r="T99"/>
    </row>
    <row r="100" spans="1:20">
      <c r="A100" s="283" t="s">
        <v>141</v>
      </c>
      <c r="B100" s="235" t="str">
        <f t="shared" ref="B100:B105" si="29">B22</f>
        <v>Re-phasing within ED1</v>
      </c>
      <c r="C100" s="163" t="s">
        <v>118</v>
      </c>
      <c r="D100" s="621">
        <f t="shared" ref="D100:K105" si="30">D22*D$86</f>
        <v>-3.4504319519313333</v>
      </c>
      <c r="E100" s="621">
        <f t="shared" si="30"/>
        <v>-22.098123636068834</v>
      </c>
      <c r="F100" s="621">
        <f t="shared" si="30"/>
        <v>2.1574008658385941</v>
      </c>
      <c r="G100" s="621">
        <f t="shared" si="30"/>
        <v>33.066492403279753</v>
      </c>
      <c r="H100" s="621">
        <f t="shared" si="30"/>
        <v>-5.7037915929293961</v>
      </c>
      <c r="I100" s="621">
        <f t="shared" si="30"/>
        <v>0.22088015992810581</v>
      </c>
      <c r="J100" s="621">
        <f t="shared" si="30"/>
        <v>-2.9179587787104184</v>
      </c>
      <c r="K100" s="621">
        <f t="shared" si="30"/>
        <v>0.104869496815354</v>
      </c>
      <c r="L100" s="613">
        <f>SUM(D100:INDEX(D100:K100,0,MATCH('RFPR cover'!$C$7,$D$6:$K$6,0)))</f>
        <v>9.6753376811181795</v>
      </c>
      <c r="M100" s="614">
        <f t="shared" ref="M100:M106" si="31">SUM(D100:K100)</f>
        <v>1.3793369662218247</v>
      </c>
      <c r="N100" s="64"/>
      <c r="O100"/>
      <c r="P100"/>
      <c r="Q100"/>
      <c r="R100"/>
      <c r="S100"/>
      <c r="T100"/>
    </row>
    <row r="101" spans="1:20">
      <c r="A101" s="283" t="s">
        <v>142</v>
      </c>
      <c r="B101" s="235" t="str">
        <f t="shared" si="29"/>
        <v>Streetworks re-opener allowance</v>
      </c>
      <c r="C101" s="163" t="s">
        <v>118</v>
      </c>
      <c r="D101" s="621">
        <f t="shared" si="30"/>
        <v>1.2691228189611099</v>
      </c>
      <c r="E101" s="621">
        <f t="shared" si="30"/>
        <v>1.2063140533198864</v>
      </c>
      <c r="F101" s="621">
        <f t="shared" si="30"/>
        <v>1.5971264380163888</v>
      </c>
      <c r="G101" s="621">
        <f t="shared" si="30"/>
        <v>1.6389684471942572</v>
      </c>
      <c r="H101" s="621">
        <f t="shared" si="30"/>
        <v>1.5314811223015621</v>
      </c>
      <c r="I101" s="621">
        <f t="shared" si="30"/>
        <v>1.5739797234454302</v>
      </c>
      <c r="J101" s="621">
        <f t="shared" si="30"/>
        <v>1.6215926100796547</v>
      </c>
      <c r="K101" s="621">
        <f t="shared" si="30"/>
        <v>1.6714565828396042</v>
      </c>
      <c r="L101" s="617">
        <f>SUM(D101:INDEX(D101:K101,0,MATCH('RFPR cover'!$C$7,$D$6:$K$6,0)))</f>
        <v>5.7115317574916418</v>
      </c>
      <c r="M101" s="618">
        <f t="shared" si="31"/>
        <v>12.110041796157894</v>
      </c>
      <c r="N101" s="64"/>
      <c r="O101"/>
      <c r="P101"/>
      <c r="Q101"/>
      <c r="R101"/>
      <c r="S101"/>
      <c r="T101"/>
    </row>
    <row r="102" spans="1:20">
      <c r="A102" s="283" t="s">
        <v>143</v>
      </c>
      <c r="B102" s="235" t="str">
        <f t="shared" si="29"/>
        <v>[Enduring Value adjustment]</v>
      </c>
      <c r="C102" s="163" t="s">
        <v>118</v>
      </c>
      <c r="D102" s="621">
        <f t="shared" si="30"/>
        <v>0</v>
      </c>
      <c r="E102" s="621">
        <f t="shared" si="30"/>
        <v>0</v>
      </c>
      <c r="F102" s="621">
        <f t="shared" si="30"/>
        <v>0</v>
      </c>
      <c r="G102" s="621">
        <f t="shared" si="30"/>
        <v>0</v>
      </c>
      <c r="H102" s="621">
        <f t="shared" si="30"/>
        <v>0</v>
      </c>
      <c r="I102" s="621">
        <f t="shared" si="30"/>
        <v>0</v>
      </c>
      <c r="J102" s="621">
        <f t="shared" si="30"/>
        <v>0</v>
      </c>
      <c r="K102" s="621">
        <f t="shared" si="30"/>
        <v>0</v>
      </c>
      <c r="L102" s="617">
        <f>SUM(D102:INDEX(D102:K102,0,MATCH('RFPR cover'!$C$7,$D$6:$K$6,0)))</f>
        <v>0</v>
      </c>
      <c r="M102" s="618">
        <f t="shared" si="31"/>
        <v>0</v>
      </c>
      <c r="N102" s="64"/>
      <c r="O102"/>
      <c r="P102"/>
      <c r="Q102"/>
      <c r="R102"/>
      <c r="S102" s="66"/>
      <c r="T102"/>
    </row>
    <row r="103" spans="1:20">
      <c r="A103" s="283" t="s">
        <v>158</v>
      </c>
      <c r="B103" s="235" t="str">
        <f t="shared" si="29"/>
        <v>[Enduring Value adjustment]</v>
      </c>
      <c r="C103" s="163" t="s">
        <v>118</v>
      </c>
      <c r="D103" s="621">
        <f t="shared" si="30"/>
        <v>0</v>
      </c>
      <c r="E103" s="621">
        <f t="shared" si="30"/>
        <v>0</v>
      </c>
      <c r="F103" s="621">
        <f t="shared" si="30"/>
        <v>0</v>
      </c>
      <c r="G103" s="621">
        <f t="shared" si="30"/>
        <v>0</v>
      </c>
      <c r="H103" s="621">
        <f t="shared" si="30"/>
        <v>0</v>
      </c>
      <c r="I103" s="621">
        <f t="shared" si="30"/>
        <v>0</v>
      </c>
      <c r="J103" s="621">
        <f t="shared" si="30"/>
        <v>0</v>
      </c>
      <c r="K103" s="621">
        <f t="shared" si="30"/>
        <v>0</v>
      </c>
      <c r="L103" s="617">
        <f>SUM(D103:INDEX(D103:K103,0,MATCH('RFPR cover'!$C$7,$D$6:$K$6,0)))</f>
        <v>0</v>
      </c>
      <c r="M103" s="618">
        <f t="shared" si="31"/>
        <v>0</v>
      </c>
      <c r="N103" s="64"/>
      <c r="O103"/>
      <c r="P103"/>
      <c r="Q103"/>
      <c r="R103"/>
      <c r="S103"/>
      <c r="T103"/>
    </row>
    <row r="104" spans="1:20">
      <c r="A104" s="283" t="s">
        <v>159</v>
      </c>
      <c r="B104" s="235" t="str">
        <f t="shared" si="29"/>
        <v>[Enduring Value adjustment]</v>
      </c>
      <c r="C104" s="163" t="s">
        <v>118</v>
      </c>
      <c r="D104" s="621">
        <f t="shared" si="30"/>
        <v>0</v>
      </c>
      <c r="E104" s="621">
        <f t="shared" si="30"/>
        <v>0</v>
      </c>
      <c r="F104" s="621">
        <f t="shared" si="30"/>
        <v>0</v>
      </c>
      <c r="G104" s="621">
        <f t="shared" si="30"/>
        <v>0</v>
      </c>
      <c r="H104" s="621">
        <f t="shared" si="30"/>
        <v>0</v>
      </c>
      <c r="I104" s="621">
        <f t="shared" si="30"/>
        <v>0</v>
      </c>
      <c r="J104" s="621">
        <f t="shared" si="30"/>
        <v>0</v>
      </c>
      <c r="K104" s="621">
        <f t="shared" si="30"/>
        <v>0</v>
      </c>
      <c r="L104" s="617">
        <f>SUM(D104:INDEX(D104:K104,0,MATCH('RFPR cover'!$C$7,$D$6:$K$6,0)))</f>
        <v>0</v>
      </c>
      <c r="M104" s="618">
        <f t="shared" si="31"/>
        <v>0</v>
      </c>
      <c r="N104" s="64"/>
      <c r="O104"/>
      <c r="P104"/>
      <c r="Q104"/>
      <c r="R104"/>
      <c r="S104"/>
      <c r="T104"/>
    </row>
    <row r="105" spans="1:20">
      <c r="A105" s="283" t="s">
        <v>160</v>
      </c>
      <c r="B105" s="235" t="str">
        <f t="shared" si="29"/>
        <v>[Enduring Value adjustment]</v>
      </c>
      <c r="C105" s="163" t="s">
        <v>118</v>
      </c>
      <c r="D105" s="621">
        <f t="shared" si="30"/>
        <v>0</v>
      </c>
      <c r="E105" s="621">
        <f t="shared" si="30"/>
        <v>0</v>
      </c>
      <c r="F105" s="621">
        <f t="shared" si="30"/>
        <v>0</v>
      </c>
      <c r="G105" s="621">
        <f t="shared" si="30"/>
        <v>0</v>
      </c>
      <c r="H105" s="621">
        <f t="shared" si="30"/>
        <v>0</v>
      </c>
      <c r="I105" s="621">
        <f t="shared" si="30"/>
        <v>0</v>
      </c>
      <c r="J105" s="621">
        <f t="shared" si="30"/>
        <v>0</v>
      </c>
      <c r="K105" s="621">
        <f t="shared" si="30"/>
        <v>0</v>
      </c>
      <c r="L105" s="621">
        <f>SUM(D105:INDEX(D105:K105,0,MATCH('RFPR cover'!$C$7,$D$6:$K$6,0)))</f>
        <v>0</v>
      </c>
      <c r="M105" s="622">
        <f t="shared" si="31"/>
        <v>0</v>
      </c>
      <c r="N105" s="64"/>
      <c r="O105"/>
      <c r="P105"/>
      <c r="Q105"/>
      <c r="R105"/>
      <c r="S105"/>
      <c r="T105"/>
    </row>
    <row r="106" spans="1:20">
      <c r="A106" s="36"/>
      <c r="B106" s="818" t="s">
        <v>180</v>
      </c>
      <c r="C106" s="163" t="s">
        <v>118</v>
      </c>
      <c r="D106" s="104">
        <f>SUM(D100:D105)</f>
        <v>-2.1813091329702234</v>
      </c>
      <c r="E106" s="105">
        <f t="shared" ref="E106:K106" si="32">SUM(E100:E105)</f>
        <v>-20.891809582748948</v>
      </c>
      <c r="F106" s="105">
        <f t="shared" si="32"/>
        <v>3.7545273038549829</v>
      </c>
      <c r="G106" s="105">
        <f t="shared" si="32"/>
        <v>34.705460850474012</v>
      </c>
      <c r="H106" s="105">
        <f t="shared" si="32"/>
        <v>-4.172310470627834</v>
      </c>
      <c r="I106" s="105">
        <f t="shared" si="32"/>
        <v>1.7948598833735361</v>
      </c>
      <c r="J106" s="105">
        <f t="shared" si="32"/>
        <v>-1.2963661686307637</v>
      </c>
      <c r="K106" s="106">
        <f t="shared" si="32"/>
        <v>1.7763260796549583</v>
      </c>
      <c r="L106" s="104">
        <f>SUM(D106:INDEX(D106:K106,0,MATCH('RFPR cover'!$C$7,$D$6:$K$6,0)))</f>
        <v>15.386869438609821</v>
      </c>
      <c r="M106" s="106">
        <f t="shared" si="31"/>
        <v>13.489378762379719</v>
      </c>
      <c r="N106" s="64"/>
    </row>
    <row r="107" spans="1:20">
      <c r="A107" s="36"/>
      <c r="B107" s="810"/>
    </row>
    <row r="108" spans="1:20">
      <c r="A108" s="36"/>
      <c r="B108" s="817" t="s">
        <v>188</v>
      </c>
      <c r="C108" s="163" t="s">
        <v>118</v>
      </c>
      <c r="D108" s="97">
        <f t="shared" ref="D108:K108" si="33">D106*D94</f>
        <v>-0.91375039580122674</v>
      </c>
      <c r="E108" s="98">
        <f t="shared" si="33"/>
        <v>-8.7515790342135347</v>
      </c>
      <c r="F108" s="98">
        <f t="shared" si="33"/>
        <v>1.5727714875848526</v>
      </c>
      <c r="G108" s="98">
        <f t="shared" si="33"/>
        <v>14.538117550263566</v>
      </c>
      <c r="H108" s="98">
        <f t="shared" si="33"/>
        <v>-1.7477808561459998</v>
      </c>
      <c r="I108" s="98">
        <f t="shared" si="33"/>
        <v>0.75186680514517434</v>
      </c>
      <c r="J108" s="98">
        <f t="shared" si="33"/>
        <v>-0.54304778803942699</v>
      </c>
      <c r="K108" s="98">
        <f t="shared" si="33"/>
        <v>0.74410299476746211</v>
      </c>
      <c r="L108" s="97">
        <f>SUM(D108:INDEX(D108:K108,0,MATCH('RFPR cover'!$C$7,$D$6:$K$6,0)))</f>
        <v>6.4455596078336566</v>
      </c>
      <c r="M108" s="99">
        <f>SUM(D108:K108)</f>
        <v>5.6507007635608657</v>
      </c>
    </row>
    <row r="109" spans="1:20">
      <c r="A109" s="36"/>
      <c r="B109" s="817" t="s">
        <v>298</v>
      </c>
      <c r="C109" s="163" t="s">
        <v>118</v>
      </c>
      <c r="D109" s="94">
        <f t="shared" ref="D109:K109" si="34">D106*(1-D94)</f>
        <v>-1.2675587371689967</v>
      </c>
      <c r="E109" s="95">
        <f t="shared" si="34"/>
        <v>-12.140230548535413</v>
      </c>
      <c r="F109" s="95">
        <f t="shared" si="34"/>
        <v>2.1817558162701305</v>
      </c>
      <c r="G109" s="95">
        <f t="shared" si="34"/>
        <v>20.167343300210447</v>
      </c>
      <c r="H109" s="95">
        <f t="shared" si="34"/>
        <v>-2.424529614481834</v>
      </c>
      <c r="I109" s="95">
        <f t="shared" si="34"/>
        <v>1.0429930782283616</v>
      </c>
      <c r="J109" s="95">
        <f t="shared" si="34"/>
        <v>-0.75331838059133671</v>
      </c>
      <c r="K109" s="95">
        <f t="shared" si="34"/>
        <v>1.0322230848874963</v>
      </c>
      <c r="L109" s="94">
        <f>SUM(D109:INDEX(D109:K109,0,MATCH('RFPR cover'!$C$7,$D$6:$K$6,0)))</f>
        <v>8.9413098307761665</v>
      </c>
      <c r="M109" s="96">
        <f>SUM(D109:K109)</f>
        <v>7.838677998818854</v>
      </c>
    </row>
    <row r="110" spans="1:20">
      <c r="A110" s="36"/>
      <c r="B110" s="810"/>
    </row>
    <row r="111" spans="1:20">
      <c r="A111" s="36"/>
      <c r="B111" s="818" t="s">
        <v>171</v>
      </c>
    </row>
    <row r="112" spans="1:20">
      <c r="A112" s="36"/>
      <c r="B112" s="810" t="s">
        <v>170</v>
      </c>
      <c r="C112" s="163" t="s">
        <v>118</v>
      </c>
      <c r="D112" s="97">
        <f>D96+D108</f>
        <v>1.6560392202295819</v>
      </c>
      <c r="E112" s="98">
        <f t="shared" ref="E112:K112" si="35">E96+E108</f>
        <v>5.0632669445789258</v>
      </c>
      <c r="F112" s="98">
        <f t="shared" si="35"/>
        <v>2.0276389277997295</v>
      </c>
      <c r="G112" s="98">
        <f t="shared" si="35"/>
        <v>13.148219375116975</v>
      </c>
      <c r="H112" s="98">
        <f t="shared" si="35"/>
        <v>5.7570171345736396</v>
      </c>
      <c r="I112" s="98">
        <f t="shared" si="35"/>
        <v>13.165336153300284</v>
      </c>
      <c r="J112" s="98">
        <f t="shared" si="35"/>
        <v>9.7305089550645718</v>
      </c>
      <c r="K112" s="98">
        <f t="shared" si="35"/>
        <v>17.905363695452273</v>
      </c>
      <c r="L112" s="97">
        <f>SUM(D112:INDEX(D112:K112,0,MATCH('RFPR cover'!$C$7,$D$6:$K$6,0)))</f>
        <v>21.895164467725213</v>
      </c>
      <c r="M112" s="99">
        <f>SUM(D112:K112)</f>
        <v>68.453390406115986</v>
      </c>
    </row>
    <row r="113" spans="1:20">
      <c r="A113" s="36"/>
      <c r="B113" s="810" t="s">
        <v>270</v>
      </c>
      <c r="C113" s="163" t="s">
        <v>118</v>
      </c>
      <c r="D113" s="548">
        <f>D97+D109</f>
        <v>2.2972651966469564</v>
      </c>
      <c r="E113" s="549">
        <f t="shared" ref="E113:K113" si="36">E97+E109</f>
        <v>7.0237871126636726</v>
      </c>
      <c r="F113" s="549">
        <f t="shared" si="36"/>
        <v>2.8127500141905526</v>
      </c>
      <c r="G113" s="549">
        <f t="shared" si="36"/>
        <v>18.23927018114221</v>
      </c>
      <c r="H113" s="549">
        <f t="shared" si="36"/>
        <v>7.9861605559817175</v>
      </c>
      <c r="I113" s="549">
        <f t="shared" si="36"/>
        <v>18.263014654291702</v>
      </c>
      <c r="J113" s="549">
        <f t="shared" si="36"/>
        <v>13.498206621599477</v>
      </c>
      <c r="K113" s="549">
        <f t="shared" si="36"/>
        <v>24.838402586362648</v>
      </c>
      <c r="L113" s="548">
        <f>SUM(D113:INDEX(D113:K113,0,MATCH('RFPR cover'!$C$7,$D$6:$K$6,0)))</f>
        <v>30.373072504643389</v>
      </c>
      <c r="M113" s="550">
        <f>SUM(D113:K113)</f>
        <v>94.958856922878937</v>
      </c>
    </row>
    <row r="114" spans="1:20">
      <c r="A114" s="36"/>
      <c r="B114" s="818" t="s">
        <v>8</v>
      </c>
      <c r="C114" s="164" t="s">
        <v>118</v>
      </c>
      <c r="D114" s="153">
        <f>SUM(D112:D113)</f>
        <v>3.9533044168765383</v>
      </c>
      <c r="E114" s="154">
        <f t="shared" ref="E114:K114" si="37">SUM(E112:E113)</f>
        <v>12.087054057242598</v>
      </c>
      <c r="F114" s="154">
        <f t="shared" si="37"/>
        <v>4.8403889419902821</v>
      </c>
      <c r="G114" s="154">
        <f t="shared" si="37"/>
        <v>31.387489556259183</v>
      </c>
      <c r="H114" s="154">
        <f t="shared" si="37"/>
        <v>13.743177690555356</v>
      </c>
      <c r="I114" s="154">
        <f t="shared" si="37"/>
        <v>31.428350807591986</v>
      </c>
      <c r="J114" s="154">
        <f t="shared" si="37"/>
        <v>23.228715576664051</v>
      </c>
      <c r="K114" s="154">
        <f t="shared" si="37"/>
        <v>42.743766281814921</v>
      </c>
      <c r="L114" s="153">
        <f>SUM(D114:INDEX(D114:K114,0,MATCH('RFPR cover'!$C$7,$D$6:$K$6,0)))</f>
        <v>52.268236972368605</v>
      </c>
      <c r="M114" s="155">
        <f>SUM(D114:K114)</f>
        <v>163.41224732899491</v>
      </c>
    </row>
    <row r="115" spans="1:20">
      <c r="A115" s="36"/>
      <c r="B115" s="810"/>
    </row>
    <row r="116" spans="1:20">
      <c r="A116" s="36"/>
      <c r="B116" s="813" t="str">
        <f>B38</f>
        <v>n/a</v>
      </c>
      <c r="C116" s="158"/>
      <c r="D116" s="83"/>
      <c r="E116" s="83"/>
      <c r="F116" s="83"/>
      <c r="G116" s="83"/>
      <c r="H116" s="83"/>
      <c r="I116" s="83"/>
      <c r="J116" s="83"/>
      <c r="K116" s="83"/>
      <c r="L116" s="83"/>
      <c r="M116" s="83"/>
      <c r="N116" s="83"/>
    </row>
    <row r="117" spans="1:20" s="36" customFormat="1">
      <c r="B117" s="811"/>
      <c r="C117" s="146"/>
      <c r="D117" s="339"/>
      <c r="E117" s="339"/>
      <c r="F117" s="339"/>
      <c r="G117" s="339"/>
      <c r="H117" s="339"/>
      <c r="I117" s="339"/>
      <c r="J117" s="339"/>
      <c r="K117" s="339"/>
      <c r="L117" s="339"/>
      <c r="M117" s="339"/>
      <c r="N117" s="339"/>
    </row>
    <row r="118" spans="1:20">
      <c r="A118" s="36"/>
      <c r="B118" s="324" t="s">
        <v>24</v>
      </c>
      <c r="C118" s="163" t="s">
        <v>118</v>
      </c>
      <c r="D118" s="700">
        <f t="shared" ref="D118:K119" si="38">D40*D$86</f>
        <v>0</v>
      </c>
      <c r="E118" s="700">
        <f t="shared" si="38"/>
        <v>0</v>
      </c>
      <c r="F118" s="700">
        <f t="shared" si="38"/>
        <v>0</v>
      </c>
      <c r="G118" s="700">
        <f t="shared" si="38"/>
        <v>0</v>
      </c>
      <c r="H118" s="700">
        <f t="shared" si="38"/>
        <v>0</v>
      </c>
      <c r="I118" s="700">
        <f t="shared" si="38"/>
        <v>0</v>
      </c>
      <c r="J118" s="700">
        <f t="shared" si="38"/>
        <v>0</v>
      </c>
      <c r="K118" s="700">
        <f t="shared" si="38"/>
        <v>0</v>
      </c>
      <c r="L118" s="700">
        <f>SUM(D118:INDEX(D118:K118,0,MATCH('RFPR cover'!$C$7,$D$6:$K$6,0)))</f>
        <v>0</v>
      </c>
      <c r="M118" s="701">
        <f>SUM(D118:K118)</f>
        <v>0</v>
      </c>
      <c r="N118" s="64"/>
      <c r="O118" s="64"/>
    </row>
    <row r="119" spans="1:20" ht="25.5">
      <c r="A119" s="36"/>
      <c r="B119" s="815" t="s">
        <v>187</v>
      </c>
      <c r="C119" s="163" t="s">
        <v>118</v>
      </c>
      <c r="D119" s="700">
        <f t="shared" si="38"/>
        <v>0</v>
      </c>
      <c r="E119" s="700">
        <f t="shared" si="38"/>
        <v>0</v>
      </c>
      <c r="F119" s="700">
        <f t="shared" si="38"/>
        <v>0</v>
      </c>
      <c r="G119" s="700">
        <f t="shared" si="38"/>
        <v>0</v>
      </c>
      <c r="H119" s="700">
        <f t="shared" si="38"/>
        <v>0</v>
      </c>
      <c r="I119" s="700">
        <f t="shared" si="38"/>
        <v>0</v>
      </c>
      <c r="J119" s="700">
        <f t="shared" si="38"/>
        <v>0</v>
      </c>
      <c r="K119" s="700">
        <f t="shared" si="38"/>
        <v>0</v>
      </c>
      <c r="L119" s="702">
        <f>SUM(D119:INDEX(D119:K119,0,MATCH('RFPR cover'!$C$7,$D$6:$K$6,0)))</f>
        <v>0</v>
      </c>
      <c r="M119" s="703">
        <f>SUM(D119:K119)</f>
        <v>0</v>
      </c>
      <c r="N119" s="64"/>
      <c r="O119" s="64"/>
    </row>
    <row r="120" spans="1:20">
      <c r="A120" s="36"/>
      <c r="B120" s="816" t="s">
        <v>185</v>
      </c>
      <c r="C120" s="163" t="s">
        <v>118</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989"/>
      <c r="P120" s="989"/>
      <c r="Q120" s="989"/>
      <c r="R120"/>
      <c r="S120"/>
      <c r="T120"/>
    </row>
    <row r="121" spans="1:20">
      <c r="A121" s="36"/>
      <c r="B121" s="816"/>
      <c r="C121" s="163"/>
      <c r="D121" s="60"/>
      <c r="E121" s="60"/>
      <c r="F121" s="60"/>
      <c r="G121" s="60"/>
      <c r="H121" s="60"/>
      <c r="I121" s="60"/>
      <c r="J121" s="60"/>
      <c r="K121" s="60"/>
      <c r="L121" s="60"/>
      <c r="M121" s="60"/>
      <c r="O121" s="65"/>
      <c r="P121" s="65"/>
      <c r="Q121" s="65"/>
      <c r="R121"/>
      <c r="S121"/>
      <c r="T121"/>
    </row>
    <row r="122" spans="1:20">
      <c r="A122" s="36"/>
      <c r="B122" s="810" t="s">
        <v>168</v>
      </c>
      <c r="C122" s="144" t="s">
        <v>7</v>
      </c>
      <c r="D122" s="111">
        <f>1-INDEX(Data!$D$73:$D$100,MATCH('RFPR cover'!$C$5,Data!$B$73:$B$100,0),0)</f>
        <v>0.41890000000000005</v>
      </c>
      <c r="E122" s="112">
        <f>1-INDEX(Data!$D$73:$D$100,MATCH('RFPR cover'!$C$5,Data!$B$73:$B$100,0),0)</f>
        <v>0.41890000000000005</v>
      </c>
      <c r="F122" s="112">
        <f>1-INDEX(Data!$D$73:$D$100,MATCH('RFPR cover'!$C$5,Data!$B$73:$B$100,0),0)</f>
        <v>0.41890000000000005</v>
      </c>
      <c r="G122" s="112">
        <f>1-INDEX(Data!$D$73:$D$100,MATCH('RFPR cover'!$C$5,Data!$B$73:$B$100,0),0)</f>
        <v>0.41890000000000005</v>
      </c>
      <c r="H122" s="112">
        <f>1-INDEX(Data!$D$73:$D$100,MATCH('RFPR cover'!$C$5,Data!$B$73:$B$100,0),0)</f>
        <v>0.41890000000000005</v>
      </c>
      <c r="I122" s="112">
        <f>1-INDEX(Data!$D$73:$D$100,MATCH('RFPR cover'!$C$5,Data!$B$73:$B$100,0),0)</f>
        <v>0.41890000000000005</v>
      </c>
      <c r="J122" s="112">
        <f>1-INDEX(Data!$D$73:$D$100,MATCH('RFPR cover'!$C$5,Data!$B$73:$B$100,0),0)</f>
        <v>0.41890000000000005</v>
      </c>
      <c r="K122" s="113">
        <f>1-INDEX(Data!$D$73:$D$100,MATCH('RFPR cover'!$C$5,Data!$B$73:$B$100,0),0)</f>
        <v>0.41890000000000005</v>
      </c>
      <c r="L122" s="63"/>
      <c r="M122" s="63"/>
      <c r="O122"/>
      <c r="P122"/>
      <c r="Q122"/>
      <c r="R122"/>
      <c r="S122"/>
      <c r="T122"/>
    </row>
    <row r="123" spans="1:20">
      <c r="A123" s="36"/>
      <c r="B123" s="810"/>
      <c r="O123"/>
      <c r="P123"/>
      <c r="Q123"/>
      <c r="R123"/>
      <c r="S123"/>
      <c r="T123"/>
    </row>
    <row r="124" spans="1:20">
      <c r="A124" s="36"/>
      <c r="B124" s="817" t="s">
        <v>173</v>
      </c>
      <c r="C124" s="167" t="s">
        <v>118</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817" t="s">
        <v>169</v>
      </c>
      <c r="C125" s="167" t="s">
        <v>118</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810"/>
      <c r="O126"/>
      <c r="P126"/>
      <c r="Q126"/>
      <c r="R126"/>
      <c r="S126"/>
      <c r="T126"/>
    </row>
    <row r="127" spans="1:20">
      <c r="A127" s="36"/>
      <c r="B127" s="818" t="s">
        <v>172</v>
      </c>
      <c r="N127" s="64"/>
      <c r="O127"/>
      <c r="P127"/>
      <c r="Q127"/>
      <c r="R127"/>
      <c r="S127"/>
      <c r="T127"/>
    </row>
    <row r="128" spans="1:20">
      <c r="A128" s="283" t="s">
        <v>141</v>
      </c>
      <c r="B128" s="235" t="str">
        <f t="shared" ref="B128:B133" si="42">B50</f>
        <v>[Enduring Value adjustment]</v>
      </c>
      <c r="C128" s="163" t="s">
        <v>118</v>
      </c>
      <c r="D128" s="613">
        <f t="shared" ref="D128:K133" si="43">D50*D$86</f>
        <v>0</v>
      </c>
      <c r="E128" s="613">
        <f t="shared" si="43"/>
        <v>0</v>
      </c>
      <c r="F128" s="613">
        <f t="shared" si="43"/>
        <v>0</v>
      </c>
      <c r="G128" s="613">
        <f t="shared" si="43"/>
        <v>0</v>
      </c>
      <c r="H128" s="613">
        <f t="shared" si="43"/>
        <v>0</v>
      </c>
      <c r="I128" s="613">
        <f t="shared" si="43"/>
        <v>0</v>
      </c>
      <c r="J128" s="613">
        <f t="shared" si="43"/>
        <v>0</v>
      </c>
      <c r="K128" s="613">
        <f t="shared" si="43"/>
        <v>0</v>
      </c>
      <c r="L128" s="613">
        <f>SUM(D128:INDEX(D128:K128,0,MATCH('RFPR cover'!$C$7,$D$6:$K$6,0)))</f>
        <v>0</v>
      </c>
      <c r="M128" s="614">
        <f t="shared" ref="M128:M134" si="44">SUM(D128:K128)</f>
        <v>0</v>
      </c>
      <c r="N128" s="64"/>
      <c r="O128"/>
      <c r="P128"/>
      <c r="Q128"/>
      <c r="R128"/>
      <c r="S128"/>
      <c r="T128"/>
    </row>
    <row r="129" spans="1:20">
      <c r="A129" s="283" t="s">
        <v>142</v>
      </c>
      <c r="B129" s="235" t="str">
        <f t="shared" si="42"/>
        <v>[Enduring Value adjustment]</v>
      </c>
      <c r="C129" s="163" t="s">
        <v>118</v>
      </c>
      <c r="D129" s="613">
        <f t="shared" si="43"/>
        <v>0</v>
      </c>
      <c r="E129" s="613">
        <f t="shared" si="43"/>
        <v>0</v>
      </c>
      <c r="F129" s="613">
        <f t="shared" si="43"/>
        <v>0</v>
      </c>
      <c r="G129" s="613">
        <f t="shared" si="43"/>
        <v>0</v>
      </c>
      <c r="H129" s="613">
        <f t="shared" si="43"/>
        <v>0</v>
      </c>
      <c r="I129" s="613">
        <f t="shared" si="43"/>
        <v>0</v>
      </c>
      <c r="J129" s="613">
        <f t="shared" si="43"/>
        <v>0</v>
      </c>
      <c r="K129" s="613">
        <f t="shared" si="43"/>
        <v>0</v>
      </c>
      <c r="L129" s="617">
        <f>SUM(D129:INDEX(D129:K129,0,MATCH('RFPR cover'!$C$7,$D$6:$K$6,0)))</f>
        <v>0</v>
      </c>
      <c r="M129" s="618">
        <f t="shared" si="44"/>
        <v>0</v>
      </c>
      <c r="N129" s="64"/>
      <c r="O129"/>
      <c r="P129"/>
      <c r="Q129"/>
      <c r="R129"/>
      <c r="S129"/>
      <c r="T129"/>
    </row>
    <row r="130" spans="1:20">
      <c r="A130" s="283" t="s">
        <v>143</v>
      </c>
      <c r="B130" s="235" t="str">
        <f t="shared" si="42"/>
        <v>[Enduring Value adjustment]</v>
      </c>
      <c r="C130" s="163" t="s">
        <v>118</v>
      </c>
      <c r="D130" s="613">
        <f t="shared" si="43"/>
        <v>0</v>
      </c>
      <c r="E130" s="613">
        <f t="shared" si="43"/>
        <v>0</v>
      </c>
      <c r="F130" s="613">
        <f t="shared" si="43"/>
        <v>0</v>
      </c>
      <c r="G130" s="613">
        <f t="shared" si="43"/>
        <v>0</v>
      </c>
      <c r="H130" s="613">
        <f t="shared" si="43"/>
        <v>0</v>
      </c>
      <c r="I130" s="613">
        <f t="shared" si="43"/>
        <v>0</v>
      </c>
      <c r="J130" s="613">
        <f t="shared" si="43"/>
        <v>0</v>
      </c>
      <c r="K130" s="613">
        <f t="shared" si="43"/>
        <v>0</v>
      </c>
      <c r="L130" s="617">
        <f>SUM(D130:INDEX(D130:K130,0,MATCH('RFPR cover'!$C$7,$D$6:$K$6,0)))</f>
        <v>0</v>
      </c>
      <c r="M130" s="618">
        <f t="shared" si="44"/>
        <v>0</v>
      </c>
      <c r="N130" s="64"/>
      <c r="O130"/>
      <c r="P130"/>
      <c r="Q130"/>
      <c r="R130"/>
      <c r="S130" s="66"/>
      <c r="T130"/>
    </row>
    <row r="131" spans="1:20">
      <c r="A131" s="283" t="s">
        <v>158</v>
      </c>
      <c r="B131" s="235" t="str">
        <f t="shared" si="42"/>
        <v>[Enduring Value adjustment]</v>
      </c>
      <c r="C131" s="163" t="s">
        <v>118</v>
      </c>
      <c r="D131" s="613">
        <f t="shared" si="43"/>
        <v>0</v>
      </c>
      <c r="E131" s="613">
        <f t="shared" si="43"/>
        <v>0</v>
      </c>
      <c r="F131" s="613">
        <f t="shared" si="43"/>
        <v>0</v>
      </c>
      <c r="G131" s="613">
        <f t="shared" si="43"/>
        <v>0</v>
      </c>
      <c r="H131" s="613">
        <f t="shared" si="43"/>
        <v>0</v>
      </c>
      <c r="I131" s="613">
        <f t="shared" si="43"/>
        <v>0</v>
      </c>
      <c r="J131" s="613">
        <f t="shared" si="43"/>
        <v>0</v>
      </c>
      <c r="K131" s="613">
        <f t="shared" si="43"/>
        <v>0</v>
      </c>
      <c r="L131" s="617">
        <f>SUM(D131:INDEX(D131:K131,0,MATCH('RFPR cover'!$C$7,$D$6:$K$6,0)))</f>
        <v>0</v>
      </c>
      <c r="M131" s="618">
        <f t="shared" si="44"/>
        <v>0</v>
      </c>
      <c r="N131" s="64"/>
      <c r="O131"/>
      <c r="P131"/>
      <c r="Q131"/>
      <c r="R131"/>
      <c r="S131"/>
      <c r="T131"/>
    </row>
    <row r="132" spans="1:20">
      <c r="A132" s="283" t="s">
        <v>159</v>
      </c>
      <c r="B132" s="235" t="str">
        <f t="shared" si="42"/>
        <v>[Enduring Value adjustment]</v>
      </c>
      <c r="C132" s="163" t="s">
        <v>118</v>
      </c>
      <c r="D132" s="613">
        <f t="shared" si="43"/>
        <v>0</v>
      </c>
      <c r="E132" s="613">
        <f t="shared" si="43"/>
        <v>0</v>
      </c>
      <c r="F132" s="613">
        <f t="shared" si="43"/>
        <v>0</v>
      </c>
      <c r="G132" s="613">
        <f t="shared" si="43"/>
        <v>0</v>
      </c>
      <c r="H132" s="613">
        <f t="shared" si="43"/>
        <v>0</v>
      </c>
      <c r="I132" s="613">
        <f t="shared" si="43"/>
        <v>0</v>
      </c>
      <c r="J132" s="613">
        <f t="shared" si="43"/>
        <v>0</v>
      </c>
      <c r="K132" s="613">
        <f t="shared" si="43"/>
        <v>0</v>
      </c>
      <c r="L132" s="617">
        <f>SUM(D132:INDEX(D132:K132,0,MATCH('RFPR cover'!$C$7,$D$6:$K$6,0)))</f>
        <v>0</v>
      </c>
      <c r="M132" s="618">
        <f t="shared" si="44"/>
        <v>0</v>
      </c>
      <c r="N132" s="64"/>
      <c r="O132"/>
      <c r="P132"/>
      <c r="Q132"/>
      <c r="R132"/>
      <c r="S132"/>
      <c r="T132"/>
    </row>
    <row r="133" spans="1:20">
      <c r="A133" s="283" t="s">
        <v>160</v>
      </c>
      <c r="B133" s="235" t="str">
        <f t="shared" si="42"/>
        <v>[Enduring Value adjustment]</v>
      </c>
      <c r="C133" s="163" t="s">
        <v>118</v>
      </c>
      <c r="D133" s="613">
        <f t="shared" si="43"/>
        <v>0</v>
      </c>
      <c r="E133" s="613">
        <f t="shared" si="43"/>
        <v>0</v>
      </c>
      <c r="F133" s="613">
        <f t="shared" si="43"/>
        <v>0</v>
      </c>
      <c r="G133" s="613">
        <f t="shared" si="43"/>
        <v>0</v>
      </c>
      <c r="H133" s="613">
        <f t="shared" si="43"/>
        <v>0</v>
      </c>
      <c r="I133" s="613">
        <f t="shared" si="43"/>
        <v>0</v>
      </c>
      <c r="J133" s="613">
        <f t="shared" si="43"/>
        <v>0</v>
      </c>
      <c r="K133" s="613">
        <f t="shared" si="43"/>
        <v>0</v>
      </c>
      <c r="L133" s="621">
        <f>SUM(D133:INDEX(D133:K133,0,MATCH('RFPR cover'!$C$7,$D$6:$K$6,0)))</f>
        <v>0</v>
      </c>
      <c r="M133" s="622">
        <f t="shared" si="44"/>
        <v>0</v>
      </c>
      <c r="N133" s="64"/>
      <c r="O133"/>
      <c r="P133"/>
      <c r="Q133"/>
      <c r="R133"/>
      <c r="S133"/>
      <c r="T133"/>
    </row>
    <row r="134" spans="1:20">
      <c r="A134" s="36"/>
      <c r="B134" s="818" t="s">
        <v>180</v>
      </c>
      <c r="C134" s="163" t="s">
        <v>118</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810"/>
    </row>
    <row r="136" spans="1:20">
      <c r="A136" s="36"/>
      <c r="B136" s="817" t="s">
        <v>188</v>
      </c>
      <c r="C136" s="167" t="s">
        <v>118</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817" t="s">
        <v>298</v>
      </c>
      <c r="C137" s="167" t="s">
        <v>118</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810"/>
    </row>
    <row r="139" spans="1:20">
      <c r="A139" s="36"/>
      <c r="B139" s="818" t="s">
        <v>171</v>
      </c>
    </row>
    <row r="140" spans="1:20">
      <c r="A140" s="36"/>
      <c r="B140" s="810" t="s">
        <v>170</v>
      </c>
      <c r="C140" s="163" t="s">
        <v>118</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810" t="s">
        <v>270</v>
      </c>
      <c r="C141" s="163" t="s">
        <v>118</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818" t="s">
        <v>8</v>
      </c>
      <c r="C142" s="164" t="s">
        <v>118</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818"/>
      <c r="C143" s="164"/>
      <c r="D143" s="164"/>
      <c r="E143" s="164"/>
      <c r="F143" s="164"/>
      <c r="G143" s="164"/>
      <c r="H143" s="164"/>
      <c r="I143" s="164"/>
      <c r="J143" s="164"/>
      <c r="K143" s="164"/>
      <c r="L143" s="164"/>
      <c r="M143" s="164"/>
    </row>
    <row r="144" spans="1:20">
      <c r="A144" s="36"/>
      <c r="B144" s="813" t="s">
        <v>247</v>
      </c>
      <c r="C144" s="158"/>
      <c r="D144" s="83"/>
      <c r="E144" s="83"/>
      <c r="F144" s="83"/>
      <c r="G144" s="83"/>
      <c r="H144" s="83"/>
      <c r="I144" s="83"/>
      <c r="J144" s="83"/>
      <c r="K144" s="83"/>
      <c r="L144" s="83"/>
      <c r="M144" s="83"/>
      <c r="N144" s="83"/>
    </row>
    <row r="145" spans="1:20">
      <c r="A145" s="36"/>
      <c r="B145" s="810"/>
      <c r="O145"/>
      <c r="P145"/>
      <c r="Q145"/>
      <c r="R145"/>
      <c r="S145"/>
      <c r="T145"/>
    </row>
    <row r="146" spans="1:20">
      <c r="A146" s="36"/>
      <c r="B146" s="818" t="s">
        <v>171</v>
      </c>
    </row>
    <row r="147" spans="1:20">
      <c r="A147" s="36"/>
      <c r="B147" s="810" t="s">
        <v>170</v>
      </c>
      <c r="C147" s="163" t="s">
        <v>118</v>
      </c>
      <c r="D147" s="97">
        <f>D112+D140</f>
        <v>1.6560392202295819</v>
      </c>
      <c r="E147" s="98">
        <f t="shared" ref="E147:K147" si="51">E112+E140</f>
        <v>5.0632669445789258</v>
      </c>
      <c r="F147" s="98">
        <f t="shared" si="51"/>
        <v>2.0276389277997295</v>
      </c>
      <c r="G147" s="98">
        <f t="shared" si="51"/>
        <v>13.148219375116975</v>
      </c>
      <c r="H147" s="98">
        <f t="shared" si="51"/>
        <v>5.7570171345736396</v>
      </c>
      <c r="I147" s="98">
        <f t="shared" si="51"/>
        <v>13.165336153300284</v>
      </c>
      <c r="J147" s="98">
        <f t="shared" si="51"/>
        <v>9.7305089550645718</v>
      </c>
      <c r="K147" s="98">
        <f t="shared" si="51"/>
        <v>17.905363695452273</v>
      </c>
      <c r="L147" s="97">
        <f>SUM(D147:INDEX(D147:K147,0,MATCH('RFPR cover'!$C$7,$D$6:$K$6,0)))</f>
        <v>21.895164467725213</v>
      </c>
      <c r="M147" s="99">
        <f>SUM(D147:K147)</f>
        <v>68.453390406115986</v>
      </c>
    </row>
    <row r="148" spans="1:20">
      <c r="A148" s="36"/>
      <c r="B148" s="810" t="s">
        <v>270</v>
      </c>
      <c r="C148" s="163" t="s">
        <v>118</v>
      </c>
      <c r="D148" s="100">
        <f t="shared" ref="D148:K148" si="52">D113+D141</f>
        <v>2.2972651966469564</v>
      </c>
      <c r="E148" s="101">
        <f t="shared" si="52"/>
        <v>7.0237871126636726</v>
      </c>
      <c r="F148" s="101">
        <f t="shared" si="52"/>
        <v>2.8127500141905526</v>
      </c>
      <c r="G148" s="101">
        <f t="shared" si="52"/>
        <v>18.23927018114221</v>
      </c>
      <c r="H148" s="101">
        <f t="shared" si="52"/>
        <v>7.9861605559817175</v>
      </c>
      <c r="I148" s="101">
        <f t="shared" si="52"/>
        <v>18.263014654291702</v>
      </c>
      <c r="J148" s="101">
        <f t="shared" si="52"/>
        <v>13.498206621599477</v>
      </c>
      <c r="K148" s="101">
        <f t="shared" si="52"/>
        <v>24.838402586362648</v>
      </c>
      <c r="L148" s="100">
        <f>SUM(D148:INDEX(D148:K148,0,MATCH('RFPR cover'!$C$7,$D$6:$K$6,0)))</f>
        <v>30.373072504643389</v>
      </c>
      <c r="M148" s="102">
        <f>SUM(D148:K148)</f>
        <v>94.958856922878937</v>
      </c>
    </row>
    <row r="149" spans="1:20">
      <c r="A149" s="36"/>
      <c r="B149" s="818" t="s">
        <v>8</v>
      </c>
      <c r="C149" s="164" t="s">
        <v>118</v>
      </c>
      <c r="D149" s="147">
        <f>SUM(D147:D148)</f>
        <v>3.9533044168765383</v>
      </c>
      <c r="E149" s="148">
        <f t="shared" ref="E149:K149" si="53">SUM(E147:E148)</f>
        <v>12.087054057242598</v>
      </c>
      <c r="F149" s="148">
        <f t="shared" si="53"/>
        <v>4.8403889419902821</v>
      </c>
      <c r="G149" s="148">
        <f t="shared" si="53"/>
        <v>31.387489556259183</v>
      </c>
      <c r="H149" s="148">
        <f t="shared" si="53"/>
        <v>13.743177690555356</v>
      </c>
      <c r="I149" s="148">
        <f t="shared" si="53"/>
        <v>31.428350807591986</v>
      </c>
      <c r="J149" s="148">
        <f t="shared" si="53"/>
        <v>23.228715576664051</v>
      </c>
      <c r="K149" s="148">
        <f t="shared" si="53"/>
        <v>42.743766281814921</v>
      </c>
      <c r="L149" s="147">
        <f>SUM(D149:INDEX(D149:K149,0,MATCH('RFPR cover'!$C$7,$D$6:$K$6,0)))</f>
        <v>52.268236972368605</v>
      </c>
      <c r="M149" s="149">
        <f>SUM(D149:K149)</f>
        <v>163.41224732899491</v>
      </c>
    </row>
    <row r="150" spans="1:20">
      <c r="A150" s="36"/>
      <c r="B150" s="817"/>
      <c r="D150" s="144"/>
      <c r="E150" s="144"/>
      <c r="F150" s="144"/>
      <c r="G150" s="144"/>
      <c r="H150" s="144"/>
      <c r="I150" s="144"/>
      <c r="J150" s="144"/>
      <c r="K150" s="144"/>
    </row>
    <row r="151" spans="1:20">
      <c r="A151" s="36"/>
      <c r="B151" s="810"/>
    </row>
    <row r="152" spans="1:20">
      <c r="A152" s="83"/>
      <c r="B152" s="809"/>
      <c r="C152" s="158"/>
      <c r="D152" s="83"/>
      <c r="E152" s="83"/>
      <c r="F152" s="83"/>
      <c r="G152" s="83"/>
      <c r="H152" s="83"/>
      <c r="I152" s="83"/>
      <c r="J152" s="83"/>
      <c r="K152" s="83"/>
      <c r="L152" s="83"/>
      <c r="M152" s="83"/>
      <c r="N152" s="83"/>
    </row>
    <row r="153" spans="1:20">
      <c r="B153" s="810"/>
    </row>
    <row r="154" spans="1:20">
      <c r="B154" s="810"/>
    </row>
  </sheetData>
  <sheetProtection password="FE19" sheet="1" objects="1" scenarios="1"/>
  <mergeCells count="4">
    <mergeCell ref="O14:Q14"/>
    <mergeCell ref="O42:Q42"/>
    <mergeCell ref="O92:Q92"/>
    <mergeCell ref="O120:Q120"/>
  </mergeCells>
  <conditionalFormatting sqref="D6:K6">
    <cfRule type="expression" dxfId="36" priority="7">
      <formula>AND(D$5="Actuals",E$5="Forecast")</formula>
    </cfRule>
  </conditionalFormatting>
  <conditionalFormatting sqref="B118:M142">
    <cfRule type="expression" dxfId="35" priority="3">
      <formula>$B$38="n/a"</formula>
    </cfRule>
  </conditionalFormatting>
  <conditionalFormatting sqref="D5:K5">
    <cfRule type="expression" dxfId="34" priority="2">
      <formula>AND(D$5="Actuals",E$5="Forecast")</formula>
    </cfRule>
  </conditionalFormatting>
  <conditionalFormatting sqref="B38:N64">
    <cfRule type="expression" dxfId="3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activeCell="P20" sqref="P20"/>
    </sheetView>
  </sheetViews>
  <sheetFormatPr defaultRowHeight="12.75"/>
  <cols>
    <col min="1" max="1" width="8.375" customWidth="1"/>
    <col min="2" max="2" width="71.375" bestFit="1" customWidth="1"/>
    <col min="3" max="3" width="13.375" style="144" customWidth="1"/>
    <col min="4" max="11" width="11.125" customWidth="1"/>
    <col min="12" max="12" width="12.875" customWidth="1"/>
    <col min="13" max="13" width="12.75" customWidth="1"/>
    <col min="14" max="14" width="5" customWidth="1"/>
  </cols>
  <sheetData>
    <row r="1" spans="1:14" s="38" customFormat="1" ht="20.25">
      <c r="A1" s="136" t="s">
        <v>252</v>
      </c>
      <c r="B1" s="137"/>
      <c r="C1" s="161"/>
      <c r="D1" s="137"/>
      <c r="E1" s="137"/>
      <c r="F1" s="137"/>
      <c r="G1" s="137"/>
      <c r="H1" s="137"/>
      <c r="I1" s="132"/>
      <c r="J1" s="132"/>
      <c r="K1" s="132"/>
      <c r="L1" s="132"/>
      <c r="M1" s="132"/>
      <c r="N1" s="133"/>
    </row>
    <row r="2" spans="1:14" s="38" customFormat="1" ht="20.25">
      <c r="A2" s="138" t="str">
        <f>'RFPR cover'!C5</f>
        <v>ENWL</v>
      </c>
      <c r="B2" s="37"/>
      <c r="C2" s="162"/>
      <c r="D2" s="37"/>
      <c r="E2" s="37"/>
      <c r="F2" s="37"/>
      <c r="G2" s="37"/>
      <c r="H2" s="37"/>
      <c r="I2" s="27"/>
      <c r="J2" s="27"/>
      <c r="K2" s="27"/>
      <c r="L2" s="27"/>
      <c r="M2" s="27"/>
      <c r="N2" s="127"/>
    </row>
    <row r="3" spans="1:14" s="38" customFormat="1" ht="20.25">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1" t="str">
        <f>IF(D6&lt;='RFPR cover'!$C$7,"Actuals","Forecast")</f>
        <v>Actuals</v>
      </c>
      <c r="E5" s="412" t="str">
        <f>IF(E6&lt;='RFPR cover'!$C$7,"Actuals","Forecast")</f>
        <v>Actuals</v>
      </c>
      <c r="F5" s="412" t="str">
        <f>IF(F6&lt;='RFPR cover'!$C$7,"Actuals","Forecast")</f>
        <v>Actuals</v>
      </c>
      <c r="G5" s="412" t="str">
        <f>IF(G6&lt;='RFPR cover'!$C$7,"Actuals","Forecast")</f>
        <v>Actuals</v>
      </c>
      <c r="H5" s="412" t="str">
        <f>IF(H6&lt;='RFPR cover'!$C$7,"Actuals","Forecast")</f>
        <v>Forecast</v>
      </c>
      <c r="I5" s="412" t="str">
        <f>IF(I6&lt;='RFPR cover'!$C$7,"Actuals","Forecast")</f>
        <v>Forecast</v>
      </c>
      <c r="J5" s="412" t="str">
        <f>IF(J6&lt;='RFPR cover'!$C$7,"Actuals","Forecast")</f>
        <v>Forecast</v>
      </c>
      <c r="K5" s="413"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99</v>
      </c>
    </row>
    <row r="7" spans="1:14" s="2" customFormat="1">
      <c r="A7" s="36"/>
      <c r="C7" s="144"/>
    </row>
    <row r="8" spans="1:14" s="2" customFormat="1">
      <c r="A8" s="36"/>
      <c r="B8" s="118" t="s">
        <v>189</v>
      </c>
      <c r="C8" s="158"/>
      <c r="D8" s="82"/>
      <c r="E8" s="82"/>
      <c r="F8" s="82"/>
      <c r="G8" s="82"/>
      <c r="H8" s="82"/>
      <c r="I8" s="82"/>
      <c r="J8" s="82"/>
      <c r="K8" s="82"/>
      <c r="L8" s="82"/>
      <c r="M8" s="82"/>
      <c r="N8" s="82"/>
    </row>
    <row r="9" spans="1:14" s="2" customFormat="1">
      <c r="A9" s="36"/>
      <c r="B9" s="389" t="s">
        <v>367</v>
      </c>
      <c r="C9" s="389"/>
      <c r="D9" s="389"/>
      <c r="E9" s="389"/>
      <c r="F9" s="389"/>
      <c r="G9" s="389"/>
      <c r="H9" s="389"/>
      <c r="I9" s="389"/>
      <c r="J9" s="389"/>
      <c r="K9" s="389"/>
      <c r="L9" s="389"/>
      <c r="M9" s="389"/>
      <c r="N9" s="389"/>
    </row>
    <row r="10" spans="1:14" s="2" customFormat="1">
      <c r="A10" s="36"/>
      <c r="B10" s="12"/>
      <c r="C10" s="144"/>
    </row>
    <row r="11" spans="1:14" s="2" customFormat="1">
      <c r="A11" s="234" t="s">
        <v>141</v>
      </c>
      <c r="B11" s="36" t="str">
        <f>Data!B153</f>
        <v>Broad measure of customer service</v>
      </c>
      <c r="C11" s="163" t="str">
        <f>'RFPR cover'!$C$14</f>
        <v>£m 12/13</v>
      </c>
      <c r="D11" s="623">
        <v>-0.20688629620978727</v>
      </c>
      <c r="E11" s="624">
        <v>0.66540313058428147</v>
      </c>
      <c r="F11" s="624">
        <v>1.8376552222909925</v>
      </c>
      <c r="G11" s="624">
        <v>2.4197985688470434</v>
      </c>
      <c r="H11" s="624">
        <v>3.2155000000000022</v>
      </c>
      <c r="I11" s="624">
        <v>3.8860000000000023</v>
      </c>
      <c r="J11" s="624">
        <v>3.8860000000000023</v>
      </c>
      <c r="K11" s="624">
        <v>3.8860000000000023</v>
      </c>
      <c r="L11" s="700">
        <f>SUM(D11:INDEX(D11:K11,0,MATCH('RFPR cover'!$C$7,$D$6:$K$6,0)))</f>
        <v>4.7159706255125302</v>
      </c>
      <c r="M11" s="701">
        <f t="shared" ref="M11:M17" si="1">SUM(D11:K11)</f>
        <v>19.58947062551254</v>
      </c>
    </row>
    <row r="12" spans="1:14" s="2" customFormat="1">
      <c r="A12" s="234" t="s">
        <v>142</v>
      </c>
      <c r="B12" s="36" t="str">
        <f>Data!B154</f>
        <v>Interruptions-related quality of service</v>
      </c>
      <c r="C12" s="163" t="str">
        <f>'RFPR cover'!$C$14</f>
        <v>£m 12/13</v>
      </c>
      <c r="D12" s="625">
        <v>12.765856491209185</v>
      </c>
      <c r="E12" s="626">
        <v>11.807586443171406</v>
      </c>
      <c r="F12" s="626">
        <v>9.6726939856675198</v>
      </c>
      <c r="G12" s="626">
        <v>9.8444112029301252</v>
      </c>
      <c r="H12" s="626">
        <v>13.6</v>
      </c>
      <c r="I12" s="626">
        <v>13.6</v>
      </c>
      <c r="J12" s="626">
        <v>13.6</v>
      </c>
      <c r="K12" s="626">
        <v>13.6</v>
      </c>
      <c r="L12" s="704">
        <f>SUM(D12:INDEX(D12:K12,0,MATCH('RFPR cover'!$C$7,$D$6:$K$6,0)))</f>
        <v>44.090548122978234</v>
      </c>
      <c r="M12" s="705">
        <f t="shared" si="1"/>
        <v>98.490548122978225</v>
      </c>
    </row>
    <row r="13" spans="1:14" s="2" customFormat="1">
      <c r="A13" s="234" t="s">
        <v>143</v>
      </c>
      <c r="B13" s="36" t="str">
        <f>Data!B155</f>
        <v>Incentive on connections engagement</v>
      </c>
      <c r="C13" s="163" t="str">
        <f>'RFPR cover'!$C$14</f>
        <v>£m 12/13</v>
      </c>
      <c r="D13" s="625">
        <v>0</v>
      </c>
      <c r="E13" s="626">
        <v>0</v>
      </c>
      <c r="F13" s="626">
        <v>0</v>
      </c>
      <c r="G13" s="626">
        <v>0</v>
      </c>
      <c r="H13" s="626">
        <v>0</v>
      </c>
      <c r="I13" s="626">
        <v>0</v>
      </c>
      <c r="J13" s="626">
        <v>0</v>
      </c>
      <c r="K13" s="626">
        <v>0</v>
      </c>
      <c r="L13" s="704">
        <f>SUM(D13:INDEX(D13:K13,0,MATCH('RFPR cover'!$C$7,$D$6:$K$6,0)))</f>
        <v>0</v>
      </c>
      <c r="M13" s="705">
        <f t="shared" si="1"/>
        <v>0</v>
      </c>
    </row>
    <row r="14" spans="1:14" s="2" customFormat="1">
      <c r="A14" s="234" t="s">
        <v>158</v>
      </c>
      <c r="B14" s="36" t="str">
        <f>Data!B156</f>
        <v>Time to Connect Incentive</v>
      </c>
      <c r="C14" s="163" t="str">
        <f>'RFPR cover'!$C$14</f>
        <v>£m 12/13</v>
      </c>
      <c r="D14" s="625">
        <v>1.2</v>
      </c>
      <c r="E14" s="626">
        <v>1.2</v>
      </c>
      <c r="F14" s="626">
        <v>1.2</v>
      </c>
      <c r="G14" s="626">
        <v>1.1762999999999999</v>
      </c>
      <c r="H14" s="626">
        <v>1.1991999999999998</v>
      </c>
      <c r="I14" s="626">
        <v>1.2</v>
      </c>
      <c r="J14" s="626">
        <v>1.2</v>
      </c>
      <c r="K14" s="626">
        <v>1.2</v>
      </c>
      <c r="L14" s="704">
        <f>SUM(D14:INDEX(D14:K14,0,MATCH('RFPR cover'!$C$7,$D$6:$K$6,0)))</f>
        <v>4.7762999999999991</v>
      </c>
      <c r="M14" s="705">
        <f t="shared" si="1"/>
        <v>9.5754999999999981</v>
      </c>
    </row>
    <row r="15" spans="1:14" s="2" customFormat="1">
      <c r="A15" s="234" t="s">
        <v>159</v>
      </c>
      <c r="B15" s="36" t="str">
        <f>Data!B157</f>
        <v>Losses discretionary reward scheme</v>
      </c>
      <c r="C15" s="163" t="str">
        <f>'RFPR cover'!$C$14</f>
        <v>£m 12/13</v>
      </c>
      <c r="D15" s="625">
        <v>0</v>
      </c>
      <c r="E15" s="626">
        <v>0.69499999999999995</v>
      </c>
      <c r="F15" s="626">
        <v>0</v>
      </c>
      <c r="G15" s="626">
        <v>0</v>
      </c>
      <c r="H15" s="626">
        <v>0</v>
      </c>
      <c r="I15" s="626">
        <v>0</v>
      </c>
      <c r="J15" s="626">
        <v>0</v>
      </c>
      <c r="K15" s="626">
        <v>0</v>
      </c>
      <c r="L15" s="704">
        <f>SUM(D15:INDEX(D15:K15,0,MATCH('RFPR cover'!$C$7,$D$6:$K$6,0)))</f>
        <v>0.69499999999999995</v>
      </c>
      <c r="M15" s="705">
        <f t="shared" si="1"/>
        <v>0.69499999999999995</v>
      </c>
    </row>
    <row r="16" spans="1:14" s="2" customFormat="1">
      <c r="A16" s="234" t="s">
        <v>160</v>
      </c>
      <c r="B16" s="36" t="str">
        <f>Data!B158</f>
        <v/>
      </c>
      <c r="C16" s="163" t="str">
        <f>'RFPR cover'!$C$14</f>
        <v>£m 12/13</v>
      </c>
      <c r="D16" s="625"/>
      <c r="E16" s="626"/>
      <c r="F16" s="626"/>
      <c r="G16" s="626"/>
      <c r="H16" s="626"/>
      <c r="I16" s="626"/>
      <c r="J16" s="626"/>
      <c r="K16" s="626"/>
      <c r="L16" s="704">
        <f>SUM(D16:INDEX(D16:K16,0,MATCH('RFPR cover'!$C$7,$D$6:$K$6,0)))</f>
        <v>0</v>
      </c>
      <c r="M16" s="705">
        <f t="shared" si="1"/>
        <v>0</v>
      </c>
    </row>
    <row r="17" spans="1:16" s="2" customFormat="1">
      <c r="A17" s="234" t="s">
        <v>455</v>
      </c>
      <c r="B17" s="36" t="str">
        <f>Data!B159</f>
        <v/>
      </c>
      <c r="C17" s="163" t="str">
        <f>'RFPR cover'!$C$14</f>
        <v>£m 12/13</v>
      </c>
      <c r="D17" s="886"/>
      <c r="E17" s="887"/>
      <c r="F17" s="887"/>
      <c r="G17" s="887"/>
      <c r="H17" s="887"/>
      <c r="I17" s="887"/>
      <c r="J17" s="887"/>
      <c r="K17" s="888"/>
      <c r="L17" s="704">
        <f>SUM(D17:INDEX(D17:K17,0,MATCH('RFPR cover'!$C$7,$D$6:$K$6,0)))</f>
        <v>0</v>
      </c>
      <c r="M17" s="705">
        <f t="shared" si="1"/>
        <v>0</v>
      </c>
    </row>
    <row r="18" spans="1:16" s="2" customFormat="1">
      <c r="A18" s="36"/>
      <c r="B18" s="12" t="s">
        <v>193</v>
      </c>
      <c r="C18" s="164" t="str">
        <f>'RFPR cover'!$C$14</f>
        <v>£m 12/13</v>
      </c>
      <c r="D18" s="639">
        <f>SUM(D11:D17)</f>
        <v>13.758970194999396</v>
      </c>
      <c r="E18" s="639">
        <f t="shared" ref="E18:K18" si="2">SUM(E11:E17)</f>
        <v>14.367989573755686</v>
      </c>
      <c r="F18" s="639">
        <f t="shared" si="2"/>
        <v>12.710349207958512</v>
      </c>
      <c r="G18" s="639">
        <f t="shared" si="2"/>
        <v>13.440509771777167</v>
      </c>
      <c r="H18" s="639">
        <f t="shared" si="2"/>
        <v>18.014700000000001</v>
      </c>
      <c r="I18" s="639">
        <f t="shared" si="2"/>
        <v>18.686</v>
      </c>
      <c r="J18" s="639">
        <f t="shared" si="2"/>
        <v>18.686</v>
      </c>
      <c r="K18" s="639">
        <f t="shared" si="2"/>
        <v>18.686</v>
      </c>
      <c r="L18" s="639">
        <f>SUM(L11:L17)</f>
        <v>54.277818748490766</v>
      </c>
      <c r="M18" s="639">
        <f>SUM(M11:M17)</f>
        <v>128.35051874849077</v>
      </c>
    </row>
    <row r="19" spans="1:16" s="2" customFormat="1">
      <c r="A19" s="36"/>
      <c r="B19" s="12"/>
      <c r="C19" s="164"/>
      <c r="D19" s="164"/>
      <c r="E19" s="164"/>
      <c r="F19" s="164"/>
      <c r="G19" s="164"/>
      <c r="H19" s="164"/>
      <c r="I19" s="164"/>
      <c r="J19" s="164"/>
      <c r="K19" s="164"/>
      <c r="L19" s="164"/>
      <c r="M19" s="164"/>
    </row>
    <row r="20" spans="1:16" s="2" customFormat="1">
      <c r="A20" s="36"/>
      <c r="B20" s="12" t="s">
        <v>349</v>
      </c>
      <c r="C20" s="164"/>
      <c r="D20" s="164"/>
      <c r="E20" s="164"/>
      <c r="F20" s="164"/>
      <c r="G20" s="164"/>
      <c r="H20" s="164"/>
      <c r="I20" s="164"/>
      <c r="J20" s="164"/>
      <c r="K20" s="164"/>
      <c r="L20" s="164"/>
      <c r="M20" s="164"/>
    </row>
    <row r="21" spans="1:16" s="2" customFormat="1">
      <c r="A21" s="283" t="str">
        <f>A11</f>
        <v>a</v>
      </c>
      <c r="B21" s="990" t="s">
        <v>549</v>
      </c>
      <c r="C21" s="990"/>
      <c r="D21" s="990"/>
      <c r="E21" s="990"/>
      <c r="F21" s="990"/>
      <c r="G21" s="990"/>
      <c r="H21" s="990"/>
      <c r="I21" s="990"/>
      <c r="J21" s="990"/>
      <c r="K21" s="990"/>
      <c r="L21" s="990"/>
      <c r="M21" s="990"/>
    </row>
    <row r="22" spans="1:16" s="2" customFormat="1">
      <c r="A22" s="283" t="str">
        <f>A12</f>
        <v>b</v>
      </c>
      <c r="B22" s="990" t="s">
        <v>549</v>
      </c>
      <c r="C22" s="990"/>
      <c r="D22" s="990"/>
      <c r="E22" s="990"/>
      <c r="F22" s="990"/>
      <c r="G22" s="990"/>
      <c r="H22" s="990"/>
      <c r="I22" s="990"/>
      <c r="J22" s="990"/>
      <c r="K22" s="990"/>
      <c r="L22" s="990"/>
      <c r="M22" s="990"/>
    </row>
    <row r="23" spans="1:16" s="2" customFormat="1">
      <c r="A23" s="283" t="str">
        <f>A13</f>
        <v>c</v>
      </c>
      <c r="B23" s="990" t="s">
        <v>549</v>
      </c>
      <c r="C23" s="990"/>
      <c r="D23" s="990"/>
      <c r="E23" s="990"/>
      <c r="F23" s="990"/>
      <c r="G23" s="990"/>
      <c r="H23" s="990"/>
      <c r="I23" s="990"/>
      <c r="J23" s="990"/>
      <c r="K23" s="990"/>
      <c r="L23" s="990"/>
      <c r="M23" s="990"/>
    </row>
    <row r="24" spans="1:16" s="2" customFormat="1">
      <c r="A24" s="283" t="str">
        <f>A14</f>
        <v>d</v>
      </c>
      <c r="B24" s="990" t="s">
        <v>549</v>
      </c>
      <c r="C24" s="990"/>
      <c r="D24" s="990"/>
      <c r="E24" s="990"/>
      <c r="F24" s="990"/>
      <c r="G24" s="990"/>
      <c r="H24" s="990"/>
      <c r="I24" s="990"/>
      <c r="J24" s="990"/>
      <c r="K24" s="990"/>
      <c r="L24" s="990"/>
      <c r="M24" s="990"/>
    </row>
    <row r="25" spans="1:16" s="2" customFormat="1">
      <c r="A25" s="283" t="str">
        <f>A15</f>
        <v>e</v>
      </c>
      <c r="B25" s="990" t="s">
        <v>549</v>
      </c>
      <c r="C25" s="990"/>
      <c r="D25" s="990"/>
      <c r="E25" s="990"/>
      <c r="F25" s="990"/>
      <c r="G25" s="990"/>
      <c r="H25" s="990"/>
      <c r="I25" s="990"/>
      <c r="J25" s="990"/>
      <c r="K25" s="990"/>
      <c r="L25" s="990"/>
      <c r="M25" s="990"/>
    </row>
    <row r="26" spans="1:16" s="2" customFormat="1">
      <c r="A26" s="283" t="s">
        <v>160</v>
      </c>
      <c r="B26" s="882"/>
      <c r="C26" s="882"/>
      <c r="D26" s="882"/>
      <c r="E26" s="882"/>
      <c r="F26" s="882"/>
      <c r="G26" s="882"/>
      <c r="H26" s="882"/>
      <c r="I26" s="882"/>
      <c r="J26" s="882"/>
      <c r="K26" s="882"/>
      <c r="L26" s="882"/>
      <c r="M26" s="882"/>
    </row>
    <row r="27" spans="1:16" s="2" customFormat="1">
      <c r="A27" s="283" t="s">
        <v>455</v>
      </c>
      <c r="B27" s="882"/>
      <c r="C27" s="882"/>
      <c r="D27" s="882"/>
      <c r="E27" s="882"/>
      <c r="F27" s="882"/>
      <c r="G27" s="882"/>
      <c r="H27" s="882"/>
      <c r="I27" s="882"/>
      <c r="J27" s="882"/>
      <c r="K27" s="882"/>
      <c r="L27" s="882"/>
      <c r="M27" s="882"/>
    </row>
    <row r="28" spans="1:16" s="561" customFormat="1">
      <c r="A28" s="39"/>
      <c r="B28" s="565"/>
      <c r="C28" s="565"/>
      <c r="D28" s="565"/>
      <c r="E28" s="565"/>
      <c r="F28" s="565"/>
      <c r="G28" s="565"/>
      <c r="H28" s="565"/>
      <c r="I28" s="565"/>
      <c r="J28" s="565"/>
      <c r="K28" s="565"/>
      <c r="L28" s="565"/>
      <c r="M28" s="565"/>
    </row>
    <row r="29" spans="1:16" s="2" customFormat="1">
      <c r="B29" s="12"/>
      <c r="C29" s="144"/>
      <c r="D29" s="53"/>
      <c r="E29" s="53"/>
      <c r="F29" s="53"/>
      <c r="G29" s="53"/>
      <c r="H29" s="53"/>
      <c r="I29" s="53"/>
      <c r="J29" s="53"/>
      <c r="K29" s="53"/>
    </row>
    <row r="30" spans="1:16" s="2" customFormat="1">
      <c r="A30" s="36"/>
      <c r="B30" s="118" t="s">
        <v>190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9" t="s">
        <v>201</v>
      </c>
      <c r="C32" s="306"/>
      <c r="D32" s="308"/>
      <c r="E32" s="308"/>
      <c r="F32" s="308"/>
      <c r="G32" s="308"/>
      <c r="H32" s="308"/>
      <c r="I32" s="308"/>
      <c r="J32" s="308"/>
      <c r="K32" s="308"/>
      <c r="L32" s="308"/>
      <c r="M32" s="308"/>
      <c r="N32" s="308"/>
    </row>
    <row r="33" spans="1:14" s="2" customFormat="1">
      <c r="A33" s="36"/>
      <c r="B33" s="390" t="s">
        <v>231</v>
      </c>
      <c r="C33" s="306"/>
      <c r="D33" s="308"/>
      <c r="E33" s="308"/>
      <c r="F33" s="308"/>
      <c r="G33" s="308"/>
      <c r="H33" s="308"/>
      <c r="I33" s="308"/>
      <c r="J33" s="308"/>
      <c r="K33" s="308"/>
      <c r="L33" s="308"/>
      <c r="M33" s="308"/>
      <c r="N33" s="308"/>
    </row>
    <row r="34" spans="1:14" s="2" customFormat="1">
      <c r="A34" s="36"/>
      <c r="B34" s="390" t="s">
        <v>456</v>
      </c>
      <c r="C34" s="306"/>
      <c r="D34" s="308"/>
      <c r="E34" s="308"/>
      <c r="F34" s="308"/>
      <c r="G34" s="308"/>
      <c r="H34" s="308"/>
      <c r="I34" s="308"/>
      <c r="J34" s="308"/>
      <c r="K34" s="308"/>
      <c r="L34" s="308"/>
      <c r="M34" s="308"/>
      <c r="N34" s="308"/>
    </row>
    <row r="35" spans="1:14" s="2" customFormat="1">
      <c r="A35" s="36"/>
      <c r="B35" s="390" t="s">
        <v>199</v>
      </c>
      <c r="C35" s="306"/>
      <c r="D35" s="308"/>
      <c r="E35" s="308"/>
      <c r="F35" s="308"/>
      <c r="G35" s="308"/>
      <c r="H35" s="308"/>
      <c r="I35" s="308"/>
      <c r="J35" s="308"/>
      <c r="K35" s="308"/>
      <c r="L35" s="308"/>
      <c r="M35" s="308"/>
      <c r="N35" s="308"/>
    </row>
    <row r="36" spans="1:14" s="2" customFormat="1">
      <c r="A36" s="36"/>
      <c r="B36" s="390" t="s">
        <v>192</v>
      </c>
      <c r="C36" s="306"/>
      <c r="D36" s="308"/>
      <c r="E36" s="308"/>
      <c r="F36" s="308"/>
      <c r="G36" s="308"/>
      <c r="H36" s="308"/>
      <c r="I36" s="308"/>
      <c r="J36" s="308"/>
      <c r="K36" s="308"/>
      <c r="L36" s="308"/>
      <c r="M36" s="308"/>
      <c r="N36" s="308"/>
    </row>
    <row r="37" spans="1:14" s="2" customFormat="1">
      <c r="A37" s="36"/>
      <c r="B37" s="390" t="s">
        <v>198</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700">
        <f>D51</f>
        <v>-0.16757789992992769</v>
      </c>
      <c r="E39" s="700">
        <f t="shared" ref="E39:K39" si="4">E51</f>
        <v>0.53897653577326798</v>
      </c>
      <c r="F39" s="700">
        <f t="shared" si="4"/>
        <v>1.488500730055704</v>
      </c>
      <c r="G39" s="700">
        <f t="shared" si="4"/>
        <v>2.0084328121430457</v>
      </c>
      <c r="H39" s="700">
        <f t="shared" si="4"/>
        <v>2.6688650000000016</v>
      </c>
      <c r="I39" s="700">
        <f t="shared" si="4"/>
        <v>3.2253800000000017</v>
      </c>
      <c r="J39" s="700">
        <f t="shared" si="4"/>
        <v>3.2253800000000017</v>
      </c>
      <c r="K39" s="700">
        <f t="shared" si="4"/>
        <v>3.2253800000000017</v>
      </c>
      <c r="L39" s="700">
        <f>SUM(D39:INDEX(D39:K39,0,MATCH('RFPR cover'!$C$7,$D$6:$K$6,0)))</f>
        <v>3.8683321780420901</v>
      </c>
      <c r="M39" s="701">
        <f t="shared" ref="M39:M45" si="5">SUM(D39:K39)</f>
        <v>16.213337178042096</v>
      </c>
    </row>
    <row r="40" spans="1:14" s="2" customFormat="1">
      <c r="A40" s="168" t="str">
        <f t="shared" si="3"/>
        <v>b</v>
      </c>
      <c r="B40" s="36" t="str">
        <f>$B$12&amp;""</f>
        <v>Interruptions-related quality of service</v>
      </c>
      <c r="C40" s="163" t="str">
        <f>'RFPR cover'!$C$14</f>
        <v>£m 12/13</v>
      </c>
      <c r="D40" s="700">
        <f>D55</f>
        <v>10.34034375787944</v>
      </c>
      <c r="E40" s="700">
        <f t="shared" ref="E40:K40" si="6">E55</f>
        <v>9.5641450189688388</v>
      </c>
      <c r="F40" s="700">
        <f t="shared" si="6"/>
        <v>7.8348821283906913</v>
      </c>
      <c r="G40" s="700">
        <f t="shared" si="6"/>
        <v>8.170861298432003</v>
      </c>
      <c r="H40" s="700">
        <f t="shared" si="6"/>
        <v>11.287999999999998</v>
      </c>
      <c r="I40" s="700">
        <f t="shared" si="6"/>
        <v>11.287999999999998</v>
      </c>
      <c r="J40" s="700">
        <f t="shared" si="6"/>
        <v>11.287999999999998</v>
      </c>
      <c r="K40" s="700">
        <f t="shared" si="6"/>
        <v>11.287999999999998</v>
      </c>
      <c r="L40" s="704">
        <f>SUM(D40:INDEX(D40:K40,0,MATCH('RFPR cover'!$C$7,$D$6:$K$6,0)))</f>
        <v>35.910232203670972</v>
      </c>
      <c r="M40" s="705">
        <f t="shared" si="5"/>
        <v>81.062232203670959</v>
      </c>
    </row>
    <row r="41" spans="1:14" s="2" customFormat="1">
      <c r="A41" s="168" t="str">
        <f t="shared" si="3"/>
        <v>c</v>
      </c>
      <c r="B41" s="36" t="str">
        <f>$B$13&amp;""</f>
        <v>Incentive on connections engagement</v>
      </c>
      <c r="C41" s="163" t="str">
        <f>'RFPR cover'!$C$14</f>
        <v>£m 12/13</v>
      </c>
      <c r="D41" s="700">
        <f>D59</f>
        <v>0</v>
      </c>
      <c r="E41" s="700">
        <f t="shared" ref="E41:K41" si="7">E59</f>
        <v>0</v>
      </c>
      <c r="F41" s="700">
        <f t="shared" si="7"/>
        <v>0</v>
      </c>
      <c r="G41" s="700">
        <f t="shared" si="7"/>
        <v>0</v>
      </c>
      <c r="H41" s="700">
        <f t="shared" si="7"/>
        <v>0</v>
      </c>
      <c r="I41" s="700">
        <f t="shared" si="7"/>
        <v>0</v>
      </c>
      <c r="J41" s="700">
        <f t="shared" si="7"/>
        <v>0</v>
      </c>
      <c r="K41" s="700">
        <f t="shared" si="7"/>
        <v>0</v>
      </c>
      <c r="L41" s="704">
        <f>SUM(D41:INDEX(D41:K41,0,MATCH('RFPR cover'!$C$7,$D$6:$K$6,0)))</f>
        <v>0</v>
      </c>
      <c r="M41" s="705">
        <f t="shared" si="5"/>
        <v>0</v>
      </c>
    </row>
    <row r="42" spans="1:14" s="2" customFormat="1">
      <c r="A42" s="168" t="str">
        <f t="shared" si="3"/>
        <v>d</v>
      </c>
      <c r="B42" s="36" t="str">
        <f>$B$14&amp;""</f>
        <v>Time to Connect Incentive</v>
      </c>
      <c r="C42" s="163" t="str">
        <f>'RFPR cover'!$C$14</f>
        <v>£m 12/13</v>
      </c>
      <c r="D42" s="700">
        <f>D63</f>
        <v>0.97199999999999998</v>
      </c>
      <c r="E42" s="700">
        <f t="shared" ref="E42:K42" si="8">E63</f>
        <v>0.97199999999999998</v>
      </c>
      <c r="F42" s="700">
        <f t="shared" si="8"/>
        <v>0.97199999999999998</v>
      </c>
      <c r="G42" s="700">
        <f t="shared" si="8"/>
        <v>0.97632899999999989</v>
      </c>
      <c r="H42" s="700">
        <f t="shared" si="8"/>
        <v>0.99533599999999978</v>
      </c>
      <c r="I42" s="700">
        <f t="shared" si="8"/>
        <v>0.99599999999999989</v>
      </c>
      <c r="J42" s="700">
        <f t="shared" si="8"/>
        <v>0.99599999999999989</v>
      </c>
      <c r="K42" s="700">
        <f t="shared" si="8"/>
        <v>0.99599999999999989</v>
      </c>
      <c r="L42" s="704">
        <f>SUM(D42:INDEX(D42:K42,0,MATCH('RFPR cover'!$C$7,$D$6:$K$6,0)))</f>
        <v>3.8923289999999997</v>
      </c>
      <c r="M42" s="705">
        <f t="shared" si="5"/>
        <v>7.8756649999999979</v>
      </c>
    </row>
    <row r="43" spans="1:14" s="2" customFormat="1">
      <c r="A43" s="168" t="str">
        <f t="shared" si="3"/>
        <v>e</v>
      </c>
      <c r="B43" s="36" t="str">
        <f>$B$15&amp;""</f>
        <v>Losses discretionary reward scheme</v>
      </c>
      <c r="C43" s="163" t="str">
        <f>'RFPR cover'!$C$14</f>
        <v>£m 12/13</v>
      </c>
      <c r="D43" s="700">
        <f>D67</f>
        <v>0</v>
      </c>
      <c r="E43" s="700">
        <f t="shared" ref="E43:K43" si="9">E67</f>
        <v>0.56294999999999995</v>
      </c>
      <c r="F43" s="700">
        <f t="shared" si="9"/>
        <v>0</v>
      </c>
      <c r="G43" s="700">
        <f t="shared" si="9"/>
        <v>0</v>
      </c>
      <c r="H43" s="700">
        <f t="shared" si="9"/>
        <v>0</v>
      </c>
      <c r="I43" s="700">
        <f t="shared" si="9"/>
        <v>0</v>
      </c>
      <c r="J43" s="700">
        <f t="shared" si="9"/>
        <v>0</v>
      </c>
      <c r="K43" s="700">
        <f t="shared" si="9"/>
        <v>0</v>
      </c>
      <c r="L43" s="704">
        <f>SUM(D43:INDEX(D43:K43,0,MATCH('RFPR cover'!$C$7,$D$6:$K$6,0)))</f>
        <v>0.56294999999999995</v>
      </c>
      <c r="M43" s="705">
        <f t="shared" si="5"/>
        <v>0.56294999999999995</v>
      </c>
    </row>
    <row r="44" spans="1:14" s="2" customFormat="1">
      <c r="A44" s="168" t="str">
        <f t="shared" si="3"/>
        <v>f</v>
      </c>
      <c r="B44" s="36" t="str">
        <f>$B$16&amp;""</f>
        <v/>
      </c>
      <c r="C44" s="163" t="str">
        <f>'RFPR cover'!$C$14</f>
        <v>£m 12/13</v>
      </c>
      <c r="D44" s="700">
        <f>D71</f>
        <v>0</v>
      </c>
      <c r="E44" s="700">
        <f t="shared" ref="E44:K44" si="10">E71</f>
        <v>0</v>
      </c>
      <c r="F44" s="700">
        <f t="shared" si="10"/>
        <v>0</v>
      </c>
      <c r="G44" s="700">
        <f t="shared" si="10"/>
        <v>0</v>
      </c>
      <c r="H44" s="700">
        <f t="shared" si="10"/>
        <v>0</v>
      </c>
      <c r="I44" s="700">
        <f t="shared" si="10"/>
        <v>0</v>
      </c>
      <c r="J44" s="700">
        <f t="shared" si="10"/>
        <v>0</v>
      </c>
      <c r="K44" s="700">
        <f t="shared" si="10"/>
        <v>0</v>
      </c>
      <c r="L44" s="704">
        <f>SUM(D44:INDEX(D44:K44,0,MATCH('RFPR cover'!$C$7,$D$6:$K$6,0)))</f>
        <v>0</v>
      </c>
      <c r="M44" s="705">
        <f t="shared" si="5"/>
        <v>0</v>
      </c>
    </row>
    <row r="45" spans="1:14" s="2" customFormat="1">
      <c r="A45" s="168" t="str">
        <f t="shared" si="3"/>
        <v>g</v>
      </c>
      <c r="B45" s="36" t="str">
        <f>$B$17&amp;""</f>
        <v/>
      </c>
      <c r="C45" s="163" t="str">
        <f>'RFPR cover'!$C$14</f>
        <v>£m 12/13</v>
      </c>
      <c r="D45" s="700">
        <f>D75</f>
        <v>0</v>
      </c>
      <c r="E45" s="700">
        <f t="shared" ref="E45:K45" si="11">E75</f>
        <v>0</v>
      </c>
      <c r="F45" s="700">
        <f t="shared" si="11"/>
        <v>0</v>
      </c>
      <c r="G45" s="700">
        <f t="shared" si="11"/>
        <v>0</v>
      </c>
      <c r="H45" s="700">
        <f t="shared" si="11"/>
        <v>0</v>
      </c>
      <c r="I45" s="700">
        <f t="shared" si="11"/>
        <v>0</v>
      </c>
      <c r="J45" s="700">
        <f t="shared" si="11"/>
        <v>0</v>
      </c>
      <c r="K45" s="700">
        <f t="shared" si="11"/>
        <v>0</v>
      </c>
      <c r="L45" s="704">
        <f>SUM(D45:INDEX(D45:K45,0,MATCH('RFPR cover'!$C$7,$D$6:$K$6,0)))</f>
        <v>0</v>
      </c>
      <c r="M45" s="705">
        <f t="shared" si="5"/>
        <v>0</v>
      </c>
    </row>
    <row r="46" spans="1:14" s="2" customFormat="1">
      <c r="B46" s="12" t="s">
        <v>194</v>
      </c>
      <c r="C46" s="164" t="str">
        <f>'RFPR cover'!$C$14</f>
        <v>£m 12/13</v>
      </c>
      <c r="D46" s="639">
        <f>SUM(D39:D45)</f>
        <v>11.144765857949512</v>
      </c>
      <c r="E46" s="639">
        <f t="shared" ref="E46:M46" si="12">SUM(E39:E45)</f>
        <v>11.638071554742107</v>
      </c>
      <c r="F46" s="639">
        <f t="shared" si="12"/>
        <v>10.295382858446395</v>
      </c>
      <c r="G46" s="639">
        <f t="shared" si="12"/>
        <v>11.155623110575048</v>
      </c>
      <c r="H46" s="640">
        <f t="shared" si="12"/>
        <v>14.952201000000001</v>
      </c>
      <c r="I46" s="640">
        <f t="shared" si="12"/>
        <v>15.50938</v>
      </c>
      <c r="J46" s="640">
        <f t="shared" si="12"/>
        <v>15.50938</v>
      </c>
      <c r="K46" s="640">
        <f t="shared" si="12"/>
        <v>15.50938</v>
      </c>
      <c r="L46" s="639">
        <f t="shared" si="12"/>
        <v>44.233843381713058</v>
      </c>
      <c r="M46" s="639">
        <f t="shared" si="12"/>
        <v>105.71418438171305</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819">
        <f>INDEX($D$11:$K$17,MATCH($A49,$A$11:$A$17,0),0)</f>
        <v>-0.20688629620978727</v>
      </c>
      <c r="E49" s="819">
        <f t="shared" ref="E49:K49" si="13">INDEX($D$11:$K$17,MATCH($A49,$A$11:$A$17,0),0)</f>
        <v>0.66540313058428147</v>
      </c>
      <c r="F49" s="819">
        <f t="shared" si="13"/>
        <v>1.8376552222909925</v>
      </c>
      <c r="G49" s="819">
        <f t="shared" si="13"/>
        <v>2.4197985688470434</v>
      </c>
      <c r="H49" s="819">
        <f t="shared" si="13"/>
        <v>3.2155000000000022</v>
      </c>
      <c r="I49" s="819">
        <f t="shared" si="13"/>
        <v>3.8860000000000023</v>
      </c>
      <c r="J49" s="819">
        <f t="shared" si="13"/>
        <v>3.8860000000000023</v>
      </c>
      <c r="K49" s="819">
        <f t="shared" si="13"/>
        <v>3.8860000000000023</v>
      </c>
      <c r="L49" s="819">
        <f>SUM(D49:INDEX(D49:K49,0,MATCH('RFPR cover'!$C$7,$D$6:$K$6,0)))</f>
        <v>4.7159706255125302</v>
      </c>
      <c r="M49" s="820">
        <f>SUM(D49:K49)</f>
        <v>19.58947062551254</v>
      </c>
    </row>
    <row r="50" spans="1:13" s="2" customFormat="1">
      <c r="A50" s="168"/>
      <c r="B50" s="36" t="s">
        <v>191</v>
      </c>
      <c r="C50" s="309" t="s">
        <v>192</v>
      </c>
      <c r="D50" s="926">
        <f>IF($C50=$B$33,$B$33,INDEX(Data!$G$14:$G$30,MATCH('R5 - Output Incentives'!D$6+RIGHT('R5 - Output Incentives'!$C50,2),Data!$C$14:$C$30,0),0))</f>
        <v>0.19</v>
      </c>
      <c r="E50" s="927">
        <f>IF($C50=$B$33,$B$33,INDEX(Data!$G$14:$G$30,MATCH('R5 - Output Incentives'!E$6+RIGHT('R5 - Output Incentives'!$C50,2),Data!$C$14:$C$30,0),0))</f>
        <v>0.19</v>
      </c>
      <c r="F50" s="927">
        <f>IF($C50=$B$33,$B$33,INDEX(Data!$G$14:$G$30,MATCH('R5 - Output Incentives'!F$6+RIGHT('R5 - Output Incentives'!$C50,2),Data!$C$14:$C$30,0),0))</f>
        <v>0.19</v>
      </c>
      <c r="G50" s="927">
        <f>IF($C50=$B$33,$B$33,INDEX(Data!$G$14:$G$30,MATCH('R5 - Output Incentives'!G$6+RIGHT('R5 - Output Incentives'!$C50,2),Data!$C$14:$C$30,0),0))</f>
        <v>0.17</v>
      </c>
      <c r="H50" s="927">
        <f>IF($C50=$B$33,$B$33,INDEX(Data!$G$14:$G$30,MATCH('R5 - Output Incentives'!H$6+RIGHT('R5 - Output Incentives'!$C50,2),Data!$C$14:$C$30,0),0))</f>
        <v>0.17</v>
      </c>
      <c r="I50" s="927">
        <f>IF($C50=$B$33,$B$33,INDEX(Data!$G$14:$G$30,MATCH('R5 - Output Incentives'!I$6+RIGHT('R5 - Output Incentives'!$C50,2),Data!$C$14:$C$30,0),0))</f>
        <v>0.17</v>
      </c>
      <c r="J50" s="927">
        <f>IF($C50=$B$33,$B$33,INDEX(Data!$G$14:$G$30,MATCH('R5 - Output Incentives'!J$6+RIGHT('R5 - Output Incentives'!$C50,2),Data!$C$14:$C$30,0),0))</f>
        <v>0.17</v>
      </c>
      <c r="K50" s="928">
        <f>IF($C50=$B$33,$B$33,INDEX(Data!$G$14:$G$30,MATCH('R5 - Output Incentives'!K$6+RIGHT('R5 - Output Incentives'!$C50,2),Data!$C$14:$C$30,0),0))</f>
        <v>0.17</v>
      </c>
      <c r="L50" s="821"/>
      <c r="M50" s="822"/>
    </row>
    <row r="51" spans="1:13" s="2" customFormat="1">
      <c r="A51" s="168"/>
      <c r="B51" s="36" t="s">
        <v>200</v>
      </c>
      <c r="C51" s="163"/>
      <c r="D51" s="639">
        <f>IFERROR(D49*(1-D50),0)</f>
        <v>-0.16757789992992769</v>
      </c>
      <c r="E51" s="640">
        <f t="shared" ref="E51:K51" si="14">IFERROR(E49*(1-E50),0)</f>
        <v>0.53897653577326798</v>
      </c>
      <c r="F51" s="640">
        <f t="shared" si="14"/>
        <v>1.488500730055704</v>
      </c>
      <c r="G51" s="640">
        <f t="shared" si="14"/>
        <v>2.0084328121430457</v>
      </c>
      <c r="H51" s="640">
        <f t="shared" si="14"/>
        <v>2.6688650000000016</v>
      </c>
      <c r="I51" s="640">
        <f t="shared" si="14"/>
        <v>3.2253800000000017</v>
      </c>
      <c r="J51" s="640">
        <f t="shared" si="14"/>
        <v>3.2253800000000017</v>
      </c>
      <c r="K51" s="640">
        <f t="shared" si="14"/>
        <v>3.2253800000000017</v>
      </c>
      <c r="L51" s="698">
        <f>SUM(D51:INDEX(D51:K51,0,MATCH('RFPR cover'!$C$7,$D$6:$K$6,0)))</f>
        <v>3.8683321780420901</v>
      </c>
      <c r="M51" s="699">
        <f>SUM(D51:K51)</f>
        <v>16.213337178042096</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819">
        <f>INDEX($D$11:$K$17,MATCH($A53,$A$11:$A$17,0),0)</f>
        <v>12.765856491209185</v>
      </c>
      <c r="E53" s="819">
        <f t="shared" ref="E53:K53" si="15">INDEX($D$11:$K$17,MATCH($A53,$A$11:$A$17,0),0)</f>
        <v>11.807586443171406</v>
      </c>
      <c r="F53" s="819">
        <f t="shared" si="15"/>
        <v>9.6726939856675198</v>
      </c>
      <c r="G53" s="819">
        <f t="shared" si="15"/>
        <v>9.8444112029301252</v>
      </c>
      <c r="H53" s="819">
        <f t="shared" si="15"/>
        <v>13.6</v>
      </c>
      <c r="I53" s="819">
        <f t="shared" si="15"/>
        <v>13.6</v>
      </c>
      <c r="J53" s="819">
        <f t="shared" si="15"/>
        <v>13.6</v>
      </c>
      <c r="K53" s="819">
        <f t="shared" si="15"/>
        <v>13.6</v>
      </c>
      <c r="L53" s="700">
        <f>SUM(D53:INDEX(D53:K53,0,MATCH('RFPR cover'!$C$7,$D$6:$K$6,0)))</f>
        <v>44.090548122978234</v>
      </c>
      <c r="M53" s="701">
        <f>SUM(D53:K53)</f>
        <v>98.490548122978225</v>
      </c>
    </row>
    <row r="54" spans="1:13" s="2" customFormat="1">
      <c r="A54" s="168"/>
      <c r="B54" s="36" t="s">
        <v>191</v>
      </c>
      <c r="C54" s="309" t="s">
        <v>192</v>
      </c>
      <c r="D54" s="926">
        <f>IF($C54=$B$33,$B$33,INDEX(Data!$G$14:$G$30,MATCH('R5 - Output Incentives'!D$6+RIGHT('R5 - Output Incentives'!$C54,2),Data!$C$14:$C$30,0),0))</f>
        <v>0.19</v>
      </c>
      <c r="E54" s="927">
        <f>IF($C54=$B$33,$B$33,INDEX(Data!$G$14:$G$30,MATCH('R5 - Output Incentives'!E$6+RIGHT('R5 - Output Incentives'!$C54,2),Data!$C$14:$C$30,0),0))</f>
        <v>0.19</v>
      </c>
      <c r="F54" s="927">
        <f>IF($C54=$B$33,$B$33,INDEX(Data!$G$14:$G$30,MATCH('R5 - Output Incentives'!F$6+RIGHT('R5 - Output Incentives'!$C54,2),Data!$C$14:$C$30,0),0))</f>
        <v>0.19</v>
      </c>
      <c r="G54" s="927">
        <f>IF($C54=$B$33,$B$33,INDEX(Data!$G$14:$G$30,MATCH('R5 - Output Incentives'!G$6+RIGHT('R5 - Output Incentives'!$C54,2),Data!$C$14:$C$30,0),0))</f>
        <v>0.17</v>
      </c>
      <c r="H54" s="927">
        <f>IF($C54=$B$33,$B$33,INDEX(Data!$G$14:$G$30,MATCH('R5 - Output Incentives'!H$6+RIGHT('R5 - Output Incentives'!$C54,2),Data!$C$14:$C$30,0),0))</f>
        <v>0.17</v>
      </c>
      <c r="I54" s="927">
        <f>IF($C54=$B$33,$B$33,INDEX(Data!$G$14:$G$30,MATCH('R5 - Output Incentives'!I$6+RIGHT('R5 - Output Incentives'!$C54,2),Data!$C$14:$C$30,0),0))</f>
        <v>0.17</v>
      </c>
      <c r="J54" s="927">
        <f>IF($C54=$B$33,$B$33,INDEX(Data!$G$14:$G$30,MATCH('R5 - Output Incentives'!J$6+RIGHT('R5 - Output Incentives'!$C54,2),Data!$C$14:$C$30,0),0))</f>
        <v>0.17</v>
      </c>
      <c r="K54" s="928">
        <f>IF($C54=$B$33,$B$33,INDEX(Data!$G$14:$G$30,MATCH('R5 - Output Incentives'!K$6+RIGHT('R5 - Output Incentives'!$C54,2),Data!$C$14:$C$30,0),0))</f>
        <v>0.17</v>
      </c>
      <c r="L54" s="821"/>
      <c r="M54" s="822"/>
    </row>
    <row r="55" spans="1:13" s="2" customFormat="1">
      <c r="A55" s="168"/>
      <c r="B55" s="36" t="s">
        <v>200</v>
      </c>
      <c r="C55" s="163"/>
      <c r="D55" s="639">
        <f>IFERROR(D53*(1-D54),0)</f>
        <v>10.34034375787944</v>
      </c>
      <c r="E55" s="640">
        <f t="shared" ref="E55:K55" si="16">IFERROR(E53*(1-E54),0)</f>
        <v>9.5641450189688388</v>
      </c>
      <c r="F55" s="640">
        <f t="shared" si="16"/>
        <v>7.8348821283906913</v>
      </c>
      <c r="G55" s="640">
        <f t="shared" si="16"/>
        <v>8.170861298432003</v>
      </c>
      <c r="H55" s="640">
        <f t="shared" si="16"/>
        <v>11.287999999999998</v>
      </c>
      <c r="I55" s="640">
        <f t="shared" si="16"/>
        <v>11.287999999999998</v>
      </c>
      <c r="J55" s="640">
        <f t="shared" si="16"/>
        <v>11.287999999999998</v>
      </c>
      <c r="K55" s="640">
        <f t="shared" si="16"/>
        <v>11.287999999999998</v>
      </c>
      <c r="L55" s="698">
        <f>SUM(D55:INDEX(D55:K55,0,MATCH('RFPR cover'!$C$7,$D$6:$K$6,0)))</f>
        <v>35.910232203670972</v>
      </c>
      <c r="M55" s="699">
        <f>SUM(D55:K55)</f>
        <v>81.062232203670959</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819">
        <f>INDEX($D$11:$K$17,MATCH($A57,$A$11:$A$17,0),0)</f>
        <v>0</v>
      </c>
      <c r="E57" s="819">
        <f t="shared" ref="E57:K57" si="17">INDEX($D$11:$K$17,MATCH($A57,$A$11:$A$17,0),0)</f>
        <v>0</v>
      </c>
      <c r="F57" s="819">
        <f t="shared" si="17"/>
        <v>0</v>
      </c>
      <c r="G57" s="819">
        <f t="shared" si="17"/>
        <v>0</v>
      </c>
      <c r="H57" s="819">
        <f t="shared" si="17"/>
        <v>0</v>
      </c>
      <c r="I57" s="819">
        <f t="shared" si="17"/>
        <v>0</v>
      </c>
      <c r="J57" s="819">
        <f t="shared" si="17"/>
        <v>0</v>
      </c>
      <c r="K57" s="819">
        <f t="shared" si="17"/>
        <v>0</v>
      </c>
      <c r="L57" s="700">
        <f>SUM(D57:INDEX(D57:K57,0,MATCH('RFPR cover'!$C$7,$D$6:$K$6,0)))</f>
        <v>0</v>
      </c>
      <c r="M57" s="701">
        <f>SUM(D57:K57)</f>
        <v>0</v>
      </c>
    </row>
    <row r="58" spans="1:13" s="2" customFormat="1">
      <c r="A58" s="168"/>
      <c r="B58" s="36" t="s">
        <v>191</v>
      </c>
      <c r="C58" s="309" t="s">
        <v>198</v>
      </c>
      <c r="D58" s="926">
        <f>IF($C58=$B$33,$B$33,INDEX(Data!$G$14:$G$30,MATCH('R5 - Output Incentives'!D$6+RIGHT('R5 - Output Incentives'!$C58,2),Data!$C$14:$C$30,0),0))</f>
        <v>0.19</v>
      </c>
      <c r="E58" s="927">
        <f>IF($C58=$B$33,$B$33,INDEX(Data!$G$14:$G$30,MATCH('R5 - Output Incentives'!E$6+RIGHT('R5 - Output Incentives'!$C58,2),Data!$C$14:$C$30,0),0))</f>
        <v>0.19</v>
      </c>
      <c r="F58" s="927">
        <f>IF($C58=$B$33,$B$33,INDEX(Data!$G$14:$G$30,MATCH('R5 - Output Incentives'!F$6+RIGHT('R5 - Output Incentives'!$C58,2),Data!$C$14:$C$30,0),0))</f>
        <v>0.17</v>
      </c>
      <c r="G58" s="927">
        <f>IF($C58=$B$33,$B$33,INDEX(Data!$G$14:$G$30,MATCH('R5 - Output Incentives'!G$6+RIGHT('R5 - Output Incentives'!$C58,2),Data!$C$14:$C$30,0),0))</f>
        <v>0.17</v>
      </c>
      <c r="H58" s="927">
        <f>IF($C58=$B$33,$B$33,INDEX(Data!$G$14:$G$30,MATCH('R5 - Output Incentives'!H$6+RIGHT('R5 - Output Incentives'!$C58,2),Data!$C$14:$C$30,0),0))</f>
        <v>0.17</v>
      </c>
      <c r="I58" s="927">
        <f>IF($C58=$B$33,$B$33,INDEX(Data!$G$14:$G$30,MATCH('R5 - Output Incentives'!I$6+RIGHT('R5 - Output Incentives'!$C58,2),Data!$C$14:$C$30,0),0))</f>
        <v>0.17</v>
      </c>
      <c r="J58" s="927">
        <f>IF($C58=$B$33,$B$33,INDEX(Data!$G$14:$G$30,MATCH('R5 - Output Incentives'!J$6+RIGHT('R5 - Output Incentives'!$C58,2),Data!$C$14:$C$30,0),0))</f>
        <v>0.17</v>
      </c>
      <c r="K58" s="928">
        <f>IF($C58=$B$33,$B$33,INDEX(Data!$G$14:$G$30,MATCH('R5 - Output Incentives'!K$6+RIGHT('R5 - Output Incentives'!$C58,2),Data!$C$14:$C$30,0),0))</f>
        <v>0.17</v>
      </c>
      <c r="L58" s="821"/>
      <c r="M58" s="822"/>
    </row>
    <row r="59" spans="1:13" s="2" customFormat="1">
      <c r="A59" s="168"/>
      <c r="B59" s="36" t="s">
        <v>200</v>
      </c>
      <c r="C59" s="163"/>
      <c r="D59" s="639">
        <f>IFERROR(D57*(1-D58),0)</f>
        <v>0</v>
      </c>
      <c r="E59" s="640">
        <f t="shared" ref="E59:K59" si="18">IFERROR(E57*(1-E58),0)</f>
        <v>0</v>
      </c>
      <c r="F59" s="640">
        <f t="shared" si="18"/>
        <v>0</v>
      </c>
      <c r="G59" s="640">
        <f t="shared" si="18"/>
        <v>0</v>
      </c>
      <c r="H59" s="640">
        <f t="shared" si="18"/>
        <v>0</v>
      </c>
      <c r="I59" s="640">
        <f t="shared" si="18"/>
        <v>0</v>
      </c>
      <c r="J59" s="640">
        <f t="shared" si="18"/>
        <v>0</v>
      </c>
      <c r="K59" s="640">
        <f t="shared" si="18"/>
        <v>0</v>
      </c>
      <c r="L59" s="698">
        <f>SUM(D59:INDEX(D59:K59,0,MATCH('RFPR cover'!$C$7,$D$6:$K$6,0)))</f>
        <v>0</v>
      </c>
      <c r="M59" s="699">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819">
        <f>INDEX($D$11:$K$17,MATCH($A61,$A$11:$A$17,0),0)</f>
        <v>1.2</v>
      </c>
      <c r="E61" s="819">
        <f t="shared" ref="E61:K61" si="19">INDEX($D$11:$K$17,MATCH($A61,$A$11:$A$17,0),0)</f>
        <v>1.2</v>
      </c>
      <c r="F61" s="819">
        <f t="shared" si="19"/>
        <v>1.2</v>
      </c>
      <c r="G61" s="819">
        <f t="shared" si="19"/>
        <v>1.1762999999999999</v>
      </c>
      <c r="H61" s="819">
        <f t="shared" si="19"/>
        <v>1.1991999999999998</v>
      </c>
      <c r="I61" s="819">
        <f t="shared" si="19"/>
        <v>1.2</v>
      </c>
      <c r="J61" s="819">
        <f t="shared" si="19"/>
        <v>1.2</v>
      </c>
      <c r="K61" s="819">
        <f t="shared" si="19"/>
        <v>1.2</v>
      </c>
      <c r="L61" s="700">
        <f>SUM(D61:INDEX(D61:K61,0,MATCH('RFPR cover'!$C$7,$D$6:$K$6,0)))</f>
        <v>4.7762999999999991</v>
      </c>
      <c r="M61" s="701">
        <f>SUM(D61:K61)</f>
        <v>9.5754999999999981</v>
      </c>
    </row>
    <row r="62" spans="1:13" s="2" customFormat="1">
      <c r="A62" s="168"/>
      <c r="B62" s="36" t="s">
        <v>191</v>
      </c>
      <c r="C62" s="309" t="s">
        <v>192</v>
      </c>
      <c r="D62" s="926">
        <f>IF($C62=$B$33,$B$33,INDEX(Data!$G$14:$G$30,MATCH('R5 - Output Incentives'!D$6+RIGHT('R5 - Output Incentives'!$C62,2),Data!$C$14:$C$30,0),0))</f>
        <v>0.19</v>
      </c>
      <c r="E62" s="927">
        <f>IF($C62=$B$33,$B$33,INDEX(Data!$G$14:$G$30,MATCH('R5 - Output Incentives'!E$6+RIGHT('R5 - Output Incentives'!$C62,2),Data!$C$14:$C$30,0),0))</f>
        <v>0.19</v>
      </c>
      <c r="F62" s="927">
        <f>IF($C62=$B$33,$B$33,INDEX(Data!$G$14:$G$30,MATCH('R5 - Output Incentives'!F$6+RIGHT('R5 - Output Incentives'!$C62,2),Data!$C$14:$C$30,0),0))</f>
        <v>0.19</v>
      </c>
      <c r="G62" s="927">
        <f>IF($C62=$B$33,$B$33,INDEX(Data!$G$14:$G$30,MATCH('R5 - Output Incentives'!G$6+RIGHT('R5 - Output Incentives'!$C62,2),Data!$C$14:$C$30,0),0))</f>
        <v>0.17</v>
      </c>
      <c r="H62" s="927">
        <f>IF($C62=$B$33,$B$33,INDEX(Data!$G$14:$G$30,MATCH('R5 - Output Incentives'!H$6+RIGHT('R5 - Output Incentives'!$C62,2),Data!$C$14:$C$30,0),0))</f>
        <v>0.17</v>
      </c>
      <c r="I62" s="927">
        <f>IF($C62=$B$33,$B$33,INDEX(Data!$G$14:$G$30,MATCH('R5 - Output Incentives'!I$6+RIGHT('R5 - Output Incentives'!$C62,2),Data!$C$14:$C$30,0),0))</f>
        <v>0.17</v>
      </c>
      <c r="J62" s="927">
        <f>IF($C62=$B$33,$B$33,INDEX(Data!$G$14:$G$30,MATCH('R5 - Output Incentives'!J$6+RIGHT('R5 - Output Incentives'!$C62,2),Data!$C$14:$C$30,0),0))</f>
        <v>0.17</v>
      </c>
      <c r="K62" s="928">
        <f>IF($C62=$B$33,$B$33,INDEX(Data!$G$14:$G$30,MATCH('R5 - Output Incentives'!K$6+RIGHT('R5 - Output Incentives'!$C62,2),Data!$C$14:$C$30,0),0))</f>
        <v>0.17</v>
      </c>
      <c r="L62" s="821"/>
      <c r="M62" s="822"/>
    </row>
    <row r="63" spans="1:13" s="2" customFormat="1">
      <c r="A63" s="168"/>
      <c r="B63" s="36" t="s">
        <v>200</v>
      </c>
      <c r="C63" s="163"/>
      <c r="D63" s="639">
        <f>IFERROR(D61*(1-D62),0)</f>
        <v>0.97199999999999998</v>
      </c>
      <c r="E63" s="640">
        <f t="shared" ref="E63:K63" si="20">IFERROR(E61*(1-E62),0)</f>
        <v>0.97199999999999998</v>
      </c>
      <c r="F63" s="640">
        <f t="shared" si="20"/>
        <v>0.97199999999999998</v>
      </c>
      <c r="G63" s="640">
        <f t="shared" si="20"/>
        <v>0.97632899999999989</v>
      </c>
      <c r="H63" s="640">
        <f t="shared" si="20"/>
        <v>0.99533599999999978</v>
      </c>
      <c r="I63" s="640">
        <f t="shared" si="20"/>
        <v>0.99599999999999989</v>
      </c>
      <c r="J63" s="640">
        <f t="shared" si="20"/>
        <v>0.99599999999999989</v>
      </c>
      <c r="K63" s="640">
        <f t="shared" si="20"/>
        <v>0.99599999999999989</v>
      </c>
      <c r="L63" s="698">
        <f>SUM(D63:INDEX(D63:K63,0,MATCH('RFPR cover'!$C$7,$D$6:$K$6,0)))</f>
        <v>3.8923289999999997</v>
      </c>
      <c r="M63" s="699">
        <f>SUM(D63:K63)</f>
        <v>7.8756649999999979</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819">
        <f>INDEX($D$11:$K$17,MATCH($A65,$A$11:$A$17,0),0)</f>
        <v>0</v>
      </c>
      <c r="E65" s="819">
        <f t="shared" ref="E65:K65" si="21">INDEX($D$11:$K$17,MATCH($A65,$A$11:$A$17,0),0)</f>
        <v>0.69499999999999995</v>
      </c>
      <c r="F65" s="819">
        <f t="shared" si="21"/>
        <v>0</v>
      </c>
      <c r="G65" s="819">
        <f t="shared" si="21"/>
        <v>0</v>
      </c>
      <c r="H65" s="819">
        <f t="shared" si="21"/>
        <v>0</v>
      </c>
      <c r="I65" s="819">
        <f t="shared" si="21"/>
        <v>0</v>
      </c>
      <c r="J65" s="819">
        <f t="shared" si="21"/>
        <v>0</v>
      </c>
      <c r="K65" s="819">
        <f t="shared" si="21"/>
        <v>0</v>
      </c>
      <c r="L65" s="700">
        <f>SUM(D65:INDEX(D65:K65,0,MATCH('RFPR cover'!$C$7,$D$6:$K$6,0)))</f>
        <v>0.69499999999999995</v>
      </c>
      <c r="M65" s="701">
        <f>SUM(D65:K65)</f>
        <v>0.69499999999999995</v>
      </c>
    </row>
    <row r="66" spans="1:14" s="2" customFormat="1">
      <c r="A66" s="168"/>
      <c r="B66" s="36" t="s">
        <v>191</v>
      </c>
      <c r="C66" s="309" t="s">
        <v>199</v>
      </c>
      <c r="D66" s="926">
        <f>IF($C66=$B$33,$B$33,INDEX(Data!$G$14:$G$30,MATCH('R5 - Output Incentives'!D$6+RIGHT('R5 - Output Incentives'!$C66,2),Data!$C$14:$C$30,0),0))</f>
        <v>0.2</v>
      </c>
      <c r="E66" s="927">
        <f>IF($C66=$B$33,$B$33,INDEX(Data!$G$14:$G$30,MATCH('R5 - Output Incentives'!E$6+RIGHT('R5 - Output Incentives'!$C66,2),Data!$C$14:$C$30,0),0))</f>
        <v>0.19</v>
      </c>
      <c r="F66" s="927">
        <f>IF($C66=$B$33,$B$33,INDEX(Data!$G$14:$G$30,MATCH('R5 - Output Incentives'!F$6+RIGHT('R5 - Output Incentives'!$C66,2),Data!$C$14:$C$30,0),0))</f>
        <v>0.19</v>
      </c>
      <c r="G66" s="927">
        <f>IF($C66=$B$33,$B$33,INDEX(Data!$G$14:$G$30,MATCH('R5 - Output Incentives'!G$6+RIGHT('R5 - Output Incentives'!$C66,2),Data!$C$14:$C$30,0),0))</f>
        <v>0.19</v>
      </c>
      <c r="H66" s="927">
        <f>IF($C66=$B$33,$B$33,INDEX(Data!$G$14:$G$30,MATCH('R5 - Output Incentives'!H$6+RIGHT('R5 - Output Incentives'!$C66,2),Data!$C$14:$C$30,0),0))</f>
        <v>0.17</v>
      </c>
      <c r="I66" s="927">
        <f>IF($C66=$B$33,$B$33,INDEX(Data!$G$14:$G$30,MATCH('R5 - Output Incentives'!I$6+RIGHT('R5 - Output Incentives'!$C66,2),Data!$C$14:$C$30,0),0))</f>
        <v>0.17</v>
      </c>
      <c r="J66" s="927">
        <f>IF($C66=$B$33,$B$33,INDEX(Data!$G$14:$G$30,MATCH('R5 - Output Incentives'!J$6+RIGHT('R5 - Output Incentives'!$C66,2),Data!$C$14:$C$30,0),0))</f>
        <v>0.17</v>
      </c>
      <c r="K66" s="928">
        <f>IF($C66=$B$33,$B$33,INDEX(Data!$G$14:$G$30,MATCH('R5 - Output Incentives'!K$6+RIGHT('R5 - Output Incentives'!$C66,2),Data!$C$14:$C$30,0),0))</f>
        <v>0.17</v>
      </c>
      <c r="L66" s="821"/>
      <c r="M66" s="822"/>
    </row>
    <row r="67" spans="1:14" s="2" customFormat="1">
      <c r="A67" s="168"/>
      <c r="B67" s="36" t="s">
        <v>200</v>
      </c>
      <c r="C67" s="163"/>
      <c r="D67" s="639">
        <f>IFERROR(D65*(1-D66),0)</f>
        <v>0</v>
      </c>
      <c r="E67" s="640">
        <f t="shared" ref="E67:K67" si="22">IFERROR(E65*(1-E66),0)</f>
        <v>0.56294999999999995</v>
      </c>
      <c r="F67" s="640">
        <f t="shared" si="22"/>
        <v>0</v>
      </c>
      <c r="G67" s="640">
        <f t="shared" si="22"/>
        <v>0</v>
      </c>
      <c r="H67" s="640">
        <f t="shared" si="22"/>
        <v>0</v>
      </c>
      <c r="I67" s="640">
        <f t="shared" si="22"/>
        <v>0</v>
      </c>
      <c r="J67" s="640">
        <f t="shared" si="22"/>
        <v>0</v>
      </c>
      <c r="K67" s="640">
        <f t="shared" si="22"/>
        <v>0</v>
      </c>
      <c r="L67" s="698">
        <f>SUM(D67:INDEX(D67:K67,0,MATCH('RFPR cover'!$C$7,$D$6:$K$6,0)))</f>
        <v>0.56294999999999995</v>
      </c>
      <c r="M67" s="699">
        <f>SUM(D67:K67)</f>
        <v>0.56294999999999995</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819">
        <f>INDEX($D$11:$K$17,MATCH($A69,$A$11:$A$17,0),0)</f>
        <v>0</v>
      </c>
      <c r="E69" s="819">
        <f t="shared" ref="E69:K69" si="23">INDEX($D$11:$K$17,MATCH($A69,$A$11:$A$17,0),0)</f>
        <v>0</v>
      </c>
      <c r="F69" s="819">
        <f t="shared" si="23"/>
        <v>0</v>
      </c>
      <c r="G69" s="819">
        <f t="shared" si="23"/>
        <v>0</v>
      </c>
      <c r="H69" s="819">
        <f t="shared" si="23"/>
        <v>0</v>
      </c>
      <c r="I69" s="819">
        <f t="shared" si="23"/>
        <v>0</v>
      </c>
      <c r="J69" s="819">
        <f t="shared" si="23"/>
        <v>0</v>
      </c>
      <c r="K69" s="819">
        <f t="shared" si="23"/>
        <v>0</v>
      </c>
      <c r="L69" s="700">
        <f>SUM(D69:INDEX(D69:K69,0,MATCH('RFPR cover'!$C$7,$D$6:$K$6,0)))</f>
        <v>0</v>
      </c>
      <c r="M69" s="701">
        <f>SUM(D69:K69)</f>
        <v>0</v>
      </c>
    </row>
    <row r="70" spans="1:14" s="2" customFormat="1">
      <c r="A70" s="168"/>
      <c r="B70" s="36" t="s">
        <v>191</v>
      </c>
      <c r="C70" s="309" t="s">
        <v>199</v>
      </c>
      <c r="D70" s="926">
        <f>IF($C70=$B$33,$B$33,INDEX(Data!$G$14:$G$30,MATCH('R5 - Output Incentives'!D$6+RIGHT('R5 - Output Incentives'!$C70,2),Data!$C$14:$C$30,0),0))</f>
        <v>0.2</v>
      </c>
      <c r="E70" s="927">
        <f>IF($C70=$B$33,$B$33,INDEX(Data!$G$14:$G$30,MATCH('R5 - Output Incentives'!E$6+RIGHT('R5 - Output Incentives'!$C70,2),Data!$C$14:$C$30,0),0))</f>
        <v>0.19</v>
      </c>
      <c r="F70" s="927">
        <f>IF($C70=$B$33,$B$33,INDEX(Data!$G$14:$G$30,MATCH('R5 - Output Incentives'!F$6+RIGHT('R5 - Output Incentives'!$C70,2),Data!$C$14:$C$30,0),0))</f>
        <v>0.19</v>
      </c>
      <c r="G70" s="927">
        <f>IF($C70=$B$33,$B$33,INDEX(Data!$G$14:$G$30,MATCH('R5 - Output Incentives'!G$6+RIGHT('R5 - Output Incentives'!$C70,2),Data!$C$14:$C$30,0),0))</f>
        <v>0.19</v>
      </c>
      <c r="H70" s="927">
        <f>IF($C70=$B$33,$B$33,INDEX(Data!$G$14:$G$30,MATCH('R5 - Output Incentives'!H$6+RIGHT('R5 - Output Incentives'!$C70,2),Data!$C$14:$C$30,0),0))</f>
        <v>0.17</v>
      </c>
      <c r="I70" s="927">
        <f>IF($C70=$B$33,$B$33,INDEX(Data!$G$14:$G$30,MATCH('R5 - Output Incentives'!I$6+RIGHT('R5 - Output Incentives'!$C70,2),Data!$C$14:$C$30,0),0))</f>
        <v>0.17</v>
      </c>
      <c r="J70" s="927">
        <f>IF($C70=$B$33,$B$33,INDEX(Data!$G$14:$G$30,MATCH('R5 - Output Incentives'!J$6+RIGHT('R5 - Output Incentives'!$C70,2),Data!$C$14:$C$30,0),0))</f>
        <v>0.17</v>
      </c>
      <c r="K70" s="928">
        <f>IF($C70=$B$33,$B$33,INDEX(Data!$G$14:$G$30,MATCH('R5 - Output Incentives'!K$6+RIGHT('R5 - Output Incentives'!$C70,2),Data!$C$14:$C$30,0),0))</f>
        <v>0.17</v>
      </c>
      <c r="L70" s="821"/>
      <c r="M70" s="822"/>
    </row>
    <row r="71" spans="1:14" s="2" customFormat="1">
      <c r="A71" s="168"/>
      <c r="B71" s="36" t="s">
        <v>200</v>
      </c>
      <c r="C71" s="163"/>
      <c r="D71" s="639">
        <f>IFERROR(D69*(1-D70),0)</f>
        <v>0</v>
      </c>
      <c r="E71" s="640">
        <f t="shared" ref="E71:K71" si="24">IFERROR(E69*(1-E70),0)</f>
        <v>0</v>
      </c>
      <c r="F71" s="640">
        <f t="shared" si="24"/>
        <v>0</v>
      </c>
      <c r="G71" s="640">
        <f t="shared" si="24"/>
        <v>0</v>
      </c>
      <c r="H71" s="640">
        <f t="shared" si="24"/>
        <v>0</v>
      </c>
      <c r="I71" s="640">
        <f t="shared" si="24"/>
        <v>0</v>
      </c>
      <c r="J71" s="640">
        <f t="shared" si="24"/>
        <v>0</v>
      </c>
      <c r="K71" s="640">
        <f t="shared" si="24"/>
        <v>0</v>
      </c>
      <c r="L71" s="698">
        <f>SUM(D71:INDEX(D71:K71,0,MATCH('RFPR cover'!$C$7,$D$6:$K$6,0)))</f>
        <v>0</v>
      </c>
      <c r="M71" s="699">
        <f>SUM(D71:K71)</f>
        <v>0</v>
      </c>
    </row>
    <row r="72" spans="1:14" s="2" customFormat="1">
      <c r="A72" s="168"/>
      <c r="B72" s="52"/>
      <c r="C72" s="164"/>
      <c r="D72" s="164"/>
      <c r="E72" s="164"/>
      <c r="F72" s="164"/>
      <c r="G72" s="164"/>
      <c r="H72" s="164"/>
      <c r="I72" s="164"/>
      <c r="J72" s="164"/>
      <c r="K72" s="164"/>
      <c r="L72" s="164"/>
      <c r="M72" s="164"/>
    </row>
    <row r="73" spans="1:14" s="2" customFormat="1">
      <c r="A73" s="168" t="s">
        <v>455</v>
      </c>
      <c r="B73" s="180" t="str">
        <f>INDEX($B$11:$B$17,MATCH($A73,$A$11:$A$17,0),0)&amp;""</f>
        <v/>
      </c>
      <c r="C73" s="163" t="str">
        <f>'RFPR cover'!$C$14</f>
        <v>£m 12/13</v>
      </c>
      <c r="D73" s="819">
        <f>INDEX($D$11:$K$17,MATCH($A73,$A$11:$A$17,0),0)</f>
        <v>0</v>
      </c>
      <c r="E73" s="819">
        <f t="shared" ref="E73:K73" si="25">INDEX($D$11:$K$17,MATCH($A73,$A$11:$A$17,0),0)</f>
        <v>0</v>
      </c>
      <c r="F73" s="819">
        <f t="shared" si="25"/>
        <v>0</v>
      </c>
      <c r="G73" s="819">
        <f t="shared" si="25"/>
        <v>0</v>
      </c>
      <c r="H73" s="819">
        <f t="shared" si="25"/>
        <v>0</v>
      </c>
      <c r="I73" s="819">
        <f t="shared" si="25"/>
        <v>0</v>
      </c>
      <c r="J73" s="819">
        <f t="shared" si="25"/>
        <v>0</v>
      </c>
      <c r="K73" s="819">
        <f t="shared" si="25"/>
        <v>0</v>
      </c>
      <c r="L73" s="700">
        <f>SUM(D73:INDEX(D73:K73,0,MATCH('RFPR cover'!$C$7,$D$6:$K$6,0)))</f>
        <v>0</v>
      </c>
      <c r="M73" s="701">
        <f>SUM(D73:K73)</f>
        <v>0</v>
      </c>
    </row>
    <row r="74" spans="1:14" s="2" customFormat="1">
      <c r="A74" s="168"/>
      <c r="B74" s="36" t="s">
        <v>191</v>
      </c>
      <c r="C74" s="309" t="s">
        <v>199</v>
      </c>
      <c r="D74" s="926">
        <f>IF($C74=$B$33,$B$33,INDEX(Data!$G$14:$G$30,MATCH('R5 - Output Incentives'!D$6+RIGHT('R5 - Output Incentives'!$C74,2),Data!$C$14:$C$30,0),0))</f>
        <v>0.2</v>
      </c>
      <c r="E74" s="927">
        <f>IF($C74=$B$33,$B$33,INDEX(Data!$G$14:$G$30,MATCH('R5 - Output Incentives'!E$6+RIGHT('R5 - Output Incentives'!$C74,2),Data!$C$14:$C$30,0),0))</f>
        <v>0.19</v>
      </c>
      <c r="F74" s="927">
        <f>IF($C74=$B$33,$B$33,INDEX(Data!$G$14:$G$30,MATCH('R5 - Output Incentives'!F$6+RIGHT('R5 - Output Incentives'!$C74,2),Data!$C$14:$C$30,0),0))</f>
        <v>0.19</v>
      </c>
      <c r="G74" s="927">
        <f>IF($C74=$B$33,$B$33,INDEX(Data!$G$14:$G$30,MATCH('R5 - Output Incentives'!G$6+RIGHT('R5 - Output Incentives'!$C74,2),Data!$C$14:$C$30,0),0))</f>
        <v>0.19</v>
      </c>
      <c r="H74" s="927">
        <f>IF($C74=$B$33,$B$33,INDEX(Data!$G$14:$G$30,MATCH('R5 - Output Incentives'!H$6+RIGHT('R5 - Output Incentives'!$C74,2),Data!$C$14:$C$30,0),0))</f>
        <v>0.17</v>
      </c>
      <c r="I74" s="927">
        <f>IF($C74=$B$33,$B$33,INDEX(Data!$G$14:$G$30,MATCH('R5 - Output Incentives'!I$6+RIGHT('R5 - Output Incentives'!$C74,2),Data!$C$14:$C$30,0),0))</f>
        <v>0.17</v>
      </c>
      <c r="J74" s="927">
        <f>IF($C74=$B$33,$B$33,INDEX(Data!$G$14:$G$30,MATCH('R5 - Output Incentives'!J$6+RIGHT('R5 - Output Incentives'!$C74,2),Data!$C$14:$C$30,0),0))</f>
        <v>0.17</v>
      </c>
      <c r="K74" s="928">
        <f>IF($C74=$B$33,$B$33,INDEX(Data!$G$14:$G$30,MATCH('R5 - Output Incentives'!K$6+RIGHT('R5 - Output Incentives'!$C74,2),Data!$C$14:$C$30,0),0))</f>
        <v>0.17</v>
      </c>
      <c r="L74" s="821"/>
      <c r="M74" s="822"/>
    </row>
    <row r="75" spans="1:14" s="2" customFormat="1">
      <c r="A75" s="168"/>
      <c r="B75" s="36" t="s">
        <v>200</v>
      </c>
      <c r="C75" s="163"/>
      <c r="D75" s="639">
        <f>IFERROR(D73*(1-D74),0)</f>
        <v>0</v>
      </c>
      <c r="E75" s="640">
        <f t="shared" ref="E75:K75" si="26">IFERROR(E73*(1-E74),0)</f>
        <v>0</v>
      </c>
      <c r="F75" s="640">
        <f t="shared" si="26"/>
        <v>0</v>
      </c>
      <c r="G75" s="640">
        <f t="shared" si="26"/>
        <v>0</v>
      </c>
      <c r="H75" s="640">
        <f t="shared" si="26"/>
        <v>0</v>
      </c>
      <c r="I75" s="640">
        <f t="shared" si="26"/>
        <v>0</v>
      </c>
      <c r="J75" s="640">
        <f t="shared" si="26"/>
        <v>0</v>
      </c>
      <c r="K75" s="640">
        <f t="shared" si="26"/>
        <v>0</v>
      </c>
      <c r="L75" s="698">
        <f>SUM(D75:INDEX(D75:K75,0,MATCH('RFPR cover'!$C$7,$D$6:$K$6,0)))</f>
        <v>0</v>
      </c>
      <c r="M75" s="699">
        <f>SUM(D75:K75)</f>
        <v>0</v>
      </c>
    </row>
    <row r="76" spans="1:14" s="561" customFormat="1" ht="14.1" customHeight="1">
      <c r="A76" s="560"/>
      <c r="C76" s="562"/>
      <c r="D76" s="563"/>
      <c r="E76" s="563"/>
      <c r="F76" s="563"/>
      <c r="G76" s="563"/>
      <c r="H76" s="563"/>
      <c r="I76" s="563"/>
      <c r="J76" s="563"/>
      <c r="K76" s="563"/>
      <c r="L76" s="564"/>
      <c r="M76" s="564"/>
    </row>
    <row r="77" spans="1:14" s="2" customFormat="1">
      <c r="B77" s="118" t="s">
        <v>372</v>
      </c>
      <c r="C77" s="158"/>
      <c r="D77" s="141"/>
      <c r="E77" s="141"/>
      <c r="F77" s="141"/>
      <c r="G77" s="141"/>
      <c r="H77" s="141"/>
      <c r="I77" s="141"/>
      <c r="J77" s="141"/>
      <c r="K77" s="141"/>
      <c r="L77" s="82"/>
      <c r="M77" s="82"/>
      <c r="N77" s="82"/>
    </row>
    <row r="78" spans="1:14" s="2" customFormat="1">
      <c r="B78" s="389" t="s">
        <v>371</v>
      </c>
      <c r="C78" s="306"/>
      <c r="D78" s="307"/>
      <c r="E78" s="307"/>
      <c r="F78" s="307"/>
      <c r="G78" s="307"/>
      <c r="H78" s="307"/>
      <c r="I78" s="307"/>
      <c r="J78" s="307"/>
      <c r="K78" s="307"/>
      <c r="L78" s="308"/>
      <c r="M78" s="308"/>
      <c r="N78" s="308"/>
    </row>
    <row r="79" spans="1:14" s="2" customFormat="1">
      <c r="B79" s="389" t="s">
        <v>373</v>
      </c>
      <c r="C79" s="306"/>
      <c r="D79" s="307"/>
      <c r="E79" s="307"/>
      <c r="F79" s="307"/>
      <c r="G79" s="307"/>
      <c r="H79" s="307"/>
      <c r="I79" s="307"/>
      <c r="J79" s="307"/>
      <c r="K79" s="307"/>
      <c r="L79" s="308"/>
      <c r="M79" s="308"/>
      <c r="N79" s="308"/>
    </row>
    <row r="80" spans="1:14" s="561" customFormat="1">
      <c r="B80" s="566"/>
      <c r="C80" s="567"/>
      <c r="D80" s="568"/>
      <c r="E80" s="568"/>
      <c r="F80" s="568"/>
      <c r="G80" s="568"/>
      <c r="H80" s="568"/>
      <c r="I80" s="568"/>
      <c r="J80" s="568"/>
      <c r="K80" s="568"/>
    </row>
    <row r="81" spans="1:12" s="2" customFormat="1">
      <c r="B81" s="12"/>
      <c r="C81" s="569" t="s">
        <v>374</v>
      </c>
      <c r="D81" s="572" t="str">
        <f t="shared" ref="D81:K81" si="27">IF($C50=$B$33,D$6,IF(D$6-RIGHT($C50,1)&lt;$D$6,"Pre-RIIO",D$6-RIGHT($C50,1)))</f>
        <v>Pre-RIIO</v>
      </c>
      <c r="E81" s="573" t="str">
        <f t="shared" si="27"/>
        <v>Pre-RIIO</v>
      </c>
      <c r="F81" s="573">
        <f t="shared" si="27"/>
        <v>2016</v>
      </c>
      <c r="G81" s="573">
        <f t="shared" si="27"/>
        <v>2017</v>
      </c>
      <c r="H81" s="573">
        <f t="shared" si="27"/>
        <v>2018</v>
      </c>
      <c r="I81" s="573">
        <f t="shared" si="27"/>
        <v>2019</v>
      </c>
      <c r="J81" s="573">
        <f t="shared" si="27"/>
        <v>2020</v>
      </c>
      <c r="K81" s="574">
        <f t="shared" si="27"/>
        <v>2021</v>
      </c>
    </row>
    <row r="82" spans="1:12" s="2" customFormat="1">
      <c r="A82" s="3" t="str">
        <f>A11</f>
        <v>a</v>
      </c>
      <c r="B82" s="134" t="str">
        <f>B11&amp;""</f>
        <v>Broad measure of customer service</v>
      </c>
      <c r="C82" s="144" t="s">
        <v>118</v>
      </c>
      <c r="D82" s="667">
        <v>-1.449320316769054</v>
      </c>
      <c r="E82" s="668">
        <v>-1.1472371864336983</v>
      </c>
      <c r="F82" s="668">
        <v>-0.21936500453496982</v>
      </c>
      <c r="G82" s="668">
        <v>0.72065599828257865</v>
      </c>
      <c r="H82" s="646">
        <v>2.0647230891982105</v>
      </c>
      <c r="I82" s="646">
        <v>2.8018730681226858</v>
      </c>
      <c r="J82" s="646">
        <v>3.8209462223051012</v>
      </c>
      <c r="K82" s="646">
        <v>4.7458356358822034</v>
      </c>
    </row>
    <row r="83" spans="1:12" s="2" customFormat="1">
      <c r="A83" s="3"/>
      <c r="B83" s="134"/>
      <c r="C83" s="144"/>
      <c r="D83" s="144"/>
      <c r="E83" s="144"/>
      <c r="F83" s="144"/>
      <c r="G83" s="144"/>
      <c r="H83" s="144"/>
      <c r="I83" s="144"/>
      <c r="J83" s="144"/>
      <c r="K83" s="144"/>
      <c r="L83" s="144"/>
    </row>
    <row r="84" spans="1:12" s="2" customFormat="1">
      <c r="A84" s="3"/>
      <c r="B84" s="134"/>
      <c r="C84" s="569" t="s">
        <v>374</v>
      </c>
      <c r="D84" s="572" t="str">
        <f t="shared" ref="D84:K84" si="28">IF($C54=$B$33,D$6,IF(D$6-RIGHT($C54,1)&lt;$D$6,"Pre-RIIO",D$6-RIGHT($C54,1)))</f>
        <v>Pre-RIIO</v>
      </c>
      <c r="E84" s="573" t="str">
        <f t="shared" si="28"/>
        <v>Pre-RIIO</v>
      </c>
      <c r="F84" s="573">
        <f t="shared" si="28"/>
        <v>2016</v>
      </c>
      <c r="G84" s="573">
        <f t="shared" si="28"/>
        <v>2017</v>
      </c>
      <c r="H84" s="573">
        <f t="shared" si="28"/>
        <v>2018</v>
      </c>
      <c r="I84" s="573">
        <f t="shared" si="28"/>
        <v>2019</v>
      </c>
      <c r="J84" s="573">
        <f t="shared" si="28"/>
        <v>2020</v>
      </c>
      <c r="K84" s="574">
        <f t="shared" si="28"/>
        <v>2021</v>
      </c>
    </row>
    <row r="85" spans="1:12" s="2" customFormat="1">
      <c r="A85" s="3" t="str">
        <f>A12</f>
        <v>b</v>
      </c>
      <c r="B85" s="134" t="str">
        <f>B12&amp;""</f>
        <v>Interruptions-related quality of service</v>
      </c>
      <c r="C85" s="144" t="s">
        <v>118</v>
      </c>
      <c r="D85" s="667">
        <v>9.8439726433539594</v>
      </c>
      <c r="E85" s="668">
        <v>16.964153932804653</v>
      </c>
      <c r="F85" s="668">
        <v>15.393619077646294</v>
      </c>
      <c r="G85" s="668">
        <v>14.696766019054465</v>
      </c>
      <c r="H85" s="646">
        <v>12.418867346408305</v>
      </c>
      <c r="I85" s="646">
        <v>12.853703857770947</v>
      </c>
      <c r="J85" s="646">
        <v>18.264386800793435</v>
      </c>
      <c r="K85" s="646">
        <v>18.804559667040479</v>
      </c>
    </row>
    <row r="86" spans="1:12" s="2" customFormat="1">
      <c r="A86" s="3"/>
      <c r="B86" s="134"/>
      <c r="C86" s="144"/>
      <c r="D86" s="144"/>
      <c r="E86" s="144"/>
      <c r="F86" s="144"/>
      <c r="G86" s="144"/>
      <c r="H86" s="144"/>
      <c r="I86" s="144"/>
      <c r="J86" s="144"/>
      <c r="K86" s="144"/>
      <c r="L86" s="144"/>
    </row>
    <row r="87" spans="1:12" s="2" customFormat="1">
      <c r="A87" s="3"/>
      <c r="B87" s="134"/>
      <c r="C87" s="569" t="s">
        <v>374</v>
      </c>
      <c r="D87" s="572" t="str">
        <f t="shared" ref="D87:K87" si="29">IF($C58=$B$33,D$6,IF(D$6-RIGHT($C58,1)&lt;$D$6,"Pre-RIIO",D$6-RIGHT($C58,1)))</f>
        <v>Pre-RIIO</v>
      </c>
      <c r="E87" s="573" t="str">
        <f t="shared" si="29"/>
        <v>Pre-RIIO</v>
      </c>
      <c r="F87" s="573" t="str">
        <f t="shared" si="29"/>
        <v>Pre-RIIO</v>
      </c>
      <c r="G87" s="573">
        <f t="shared" si="29"/>
        <v>2016</v>
      </c>
      <c r="H87" s="573">
        <f t="shared" si="29"/>
        <v>2017</v>
      </c>
      <c r="I87" s="573">
        <f t="shared" si="29"/>
        <v>2018</v>
      </c>
      <c r="J87" s="573">
        <f t="shared" si="29"/>
        <v>2019</v>
      </c>
      <c r="K87" s="574">
        <f t="shared" si="29"/>
        <v>2020</v>
      </c>
    </row>
    <row r="88" spans="1:12" s="2" customFormat="1">
      <c r="A88" s="3" t="str">
        <f>A13</f>
        <v>c</v>
      </c>
      <c r="B88" s="134" t="str">
        <f>B13&amp;""</f>
        <v>Incentive on connections engagement</v>
      </c>
      <c r="C88" s="144" t="s">
        <v>118</v>
      </c>
      <c r="D88" s="667">
        <v>0</v>
      </c>
      <c r="E88" s="668">
        <v>0</v>
      </c>
      <c r="F88" s="668">
        <v>0</v>
      </c>
      <c r="G88" s="668">
        <v>0</v>
      </c>
      <c r="H88" s="646">
        <v>0</v>
      </c>
      <c r="I88" s="646">
        <v>0</v>
      </c>
      <c r="J88" s="646">
        <v>0</v>
      </c>
      <c r="K88" s="646">
        <v>0</v>
      </c>
    </row>
    <row r="89" spans="1:12" s="2" customFormat="1">
      <c r="A89" s="3"/>
      <c r="B89" s="134"/>
      <c r="C89" s="144"/>
      <c r="D89" s="144"/>
      <c r="E89" s="144"/>
      <c r="F89" s="144"/>
      <c r="G89" s="144"/>
      <c r="H89" s="144"/>
      <c r="I89" s="144"/>
      <c r="J89" s="144"/>
      <c r="K89" s="144"/>
      <c r="L89" s="144"/>
    </row>
    <row r="90" spans="1:12" s="2" customFormat="1">
      <c r="A90" s="3"/>
      <c r="B90" s="134"/>
      <c r="C90" s="569" t="s">
        <v>374</v>
      </c>
      <c r="D90" s="572" t="str">
        <f t="shared" ref="D90:K90" si="30">IF($C62=$B$33,D$6,IF(D$6-RIGHT($C62,1)&lt;$D$6,"Pre-RIIO",D$6-RIGHT($C62,1)))</f>
        <v>Pre-RIIO</v>
      </c>
      <c r="E90" s="573" t="str">
        <f t="shared" si="30"/>
        <v>Pre-RIIO</v>
      </c>
      <c r="F90" s="573">
        <f t="shared" si="30"/>
        <v>2016</v>
      </c>
      <c r="G90" s="573">
        <f t="shared" si="30"/>
        <v>2017</v>
      </c>
      <c r="H90" s="573">
        <f t="shared" si="30"/>
        <v>2018</v>
      </c>
      <c r="I90" s="573">
        <f t="shared" si="30"/>
        <v>2019</v>
      </c>
      <c r="J90" s="573">
        <f t="shared" si="30"/>
        <v>2020</v>
      </c>
      <c r="K90" s="574">
        <f t="shared" si="30"/>
        <v>2021</v>
      </c>
    </row>
    <row r="91" spans="1:12" s="2" customFormat="1">
      <c r="A91" s="3" t="str">
        <f>A14</f>
        <v>d</v>
      </c>
      <c r="B91" s="134" t="str">
        <f>B14&amp;""</f>
        <v>Time to Connect Incentive</v>
      </c>
      <c r="C91" s="144" t="s">
        <v>118</v>
      </c>
      <c r="D91" s="667">
        <v>0</v>
      </c>
      <c r="E91" s="668">
        <v>0</v>
      </c>
      <c r="F91" s="668">
        <v>1.272380096045775</v>
      </c>
      <c r="G91" s="668">
        <v>1.2996440175743333</v>
      </c>
      <c r="H91" s="646">
        <v>1.348276693573107</v>
      </c>
      <c r="I91" s="646">
        <v>1.3620320850107284</v>
      </c>
      <c r="J91" s="646">
        <v>1.424997266300194</v>
      </c>
      <c r="K91" s="646">
        <v>1.4655179524082966</v>
      </c>
    </row>
    <row r="92" spans="1:12" s="2" customFormat="1">
      <c r="A92" s="3"/>
      <c r="B92" s="134"/>
      <c r="C92" s="144"/>
      <c r="D92" s="144"/>
      <c r="E92" s="144"/>
      <c r="F92" s="144"/>
      <c r="G92" s="144"/>
      <c r="H92" s="144"/>
      <c r="I92" s="144"/>
      <c r="J92" s="144"/>
      <c r="K92" s="144"/>
      <c r="L92" s="144"/>
    </row>
    <row r="93" spans="1:12" s="2" customFormat="1">
      <c r="A93" s="3"/>
      <c r="B93" s="134"/>
      <c r="C93" s="569" t="s">
        <v>374</v>
      </c>
      <c r="D93" s="572" t="str">
        <f>IF($C66=$B$33,D$6,IF(D$6-RIGHT($C66,1)&lt;$D$6,"Pre-RIIO",D$6-RIGHT($C66,1)))</f>
        <v>Pre-RIIO</v>
      </c>
      <c r="E93" s="573">
        <f t="shared" ref="E93:K93" si="31">IF($C66=$B$33,E$6,IF(E$6-RIGHT($C66,1)&lt;$D$6,"Pre-RIIO",E$6-RIGHT($C66,1)))</f>
        <v>2016</v>
      </c>
      <c r="F93" s="573">
        <f t="shared" si="31"/>
        <v>2017</v>
      </c>
      <c r="G93" s="573">
        <f t="shared" si="31"/>
        <v>2018</v>
      </c>
      <c r="H93" s="573">
        <f t="shared" si="31"/>
        <v>2019</v>
      </c>
      <c r="I93" s="573">
        <f t="shared" si="31"/>
        <v>2020</v>
      </c>
      <c r="J93" s="573">
        <f t="shared" si="31"/>
        <v>2021</v>
      </c>
      <c r="K93" s="574">
        <f t="shared" si="31"/>
        <v>2022</v>
      </c>
    </row>
    <row r="94" spans="1:12" s="2" customFormat="1">
      <c r="A94" s="3" t="str">
        <f>A15</f>
        <v>e</v>
      </c>
      <c r="B94" s="134" t="str">
        <f>B15&amp;""</f>
        <v>Losses discretionary reward scheme</v>
      </c>
      <c r="C94" s="144" t="s">
        <v>118</v>
      </c>
      <c r="D94" s="667">
        <v>0</v>
      </c>
      <c r="E94" s="668">
        <v>0</v>
      </c>
      <c r="F94" s="668">
        <v>0.77909499999999998</v>
      </c>
      <c r="G94" s="668">
        <v>0</v>
      </c>
      <c r="H94" s="646">
        <v>0</v>
      </c>
      <c r="I94" s="646">
        <v>0</v>
      </c>
      <c r="J94" s="646">
        <v>0</v>
      </c>
      <c r="K94" s="646">
        <v>0</v>
      </c>
    </row>
    <row r="95" spans="1:12" s="2" customFormat="1">
      <c r="A95" s="3"/>
      <c r="B95" s="134"/>
      <c r="C95" s="144"/>
      <c r="D95" s="144"/>
      <c r="E95" s="144"/>
      <c r="F95" s="144"/>
      <c r="G95" s="144"/>
      <c r="H95" s="144"/>
      <c r="I95" s="144"/>
      <c r="J95" s="144"/>
      <c r="K95" s="144"/>
      <c r="L95" s="144"/>
    </row>
    <row r="96" spans="1:12" s="2" customFormat="1">
      <c r="A96" s="3"/>
      <c r="B96" s="134"/>
      <c r="C96" s="569" t="s">
        <v>374</v>
      </c>
      <c r="D96" s="572" t="str">
        <f>IF($C70=$B$33,D$6,IF(D$6-RIGHT($C70,1)&lt;$D$6,"Pre-RIIO",D$6-RIGHT($C70,1)))</f>
        <v>Pre-RIIO</v>
      </c>
      <c r="E96" s="572">
        <f t="shared" ref="E96:K96" si="32">IF($C70=$B$33,E$6,IF(E$6-RIGHT($C70,1)&lt;$D$6,"Pre-RIIO",E$6-RIGHT($C70,1)))</f>
        <v>2016</v>
      </c>
      <c r="F96" s="572">
        <f t="shared" si="32"/>
        <v>2017</v>
      </c>
      <c r="G96" s="572">
        <f t="shared" si="32"/>
        <v>2018</v>
      </c>
      <c r="H96" s="572">
        <f t="shared" si="32"/>
        <v>2019</v>
      </c>
      <c r="I96" s="572">
        <f t="shared" si="32"/>
        <v>2020</v>
      </c>
      <c r="J96" s="572">
        <f t="shared" si="32"/>
        <v>2021</v>
      </c>
      <c r="K96" s="572">
        <f t="shared" si="32"/>
        <v>2022</v>
      </c>
    </row>
    <row r="97" spans="1:13" s="2" customFormat="1">
      <c r="A97" s="3" t="str">
        <f>A16</f>
        <v>f</v>
      </c>
      <c r="B97" s="134" t="str">
        <f>B16&amp;""</f>
        <v/>
      </c>
      <c r="C97" s="144" t="s">
        <v>118</v>
      </c>
      <c r="D97" s="667"/>
      <c r="E97" s="668"/>
      <c r="F97" s="668"/>
      <c r="G97" s="668"/>
      <c r="H97" s="646"/>
      <c r="I97" s="646"/>
      <c r="J97" s="646"/>
      <c r="K97" s="646"/>
    </row>
    <row r="98" spans="1:13" s="2" customFormat="1">
      <c r="A98" s="3"/>
      <c r="B98" s="134"/>
      <c r="C98" s="144"/>
      <c r="D98" s="144"/>
      <c r="E98" s="144"/>
      <c r="F98" s="144"/>
      <c r="G98" s="144"/>
      <c r="H98" s="144"/>
      <c r="I98" s="144"/>
      <c r="J98" s="144"/>
      <c r="K98" s="144"/>
      <c r="L98" s="144"/>
    </row>
    <row r="99" spans="1:13" s="2" customFormat="1">
      <c r="A99" s="3"/>
      <c r="B99" s="134"/>
      <c r="C99" s="569" t="s">
        <v>374</v>
      </c>
      <c r="D99" s="572" t="str">
        <f>IF($C74=$B$33,D$6,IF(D$6-RIGHT($C74,1)&lt;$D$6,"Pre-RIIO",D$6-RIGHT($C74,1)))</f>
        <v>Pre-RIIO</v>
      </c>
      <c r="E99" s="572">
        <f t="shared" ref="E99:K99" si="33">IF($C74=$B$33,E$6,IF(E$6-RIGHT($C74,1)&lt;$D$6,"Pre-RIIO",E$6-RIGHT($C74,1)))</f>
        <v>2016</v>
      </c>
      <c r="F99" s="572">
        <f t="shared" si="33"/>
        <v>2017</v>
      </c>
      <c r="G99" s="572">
        <f t="shared" si="33"/>
        <v>2018</v>
      </c>
      <c r="H99" s="572">
        <f t="shared" si="33"/>
        <v>2019</v>
      </c>
      <c r="I99" s="572">
        <f t="shared" si="33"/>
        <v>2020</v>
      </c>
      <c r="J99" s="572">
        <f t="shared" si="33"/>
        <v>2021</v>
      </c>
      <c r="K99" s="572">
        <f t="shared" si="33"/>
        <v>2022</v>
      </c>
    </row>
    <row r="100" spans="1:13" s="2" customFormat="1">
      <c r="A100" s="3" t="str">
        <f>A17</f>
        <v>g</v>
      </c>
      <c r="B100" s="134" t="str">
        <f>B17&amp;""</f>
        <v/>
      </c>
      <c r="C100" s="144" t="s">
        <v>118</v>
      </c>
      <c r="D100" s="667"/>
      <c r="E100" s="668"/>
      <c r="F100" s="668"/>
      <c r="G100" s="668"/>
      <c r="H100" s="646"/>
      <c r="I100" s="646"/>
      <c r="J100" s="646"/>
      <c r="K100" s="646"/>
    </row>
    <row r="101" spans="1:13" s="2" customFormat="1">
      <c r="A101" s="3"/>
      <c r="B101" s="134"/>
      <c r="C101" s="144"/>
      <c r="D101" s="144"/>
      <c r="E101" s="144"/>
      <c r="F101" s="144"/>
      <c r="G101" s="144"/>
      <c r="H101" s="144"/>
      <c r="I101" s="144"/>
      <c r="J101" s="144"/>
      <c r="K101" s="144"/>
      <c r="L101" s="144"/>
      <c r="M101" s="144"/>
    </row>
    <row r="102" spans="1:13" s="2" customFormat="1">
      <c r="B102" s="12" t="s">
        <v>148</v>
      </c>
      <c r="C102" s="165" t="s">
        <v>118</v>
      </c>
      <c r="D102" s="639">
        <f>SUM(D82,D85,D88,D91,D94,D97,D100)</f>
        <v>8.3946523265849056</v>
      </c>
      <c r="E102" s="639">
        <f t="shared" ref="E102:K102" si="34">SUM(E82,E85,E88,E91,E94,E97,E100)</f>
        <v>15.816916746370953</v>
      </c>
      <c r="F102" s="639">
        <f t="shared" si="34"/>
        <v>17.225729169157102</v>
      </c>
      <c r="G102" s="639">
        <f t="shared" si="34"/>
        <v>16.717066034911376</v>
      </c>
      <c r="H102" s="640">
        <f>SUM(H82,H85,H88,H91,H94,H97,H100)</f>
        <v>15.831867129179622</v>
      </c>
      <c r="I102" s="640">
        <f t="shared" si="34"/>
        <v>17.017609010904362</v>
      </c>
      <c r="J102" s="640">
        <f t="shared" si="34"/>
        <v>23.51033028939873</v>
      </c>
      <c r="K102" s="640">
        <f t="shared" si="34"/>
        <v>25.015913255330979</v>
      </c>
    </row>
    <row r="103" spans="1:13" s="2" customFormat="1">
      <c r="C103" s="144"/>
    </row>
    <row r="104" spans="1:13" s="2" customFormat="1">
      <c r="A104" s="36"/>
      <c r="B104" s="12" t="s">
        <v>349</v>
      </c>
      <c r="C104" s="164"/>
      <c r="D104" s="164"/>
      <c r="E104" s="164"/>
      <c r="F104" s="164"/>
      <c r="G104" s="164"/>
      <c r="H104" s="164"/>
      <c r="I104" s="164"/>
      <c r="J104" s="164"/>
      <c r="K104" s="164"/>
      <c r="L104" s="164"/>
      <c r="M104" s="164"/>
    </row>
    <row r="105" spans="1:13" s="2" customFormat="1">
      <c r="A105" s="283" t="str">
        <f>A82</f>
        <v>a</v>
      </c>
      <c r="B105" s="990" t="s">
        <v>549</v>
      </c>
      <c r="C105" s="990"/>
      <c r="D105" s="990"/>
      <c r="E105" s="990"/>
      <c r="F105" s="990"/>
      <c r="G105" s="990"/>
      <c r="H105" s="990"/>
      <c r="I105" s="990"/>
      <c r="J105" s="990"/>
      <c r="K105" s="990"/>
      <c r="L105" s="990"/>
      <c r="M105" s="990"/>
    </row>
    <row r="106" spans="1:13" s="2" customFormat="1">
      <c r="A106" s="283" t="str">
        <f>A85</f>
        <v>b</v>
      </c>
      <c r="B106" s="990" t="s">
        <v>549</v>
      </c>
      <c r="C106" s="990"/>
      <c r="D106" s="990"/>
      <c r="E106" s="990"/>
      <c r="F106" s="990"/>
      <c r="G106" s="990"/>
      <c r="H106" s="990"/>
      <c r="I106" s="990"/>
      <c r="J106" s="990"/>
      <c r="K106" s="990"/>
      <c r="L106" s="990"/>
      <c r="M106" s="990"/>
    </row>
    <row r="107" spans="1:13" s="2" customFormat="1">
      <c r="A107" s="283" t="str">
        <f>A88</f>
        <v>c</v>
      </c>
      <c r="B107" s="990" t="s">
        <v>549</v>
      </c>
      <c r="C107" s="990"/>
      <c r="D107" s="990"/>
      <c r="E107" s="990"/>
      <c r="F107" s="990"/>
      <c r="G107" s="990"/>
      <c r="H107" s="990"/>
      <c r="I107" s="990"/>
      <c r="J107" s="990"/>
      <c r="K107" s="990"/>
      <c r="L107" s="990"/>
      <c r="M107" s="990"/>
    </row>
    <row r="108" spans="1:13" s="2" customFormat="1">
      <c r="A108" s="283" t="str">
        <f>A91</f>
        <v>d</v>
      </c>
      <c r="B108" s="990" t="s">
        <v>549</v>
      </c>
      <c r="C108" s="990"/>
      <c r="D108" s="990"/>
      <c r="E108" s="990"/>
      <c r="F108" s="990"/>
      <c r="G108" s="990"/>
      <c r="H108" s="990"/>
      <c r="I108" s="990"/>
      <c r="J108" s="990"/>
      <c r="K108" s="990"/>
      <c r="L108" s="990"/>
      <c r="M108" s="990"/>
    </row>
    <row r="109" spans="1:13" s="2" customFormat="1">
      <c r="A109" s="283" t="str">
        <f>A94</f>
        <v>e</v>
      </c>
      <c r="B109" s="990" t="s">
        <v>549</v>
      </c>
      <c r="C109" s="990"/>
      <c r="D109" s="990"/>
      <c r="E109" s="990"/>
      <c r="F109" s="990"/>
      <c r="G109" s="990"/>
      <c r="H109" s="990"/>
      <c r="I109" s="990"/>
      <c r="J109" s="990"/>
      <c r="K109" s="990"/>
      <c r="L109" s="990"/>
      <c r="M109" s="990"/>
    </row>
    <row r="110" spans="1:13" s="2" customFormat="1">
      <c r="A110" s="283" t="str">
        <f>A97</f>
        <v>f</v>
      </c>
      <c r="B110" s="990"/>
      <c r="C110" s="990"/>
      <c r="D110" s="990"/>
      <c r="E110" s="990"/>
      <c r="F110" s="990"/>
      <c r="G110" s="990"/>
      <c r="H110" s="990"/>
      <c r="I110" s="990"/>
      <c r="J110" s="990"/>
      <c r="K110" s="990"/>
      <c r="L110" s="990"/>
      <c r="M110" s="990"/>
    </row>
    <row r="111" spans="1:13" s="2" customFormat="1">
      <c r="A111" s="283" t="str">
        <f>A100</f>
        <v>g</v>
      </c>
      <c r="B111" s="990"/>
      <c r="C111" s="990"/>
      <c r="D111" s="990"/>
      <c r="E111" s="990"/>
      <c r="F111" s="990"/>
      <c r="G111" s="990"/>
      <c r="H111" s="990"/>
      <c r="I111" s="990"/>
      <c r="J111" s="990"/>
      <c r="K111" s="990"/>
      <c r="L111" s="990"/>
      <c r="M111" s="990"/>
    </row>
    <row r="112" spans="1:13" s="561" customFormat="1">
      <c r="A112" s="560"/>
      <c r="C112" s="562"/>
      <c r="D112" s="563"/>
      <c r="E112" s="563"/>
      <c r="F112" s="563"/>
      <c r="G112" s="563"/>
      <c r="H112" s="563"/>
      <c r="I112" s="563"/>
      <c r="J112" s="563"/>
      <c r="K112" s="563"/>
      <c r="L112" s="564"/>
      <c r="M112" s="564"/>
    </row>
    <row r="113" spans="1:14" s="561" customFormat="1">
      <c r="A113" s="560"/>
      <c r="C113" s="562"/>
      <c r="D113" s="562"/>
      <c r="E113" s="562"/>
      <c r="F113" s="562"/>
      <c r="G113" s="562"/>
      <c r="H113" s="562"/>
      <c r="I113" s="562"/>
      <c r="J113" s="562"/>
      <c r="K113" s="562"/>
      <c r="L113" s="562"/>
      <c r="M113" s="562"/>
    </row>
    <row r="114" spans="1:14" s="2" customFormat="1">
      <c r="A114" s="82"/>
      <c r="B114" s="82"/>
      <c r="C114" s="158"/>
      <c r="D114" s="82"/>
      <c r="E114" s="82"/>
      <c r="F114" s="82"/>
      <c r="G114" s="82"/>
      <c r="H114" s="82"/>
      <c r="I114" s="82"/>
      <c r="J114" s="82"/>
      <c r="K114" s="82"/>
      <c r="L114" s="82"/>
      <c r="M114" s="82"/>
      <c r="N114" s="82"/>
    </row>
  </sheetData>
  <sheetProtection password="FE19" sheet="1" objects="1" scenarios="1"/>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2" priority="31">
      <formula>AND(D$5="Actuals",E$5="Forecast")</formula>
    </cfRule>
  </conditionalFormatting>
  <conditionalFormatting sqref="D5:K5">
    <cfRule type="expression" dxfId="3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a9306fc-8436-45f0-b931-e34f519be3a3" ContentTypeId="0x010100BEF857C979C03448B587B28C0D359605"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CC285FE4-1466-4BF7-8FA9-67F63A3D57B8}">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 ds:uri="http://purl.org/dc/terms/"/>
    <ds:schemaRef ds:uri="631298fc-6a88-4548-b7d9-3b164918c4a3"/>
    <ds:schemaRef ds:uri="http://schemas.microsoft.com/sharepoint/v3/fields"/>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David Ball</cp:lastModifiedBy>
  <cp:lastPrinted>2018-10-02T10:25:02Z</cp:lastPrinted>
  <dcterms:created xsi:type="dcterms:W3CDTF">2018-06-13T08:32:09Z</dcterms:created>
  <dcterms:modified xsi:type="dcterms:W3CDTF">2019-07-31T14:13:20Z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0x010100BEF857C979C03448B587B28C0D35960500299C6ADD4A6AB54A9176CBB9E1C669A7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